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0" yWindow="-195" windowWidth="14595" windowHeight="11760" activeTab="4"/>
  </bookViews>
  <sheets>
    <sheet name="Cabaço1" sheetId="1" r:id="rId1"/>
    <sheet name="Cabaço2" sheetId="2" r:id="rId2"/>
    <sheet name="Todas" sheetId="7" r:id="rId3"/>
    <sheet name="SL_IL" sheetId="8" r:id="rId4"/>
    <sheet name="Halodule mean" sheetId="10" r:id="rId5"/>
  </sheets>
  <definedNames>
    <definedName name="_xlnm._FilterDatabase" localSheetId="3" hidden="1">SL_IL!$A$1:$I$114</definedName>
    <definedName name="_xlnm._FilterDatabase" localSheetId="2" hidden="1">Todas!$A$1:$CJ$2853</definedName>
  </definedNames>
  <calcPr calcId="125725"/>
</workbook>
</file>

<file path=xl/calcChain.xml><?xml version="1.0" encoding="utf-8"?>
<calcChain xmlns="http://schemas.openxmlformats.org/spreadsheetml/2006/main">
  <c r="H5" i="10"/>
  <c r="H1"/>
  <c r="W2549" i="7"/>
  <c r="W2550"/>
  <c r="W2551"/>
  <c r="W2552"/>
  <c r="W2553"/>
  <c r="W2554"/>
  <c r="W2555"/>
  <c r="W2556"/>
  <c r="W2557"/>
  <c r="W2558"/>
  <c r="W2559"/>
  <c r="W2560"/>
  <c r="W2561"/>
  <c r="W2562"/>
  <c r="W2563"/>
  <c r="W2564"/>
  <c r="W2565"/>
  <c r="W2566"/>
  <c r="W2567"/>
  <c r="W2568"/>
  <c r="W2569"/>
  <c r="W2570"/>
  <c r="W2571"/>
  <c r="W2572"/>
  <c r="W2573"/>
  <c r="W2574"/>
  <c r="W2575"/>
  <c r="W2576"/>
  <c r="W2577"/>
  <c r="W2578"/>
  <c r="W2579"/>
  <c r="W2580"/>
  <c r="W2581"/>
  <c r="W2582"/>
  <c r="W2583"/>
  <c r="W2584"/>
  <c r="W2585"/>
  <c r="W2586"/>
  <c r="W2587"/>
  <c r="W2588"/>
  <c r="W2589"/>
  <c r="W2590"/>
  <c r="W2591"/>
  <c r="W2592"/>
  <c r="W2593"/>
  <c r="W2594"/>
  <c r="W2595"/>
  <c r="W2596"/>
  <c r="W2597"/>
  <c r="W2598"/>
  <c r="W2599"/>
  <c r="W2600"/>
  <c r="W2601"/>
  <c r="W2602"/>
  <c r="W2603"/>
  <c r="W2604"/>
  <c r="W2605"/>
  <c r="W2606"/>
  <c r="W2607"/>
  <c r="W2608"/>
  <c r="W2609"/>
  <c r="W2610"/>
  <c r="W2611"/>
  <c r="W2612"/>
  <c r="W2613"/>
  <c r="W2614"/>
  <c r="W2615"/>
  <c r="W2616"/>
  <c r="W2617"/>
  <c r="W2618"/>
  <c r="W2619"/>
  <c r="W2620"/>
  <c r="W2621"/>
  <c r="W2622"/>
  <c r="W2623"/>
  <c r="W2624"/>
  <c r="W2625"/>
  <c r="W2626"/>
  <c r="W2627"/>
  <c r="W2628"/>
  <c r="W2629"/>
  <c r="W2630"/>
  <c r="W2631"/>
  <c r="W2632"/>
  <c r="W2633"/>
  <c r="W2634"/>
  <c r="W2635"/>
  <c r="W2636"/>
  <c r="W2637"/>
  <c r="W2638"/>
  <c r="W2639"/>
  <c r="W2640"/>
  <c r="W2641"/>
  <c r="W2642"/>
  <c r="W2643"/>
  <c r="W2644"/>
  <c r="W2645"/>
  <c r="W2646"/>
  <c r="W2647"/>
  <c r="W2648"/>
  <c r="W2649"/>
  <c r="W2650"/>
  <c r="W2651"/>
  <c r="W2652"/>
  <c r="W2653"/>
  <c r="W2654"/>
  <c r="W2655"/>
  <c r="W2656"/>
  <c r="W2657"/>
  <c r="W2658"/>
  <c r="W2659"/>
  <c r="W2660"/>
  <c r="W2661"/>
  <c r="W2662"/>
  <c r="W2663"/>
  <c r="W2664"/>
  <c r="W2665"/>
  <c r="W2666"/>
  <c r="W2667"/>
  <c r="W2668"/>
  <c r="W2669"/>
  <c r="W2670"/>
  <c r="W2671"/>
  <c r="W2672"/>
  <c r="W2673"/>
  <c r="W2674"/>
  <c r="W2675"/>
  <c r="W2676"/>
  <c r="W2677"/>
  <c r="W2678"/>
  <c r="W2679"/>
  <c r="W2680"/>
  <c r="W2681"/>
  <c r="W2682"/>
  <c r="W2683"/>
  <c r="W2684"/>
  <c r="W2685"/>
  <c r="W2686"/>
  <c r="W2687"/>
  <c r="W2688"/>
  <c r="W2689"/>
  <c r="W2690"/>
  <c r="W2691"/>
  <c r="W2692"/>
  <c r="W2693"/>
  <c r="W2694"/>
  <c r="W2695"/>
  <c r="W2696"/>
  <c r="W2697"/>
  <c r="W2698"/>
  <c r="W2699"/>
  <c r="W2700"/>
  <c r="W2701"/>
  <c r="W2702"/>
  <c r="W2703"/>
  <c r="W2704"/>
  <c r="W2705"/>
  <c r="W2706"/>
  <c r="W2707"/>
  <c r="W2708"/>
  <c r="W2709"/>
  <c r="W2710"/>
  <c r="W2711"/>
  <c r="W2712"/>
  <c r="W2713"/>
  <c r="W2714"/>
  <c r="W2715"/>
  <c r="W2716"/>
  <c r="W2717"/>
  <c r="W2718"/>
  <c r="W2719"/>
  <c r="W2720"/>
  <c r="W2721"/>
  <c r="W2722"/>
  <c r="W2723"/>
  <c r="W2724"/>
  <c r="W2725"/>
  <c r="W2726"/>
  <c r="W2727"/>
  <c r="W2728"/>
  <c r="W2729"/>
  <c r="W2730"/>
  <c r="W2731"/>
  <c r="W2732"/>
  <c r="W2733"/>
  <c r="W2734"/>
  <c r="W2735"/>
  <c r="W2736"/>
  <c r="W2737"/>
  <c r="W2738"/>
  <c r="W2739"/>
  <c r="W2740"/>
  <c r="W2741"/>
  <c r="W2742"/>
  <c r="W2743"/>
  <c r="W2744"/>
  <c r="W2745"/>
  <c r="W2746"/>
  <c r="W2747"/>
  <c r="W2748"/>
  <c r="W2749"/>
  <c r="W2750"/>
  <c r="W2751"/>
  <c r="W2752"/>
  <c r="W2753"/>
  <c r="W2754"/>
  <c r="W2755"/>
  <c r="W2756"/>
  <c r="W2758"/>
  <c r="W2759"/>
  <c r="W2760"/>
  <c r="W2761"/>
  <c r="W2762"/>
  <c r="W2764"/>
  <c r="W2766"/>
  <c r="W2767"/>
  <c r="W2768"/>
  <c r="W2769"/>
  <c r="W2770"/>
  <c r="W2771"/>
  <c r="W2772"/>
  <c r="W2773"/>
  <c r="W2774"/>
  <c r="W2776"/>
  <c r="W2777"/>
  <c r="W2779"/>
  <c r="W2781"/>
  <c r="W2782"/>
  <c r="W2783"/>
  <c r="W2784"/>
  <c r="W2785"/>
  <c r="W2786"/>
  <c r="W2787"/>
  <c r="W2788"/>
  <c r="W2789"/>
  <c r="W2791"/>
  <c r="W2793"/>
  <c r="W2794"/>
  <c r="W2795"/>
  <c r="W2796"/>
  <c r="W2797"/>
  <c r="W2798"/>
  <c r="T2793"/>
  <c r="T2794"/>
  <c r="T2795"/>
  <c r="T2796"/>
  <c r="T2797"/>
  <c r="T2798"/>
  <c r="Q2793"/>
  <c r="Q2794"/>
  <c r="Q2795"/>
  <c r="Q2796"/>
  <c r="Q2797"/>
  <c r="Q2798"/>
  <c r="S2755"/>
  <c r="S2756"/>
  <c r="S2758"/>
  <c r="S2759"/>
  <c r="S2760"/>
  <c r="S2761"/>
  <c r="S2762"/>
  <c r="S2764"/>
  <c r="S2766"/>
  <c r="S2767"/>
  <c r="S2768"/>
  <c r="S2769"/>
  <c r="S2770"/>
  <c r="S2771"/>
  <c r="S2772"/>
  <c r="S2773"/>
  <c r="S2774"/>
  <c r="S2776"/>
  <c r="S2777"/>
  <c r="S2779"/>
  <c r="S2781"/>
  <c r="S2782"/>
  <c r="S2783"/>
  <c r="S2784"/>
  <c r="S2785"/>
  <c r="S2786"/>
  <c r="S2787"/>
  <c r="S2788"/>
  <c r="S2789"/>
  <c r="S2791"/>
  <c r="P2755"/>
  <c r="P2756"/>
  <c r="P2757"/>
  <c r="P2758"/>
  <c r="P2759"/>
  <c r="P2760"/>
  <c r="P2761"/>
  <c r="P2762"/>
  <c r="P2763"/>
  <c r="P2764"/>
  <c r="P2765"/>
  <c r="P2766"/>
  <c r="P2767"/>
  <c r="P2768"/>
  <c r="P2769"/>
  <c r="P2770"/>
  <c r="P2771"/>
  <c r="P2772"/>
  <c r="P2773"/>
  <c r="P2774"/>
  <c r="P2776"/>
  <c r="P2777"/>
  <c r="P2779"/>
  <c r="P2781"/>
  <c r="P2782"/>
  <c r="P2783"/>
  <c r="P2784"/>
  <c r="P2785"/>
  <c r="P2786"/>
  <c r="P2787"/>
  <c r="P2788"/>
  <c r="P2789"/>
  <c r="P2791"/>
  <c r="P2549"/>
  <c r="R2549"/>
  <c r="S2549"/>
  <c r="P2550"/>
  <c r="R2550"/>
  <c r="S2550"/>
  <c r="P2551"/>
  <c r="R2551"/>
  <c r="S2551"/>
  <c r="P2552"/>
  <c r="R2552"/>
  <c r="S2552"/>
  <c r="P2553"/>
  <c r="R2553"/>
  <c r="S2553"/>
  <c r="P2554"/>
  <c r="R2554"/>
  <c r="S2554"/>
  <c r="P2555"/>
  <c r="R2555"/>
  <c r="S2555"/>
  <c r="P2556"/>
  <c r="R2556"/>
  <c r="S2556"/>
  <c r="P2557"/>
  <c r="R2557"/>
  <c r="S2557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O2650"/>
  <c r="O2651"/>
  <c r="O2652"/>
  <c r="O2653"/>
  <c r="O2654"/>
  <c r="O2655"/>
  <c r="O2656"/>
  <c r="O2657"/>
  <c r="O2658"/>
  <c r="O2659"/>
  <c r="O2660"/>
  <c r="O2661"/>
  <c r="O2662"/>
  <c r="O2663"/>
  <c r="O2664"/>
  <c r="O2665"/>
  <c r="O2666"/>
  <c r="O2667"/>
  <c r="O2668"/>
  <c r="O2669"/>
  <c r="O2670"/>
  <c r="O2671"/>
  <c r="O2672"/>
  <c r="O2673"/>
  <c r="O2674"/>
  <c r="O2675"/>
  <c r="O2676"/>
  <c r="O2677"/>
  <c r="O2678"/>
  <c r="O2679"/>
  <c r="O2680"/>
  <c r="O2681"/>
  <c r="O2682"/>
  <c r="O2683"/>
  <c r="O2684"/>
  <c r="O2685"/>
  <c r="O2686"/>
  <c r="O2687"/>
  <c r="O2688"/>
  <c r="O2689"/>
  <c r="O2690"/>
  <c r="O2691"/>
  <c r="O2692"/>
  <c r="O2693"/>
  <c r="O2694"/>
  <c r="O2695"/>
  <c r="O2696"/>
  <c r="O2697"/>
  <c r="O2698"/>
  <c r="O2699"/>
  <c r="O2700"/>
  <c r="O2701"/>
  <c r="O2702"/>
  <c r="O2703"/>
  <c r="O2704"/>
  <c r="O2705"/>
  <c r="O2706"/>
  <c r="O2707"/>
  <c r="O2708"/>
  <c r="O2709"/>
  <c r="O2710"/>
  <c r="O2711"/>
  <c r="O2712"/>
  <c r="O2713"/>
  <c r="O2714"/>
  <c r="O2715"/>
  <c r="O2716"/>
  <c r="O2717"/>
  <c r="O2718"/>
  <c r="O2719"/>
  <c r="O2720"/>
  <c r="O2721"/>
  <c r="O2722"/>
  <c r="O2723"/>
  <c r="O2724"/>
  <c r="O2725"/>
  <c r="O2726"/>
  <c r="O2727"/>
  <c r="O2728"/>
  <c r="O2729"/>
  <c r="O2730"/>
  <c r="O2731"/>
  <c r="O2732"/>
  <c r="O2733"/>
  <c r="O2734"/>
  <c r="O2735"/>
  <c r="O2736"/>
  <c r="O2737"/>
  <c r="O2738"/>
  <c r="O2739"/>
  <c r="O2740"/>
  <c r="O2741"/>
  <c r="O2742"/>
  <c r="O2743"/>
  <c r="O2744"/>
  <c r="O2745"/>
  <c r="O2746"/>
  <c r="O2747"/>
  <c r="O2748"/>
  <c r="O2749"/>
  <c r="O2750"/>
  <c r="O2751"/>
  <c r="O2752"/>
  <c r="O2753"/>
  <c r="O2754"/>
  <c r="O2755"/>
  <c r="O2756"/>
  <c r="O2757"/>
  <c r="O2758"/>
  <c r="O2759"/>
  <c r="O2760"/>
  <c r="O2761"/>
  <c r="O2762"/>
  <c r="O2763"/>
  <c r="O2764"/>
  <c r="O2765"/>
  <c r="O2766"/>
  <c r="O2767"/>
  <c r="O2768"/>
  <c r="O2769"/>
  <c r="O2770"/>
  <c r="O2771"/>
  <c r="O2772"/>
  <c r="O2773"/>
  <c r="O2774"/>
  <c r="O2776"/>
  <c r="O2777"/>
  <c r="O2779"/>
  <c r="O2781"/>
  <c r="O2782"/>
  <c r="O2783"/>
  <c r="O2784"/>
  <c r="O2785"/>
  <c r="O2786"/>
  <c r="O2787"/>
  <c r="O2788"/>
  <c r="O2789"/>
  <c r="O2791"/>
  <c r="R2558"/>
  <c r="R2559"/>
  <c r="R2560"/>
  <c r="R2561"/>
  <c r="R2562"/>
  <c r="R2563"/>
  <c r="R2564"/>
  <c r="R2565"/>
  <c r="R2566"/>
  <c r="R2567"/>
  <c r="R2568"/>
  <c r="R2569"/>
  <c r="R2570"/>
  <c r="R2571"/>
  <c r="R2572"/>
  <c r="R2573"/>
  <c r="R2574"/>
  <c r="R2575"/>
  <c r="R2576"/>
  <c r="R2577"/>
  <c r="R2578"/>
  <c r="R2579"/>
  <c r="R2580"/>
  <c r="R2581"/>
  <c r="R2582"/>
  <c r="R2583"/>
  <c r="R2584"/>
  <c r="R2585"/>
  <c r="R2586"/>
  <c r="R2587"/>
  <c r="R2588"/>
  <c r="R2589"/>
  <c r="R2590"/>
  <c r="R2591"/>
  <c r="R2592"/>
  <c r="R2593"/>
  <c r="R2594"/>
  <c r="R2595"/>
  <c r="R2596"/>
  <c r="R2597"/>
  <c r="R2598"/>
  <c r="R2599"/>
  <c r="R2600"/>
  <c r="R2601"/>
  <c r="R2602"/>
  <c r="R2603"/>
  <c r="R2604"/>
  <c r="R2605"/>
  <c r="R2606"/>
  <c r="R2607"/>
  <c r="R2608"/>
  <c r="R2609"/>
  <c r="R2610"/>
  <c r="R2611"/>
  <c r="R2612"/>
  <c r="R2613"/>
  <c r="R2614"/>
  <c r="R2615"/>
  <c r="R2616"/>
  <c r="R2617"/>
  <c r="R2618"/>
  <c r="R2619"/>
  <c r="R2620"/>
  <c r="R2621"/>
  <c r="R2622"/>
  <c r="R2623"/>
  <c r="R2624"/>
  <c r="R2625"/>
  <c r="R2626"/>
  <c r="R2627"/>
  <c r="R2628"/>
  <c r="R2629"/>
  <c r="R2630"/>
  <c r="R2631"/>
  <c r="R2632"/>
  <c r="R2633"/>
  <c r="R2634"/>
  <c r="R2635"/>
  <c r="R2636"/>
  <c r="R2637"/>
  <c r="R2638"/>
  <c r="R2639"/>
  <c r="R2640"/>
  <c r="R2641"/>
  <c r="R2642"/>
  <c r="R2643"/>
  <c r="R2644"/>
  <c r="R2645"/>
  <c r="R2646"/>
  <c r="R2647"/>
  <c r="R2648"/>
  <c r="R2649"/>
  <c r="R2650"/>
  <c r="R2651"/>
  <c r="R2652"/>
  <c r="R2653"/>
  <c r="R2654"/>
  <c r="R2655"/>
  <c r="R2656"/>
  <c r="R2657"/>
  <c r="R2658"/>
  <c r="R2659"/>
  <c r="R2660"/>
  <c r="R2661"/>
  <c r="R2662"/>
  <c r="R2663"/>
  <c r="R2664"/>
  <c r="R2665"/>
  <c r="R2666"/>
  <c r="R2667"/>
  <c r="R2668"/>
  <c r="R2669"/>
  <c r="R2670"/>
  <c r="R2671"/>
  <c r="R2672"/>
  <c r="R2673"/>
  <c r="R2674"/>
  <c r="R2675"/>
  <c r="R2676"/>
  <c r="R2677"/>
  <c r="R2678"/>
  <c r="R2679"/>
  <c r="R2680"/>
  <c r="R2681"/>
  <c r="R2682"/>
  <c r="R2683"/>
  <c r="R2684"/>
  <c r="R2685"/>
  <c r="R2686"/>
  <c r="R2687"/>
  <c r="R2688"/>
  <c r="R2689"/>
  <c r="R2690"/>
  <c r="R2691"/>
  <c r="R2692"/>
  <c r="R2693"/>
  <c r="R2694"/>
  <c r="R2695"/>
  <c r="R2696"/>
  <c r="R2697"/>
  <c r="R2698"/>
  <c r="R2699"/>
  <c r="R2700"/>
  <c r="R2701"/>
  <c r="R2702"/>
  <c r="R2703"/>
  <c r="R2704"/>
  <c r="R2705"/>
  <c r="R2706"/>
  <c r="R2707"/>
  <c r="R2708"/>
  <c r="R2709"/>
  <c r="R2710"/>
  <c r="R2711"/>
  <c r="R2712"/>
  <c r="R2713"/>
  <c r="R2714"/>
  <c r="R2715"/>
  <c r="R2716"/>
  <c r="R2717"/>
  <c r="R2718"/>
  <c r="R2719"/>
  <c r="R2720"/>
  <c r="R2721"/>
  <c r="R2722"/>
  <c r="R2723"/>
  <c r="R2724"/>
  <c r="R2725"/>
  <c r="R2726"/>
  <c r="R2727"/>
  <c r="R2728"/>
  <c r="R2729"/>
  <c r="R2730"/>
  <c r="R2731"/>
  <c r="R2732"/>
  <c r="R2733"/>
  <c r="R2734"/>
  <c r="R2735"/>
  <c r="R2736"/>
  <c r="R2737"/>
  <c r="R2738"/>
  <c r="R2739"/>
  <c r="R2740"/>
  <c r="R2741"/>
  <c r="R2742"/>
  <c r="R2743"/>
  <c r="R2744"/>
  <c r="R2745"/>
  <c r="R2746"/>
  <c r="R2747"/>
  <c r="R2748"/>
  <c r="R2749"/>
  <c r="R2750"/>
  <c r="R2751"/>
  <c r="R2752"/>
  <c r="R2753"/>
  <c r="R2754"/>
  <c r="R2755"/>
  <c r="R2756"/>
  <c r="R2758"/>
  <c r="R2759"/>
  <c r="R2760"/>
  <c r="R2761"/>
  <c r="R2762"/>
  <c r="R2764"/>
  <c r="R2766"/>
  <c r="R2767"/>
  <c r="R2768"/>
  <c r="R2769"/>
  <c r="R2770"/>
  <c r="R2771"/>
  <c r="R2772"/>
  <c r="R2773"/>
  <c r="R2774"/>
  <c r="R2776"/>
  <c r="R2777"/>
  <c r="R2779"/>
  <c r="R2781"/>
  <c r="R2782"/>
  <c r="R2783"/>
  <c r="R2784"/>
  <c r="R2785"/>
  <c r="R2786"/>
  <c r="R2787"/>
  <c r="R2788"/>
  <c r="R2789"/>
  <c r="R2791"/>
  <c r="M2769"/>
  <c r="T2769" s="1"/>
  <c r="M2770"/>
  <c r="T2770" s="1"/>
  <c r="M2771"/>
  <c r="T2771" s="1"/>
  <c r="M2772"/>
  <c r="T2772" s="1"/>
  <c r="M2773"/>
  <c r="T2773" s="1"/>
  <c r="M2774"/>
  <c r="T2774" s="1"/>
  <c r="M2775"/>
  <c r="M2776"/>
  <c r="T2776" s="1"/>
  <c r="M2777"/>
  <c r="T2777" s="1"/>
  <c r="M2778"/>
  <c r="M2779"/>
  <c r="T2779" s="1"/>
  <c r="M2780"/>
  <c r="M2781"/>
  <c r="T2781" s="1"/>
  <c r="M2782"/>
  <c r="T2782" s="1"/>
  <c r="M2783"/>
  <c r="T2783" s="1"/>
  <c r="M2784"/>
  <c r="T2784" s="1"/>
  <c r="M2785"/>
  <c r="T2785" s="1"/>
  <c r="M2786"/>
  <c r="T2786" s="1"/>
  <c r="M2787"/>
  <c r="T2787" s="1"/>
  <c r="M2788"/>
  <c r="T2788" s="1"/>
  <c r="M2789"/>
  <c r="T2789" s="1"/>
  <c r="M2791"/>
  <c r="T2791" s="1"/>
  <c r="J2769"/>
  <c r="Q2769" s="1"/>
  <c r="J2770"/>
  <c r="Q2770" s="1"/>
  <c r="J2771"/>
  <c r="Q2771" s="1"/>
  <c r="J2772"/>
  <c r="Q2772" s="1"/>
  <c r="J2773"/>
  <c r="Q2773" s="1"/>
  <c r="J2774"/>
  <c r="Q2774" s="1"/>
  <c r="J2775"/>
  <c r="J2776"/>
  <c r="Q2776" s="1"/>
  <c r="J2777"/>
  <c r="Q2777" s="1"/>
  <c r="J2778"/>
  <c r="J2779"/>
  <c r="Q2779" s="1"/>
  <c r="J2780"/>
  <c r="J2781"/>
  <c r="Q2781" s="1"/>
  <c r="J2782"/>
  <c r="Q2782" s="1"/>
  <c r="J2783"/>
  <c r="Q2783" s="1"/>
  <c r="J2784"/>
  <c r="Q2784" s="1"/>
  <c r="J2785"/>
  <c r="Q2785" s="1"/>
  <c r="J2786"/>
  <c r="Q2786" s="1"/>
  <c r="J2787"/>
  <c r="Q2787" s="1"/>
  <c r="J2788"/>
  <c r="Q2788" s="1"/>
  <c r="J2789"/>
  <c r="Q2789" s="1"/>
  <c r="J2791"/>
  <c r="Q2791" s="1"/>
  <c r="W2800" l="1"/>
  <c r="W2801"/>
  <c r="W2802"/>
  <c r="W2803"/>
  <c r="W2804"/>
  <c r="W2805"/>
  <c r="W2806"/>
  <c r="W2807"/>
  <c r="W2808"/>
  <c r="W2809"/>
  <c r="W2810"/>
  <c r="W2811"/>
  <c r="W2812"/>
  <c r="W2813"/>
  <c r="W2814"/>
  <c r="W2817"/>
  <c r="W2818"/>
  <c r="W2819"/>
  <c r="W2820"/>
  <c r="W2821"/>
  <c r="W2823"/>
  <c r="W2824"/>
  <c r="W2826"/>
  <c r="W2829"/>
  <c r="W2830"/>
  <c r="W2831"/>
  <c r="W2832"/>
  <c r="W2833"/>
  <c r="W2834"/>
  <c r="W2836"/>
  <c r="W2837"/>
  <c r="W2838"/>
  <c r="W2839"/>
  <c r="W2840"/>
  <c r="W2841"/>
  <c r="W2842"/>
  <c r="W2843"/>
  <c r="W2844"/>
  <c r="W2845"/>
  <c r="W2846"/>
  <c r="W2848"/>
  <c r="W2850"/>
  <c r="W2851"/>
  <c r="W2852"/>
  <c r="W2853"/>
  <c r="O2800"/>
  <c r="P2800"/>
  <c r="R2800"/>
  <c r="S2800"/>
  <c r="O2801"/>
  <c r="P2801"/>
  <c r="R2801"/>
  <c r="S2801"/>
  <c r="O2802"/>
  <c r="P2802"/>
  <c r="R2802"/>
  <c r="S2802"/>
  <c r="O2803"/>
  <c r="P2803"/>
  <c r="R2803"/>
  <c r="S2803"/>
  <c r="O2804"/>
  <c r="P2804"/>
  <c r="R2804"/>
  <c r="S2804"/>
  <c r="O2805"/>
  <c r="P2805"/>
  <c r="R2805"/>
  <c r="S2805"/>
  <c r="O2806"/>
  <c r="P2806"/>
  <c r="R2806"/>
  <c r="S2806"/>
  <c r="O2807"/>
  <c r="P2807"/>
  <c r="R2807"/>
  <c r="S2807"/>
  <c r="O2808"/>
  <c r="P2808"/>
  <c r="R2808"/>
  <c r="S2808"/>
  <c r="O2809"/>
  <c r="P2809"/>
  <c r="R2809"/>
  <c r="S2809"/>
  <c r="O2810"/>
  <c r="P2810"/>
  <c r="R2810"/>
  <c r="S2810"/>
  <c r="O2811"/>
  <c r="P2811"/>
  <c r="R2811"/>
  <c r="S2811"/>
  <c r="O2812"/>
  <c r="P2812"/>
  <c r="R2812"/>
  <c r="S2812"/>
  <c r="O2813"/>
  <c r="P2813"/>
  <c r="R2813"/>
  <c r="S2813"/>
  <c r="O2814"/>
  <c r="P2814"/>
  <c r="R2814"/>
  <c r="S2814"/>
  <c r="O2817"/>
  <c r="P2817"/>
  <c r="R2817"/>
  <c r="S2817"/>
  <c r="O2818"/>
  <c r="P2818"/>
  <c r="R2818"/>
  <c r="S2818"/>
  <c r="O2819"/>
  <c r="P2819"/>
  <c r="R2819"/>
  <c r="S2819"/>
  <c r="O2820"/>
  <c r="P2820"/>
  <c r="R2820"/>
  <c r="S2820"/>
  <c r="R2821"/>
  <c r="S2821"/>
  <c r="O2822"/>
  <c r="P2822"/>
  <c r="O2823"/>
  <c r="P2823"/>
  <c r="R2823"/>
  <c r="S2823"/>
  <c r="O2824"/>
  <c r="P2824"/>
  <c r="R2824"/>
  <c r="S2824"/>
  <c r="O2826"/>
  <c r="P2826"/>
  <c r="R2826"/>
  <c r="S2826"/>
  <c r="O2829"/>
  <c r="P2829"/>
  <c r="R2829"/>
  <c r="S2829"/>
  <c r="O2830"/>
  <c r="P2830"/>
  <c r="R2830"/>
  <c r="S2830"/>
  <c r="O2831"/>
  <c r="P2831"/>
  <c r="R2831"/>
  <c r="S2831"/>
  <c r="O2832"/>
  <c r="P2832"/>
  <c r="R2832"/>
  <c r="S2832"/>
  <c r="O2833"/>
  <c r="P2833"/>
  <c r="R2833"/>
  <c r="S2833"/>
  <c r="O2834"/>
  <c r="P2834"/>
  <c r="R2834"/>
  <c r="S2834"/>
  <c r="O2836"/>
  <c r="P2836"/>
  <c r="R2836"/>
  <c r="S2836"/>
  <c r="O2837"/>
  <c r="P2837"/>
  <c r="R2837"/>
  <c r="S2837"/>
  <c r="O2838"/>
  <c r="P2838"/>
  <c r="R2838"/>
  <c r="S2838"/>
  <c r="O2839"/>
  <c r="P2839"/>
  <c r="R2839"/>
  <c r="S2839"/>
  <c r="O2840"/>
  <c r="P2840"/>
  <c r="R2840"/>
  <c r="S2840"/>
  <c r="O2841"/>
  <c r="P2841"/>
  <c r="R2841"/>
  <c r="S2841"/>
  <c r="O2842"/>
  <c r="P2842"/>
  <c r="R2842"/>
  <c r="S2842"/>
  <c r="O2843"/>
  <c r="P2843"/>
  <c r="R2843"/>
  <c r="S2843"/>
  <c r="O2844"/>
  <c r="P2844"/>
  <c r="R2844"/>
  <c r="S2844"/>
  <c r="O2845"/>
  <c r="P2845"/>
  <c r="R2845"/>
  <c r="S2845"/>
  <c r="O2846"/>
  <c r="P2846"/>
  <c r="R2846"/>
  <c r="S2846"/>
  <c r="O2848"/>
  <c r="P2848"/>
  <c r="R2848"/>
  <c r="S2848"/>
  <c r="O2850"/>
  <c r="P2850"/>
  <c r="R2850"/>
  <c r="S2850"/>
  <c r="O2851"/>
  <c r="P2851"/>
  <c r="R2851"/>
  <c r="S2851"/>
  <c r="O2852"/>
  <c r="P2852"/>
  <c r="R2852"/>
  <c r="S2852"/>
  <c r="O2853"/>
  <c r="P2853"/>
  <c r="R2853"/>
  <c r="S2853"/>
  <c r="P2799"/>
  <c r="O2799"/>
  <c r="AF2824"/>
  <c r="AF2822"/>
  <c r="AF2821"/>
  <c r="AF2820"/>
  <c r="AF2819"/>
  <c r="AF2818"/>
  <c r="AF2817"/>
  <c r="AF2816"/>
  <c r="AF2815"/>
  <c r="AF2814"/>
  <c r="AF2813"/>
  <c r="AF2808"/>
  <c r="AF2807"/>
  <c r="AF2806"/>
  <c r="AF2805"/>
  <c r="AF2804"/>
  <c r="AF2803"/>
  <c r="AF2802"/>
  <c r="J2800"/>
  <c r="Q2800" s="1"/>
  <c r="J2801"/>
  <c r="Q2801" s="1"/>
  <c r="J2802"/>
  <c r="Q2802" s="1"/>
  <c r="J2803"/>
  <c r="Q2803" s="1"/>
  <c r="J2804"/>
  <c r="Q2804" s="1"/>
  <c r="J2805"/>
  <c r="Q2805" s="1"/>
  <c r="J2806"/>
  <c r="Q2806" s="1"/>
  <c r="J2807"/>
  <c r="Q2807" s="1"/>
  <c r="J2808"/>
  <c r="Q2808" s="1"/>
  <c r="J2809"/>
  <c r="Q2809" s="1"/>
  <c r="J2810"/>
  <c r="Q2810" s="1"/>
  <c r="J2811"/>
  <c r="Q2811" s="1"/>
  <c r="J2812"/>
  <c r="Q2812" s="1"/>
  <c r="J2813"/>
  <c r="Q2813" s="1"/>
  <c r="J2814"/>
  <c r="Q2814" s="1"/>
  <c r="J2817"/>
  <c r="Q2817" s="1"/>
  <c r="J2818"/>
  <c r="Q2818" s="1"/>
  <c r="J2819"/>
  <c r="Q2819" s="1"/>
  <c r="J2820"/>
  <c r="Q2820" s="1"/>
  <c r="J2822"/>
  <c r="Q2822" s="1"/>
  <c r="J2823"/>
  <c r="Q2823" s="1"/>
  <c r="J2824"/>
  <c r="Q2824" s="1"/>
  <c r="J2826"/>
  <c r="Q2826" s="1"/>
  <c r="J2829"/>
  <c r="Q2829" s="1"/>
  <c r="J2830"/>
  <c r="Q2830" s="1"/>
  <c r="J2831"/>
  <c r="Q2831" s="1"/>
  <c r="J2832"/>
  <c r="Q2832" s="1"/>
  <c r="J2833"/>
  <c r="Q2833" s="1"/>
  <c r="J2834"/>
  <c r="Q2834" s="1"/>
  <c r="J2836"/>
  <c r="Q2836" s="1"/>
  <c r="J2837"/>
  <c r="Q2837" s="1"/>
  <c r="J2838"/>
  <c r="Q2838" s="1"/>
  <c r="J2839"/>
  <c r="Q2839" s="1"/>
  <c r="J2840"/>
  <c r="Q2840" s="1"/>
  <c r="J2841"/>
  <c r="Q2841" s="1"/>
  <c r="J2842"/>
  <c r="Q2842" s="1"/>
  <c r="J2843"/>
  <c r="Q2843" s="1"/>
  <c r="J2844"/>
  <c r="Q2844" s="1"/>
  <c r="J2845"/>
  <c r="Q2845" s="1"/>
  <c r="J2846"/>
  <c r="Q2846" s="1"/>
  <c r="J2848"/>
  <c r="Q2848" s="1"/>
  <c r="J2850"/>
  <c r="Q2850" s="1"/>
  <c r="J2851"/>
  <c r="Q2851" s="1"/>
  <c r="J2852"/>
  <c r="Q2852" s="1"/>
  <c r="J2853"/>
  <c r="Q2853" s="1"/>
  <c r="J2799"/>
  <c r="Q2799" s="1"/>
  <c r="M2801"/>
  <c r="T2801" s="1"/>
  <c r="M2802"/>
  <c r="T2802" s="1"/>
  <c r="M2803"/>
  <c r="T2803" s="1"/>
  <c r="M2804"/>
  <c r="T2804" s="1"/>
  <c r="M2805"/>
  <c r="T2805" s="1"/>
  <c r="M2806"/>
  <c r="T2806" s="1"/>
  <c r="M2807"/>
  <c r="T2807" s="1"/>
  <c r="M2808"/>
  <c r="T2808" s="1"/>
  <c r="M2809"/>
  <c r="T2809" s="1"/>
  <c r="M2810"/>
  <c r="T2810" s="1"/>
  <c r="M2811"/>
  <c r="T2811" s="1"/>
  <c r="M2812"/>
  <c r="T2812" s="1"/>
  <c r="M2813"/>
  <c r="T2813" s="1"/>
  <c r="M2814"/>
  <c r="T2814" s="1"/>
  <c r="M2817"/>
  <c r="T2817" s="1"/>
  <c r="M2818"/>
  <c r="T2818" s="1"/>
  <c r="M2819"/>
  <c r="T2819" s="1"/>
  <c r="M2820"/>
  <c r="T2820" s="1"/>
  <c r="M2821"/>
  <c r="T2821" s="1"/>
  <c r="M2823"/>
  <c r="T2823" s="1"/>
  <c r="M2824"/>
  <c r="T2824" s="1"/>
  <c r="M2826"/>
  <c r="T2826" s="1"/>
  <c r="M2829"/>
  <c r="T2829" s="1"/>
  <c r="M2830"/>
  <c r="T2830" s="1"/>
  <c r="M2831"/>
  <c r="T2831" s="1"/>
  <c r="M2832"/>
  <c r="T2832" s="1"/>
  <c r="M2833"/>
  <c r="T2833" s="1"/>
  <c r="M2834"/>
  <c r="T2834" s="1"/>
  <c r="M2836"/>
  <c r="T2836" s="1"/>
  <c r="M2837"/>
  <c r="T2837" s="1"/>
  <c r="M2838"/>
  <c r="T2838" s="1"/>
  <c r="M2839"/>
  <c r="T2839" s="1"/>
  <c r="M2840"/>
  <c r="T2840" s="1"/>
  <c r="M2841"/>
  <c r="T2841" s="1"/>
  <c r="M2842"/>
  <c r="T2842" s="1"/>
  <c r="M2843"/>
  <c r="T2843" s="1"/>
  <c r="M2844"/>
  <c r="T2844" s="1"/>
  <c r="M2845"/>
  <c r="T2845" s="1"/>
  <c r="M2846"/>
  <c r="T2846" s="1"/>
  <c r="M2848"/>
  <c r="T2848" s="1"/>
  <c r="M2850"/>
  <c r="T2850" s="1"/>
  <c r="M2851"/>
  <c r="T2851" s="1"/>
  <c r="M2852"/>
  <c r="T2852" s="1"/>
  <c r="M2853"/>
  <c r="T2853" s="1"/>
  <c r="M2800"/>
  <c r="T2800" s="1"/>
  <c r="G2800"/>
  <c r="G2801"/>
  <c r="G2802"/>
  <c r="G2803"/>
  <c r="G2804"/>
  <c r="G2805"/>
  <c r="G2806"/>
  <c r="G2807"/>
  <c r="G2808"/>
  <c r="G2809"/>
  <c r="G2810"/>
  <c r="G2811"/>
  <c r="G2812"/>
  <c r="G2813"/>
  <c r="G2814"/>
  <c r="G2815"/>
  <c r="G2816"/>
  <c r="G2817"/>
  <c r="G2818"/>
  <c r="G2819"/>
  <c r="G2820"/>
  <c r="G2821"/>
  <c r="G2822"/>
  <c r="G2823"/>
  <c r="G2824"/>
  <c r="G2825"/>
  <c r="G2826"/>
  <c r="G2827"/>
  <c r="G2828"/>
  <c r="G2829"/>
  <c r="G2830"/>
  <c r="G2831"/>
  <c r="G2832"/>
  <c r="G2833"/>
  <c r="G2834"/>
  <c r="G2835"/>
  <c r="G2836"/>
  <c r="G2837"/>
  <c r="G2838"/>
  <c r="G2839"/>
  <c r="G2840"/>
  <c r="G2841"/>
  <c r="G2842"/>
  <c r="G2843"/>
  <c r="G2844"/>
  <c r="G2845"/>
  <c r="G2846"/>
  <c r="G2847"/>
  <c r="G2848"/>
  <c r="G2849"/>
  <c r="G2850"/>
  <c r="G2851"/>
  <c r="G2852"/>
  <c r="G2853"/>
  <c r="G2799"/>
  <c r="M2756" l="1"/>
  <c r="T2756" s="1"/>
  <c r="M2757"/>
  <c r="M2758"/>
  <c r="T2758" s="1"/>
  <c r="M2759"/>
  <c r="T2759" s="1"/>
  <c r="M2760"/>
  <c r="T2760" s="1"/>
  <c r="M2761"/>
  <c r="T2761" s="1"/>
  <c r="M2762"/>
  <c r="T2762" s="1"/>
  <c r="M2763"/>
  <c r="M2764"/>
  <c r="T2764" s="1"/>
  <c r="M2765"/>
  <c r="M2766"/>
  <c r="T2766" s="1"/>
  <c r="M2767"/>
  <c r="T2767" s="1"/>
  <c r="M2768"/>
  <c r="T2768" s="1"/>
  <c r="M2755"/>
  <c r="T2755" s="1"/>
  <c r="J2756"/>
  <c r="Q2756" s="1"/>
  <c r="J2757"/>
  <c r="Q2757" s="1"/>
  <c r="J2758"/>
  <c r="Q2758" s="1"/>
  <c r="J2759"/>
  <c r="Q2759" s="1"/>
  <c r="J2760"/>
  <c r="Q2760" s="1"/>
  <c r="J2761"/>
  <c r="Q2761" s="1"/>
  <c r="J2762"/>
  <c r="Q2762" s="1"/>
  <c r="J2763"/>
  <c r="Q2763" s="1"/>
  <c r="J2764"/>
  <c r="Q2764" s="1"/>
  <c r="J2765"/>
  <c r="Q2765" s="1"/>
  <c r="J2766"/>
  <c r="Q2766" s="1"/>
  <c r="J2767"/>
  <c r="Q2767" s="1"/>
  <c r="J2768"/>
  <c r="Q2768" s="1"/>
  <c r="J2755"/>
  <c r="Q2755" s="1"/>
  <c r="M2550"/>
  <c r="T2550" s="1"/>
  <c r="M2551"/>
  <c r="T2551" s="1"/>
  <c r="M2552"/>
  <c r="T2552" s="1"/>
  <c r="M2553"/>
  <c r="T2553" s="1"/>
  <c r="M2554"/>
  <c r="T2554" s="1"/>
  <c r="M2555"/>
  <c r="T2555" s="1"/>
  <c r="M2556"/>
  <c r="T2556" s="1"/>
  <c r="M2557"/>
  <c r="T2557" s="1"/>
  <c r="M2549"/>
  <c r="T2549" s="1"/>
  <c r="J2550"/>
  <c r="Q2550" s="1"/>
  <c r="J2551"/>
  <c r="Q2551" s="1"/>
  <c r="J2552"/>
  <c r="Q2552" s="1"/>
  <c r="J2553"/>
  <c r="Q2553" s="1"/>
  <c r="J2554"/>
  <c r="Q2554" s="1"/>
  <c r="J2555"/>
  <c r="Q2555" s="1"/>
  <c r="J2556"/>
  <c r="Q2556" s="1"/>
  <c r="J2557"/>
  <c r="Q2557" s="1"/>
  <c r="J2549"/>
  <c r="Q2549" s="1"/>
  <c r="C192" i="10" l="1"/>
  <c r="D192"/>
  <c r="E192"/>
  <c r="F192"/>
  <c r="H192"/>
  <c r="I192"/>
  <c r="J192"/>
  <c r="K192"/>
  <c r="L192"/>
  <c r="M192"/>
  <c r="N192"/>
  <c r="P192"/>
  <c r="Q192"/>
  <c r="S192"/>
  <c r="T192"/>
  <c r="U192"/>
  <c r="V192"/>
  <c r="C193"/>
  <c r="D193"/>
  <c r="E193"/>
  <c r="F193"/>
  <c r="H193"/>
  <c r="I193"/>
  <c r="J193"/>
  <c r="K193"/>
  <c r="L193"/>
  <c r="M193"/>
  <c r="N193"/>
  <c r="P193"/>
  <c r="Q193"/>
  <c r="S193"/>
  <c r="T193"/>
  <c r="U193"/>
  <c r="V193"/>
  <c r="C194"/>
  <c r="D194"/>
  <c r="E194"/>
  <c r="F194"/>
  <c r="H194"/>
  <c r="I194"/>
  <c r="J194"/>
  <c r="K194"/>
  <c r="L194"/>
  <c r="M194"/>
  <c r="N194"/>
  <c r="P194"/>
  <c r="Q194"/>
  <c r="S194"/>
  <c r="T194"/>
  <c r="U194"/>
  <c r="V194"/>
  <c r="E191"/>
  <c r="F191"/>
  <c r="H191"/>
  <c r="I191"/>
  <c r="J191"/>
  <c r="K191"/>
  <c r="L191"/>
  <c r="M191"/>
  <c r="N191"/>
  <c r="P191"/>
  <c r="Q191"/>
  <c r="S191"/>
  <c r="T191"/>
  <c r="U191"/>
  <c r="V191"/>
  <c r="D191"/>
  <c r="C190"/>
  <c r="D190"/>
  <c r="E190"/>
  <c r="F190"/>
  <c r="H190"/>
  <c r="I190"/>
  <c r="J190"/>
  <c r="K190"/>
  <c r="L190"/>
  <c r="M190"/>
  <c r="N190"/>
  <c r="P190"/>
  <c r="Q190"/>
  <c r="S190"/>
  <c r="T190"/>
  <c r="U190"/>
  <c r="V190"/>
  <c r="C191"/>
  <c r="E189"/>
  <c r="F189"/>
  <c r="H189"/>
  <c r="I189"/>
  <c r="J189"/>
  <c r="K189"/>
  <c r="L189"/>
  <c r="M189"/>
  <c r="N189"/>
  <c r="P189"/>
  <c r="Q189"/>
  <c r="S189"/>
  <c r="T189"/>
  <c r="U189"/>
  <c r="V189"/>
  <c r="D189"/>
  <c r="E188"/>
  <c r="F188"/>
  <c r="H188"/>
  <c r="I188"/>
  <c r="J188"/>
  <c r="K188"/>
  <c r="L188"/>
  <c r="M188"/>
  <c r="N188"/>
  <c r="P188"/>
  <c r="Q188"/>
  <c r="S188"/>
  <c r="T188"/>
  <c r="U188"/>
  <c r="V188"/>
  <c r="D188"/>
  <c r="E187"/>
  <c r="F187"/>
  <c r="H187"/>
  <c r="I187"/>
  <c r="J187"/>
  <c r="K187"/>
  <c r="L187"/>
  <c r="M187"/>
  <c r="N187"/>
  <c r="P187"/>
  <c r="Q187"/>
  <c r="S187"/>
  <c r="T187"/>
  <c r="U187"/>
  <c r="V187"/>
  <c r="D187"/>
  <c r="C187"/>
  <c r="C188"/>
  <c r="C189"/>
  <c r="E186"/>
  <c r="F186"/>
  <c r="H186"/>
  <c r="I186"/>
  <c r="J186"/>
  <c r="K186"/>
  <c r="L186"/>
  <c r="M186"/>
  <c r="N186"/>
  <c r="P186"/>
  <c r="Q186"/>
  <c r="S186"/>
  <c r="T186"/>
  <c r="U186"/>
  <c r="V186"/>
  <c r="D186"/>
  <c r="E126"/>
  <c r="F126"/>
  <c r="H126"/>
  <c r="I126"/>
  <c r="J126"/>
  <c r="K126"/>
  <c r="L126"/>
  <c r="M126"/>
  <c r="N126"/>
  <c r="P126"/>
  <c r="Q126"/>
  <c r="S126"/>
  <c r="T126"/>
  <c r="U126"/>
  <c r="V126"/>
  <c r="D126"/>
  <c r="E58"/>
  <c r="F58"/>
  <c r="H58"/>
  <c r="I58"/>
  <c r="J58"/>
  <c r="K58"/>
  <c r="L58"/>
  <c r="M58"/>
  <c r="N58"/>
  <c r="P58"/>
  <c r="Q58"/>
  <c r="S58"/>
  <c r="T58"/>
  <c r="U58"/>
  <c r="V58"/>
  <c r="D58"/>
  <c r="E57"/>
  <c r="F57"/>
  <c r="H57"/>
  <c r="I57"/>
  <c r="J57"/>
  <c r="K57"/>
  <c r="L57"/>
  <c r="M57"/>
  <c r="N57"/>
  <c r="P57"/>
  <c r="Q57"/>
  <c r="S57"/>
  <c r="T57"/>
  <c r="U57"/>
  <c r="V57"/>
  <c r="D56"/>
  <c r="C29"/>
  <c r="D29"/>
  <c r="E29"/>
  <c r="F29"/>
  <c r="H29"/>
  <c r="I29"/>
  <c r="J29"/>
  <c r="K29"/>
  <c r="L29"/>
  <c r="M29"/>
  <c r="N29"/>
  <c r="P29"/>
  <c r="Q29"/>
  <c r="S29"/>
  <c r="T29"/>
  <c r="U29"/>
  <c r="V29"/>
  <c r="C30"/>
  <c r="D30"/>
  <c r="E30"/>
  <c r="F30"/>
  <c r="H30"/>
  <c r="I30"/>
  <c r="J30"/>
  <c r="K30"/>
  <c r="L30"/>
  <c r="M30"/>
  <c r="N30"/>
  <c r="P30"/>
  <c r="Q30"/>
  <c r="S30"/>
  <c r="T30"/>
  <c r="U30"/>
  <c r="V30"/>
  <c r="C31"/>
  <c r="D31"/>
  <c r="E31"/>
  <c r="F31"/>
  <c r="H31"/>
  <c r="I31"/>
  <c r="J31"/>
  <c r="K31"/>
  <c r="L31"/>
  <c r="M31"/>
  <c r="N31"/>
  <c r="P31"/>
  <c r="Q31"/>
  <c r="S31"/>
  <c r="T31"/>
  <c r="U31"/>
  <c r="V31"/>
  <c r="C32"/>
  <c r="D32"/>
  <c r="E32"/>
  <c r="F32"/>
  <c r="H32"/>
  <c r="I32"/>
  <c r="J32"/>
  <c r="K32"/>
  <c r="L32"/>
  <c r="M32"/>
  <c r="N32"/>
  <c r="P32"/>
  <c r="Q32"/>
  <c r="S32"/>
  <c r="T32"/>
  <c r="U32"/>
  <c r="V32"/>
  <c r="C33"/>
  <c r="D33"/>
  <c r="E33"/>
  <c r="F33"/>
  <c r="H33"/>
  <c r="I33"/>
  <c r="J33"/>
  <c r="K33"/>
  <c r="L33"/>
  <c r="M33"/>
  <c r="N33"/>
  <c r="P33"/>
  <c r="Q33"/>
  <c r="S33"/>
  <c r="T33"/>
  <c r="U33"/>
  <c r="V33"/>
  <c r="C34"/>
  <c r="D34"/>
  <c r="E34"/>
  <c r="F34"/>
  <c r="H34"/>
  <c r="I34"/>
  <c r="J34"/>
  <c r="K34"/>
  <c r="L34"/>
  <c r="M34"/>
  <c r="N34"/>
  <c r="P34"/>
  <c r="Q34"/>
  <c r="S34"/>
  <c r="T34"/>
  <c r="U34"/>
  <c r="V34"/>
  <c r="C35"/>
  <c r="D35"/>
  <c r="E35"/>
  <c r="F35"/>
  <c r="H35"/>
  <c r="I35"/>
  <c r="J35"/>
  <c r="K35"/>
  <c r="L35"/>
  <c r="M35"/>
  <c r="N35"/>
  <c r="P35"/>
  <c r="Q35"/>
  <c r="S35"/>
  <c r="T35"/>
  <c r="U35"/>
  <c r="V35"/>
  <c r="C36"/>
  <c r="D36"/>
  <c r="E36"/>
  <c r="F36"/>
  <c r="H36"/>
  <c r="I36"/>
  <c r="J36"/>
  <c r="K36"/>
  <c r="L36"/>
  <c r="M36"/>
  <c r="N36"/>
  <c r="P36"/>
  <c r="Q36"/>
  <c r="S36"/>
  <c r="T36"/>
  <c r="U36"/>
  <c r="V36"/>
  <c r="C37"/>
  <c r="D37"/>
  <c r="E37"/>
  <c r="F37"/>
  <c r="H37"/>
  <c r="I37"/>
  <c r="J37"/>
  <c r="K37"/>
  <c r="L37"/>
  <c r="M37"/>
  <c r="N37"/>
  <c r="P37"/>
  <c r="Q37"/>
  <c r="S37"/>
  <c r="T37"/>
  <c r="U37"/>
  <c r="V37"/>
  <c r="C38"/>
  <c r="D38"/>
  <c r="E38"/>
  <c r="F38"/>
  <c r="H38"/>
  <c r="I38"/>
  <c r="J38"/>
  <c r="K38"/>
  <c r="L38"/>
  <c r="M38"/>
  <c r="N38"/>
  <c r="P38"/>
  <c r="Q38"/>
  <c r="S38"/>
  <c r="T38"/>
  <c r="U38"/>
  <c r="V38"/>
  <c r="C39"/>
  <c r="D39"/>
  <c r="E39"/>
  <c r="F39"/>
  <c r="H39"/>
  <c r="I39"/>
  <c r="J39"/>
  <c r="K39"/>
  <c r="L39"/>
  <c r="M39"/>
  <c r="N39"/>
  <c r="P39"/>
  <c r="Q39"/>
  <c r="S39"/>
  <c r="T39"/>
  <c r="U39"/>
  <c r="V39"/>
  <c r="C40"/>
  <c r="D40"/>
  <c r="E40"/>
  <c r="F40"/>
  <c r="H40"/>
  <c r="I40"/>
  <c r="J40"/>
  <c r="K40"/>
  <c r="L40"/>
  <c r="M40"/>
  <c r="N40"/>
  <c r="P40"/>
  <c r="Q40"/>
  <c r="S40"/>
  <c r="T40"/>
  <c r="U40"/>
  <c r="V40"/>
  <c r="C41"/>
  <c r="D41"/>
  <c r="E41"/>
  <c r="F41"/>
  <c r="H41"/>
  <c r="I41"/>
  <c r="J41"/>
  <c r="K41"/>
  <c r="L41"/>
  <c r="M41"/>
  <c r="N41"/>
  <c r="P41"/>
  <c r="Q41"/>
  <c r="S41"/>
  <c r="T41"/>
  <c r="U41"/>
  <c r="V41"/>
  <c r="C42"/>
  <c r="D42"/>
  <c r="E42"/>
  <c r="F42"/>
  <c r="H42"/>
  <c r="I42"/>
  <c r="J42"/>
  <c r="K42"/>
  <c r="L42"/>
  <c r="M42"/>
  <c r="N42"/>
  <c r="P42"/>
  <c r="Q42"/>
  <c r="S42"/>
  <c r="T42"/>
  <c r="U42"/>
  <c r="V42"/>
  <c r="C43"/>
  <c r="D43"/>
  <c r="E43"/>
  <c r="F43"/>
  <c r="H43"/>
  <c r="I43"/>
  <c r="J43"/>
  <c r="K43"/>
  <c r="L43"/>
  <c r="M43"/>
  <c r="N43"/>
  <c r="P43"/>
  <c r="Q43"/>
  <c r="S43"/>
  <c r="T43"/>
  <c r="U43"/>
  <c r="V43"/>
  <c r="C44"/>
  <c r="D44"/>
  <c r="E44"/>
  <c r="F44"/>
  <c r="H44"/>
  <c r="I44"/>
  <c r="J44"/>
  <c r="K44"/>
  <c r="L44"/>
  <c r="M44"/>
  <c r="N44"/>
  <c r="P44"/>
  <c r="Q44"/>
  <c r="S44"/>
  <c r="T44"/>
  <c r="U44"/>
  <c r="V44"/>
  <c r="C45"/>
  <c r="D45"/>
  <c r="E45"/>
  <c r="F45"/>
  <c r="H45"/>
  <c r="I45"/>
  <c r="J45"/>
  <c r="K45"/>
  <c r="L45"/>
  <c r="M45"/>
  <c r="N45"/>
  <c r="P45"/>
  <c r="Q45"/>
  <c r="S45"/>
  <c r="T45"/>
  <c r="U45"/>
  <c r="V45"/>
  <c r="C46"/>
  <c r="D46"/>
  <c r="E46"/>
  <c r="F46"/>
  <c r="H46"/>
  <c r="I46"/>
  <c r="J46"/>
  <c r="K46"/>
  <c r="L46"/>
  <c r="M46"/>
  <c r="N46"/>
  <c r="P46"/>
  <c r="Q46"/>
  <c r="S46"/>
  <c r="T46"/>
  <c r="U46"/>
  <c r="V46"/>
  <c r="C47"/>
  <c r="D47"/>
  <c r="E47"/>
  <c r="F47"/>
  <c r="H47"/>
  <c r="I47"/>
  <c r="J47"/>
  <c r="K47"/>
  <c r="L47"/>
  <c r="M47"/>
  <c r="N47"/>
  <c r="P47"/>
  <c r="Q47"/>
  <c r="S47"/>
  <c r="T47"/>
  <c r="U47"/>
  <c r="V47"/>
  <c r="C48"/>
  <c r="D48"/>
  <c r="E48"/>
  <c r="F48"/>
  <c r="H48"/>
  <c r="I48"/>
  <c r="J48"/>
  <c r="K48"/>
  <c r="L48"/>
  <c r="M48"/>
  <c r="N48"/>
  <c r="P48"/>
  <c r="Q48"/>
  <c r="S48"/>
  <c r="T48"/>
  <c r="U48"/>
  <c r="V48"/>
  <c r="C49"/>
  <c r="D49"/>
  <c r="E49"/>
  <c r="F49"/>
  <c r="H49"/>
  <c r="I49"/>
  <c r="J49"/>
  <c r="K49"/>
  <c r="L49"/>
  <c r="M49"/>
  <c r="N49"/>
  <c r="P49"/>
  <c r="Q49"/>
  <c r="S49"/>
  <c r="T49"/>
  <c r="U49"/>
  <c r="V49"/>
  <c r="C50"/>
  <c r="D50"/>
  <c r="E50"/>
  <c r="F50"/>
  <c r="H50"/>
  <c r="I50"/>
  <c r="J50"/>
  <c r="K50"/>
  <c r="L50"/>
  <c r="M50"/>
  <c r="N50"/>
  <c r="P50"/>
  <c r="Q50"/>
  <c r="S50"/>
  <c r="T50"/>
  <c r="U50"/>
  <c r="V50"/>
  <c r="C51"/>
  <c r="D51"/>
  <c r="E51"/>
  <c r="F51"/>
  <c r="H51"/>
  <c r="I51"/>
  <c r="J51"/>
  <c r="K51"/>
  <c r="L51"/>
  <c r="M51"/>
  <c r="N51"/>
  <c r="P51"/>
  <c r="Q51"/>
  <c r="S51"/>
  <c r="T51"/>
  <c r="U51"/>
  <c r="V51"/>
  <c r="C52"/>
  <c r="D52"/>
  <c r="E52"/>
  <c r="F52"/>
  <c r="H52"/>
  <c r="I52"/>
  <c r="J52"/>
  <c r="K52"/>
  <c r="L52"/>
  <c r="M52"/>
  <c r="N52"/>
  <c r="P52"/>
  <c r="Q52"/>
  <c r="S52"/>
  <c r="T52"/>
  <c r="U52"/>
  <c r="V52"/>
  <c r="C53"/>
  <c r="D53"/>
  <c r="E53"/>
  <c r="F53"/>
  <c r="H53"/>
  <c r="I53"/>
  <c r="J53"/>
  <c r="K53"/>
  <c r="L53"/>
  <c r="M53"/>
  <c r="N53"/>
  <c r="P53"/>
  <c r="Q53"/>
  <c r="S53"/>
  <c r="T53"/>
  <c r="U53"/>
  <c r="V53"/>
  <c r="C54"/>
  <c r="D54"/>
  <c r="E54"/>
  <c r="F54"/>
  <c r="H54"/>
  <c r="I54"/>
  <c r="J54"/>
  <c r="K54"/>
  <c r="L54"/>
  <c r="M54"/>
  <c r="N54"/>
  <c r="P54"/>
  <c r="Q54"/>
  <c r="S54"/>
  <c r="T54"/>
  <c r="U54"/>
  <c r="V54"/>
  <c r="C55"/>
  <c r="D55"/>
  <c r="E55"/>
  <c r="F55"/>
  <c r="H55"/>
  <c r="I55"/>
  <c r="J55"/>
  <c r="K55"/>
  <c r="L55"/>
  <c r="M55"/>
  <c r="N55"/>
  <c r="P55"/>
  <c r="Q55"/>
  <c r="S55"/>
  <c r="T55"/>
  <c r="U55"/>
  <c r="V55"/>
  <c r="C56"/>
  <c r="E56"/>
  <c r="F56"/>
  <c r="H56"/>
  <c r="I56"/>
  <c r="J56"/>
  <c r="K56"/>
  <c r="L56"/>
  <c r="M56"/>
  <c r="N56"/>
  <c r="P56"/>
  <c r="Q56"/>
  <c r="S56"/>
  <c r="T56"/>
  <c r="U56"/>
  <c r="V56"/>
  <c r="C57"/>
  <c r="D57"/>
  <c r="C58"/>
  <c r="C59"/>
  <c r="D59"/>
  <c r="E59"/>
  <c r="F59"/>
  <c r="H59"/>
  <c r="I59"/>
  <c r="J59"/>
  <c r="K59"/>
  <c r="L59"/>
  <c r="M59"/>
  <c r="N59"/>
  <c r="P59"/>
  <c r="Q59"/>
  <c r="S59"/>
  <c r="T59"/>
  <c r="U59"/>
  <c r="V59"/>
  <c r="C60"/>
  <c r="D60"/>
  <c r="E60"/>
  <c r="F60"/>
  <c r="H60"/>
  <c r="I60"/>
  <c r="J60"/>
  <c r="K60"/>
  <c r="L60"/>
  <c r="M60"/>
  <c r="N60"/>
  <c r="P60"/>
  <c r="Q60"/>
  <c r="S60"/>
  <c r="T60"/>
  <c r="U60"/>
  <c r="V60"/>
  <c r="C61"/>
  <c r="D61"/>
  <c r="E61"/>
  <c r="F61"/>
  <c r="H61"/>
  <c r="I61"/>
  <c r="J61"/>
  <c r="K61"/>
  <c r="L61"/>
  <c r="M61"/>
  <c r="N61"/>
  <c r="P61"/>
  <c r="Q61"/>
  <c r="S61"/>
  <c r="T61"/>
  <c r="U61"/>
  <c r="V61"/>
  <c r="C62"/>
  <c r="D62"/>
  <c r="E62"/>
  <c r="F62"/>
  <c r="H62"/>
  <c r="I62"/>
  <c r="J62"/>
  <c r="K62"/>
  <c r="L62"/>
  <c r="M62"/>
  <c r="N62"/>
  <c r="P62"/>
  <c r="Q62"/>
  <c r="S62"/>
  <c r="T62"/>
  <c r="U62"/>
  <c r="V62"/>
  <c r="C63"/>
  <c r="D63"/>
  <c r="E63"/>
  <c r="F63"/>
  <c r="H63"/>
  <c r="I63"/>
  <c r="J63"/>
  <c r="K63"/>
  <c r="L63"/>
  <c r="M63"/>
  <c r="N63"/>
  <c r="P63"/>
  <c r="Q63"/>
  <c r="S63"/>
  <c r="T63"/>
  <c r="U63"/>
  <c r="V63"/>
  <c r="C64"/>
  <c r="D64"/>
  <c r="E64"/>
  <c r="F64"/>
  <c r="H64"/>
  <c r="I64"/>
  <c r="J64"/>
  <c r="K64"/>
  <c r="L64"/>
  <c r="M64"/>
  <c r="N64"/>
  <c r="P64"/>
  <c r="Q64"/>
  <c r="S64"/>
  <c r="T64"/>
  <c r="U64"/>
  <c r="V64"/>
  <c r="C65"/>
  <c r="D65"/>
  <c r="E65"/>
  <c r="F65"/>
  <c r="H65"/>
  <c r="I65"/>
  <c r="J65"/>
  <c r="K65"/>
  <c r="L65"/>
  <c r="M65"/>
  <c r="N65"/>
  <c r="P65"/>
  <c r="Q65"/>
  <c r="S65"/>
  <c r="T65"/>
  <c r="U65"/>
  <c r="V65"/>
  <c r="C66"/>
  <c r="D66"/>
  <c r="E66"/>
  <c r="F66"/>
  <c r="H66"/>
  <c r="I66"/>
  <c r="J66"/>
  <c r="K66"/>
  <c r="L66"/>
  <c r="M66"/>
  <c r="N66"/>
  <c r="P66"/>
  <c r="Q66"/>
  <c r="S66"/>
  <c r="T66"/>
  <c r="U66"/>
  <c r="V66"/>
  <c r="C67"/>
  <c r="D67"/>
  <c r="E67"/>
  <c r="F67"/>
  <c r="H67"/>
  <c r="I67"/>
  <c r="J67"/>
  <c r="K67"/>
  <c r="L67"/>
  <c r="M67"/>
  <c r="N67"/>
  <c r="P67"/>
  <c r="Q67"/>
  <c r="S67"/>
  <c r="T67"/>
  <c r="U67"/>
  <c r="V67"/>
  <c r="C68"/>
  <c r="D68"/>
  <c r="E68"/>
  <c r="F68"/>
  <c r="H68"/>
  <c r="I68"/>
  <c r="J68"/>
  <c r="K68"/>
  <c r="L68"/>
  <c r="M68"/>
  <c r="N68"/>
  <c r="P68"/>
  <c r="Q68"/>
  <c r="S68"/>
  <c r="T68"/>
  <c r="U68"/>
  <c r="V68"/>
  <c r="C69"/>
  <c r="D69"/>
  <c r="E69"/>
  <c r="F69"/>
  <c r="H69"/>
  <c r="I69"/>
  <c r="J69"/>
  <c r="K69"/>
  <c r="L69"/>
  <c r="M69"/>
  <c r="N69"/>
  <c r="P69"/>
  <c r="Q69"/>
  <c r="S69"/>
  <c r="T69"/>
  <c r="U69"/>
  <c r="V69"/>
  <c r="C70"/>
  <c r="D70"/>
  <c r="E70"/>
  <c r="F70"/>
  <c r="H70"/>
  <c r="I70"/>
  <c r="J70"/>
  <c r="K70"/>
  <c r="L70"/>
  <c r="M70"/>
  <c r="N70"/>
  <c r="P70"/>
  <c r="Q70"/>
  <c r="S70"/>
  <c r="T70"/>
  <c r="U70"/>
  <c r="V70"/>
  <c r="C71"/>
  <c r="D71"/>
  <c r="E71"/>
  <c r="F71"/>
  <c r="H71"/>
  <c r="I71"/>
  <c r="J71"/>
  <c r="K71"/>
  <c r="L71"/>
  <c r="M71"/>
  <c r="N71"/>
  <c r="P71"/>
  <c r="Q71"/>
  <c r="S71"/>
  <c r="T71"/>
  <c r="U71"/>
  <c r="V71"/>
  <c r="C72"/>
  <c r="D72"/>
  <c r="E72"/>
  <c r="F72"/>
  <c r="H72"/>
  <c r="I72"/>
  <c r="J72"/>
  <c r="K72"/>
  <c r="L72"/>
  <c r="M72"/>
  <c r="N72"/>
  <c r="P72"/>
  <c r="Q72"/>
  <c r="S72"/>
  <c r="T72"/>
  <c r="U72"/>
  <c r="V72"/>
  <c r="C73"/>
  <c r="D73"/>
  <c r="E73"/>
  <c r="F73"/>
  <c r="H73"/>
  <c r="I73"/>
  <c r="J73"/>
  <c r="K73"/>
  <c r="L73"/>
  <c r="M73"/>
  <c r="N73"/>
  <c r="P73"/>
  <c r="Q73"/>
  <c r="S73"/>
  <c r="T73"/>
  <c r="U73"/>
  <c r="V73"/>
  <c r="C74"/>
  <c r="D74"/>
  <c r="E74"/>
  <c r="F74"/>
  <c r="H74"/>
  <c r="I74"/>
  <c r="J74"/>
  <c r="K74"/>
  <c r="L74"/>
  <c r="M74"/>
  <c r="N74"/>
  <c r="P74"/>
  <c r="Q74"/>
  <c r="S74"/>
  <c r="T74"/>
  <c r="U74"/>
  <c r="V74"/>
  <c r="C75"/>
  <c r="D75"/>
  <c r="E75"/>
  <c r="F75"/>
  <c r="H75"/>
  <c r="I75"/>
  <c r="J75"/>
  <c r="K75"/>
  <c r="L75"/>
  <c r="M75"/>
  <c r="N75"/>
  <c r="P75"/>
  <c r="Q75"/>
  <c r="S75"/>
  <c r="T75"/>
  <c r="U75"/>
  <c r="V75"/>
  <c r="C76"/>
  <c r="D76"/>
  <c r="E76"/>
  <c r="F76"/>
  <c r="H76"/>
  <c r="I76"/>
  <c r="J76"/>
  <c r="K76"/>
  <c r="L76"/>
  <c r="M76"/>
  <c r="N76"/>
  <c r="P76"/>
  <c r="Q76"/>
  <c r="S76"/>
  <c r="T76"/>
  <c r="U76"/>
  <c r="V76"/>
  <c r="C77"/>
  <c r="D77"/>
  <c r="E77"/>
  <c r="F77"/>
  <c r="H77"/>
  <c r="I77"/>
  <c r="J77"/>
  <c r="K77"/>
  <c r="L77"/>
  <c r="M77"/>
  <c r="N77"/>
  <c r="P77"/>
  <c r="Q77"/>
  <c r="S77"/>
  <c r="T77"/>
  <c r="U77"/>
  <c r="V77"/>
  <c r="C78"/>
  <c r="D78"/>
  <c r="E78"/>
  <c r="F78"/>
  <c r="H78"/>
  <c r="I78"/>
  <c r="J78"/>
  <c r="K78"/>
  <c r="L78"/>
  <c r="M78"/>
  <c r="N78"/>
  <c r="P78"/>
  <c r="Q78"/>
  <c r="S78"/>
  <c r="T78"/>
  <c r="U78"/>
  <c r="V78"/>
  <c r="C79"/>
  <c r="D79"/>
  <c r="E79"/>
  <c r="F79"/>
  <c r="H79"/>
  <c r="I79"/>
  <c r="J79"/>
  <c r="K79"/>
  <c r="L79"/>
  <c r="M79"/>
  <c r="N79"/>
  <c r="P79"/>
  <c r="Q79"/>
  <c r="S79"/>
  <c r="T79"/>
  <c r="U79"/>
  <c r="V79"/>
  <c r="C80"/>
  <c r="D80"/>
  <c r="E80"/>
  <c r="F80"/>
  <c r="H80"/>
  <c r="I80"/>
  <c r="J80"/>
  <c r="K80"/>
  <c r="L80"/>
  <c r="M80"/>
  <c r="N80"/>
  <c r="P80"/>
  <c r="Q80"/>
  <c r="S80"/>
  <c r="T80"/>
  <c r="U80"/>
  <c r="V80"/>
  <c r="C81"/>
  <c r="D81"/>
  <c r="E81"/>
  <c r="F81"/>
  <c r="H81"/>
  <c r="I81"/>
  <c r="J81"/>
  <c r="K81"/>
  <c r="L81"/>
  <c r="M81"/>
  <c r="N81"/>
  <c r="P81"/>
  <c r="Q81"/>
  <c r="S81"/>
  <c r="T81"/>
  <c r="U81"/>
  <c r="V81"/>
  <c r="C82"/>
  <c r="D82"/>
  <c r="E82"/>
  <c r="F82"/>
  <c r="H82"/>
  <c r="I82"/>
  <c r="J82"/>
  <c r="K82"/>
  <c r="L82"/>
  <c r="M82"/>
  <c r="N82"/>
  <c r="P82"/>
  <c r="Q82"/>
  <c r="S82"/>
  <c r="T82"/>
  <c r="U82"/>
  <c r="V82"/>
  <c r="C83"/>
  <c r="D83"/>
  <c r="E83"/>
  <c r="F83"/>
  <c r="H83"/>
  <c r="I83"/>
  <c r="J83"/>
  <c r="K83"/>
  <c r="L83"/>
  <c r="M83"/>
  <c r="N83"/>
  <c r="P83"/>
  <c r="Q83"/>
  <c r="S83"/>
  <c r="T83"/>
  <c r="U83"/>
  <c r="V83"/>
  <c r="C84"/>
  <c r="D84"/>
  <c r="E84"/>
  <c r="F84"/>
  <c r="H84"/>
  <c r="I84"/>
  <c r="J84"/>
  <c r="K84"/>
  <c r="L84"/>
  <c r="M84"/>
  <c r="N84"/>
  <c r="P84"/>
  <c r="Q84"/>
  <c r="S84"/>
  <c r="T84"/>
  <c r="U84"/>
  <c r="V84"/>
  <c r="C85"/>
  <c r="D85"/>
  <c r="E85"/>
  <c r="F85"/>
  <c r="H85"/>
  <c r="I85"/>
  <c r="J85"/>
  <c r="K85"/>
  <c r="L85"/>
  <c r="M85"/>
  <c r="N85"/>
  <c r="P85"/>
  <c r="Q85"/>
  <c r="S85"/>
  <c r="T85"/>
  <c r="U85"/>
  <c r="V85"/>
  <c r="C86"/>
  <c r="D86"/>
  <c r="E86"/>
  <c r="F86"/>
  <c r="H86"/>
  <c r="I86"/>
  <c r="J86"/>
  <c r="K86"/>
  <c r="L86"/>
  <c r="M86"/>
  <c r="N86"/>
  <c r="P86"/>
  <c r="Q86"/>
  <c r="S86"/>
  <c r="T86"/>
  <c r="U86"/>
  <c r="V86"/>
  <c r="C87"/>
  <c r="D87"/>
  <c r="E87"/>
  <c r="F87"/>
  <c r="H87"/>
  <c r="I87"/>
  <c r="J87"/>
  <c r="K87"/>
  <c r="L87"/>
  <c r="M87"/>
  <c r="N87"/>
  <c r="P87"/>
  <c r="Q87"/>
  <c r="S87"/>
  <c r="T87"/>
  <c r="U87"/>
  <c r="V87"/>
  <c r="C88"/>
  <c r="D88"/>
  <c r="E88"/>
  <c r="F88"/>
  <c r="H88"/>
  <c r="I88"/>
  <c r="J88"/>
  <c r="K88"/>
  <c r="L88"/>
  <c r="M88"/>
  <c r="N88"/>
  <c r="P88"/>
  <c r="Q88"/>
  <c r="S88"/>
  <c r="T88"/>
  <c r="U88"/>
  <c r="V88"/>
  <c r="C89"/>
  <c r="D89"/>
  <c r="E89"/>
  <c r="F89"/>
  <c r="H89"/>
  <c r="I89"/>
  <c r="J89"/>
  <c r="K89"/>
  <c r="L89"/>
  <c r="M89"/>
  <c r="N89"/>
  <c r="P89"/>
  <c r="Q89"/>
  <c r="S89"/>
  <c r="T89"/>
  <c r="U89"/>
  <c r="V89"/>
  <c r="C90"/>
  <c r="D90"/>
  <c r="E90"/>
  <c r="F90"/>
  <c r="H90"/>
  <c r="I90"/>
  <c r="J90"/>
  <c r="K90"/>
  <c r="L90"/>
  <c r="M90"/>
  <c r="N90"/>
  <c r="P90"/>
  <c r="Q90"/>
  <c r="S90"/>
  <c r="T90"/>
  <c r="U90"/>
  <c r="V90"/>
  <c r="C91"/>
  <c r="D91"/>
  <c r="E91"/>
  <c r="F91"/>
  <c r="H91"/>
  <c r="I91"/>
  <c r="J91"/>
  <c r="K91"/>
  <c r="L91"/>
  <c r="M91"/>
  <c r="N91"/>
  <c r="P91"/>
  <c r="Q91"/>
  <c r="S91"/>
  <c r="T91"/>
  <c r="U91"/>
  <c r="V91"/>
  <c r="C92"/>
  <c r="D92"/>
  <c r="E92"/>
  <c r="F92"/>
  <c r="H92"/>
  <c r="I92"/>
  <c r="J92"/>
  <c r="K92"/>
  <c r="L92"/>
  <c r="M92"/>
  <c r="N92"/>
  <c r="P92"/>
  <c r="Q92"/>
  <c r="S92"/>
  <c r="T92"/>
  <c r="U92"/>
  <c r="V92"/>
  <c r="C93"/>
  <c r="D93"/>
  <c r="E93"/>
  <c r="F93"/>
  <c r="H93"/>
  <c r="I93"/>
  <c r="J93"/>
  <c r="K93"/>
  <c r="L93"/>
  <c r="M93"/>
  <c r="N93"/>
  <c r="P93"/>
  <c r="Q93"/>
  <c r="S93"/>
  <c r="T93"/>
  <c r="U93"/>
  <c r="V93"/>
  <c r="C94"/>
  <c r="D94"/>
  <c r="E94"/>
  <c r="F94"/>
  <c r="H94"/>
  <c r="I94"/>
  <c r="J94"/>
  <c r="K94"/>
  <c r="L94"/>
  <c r="M94"/>
  <c r="N94"/>
  <c r="P94"/>
  <c r="Q94"/>
  <c r="S94"/>
  <c r="T94"/>
  <c r="U94"/>
  <c r="V94"/>
  <c r="C95"/>
  <c r="D95"/>
  <c r="E95"/>
  <c r="F95"/>
  <c r="H95"/>
  <c r="I95"/>
  <c r="J95"/>
  <c r="K95"/>
  <c r="L95"/>
  <c r="M95"/>
  <c r="N95"/>
  <c r="P95"/>
  <c r="Q95"/>
  <c r="S95"/>
  <c r="T95"/>
  <c r="U95"/>
  <c r="V95"/>
  <c r="C96"/>
  <c r="D96"/>
  <c r="E96"/>
  <c r="F96"/>
  <c r="H96"/>
  <c r="I96"/>
  <c r="J96"/>
  <c r="K96"/>
  <c r="L96"/>
  <c r="M96"/>
  <c r="N96"/>
  <c r="P96"/>
  <c r="Q96"/>
  <c r="S96"/>
  <c r="T96"/>
  <c r="U96"/>
  <c r="V96"/>
  <c r="C97"/>
  <c r="D97"/>
  <c r="E97"/>
  <c r="F97"/>
  <c r="H97"/>
  <c r="I97"/>
  <c r="J97"/>
  <c r="K97"/>
  <c r="L97"/>
  <c r="M97"/>
  <c r="N97"/>
  <c r="P97"/>
  <c r="Q97"/>
  <c r="S97"/>
  <c r="T97"/>
  <c r="U97"/>
  <c r="V97"/>
  <c r="C98"/>
  <c r="D98"/>
  <c r="E98"/>
  <c r="F98"/>
  <c r="H98"/>
  <c r="I98"/>
  <c r="J98"/>
  <c r="K98"/>
  <c r="L98"/>
  <c r="M98"/>
  <c r="N98"/>
  <c r="P98"/>
  <c r="Q98"/>
  <c r="S98"/>
  <c r="T98"/>
  <c r="U98"/>
  <c r="V98"/>
  <c r="C99"/>
  <c r="D99"/>
  <c r="E99"/>
  <c r="F99"/>
  <c r="H99"/>
  <c r="I99"/>
  <c r="J99"/>
  <c r="K99"/>
  <c r="L99"/>
  <c r="M99"/>
  <c r="N99"/>
  <c r="P99"/>
  <c r="Q99"/>
  <c r="S99"/>
  <c r="T99"/>
  <c r="U99"/>
  <c r="V99"/>
  <c r="C100"/>
  <c r="D100"/>
  <c r="E100"/>
  <c r="F100"/>
  <c r="H100"/>
  <c r="I100"/>
  <c r="J100"/>
  <c r="K100"/>
  <c r="L100"/>
  <c r="M100"/>
  <c r="N100"/>
  <c r="P100"/>
  <c r="Q100"/>
  <c r="S100"/>
  <c r="T100"/>
  <c r="U100"/>
  <c r="V100"/>
  <c r="C101"/>
  <c r="D101"/>
  <c r="E101"/>
  <c r="F101"/>
  <c r="H101"/>
  <c r="I101"/>
  <c r="J101"/>
  <c r="K101"/>
  <c r="L101"/>
  <c r="M101"/>
  <c r="N101"/>
  <c r="P101"/>
  <c r="Q101"/>
  <c r="S101"/>
  <c r="T101"/>
  <c r="U101"/>
  <c r="V101"/>
  <c r="C102"/>
  <c r="D102"/>
  <c r="E102"/>
  <c r="F102"/>
  <c r="H102"/>
  <c r="I102"/>
  <c r="J102"/>
  <c r="K102"/>
  <c r="L102"/>
  <c r="M102"/>
  <c r="N102"/>
  <c r="P102"/>
  <c r="Q102"/>
  <c r="S102"/>
  <c r="T102"/>
  <c r="U102"/>
  <c r="V102"/>
  <c r="C103"/>
  <c r="D103"/>
  <c r="E103"/>
  <c r="F103"/>
  <c r="H103"/>
  <c r="I103"/>
  <c r="J103"/>
  <c r="K103"/>
  <c r="L103"/>
  <c r="M103"/>
  <c r="N103"/>
  <c r="P103"/>
  <c r="Q103"/>
  <c r="S103"/>
  <c r="T103"/>
  <c r="U103"/>
  <c r="V103"/>
  <c r="C104"/>
  <c r="D104"/>
  <c r="E104"/>
  <c r="F104"/>
  <c r="H104"/>
  <c r="I104"/>
  <c r="J104"/>
  <c r="K104"/>
  <c r="L104"/>
  <c r="M104"/>
  <c r="N104"/>
  <c r="P104"/>
  <c r="Q104"/>
  <c r="S104"/>
  <c r="T104"/>
  <c r="U104"/>
  <c r="V104"/>
  <c r="C105"/>
  <c r="D105"/>
  <c r="E105"/>
  <c r="F105"/>
  <c r="H105"/>
  <c r="I105"/>
  <c r="J105"/>
  <c r="K105"/>
  <c r="L105"/>
  <c r="M105"/>
  <c r="N105"/>
  <c r="P105"/>
  <c r="Q105"/>
  <c r="S105"/>
  <c r="T105"/>
  <c r="U105"/>
  <c r="V105"/>
  <c r="C106"/>
  <c r="D106"/>
  <c r="E106"/>
  <c r="F106"/>
  <c r="H106"/>
  <c r="I106"/>
  <c r="J106"/>
  <c r="K106"/>
  <c r="L106"/>
  <c r="M106"/>
  <c r="N106"/>
  <c r="P106"/>
  <c r="Q106"/>
  <c r="S106"/>
  <c r="T106"/>
  <c r="U106"/>
  <c r="V106"/>
  <c r="C107"/>
  <c r="D107"/>
  <c r="E107"/>
  <c r="F107"/>
  <c r="H107"/>
  <c r="I107"/>
  <c r="J107"/>
  <c r="K107"/>
  <c r="L107"/>
  <c r="M107"/>
  <c r="N107"/>
  <c r="P107"/>
  <c r="Q107"/>
  <c r="S107"/>
  <c r="T107"/>
  <c r="U107"/>
  <c r="V107"/>
  <c r="C108"/>
  <c r="D108"/>
  <c r="E108"/>
  <c r="F108"/>
  <c r="H108"/>
  <c r="I108"/>
  <c r="J108"/>
  <c r="K108"/>
  <c r="L108"/>
  <c r="M108"/>
  <c r="N108"/>
  <c r="P108"/>
  <c r="Q108"/>
  <c r="S108"/>
  <c r="T108"/>
  <c r="U108"/>
  <c r="V108"/>
  <c r="C109"/>
  <c r="D109"/>
  <c r="E109"/>
  <c r="F109"/>
  <c r="H109"/>
  <c r="I109"/>
  <c r="J109"/>
  <c r="K109"/>
  <c r="L109"/>
  <c r="M109"/>
  <c r="N109"/>
  <c r="P109"/>
  <c r="Q109"/>
  <c r="S109"/>
  <c r="T109"/>
  <c r="U109"/>
  <c r="V109"/>
  <c r="C110"/>
  <c r="D110"/>
  <c r="E110"/>
  <c r="F110"/>
  <c r="H110"/>
  <c r="I110"/>
  <c r="J110"/>
  <c r="K110"/>
  <c r="L110"/>
  <c r="M110"/>
  <c r="N110"/>
  <c r="P110"/>
  <c r="Q110"/>
  <c r="S110"/>
  <c r="T110"/>
  <c r="U110"/>
  <c r="V110"/>
  <c r="C111"/>
  <c r="D111"/>
  <c r="E111"/>
  <c r="F111"/>
  <c r="H111"/>
  <c r="I111"/>
  <c r="J111"/>
  <c r="K111"/>
  <c r="L111"/>
  <c r="M111"/>
  <c r="N111"/>
  <c r="P111"/>
  <c r="Q111"/>
  <c r="S111"/>
  <c r="T111"/>
  <c r="U111"/>
  <c r="V111"/>
  <c r="C112"/>
  <c r="D112"/>
  <c r="E112"/>
  <c r="F112"/>
  <c r="H112"/>
  <c r="I112"/>
  <c r="J112"/>
  <c r="K112"/>
  <c r="L112"/>
  <c r="M112"/>
  <c r="N112"/>
  <c r="P112"/>
  <c r="Q112"/>
  <c r="S112"/>
  <c r="T112"/>
  <c r="U112"/>
  <c r="V112"/>
  <c r="C113"/>
  <c r="D113"/>
  <c r="E113"/>
  <c r="F113"/>
  <c r="H113"/>
  <c r="I113"/>
  <c r="J113"/>
  <c r="K113"/>
  <c r="L113"/>
  <c r="M113"/>
  <c r="N113"/>
  <c r="P113"/>
  <c r="Q113"/>
  <c r="S113"/>
  <c r="T113"/>
  <c r="U113"/>
  <c r="V113"/>
  <c r="C114"/>
  <c r="D114"/>
  <c r="E114"/>
  <c r="F114"/>
  <c r="H114"/>
  <c r="I114"/>
  <c r="J114"/>
  <c r="K114"/>
  <c r="L114"/>
  <c r="M114"/>
  <c r="N114"/>
  <c r="P114"/>
  <c r="Q114"/>
  <c r="S114"/>
  <c r="T114"/>
  <c r="U114"/>
  <c r="V114"/>
  <c r="C115"/>
  <c r="D115"/>
  <c r="E115"/>
  <c r="F115"/>
  <c r="H115"/>
  <c r="I115"/>
  <c r="J115"/>
  <c r="K115"/>
  <c r="L115"/>
  <c r="M115"/>
  <c r="N115"/>
  <c r="P115"/>
  <c r="Q115"/>
  <c r="S115"/>
  <c r="T115"/>
  <c r="U115"/>
  <c r="V115"/>
  <c r="C116"/>
  <c r="D116"/>
  <c r="E116"/>
  <c r="F116"/>
  <c r="H116"/>
  <c r="I116"/>
  <c r="J116"/>
  <c r="K116"/>
  <c r="L116"/>
  <c r="M116"/>
  <c r="N116"/>
  <c r="P116"/>
  <c r="Q116"/>
  <c r="S116"/>
  <c r="T116"/>
  <c r="U116"/>
  <c r="V116"/>
  <c r="C117"/>
  <c r="D117"/>
  <c r="E117"/>
  <c r="F117"/>
  <c r="H117"/>
  <c r="I117"/>
  <c r="J117"/>
  <c r="K117"/>
  <c r="L117"/>
  <c r="M117"/>
  <c r="N117"/>
  <c r="P117"/>
  <c r="Q117"/>
  <c r="S117"/>
  <c r="T117"/>
  <c r="U117"/>
  <c r="V117"/>
  <c r="C118"/>
  <c r="D118"/>
  <c r="E118"/>
  <c r="F118"/>
  <c r="H118"/>
  <c r="I118"/>
  <c r="J118"/>
  <c r="K118"/>
  <c r="L118"/>
  <c r="M118"/>
  <c r="N118"/>
  <c r="P118"/>
  <c r="Q118"/>
  <c r="S118"/>
  <c r="T118"/>
  <c r="U118"/>
  <c r="V118"/>
  <c r="C119"/>
  <c r="D119"/>
  <c r="E119"/>
  <c r="F119"/>
  <c r="H119"/>
  <c r="I119"/>
  <c r="J119"/>
  <c r="K119"/>
  <c r="L119"/>
  <c r="M119"/>
  <c r="N119"/>
  <c r="P119"/>
  <c r="Q119"/>
  <c r="S119"/>
  <c r="T119"/>
  <c r="U119"/>
  <c r="V119"/>
  <c r="C120"/>
  <c r="D120"/>
  <c r="E120"/>
  <c r="F120"/>
  <c r="H120"/>
  <c r="I120"/>
  <c r="J120"/>
  <c r="K120"/>
  <c r="L120"/>
  <c r="M120"/>
  <c r="N120"/>
  <c r="P120"/>
  <c r="Q120"/>
  <c r="S120"/>
  <c r="T120"/>
  <c r="U120"/>
  <c r="V120"/>
  <c r="C121"/>
  <c r="D121"/>
  <c r="E121"/>
  <c r="F121"/>
  <c r="H121"/>
  <c r="I121"/>
  <c r="J121"/>
  <c r="K121"/>
  <c r="L121"/>
  <c r="M121"/>
  <c r="N121"/>
  <c r="P121"/>
  <c r="Q121"/>
  <c r="S121"/>
  <c r="T121"/>
  <c r="U121"/>
  <c r="V121"/>
  <c r="C122"/>
  <c r="D122"/>
  <c r="E122"/>
  <c r="F122"/>
  <c r="H122"/>
  <c r="I122"/>
  <c r="J122"/>
  <c r="K122"/>
  <c r="L122"/>
  <c r="M122"/>
  <c r="N122"/>
  <c r="P122"/>
  <c r="Q122"/>
  <c r="S122"/>
  <c r="T122"/>
  <c r="U122"/>
  <c r="V122"/>
  <c r="C123"/>
  <c r="D123"/>
  <c r="E123"/>
  <c r="F123"/>
  <c r="H123"/>
  <c r="I123"/>
  <c r="J123"/>
  <c r="K123"/>
  <c r="L123"/>
  <c r="M123"/>
  <c r="N123"/>
  <c r="P123"/>
  <c r="Q123"/>
  <c r="S123"/>
  <c r="T123"/>
  <c r="U123"/>
  <c r="V123"/>
  <c r="C124"/>
  <c r="D124"/>
  <c r="E124"/>
  <c r="F124"/>
  <c r="H124"/>
  <c r="I124"/>
  <c r="J124"/>
  <c r="K124"/>
  <c r="L124"/>
  <c r="M124"/>
  <c r="N124"/>
  <c r="P124"/>
  <c r="Q124"/>
  <c r="S124"/>
  <c r="T124"/>
  <c r="U124"/>
  <c r="V124"/>
  <c r="C125"/>
  <c r="D125"/>
  <c r="E125"/>
  <c r="F125"/>
  <c r="H125"/>
  <c r="I125"/>
  <c r="J125"/>
  <c r="K125"/>
  <c r="L125"/>
  <c r="M125"/>
  <c r="N125"/>
  <c r="P125"/>
  <c r="Q125"/>
  <c r="S125"/>
  <c r="T125"/>
  <c r="U125"/>
  <c r="V125"/>
  <c r="C126"/>
  <c r="C127"/>
  <c r="D127"/>
  <c r="E127"/>
  <c r="F127"/>
  <c r="H127"/>
  <c r="I127"/>
  <c r="J127"/>
  <c r="K127"/>
  <c r="L127"/>
  <c r="M127"/>
  <c r="N127"/>
  <c r="P127"/>
  <c r="Q127"/>
  <c r="S127"/>
  <c r="T127"/>
  <c r="U127"/>
  <c r="V127"/>
  <c r="C128"/>
  <c r="D128"/>
  <c r="E128"/>
  <c r="F128"/>
  <c r="H128"/>
  <c r="I128"/>
  <c r="J128"/>
  <c r="K128"/>
  <c r="L128"/>
  <c r="M128"/>
  <c r="N128"/>
  <c r="P128"/>
  <c r="Q128"/>
  <c r="S128"/>
  <c r="T128"/>
  <c r="U128"/>
  <c r="V128"/>
  <c r="C129"/>
  <c r="D129"/>
  <c r="E129"/>
  <c r="F129"/>
  <c r="H129"/>
  <c r="I129"/>
  <c r="J129"/>
  <c r="K129"/>
  <c r="L129"/>
  <c r="M129"/>
  <c r="N129"/>
  <c r="P129"/>
  <c r="Q129"/>
  <c r="S129"/>
  <c r="T129"/>
  <c r="U129"/>
  <c r="V129"/>
  <c r="C130"/>
  <c r="D130"/>
  <c r="E130"/>
  <c r="F130"/>
  <c r="H130"/>
  <c r="I130"/>
  <c r="J130"/>
  <c r="K130"/>
  <c r="L130"/>
  <c r="M130"/>
  <c r="N130"/>
  <c r="P130"/>
  <c r="Q130"/>
  <c r="S130"/>
  <c r="T130"/>
  <c r="U130"/>
  <c r="V130"/>
  <c r="C131"/>
  <c r="D131"/>
  <c r="E131"/>
  <c r="F131"/>
  <c r="H131"/>
  <c r="I131"/>
  <c r="J131"/>
  <c r="K131"/>
  <c r="L131"/>
  <c r="M131"/>
  <c r="N131"/>
  <c r="P131"/>
  <c r="Q131"/>
  <c r="S131"/>
  <c r="T131"/>
  <c r="U131"/>
  <c r="V131"/>
  <c r="C132"/>
  <c r="D132"/>
  <c r="E132"/>
  <c r="F132"/>
  <c r="H132"/>
  <c r="I132"/>
  <c r="J132"/>
  <c r="K132"/>
  <c r="L132"/>
  <c r="M132"/>
  <c r="N132"/>
  <c r="P132"/>
  <c r="Q132"/>
  <c r="S132"/>
  <c r="T132"/>
  <c r="U132"/>
  <c r="V132"/>
  <c r="C133"/>
  <c r="D133"/>
  <c r="E133"/>
  <c r="F133"/>
  <c r="H133"/>
  <c r="I133"/>
  <c r="J133"/>
  <c r="K133"/>
  <c r="L133"/>
  <c r="M133"/>
  <c r="N133"/>
  <c r="P133"/>
  <c r="Q133"/>
  <c r="S133"/>
  <c r="T133"/>
  <c r="U133"/>
  <c r="V133"/>
  <c r="C134"/>
  <c r="D134"/>
  <c r="E134"/>
  <c r="F134"/>
  <c r="H134"/>
  <c r="I134"/>
  <c r="J134"/>
  <c r="K134"/>
  <c r="L134"/>
  <c r="M134"/>
  <c r="N134"/>
  <c r="P134"/>
  <c r="Q134"/>
  <c r="S134"/>
  <c r="T134"/>
  <c r="U134"/>
  <c r="V134"/>
  <c r="C135"/>
  <c r="D135"/>
  <c r="E135"/>
  <c r="F135"/>
  <c r="H135"/>
  <c r="I135"/>
  <c r="J135"/>
  <c r="K135"/>
  <c r="L135"/>
  <c r="M135"/>
  <c r="N135"/>
  <c r="P135"/>
  <c r="Q135"/>
  <c r="S135"/>
  <c r="T135"/>
  <c r="U135"/>
  <c r="V135"/>
  <c r="C136"/>
  <c r="D136"/>
  <c r="E136"/>
  <c r="F136"/>
  <c r="H136"/>
  <c r="I136"/>
  <c r="J136"/>
  <c r="K136"/>
  <c r="L136"/>
  <c r="M136"/>
  <c r="N136"/>
  <c r="P136"/>
  <c r="Q136"/>
  <c r="S136"/>
  <c r="T136"/>
  <c r="U136"/>
  <c r="V136"/>
  <c r="C137"/>
  <c r="D137"/>
  <c r="E137"/>
  <c r="F137"/>
  <c r="H137"/>
  <c r="I137"/>
  <c r="J137"/>
  <c r="K137"/>
  <c r="L137"/>
  <c r="M137"/>
  <c r="N137"/>
  <c r="P137"/>
  <c r="Q137"/>
  <c r="S137"/>
  <c r="T137"/>
  <c r="U137"/>
  <c r="V137"/>
  <c r="C138"/>
  <c r="D138"/>
  <c r="E138"/>
  <c r="F138"/>
  <c r="H138"/>
  <c r="I138"/>
  <c r="J138"/>
  <c r="K138"/>
  <c r="L138"/>
  <c r="M138"/>
  <c r="N138"/>
  <c r="P138"/>
  <c r="Q138"/>
  <c r="S138"/>
  <c r="T138"/>
  <c r="U138"/>
  <c r="V138"/>
  <c r="C139"/>
  <c r="D139"/>
  <c r="E139"/>
  <c r="F139"/>
  <c r="H139"/>
  <c r="I139"/>
  <c r="J139"/>
  <c r="K139"/>
  <c r="L139"/>
  <c r="M139"/>
  <c r="N139"/>
  <c r="P139"/>
  <c r="Q139"/>
  <c r="S139"/>
  <c r="T139"/>
  <c r="U139"/>
  <c r="V139"/>
  <c r="C140"/>
  <c r="D140"/>
  <c r="E140"/>
  <c r="F140"/>
  <c r="H140"/>
  <c r="I140"/>
  <c r="J140"/>
  <c r="K140"/>
  <c r="L140"/>
  <c r="M140"/>
  <c r="N140"/>
  <c r="P140"/>
  <c r="Q140"/>
  <c r="S140"/>
  <c r="T140"/>
  <c r="U140"/>
  <c r="V140"/>
  <c r="C141"/>
  <c r="D141"/>
  <c r="E141"/>
  <c r="F141"/>
  <c r="H141"/>
  <c r="I141"/>
  <c r="J141"/>
  <c r="K141"/>
  <c r="L141"/>
  <c r="M141"/>
  <c r="N141"/>
  <c r="P141"/>
  <c r="Q141"/>
  <c r="S141"/>
  <c r="T141"/>
  <c r="U141"/>
  <c r="V141"/>
  <c r="C142"/>
  <c r="D142"/>
  <c r="E142"/>
  <c r="F142"/>
  <c r="H142"/>
  <c r="I142"/>
  <c r="J142"/>
  <c r="K142"/>
  <c r="L142"/>
  <c r="M142"/>
  <c r="N142"/>
  <c r="P142"/>
  <c r="Q142"/>
  <c r="S142"/>
  <c r="T142"/>
  <c r="U142"/>
  <c r="V142"/>
  <c r="C143"/>
  <c r="D143"/>
  <c r="E143"/>
  <c r="F143"/>
  <c r="H143"/>
  <c r="I143"/>
  <c r="J143"/>
  <c r="K143"/>
  <c r="L143"/>
  <c r="M143"/>
  <c r="N143"/>
  <c r="P143"/>
  <c r="Q143"/>
  <c r="S143"/>
  <c r="T143"/>
  <c r="U143"/>
  <c r="V143"/>
  <c r="C144"/>
  <c r="D144"/>
  <c r="E144"/>
  <c r="F144"/>
  <c r="H144"/>
  <c r="I144"/>
  <c r="J144"/>
  <c r="K144"/>
  <c r="L144"/>
  <c r="M144"/>
  <c r="N144"/>
  <c r="P144"/>
  <c r="Q144"/>
  <c r="S144"/>
  <c r="T144"/>
  <c r="U144"/>
  <c r="V144"/>
  <c r="C145"/>
  <c r="D145"/>
  <c r="E145"/>
  <c r="F145"/>
  <c r="H145"/>
  <c r="I145"/>
  <c r="J145"/>
  <c r="K145"/>
  <c r="L145"/>
  <c r="M145"/>
  <c r="N145"/>
  <c r="P145"/>
  <c r="Q145"/>
  <c r="S145"/>
  <c r="T145"/>
  <c r="U145"/>
  <c r="V145"/>
  <c r="C146"/>
  <c r="D146"/>
  <c r="E146"/>
  <c r="F146"/>
  <c r="H146"/>
  <c r="I146"/>
  <c r="J146"/>
  <c r="K146"/>
  <c r="L146"/>
  <c r="M146"/>
  <c r="N146"/>
  <c r="P146"/>
  <c r="Q146"/>
  <c r="S146"/>
  <c r="T146"/>
  <c r="U146"/>
  <c r="V146"/>
  <c r="C147"/>
  <c r="D147"/>
  <c r="E147"/>
  <c r="F147"/>
  <c r="H147"/>
  <c r="I147"/>
  <c r="J147"/>
  <c r="K147"/>
  <c r="L147"/>
  <c r="M147"/>
  <c r="N147"/>
  <c r="P147"/>
  <c r="Q147"/>
  <c r="S147"/>
  <c r="T147"/>
  <c r="U147"/>
  <c r="V147"/>
  <c r="C148"/>
  <c r="D148"/>
  <c r="E148"/>
  <c r="F148"/>
  <c r="H148"/>
  <c r="I148"/>
  <c r="J148"/>
  <c r="K148"/>
  <c r="L148"/>
  <c r="M148"/>
  <c r="N148"/>
  <c r="P148"/>
  <c r="Q148"/>
  <c r="S148"/>
  <c r="T148"/>
  <c r="U148"/>
  <c r="V148"/>
  <c r="C149"/>
  <c r="D149"/>
  <c r="E149"/>
  <c r="F149"/>
  <c r="H149"/>
  <c r="I149"/>
  <c r="J149"/>
  <c r="K149"/>
  <c r="L149"/>
  <c r="M149"/>
  <c r="N149"/>
  <c r="P149"/>
  <c r="Q149"/>
  <c r="S149"/>
  <c r="T149"/>
  <c r="U149"/>
  <c r="V149"/>
  <c r="C150"/>
  <c r="D150"/>
  <c r="E150"/>
  <c r="F150"/>
  <c r="H150"/>
  <c r="I150"/>
  <c r="J150"/>
  <c r="K150"/>
  <c r="L150"/>
  <c r="M150"/>
  <c r="N150"/>
  <c r="P150"/>
  <c r="Q150"/>
  <c r="S150"/>
  <c r="T150"/>
  <c r="U150"/>
  <c r="V150"/>
  <c r="C151"/>
  <c r="D151"/>
  <c r="E151"/>
  <c r="F151"/>
  <c r="H151"/>
  <c r="I151"/>
  <c r="J151"/>
  <c r="K151"/>
  <c r="L151"/>
  <c r="M151"/>
  <c r="N151"/>
  <c r="P151"/>
  <c r="Q151"/>
  <c r="S151"/>
  <c r="T151"/>
  <c r="U151"/>
  <c r="V151"/>
  <c r="C152"/>
  <c r="D152"/>
  <c r="E152"/>
  <c r="F152"/>
  <c r="H152"/>
  <c r="I152"/>
  <c r="J152"/>
  <c r="K152"/>
  <c r="L152"/>
  <c r="M152"/>
  <c r="N152"/>
  <c r="P152"/>
  <c r="Q152"/>
  <c r="S152"/>
  <c r="T152"/>
  <c r="U152"/>
  <c r="V152"/>
  <c r="C153"/>
  <c r="D153"/>
  <c r="E153"/>
  <c r="F153"/>
  <c r="H153"/>
  <c r="I153"/>
  <c r="J153"/>
  <c r="K153"/>
  <c r="L153"/>
  <c r="M153"/>
  <c r="N153"/>
  <c r="P153"/>
  <c r="Q153"/>
  <c r="S153"/>
  <c r="T153"/>
  <c r="U153"/>
  <c r="V153"/>
  <c r="C154"/>
  <c r="D154"/>
  <c r="E154"/>
  <c r="F154"/>
  <c r="H154"/>
  <c r="I154"/>
  <c r="J154"/>
  <c r="K154"/>
  <c r="L154"/>
  <c r="M154"/>
  <c r="N154"/>
  <c r="P154"/>
  <c r="Q154"/>
  <c r="S154"/>
  <c r="T154"/>
  <c r="U154"/>
  <c r="V154"/>
  <c r="C155"/>
  <c r="D155"/>
  <c r="E155"/>
  <c r="F155"/>
  <c r="H155"/>
  <c r="I155"/>
  <c r="J155"/>
  <c r="K155"/>
  <c r="L155"/>
  <c r="M155"/>
  <c r="N155"/>
  <c r="P155"/>
  <c r="Q155"/>
  <c r="S155"/>
  <c r="T155"/>
  <c r="U155"/>
  <c r="V155"/>
  <c r="C156"/>
  <c r="D156"/>
  <c r="E156"/>
  <c r="F156"/>
  <c r="H156"/>
  <c r="I156"/>
  <c r="J156"/>
  <c r="K156"/>
  <c r="L156"/>
  <c r="M156"/>
  <c r="N156"/>
  <c r="P156"/>
  <c r="Q156"/>
  <c r="S156"/>
  <c r="T156"/>
  <c r="U156"/>
  <c r="V156"/>
  <c r="C157"/>
  <c r="D157"/>
  <c r="E157"/>
  <c r="F157"/>
  <c r="H157"/>
  <c r="I157"/>
  <c r="J157"/>
  <c r="K157"/>
  <c r="L157"/>
  <c r="M157"/>
  <c r="N157"/>
  <c r="P157"/>
  <c r="Q157"/>
  <c r="S157"/>
  <c r="T157"/>
  <c r="U157"/>
  <c r="V157"/>
  <c r="C158"/>
  <c r="D158"/>
  <c r="E158"/>
  <c r="F158"/>
  <c r="H158"/>
  <c r="I158"/>
  <c r="J158"/>
  <c r="K158"/>
  <c r="L158"/>
  <c r="M158"/>
  <c r="N158"/>
  <c r="P158"/>
  <c r="Q158"/>
  <c r="S158"/>
  <c r="T158"/>
  <c r="U158"/>
  <c r="V158"/>
  <c r="C159"/>
  <c r="D159"/>
  <c r="E159"/>
  <c r="F159"/>
  <c r="H159"/>
  <c r="I159"/>
  <c r="J159"/>
  <c r="K159"/>
  <c r="L159"/>
  <c r="M159"/>
  <c r="N159"/>
  <c r="P159"/>
  <c r="Q159"/>
  <c r="S159"/>
  <c r="T159"/>
  <c r="U159"/>
  <c r="V159"/>
  <c r="C160"/>
  <c r="D160"/>
  <c r="E160"/>
  <c r="F160"/>
  <c r="H160"/>
  <c r="I160"/>
  <c r="J160"/>
  <c r="K160"/>
  <c r="L160"/>
  <c r="M160"/>
  <c r="N160"/>
  <c r="P160"/>
  <c r="Q160"/>
  <c r="S160"/>
  <c r="T160"/>
  <c r="U160"/>
  <c r="V160"/>
  <c r="C161"/>
  <c r="D161"/>
  <c r="E161"/>
  <c r="F161"/>
  <c r="H161"/>
  <c r="I161"/>
  <c r="J161"/>
  <c r="K161"/>
  <c r="L161"/>
  <c r="M161"/>
  <c r="N161"/>
  <c r="P161"/>
  <c r="Q161"/>
  <c r="S161"/>
  <c r="T161"/>
  <c r="U161"/>
  <c r="V161"/>
  <c r="C162"/>
  <c r="D162"/>
  <c r="E162"/>
  <c r="F162"/>
  <c r="H162"/>
  <c r="I162"/>
  <c r="J162"/>
  <c r="K162"/>
  <c r="L162"/>
  <c r="M162"/>
  <c r="N162"/>
  <c r="P162"/>
  <c r="Q162"/>
  <c r="S162"/>
  <c r="T162"/>
  <c r="U162"/>
  <c r="V162"/>
  <c r="C163"/>
  <c r="D163"/>
  <c r="E163"/>
  <c r="F163"/>
  <c r="H163"/>
  <c r="I163"/>
  <c r="J163"/>
  <c r="K163"/>
  <c r="L163"/>
  <c r="M163"/>
  <c r="N163"/>
  <c r="P163"/>
  <c r="Q163"/>
  <c r="S163"/>
  <c r="T163"/>
  <c r="U163"/>
  <c r="V163"/>
  <c r="C164"/>
  <c r="D164"/>
  <c r="E164"/>
  <c r="F164"/>
  <c r="H164"/>
  <c r="I164"/>
  <c r="J164"/>
  <c r="K164"/>
  <c r="L164"/>
  <c r="M164"/>
  <c r="N164"/>
  <c r="P164"/>
  <c r="Q164"/>
  <c r="S164"/>
  <c r="T164"/>
  <c r="U164"/>
  <c r="V164"/>
  <c r="C165"/>
  <c r="D165"/>
  <c r="E165"/>
  <c r="F165"/>
  <c r="H165"/>
  <c r="I165"/>
  <c r="J165"/>
  <c r="K165"/>
  <c r="L165"/>
  <c r="M165"/>
  <c r="N165"/>
  <c r="P165"/>
  <c r="Q165"/>
  <c r="S165"/>
  <c r="T165"/>
  <c r="U165"/>
  <c r="V165"/>
  <c r="C166"/>
  <c r="D166"/>
  <c r="E166"/>
  <c r="F166"/>
  <c r="H166"/>
  <c r="I166"/>
  <c r="J166"/>
  <c r="K166"/>
  <c r="L166"/>
  <c r="M166"/>
  <c r="N166"/>
  <c r="P166"/>
  <c r="Q166"/>
  <c r="S166"/>
  <c r="T166"/>
  <c r="U166"/>
  <c r="V166"/>
  <c r="C167"/>
  <c r="D167"/>
  <c r="E167"/>
  <c r="F167"/>
  <c r="H167"/>
  <c r="I167"/>
  <c r="J167"/>
  <c r="K167"/>
  <c r="L167"/>
  <c r="M167"/>
  <c r="N167"/>
  <c r="P167"/>
  <c r="Q167"/>
  <c r="S167"/>
  <c r="T167"/>
  <c r="U167"/>
  <c r="V167"/>
  <c r="C168"/>
  <c r="D168"/>
  <c r="E168"/>
  <c r="F168"/>
  <c r="H168"/>
  <c r="I168"/>
  <c r="J168"/>
  <c r="K168"/>
  <c r="L168"/>
  <c r="M168"/>
  <c r="N168"/>
  <c r="P168"/>
  <c r="Q168"/>
  <c r="S168"/>
  <c r="T168"/>
  <c r="U168"/>
  <c r="V168"/>
  <c r="C169"/>
  <c r="D169"/>
  <c r="E169"/>
  <c r="F169"/>
  <c r="H169"/>
  <c r="I169"/>
  <c r="J169"/>
  <c r="K169"/>
  <c r="L169"/>
  <c r="M169"/>
  <c r="N169"/>
  <c r="P169"/>
  <c r="Q169"/>
  <c r="S169"/>
  <c r="T169"/>
  <c r="U169"/>
  <c r="V169"/>
  <c r="C170"/>
  <c r="D170"/>
  <c r="E170"/>
  <c r="F170"/>
  <c r="H170"/>
  <c r="I170"/>
  <c r="J170"/>
  <c r="K170"/>
  <c r="L170"/>
  <c r="M170"/>
  <c r="N170"/>
  <c r="P170"/>
  <c r="Q170"/>
  <c r="S170"/>
  <c r="T170"/>
  <c r="U170"/>
  <c r="V170"/>
  <c r="C171"/>
  <c r="D171"/>
  <c r="E171"/>
  <c r="F171"/>
  <c r="H171"/>
  <c r="I171"/>
  <c r="J171"/>
  <c r="K171"/>
  <c r="L171"/>
  <c r="M171"/>
  <c r="N171"/>
  <c r="P171"/>
  <c r="Q171"/>
  <c r="S171"/>
  <c r="T171"/>
  <c r="U171"/>
  <c r="V171"/>
  <c r="C172"/>
  <c r="D172"/>
  <c r="E172"/>
  <c r="F172"/>
  <c r="H172"/>
  <c r="I172"/>
  <c r="J172"/>
  <c r="K172"/>
  <c r="L172"/>
  <c r="M172"/>
  <c r="N172"/>
  <c r="P172"/>
  <c r="Q172"/>
  <c r="S172"/>
  <c r="T172"/>
  <c r="U172"/>
  <c r="V172"/>
  <c r="C173"/>
  <c r="D173"/>
  <c r="E173"/>
  <c r="F173"/>
  <c r="H173"/>
  <c r="I173"/>
  <c r="J173"/>
  <c r="K173"/>
  <c r="L173"/>
  <c r="M173"/>
  <c r="N173"/>
  <c r="P173"/>
  <c r="Q173"/>
  <c r="S173"/>
  <c r="T173"/>
  <c r="U173"/>
  <c r="V173"/>
  <c r="C174"/>
  <c r="D174"/>
  <c r="E174"/>
  <c r="F174"/>
  <c r="H174"/>
  <c r="I174"/>
  <c r="J174"/>
  <c r="K174"/>
  <c r="L174"/>
  <c r="M174"/>
  <c r="N174"/>
  <c r="P174"/>
  <c r="Q174"/>
  <c r="S174"/>
  <c r="T174"/>
  <c r="U174"/>
  <c r="V174"/>
  <c r="C175"/>
  <c r="D175"/>
  <c r="E175"/>
  <c r="F175"/>
  <c r="H175"/>
  <c r="I175"/>
  <c r="J175"/>
  <c r="K175"/>
  <c r="L175"/>
  <c r="M175"/>
  <c r="N175"/>
  <c r="P175"/>
  <c r="Q175"/>
  <c r="S175"/>
  <c r="T175"/>
  <c r="U175"/>
  <c r="V175"/>
  <c r="C176"/>
  <c r="D176"/>
  <c r="E176"/>
  <c r="F176"/>
  <c r="H176"/>
  <c r="I176"/>
  <c r="J176"/>
  <c r="K176"/>
  <c r="L176"/>
  <c r="M176"/>
  <c r="N176"/>
  <c r="P176"/>
  <c r="Q176"/>
  <c r="S176"/>
  <c r="T176"/>
  <c r="U176"/>
  <c r="V176"/>
  <c r="C177"/>
  <c r="D177"/>
  <c r="E177"/>
  <c r="F177"/>
  <c r="H177"/>
  <c r="I177"/>
  <c r="J177"/>
  <c r="K177"/>
  <c r="L177"/>
  <c r="M177"/>
  <c r="N177"/>
  <c r="P177"/>
  <c r="Q177"/>
  <c r="S177"/>
  <c r="T177"/>
  <c r="U177"/>
  <c r="V177"/>
  <c r="C178"/>
  <c r="D178"/>
  <c r="E178"/>
  <c r="F178"/>
  <c r="H178"/>
  <c r="I178"/>
  <c r="J178"/>
  <c r="K178"/>
  <c r="L178"/>
  <c r="M178"/>
  <c r="N178"/>
  <c r="P178"/>
  <c r="Q178"/>
  <c r="S178"/>
  <c r="T178"/>
  <c r="U178"/>
  <c r="V178"/>
  <c r="C179"/>
  <c r="D179"/>
  <c r="E179"/>
  <c r="F179"/>
  <c r="H179"/>
  <c r="I179"/>
  <c r="J179"/>
  <c r="K179"/>
  <c r="L179"/>
  <c r="M179"/>
  <c r="N179"/>
  <c r="P179"/>
  <c r="Q179"/>
  <c r="S179"/>
  <c r="T179"/>
  <c r="U179"/>
  <c r="V179"/>
  <c r="C180"/>
  <c r="D180"/>
  <c r="E180"/>
  <c r="F180"/>
  <c r="H180"/>
  <c r="I180"/>
  <c r="J180"/>
  <c r="K180"/>
  <c r="L180"/>
  <c r="M180"/>
  <c r="N180"/>
  <c r="P180"/>
  <c r="Q180"/>
  <c r="S180"/>
  <c r="T180"/>
  <c r="U180"/>
  <c r="V180"/>
  <c r="C181"/>
  <c r="D181"/>
  <c r="E181"/>
  <c r="F181"/>
  <c r="H181"/>
  <c r="I181"/>
  <c r="J181"/>
  <c r="K181"/>
  <c r="L181"/>
  <c r="M181"/>
  <c r="N181"/>
  <c r="P181"/>
  <c r="Q181"/>
  <c r="S181"/>
  <c r="T181"/>
  <c r="U181"/>
  <c r="V181"/>
  <c r="C182"/>
  <c r="D182"/>
  <c r="E182"/>
  <c r="F182"/>
  <c r="H182"/>
  <c r="I182"/>
  <c r="J182"/>
  <c r="K182"/>
  <c r="L182"/>
  <c r="M182"/>
  <c r="N182"/>
  <c r="P182"/>
  <c r="Q182"/>
  <c r="S182"/>
  <c r="T182"/>
  <c r="U182"/>
  <c r="V182"/>
  <c r="C183"/>
  <c r="D183"/>
  <c r="E183"/>
  <c r="F183"/>
  <c r="H183"/>
  <c r="I183"/>
  <c r="J183"/>
  <c r="K183"/>
  <c r="L183"/>
  <c r="M183"/>
  <c r="N183"/>
  <c r="P183"/>
  <c r="Q183"/>
  <c r="S183"/>
  <c r="T183"/>
  <c r="U183"/>
  <c r="V183"/>
  <c r="C184"/>
  <c r="D184"/>
  <c r="E184"/>
  <c r="F184"/>
  <c r="H184"/>
  <c r="I184"/>
  <c r="J184"/>
  <c r="K184"/>
  <c r="L184"/>
  <c r="M184"/>
  <c r="N184"/>
  <c r="P184"/>
  <c r="Q184"/>
  <c r="S184"/>
  <c r="T184"/>
  <c r="U184"/>
  <c r="V184"/>
  <c r="C185"/>
  <c r="D185"/>
  <c r="E185"/>
  <c r="F185"/>
  <c r="H185"/>
  <c r="I185"/>
  <c r="J185"/>
  <c r="K185"/>
  <c r="L185"/>
  <c r="M185"/>
  <c r="N185"/>
  <c r="P185"/>
  <c r="Q185"/>
  <c r="S185"/>
  <c r="T185"/>
  <c r="U185"/>
  <c r="V185"/>
  <c r="C186"/>
  <c r="E28"/>
  <c r="F28"/>
  <c r="H28"/>
  <c r="I28"/>
  <c r="J28"/>
  <c r="K28"/>
  <c r="L28"/>
  <c r="M28"/>
  <c r="N28"/>
  <c r="P28"/>
  <c r="Q28"/>
  <c r="S28"/>
  <c r="T28"/>
  <c r="U28"/>
  <c r="V28"/>
  <c r="D28"/>
  <c r="C28"/>
  <c r="E27"/>
  <c r="F27"/>
  <c r="H27"/>
  <c r="I27"/>
  <c r="J27"/>
  <c r="K27"/>
  <c r="L27"/>
  <c r="M27"/>
  <c r="N27"/>
  <c r="P27"/>
  <c r="Q27"/>
  <c r="S27"/>
  <c r="T27"/>
  <c r="U27"/>
  <c r="V27"/>
  <c r="D27"/>
  <c r="E26"/>
  <c r="F26"/>
  <c r="H26"/>
  <c r="I26"/>
  <c r="J26"/>
  <c r="K26"/>
  <c r="L26"/>
  <c r="M26"/>
  <c r="N26"/>
  <c r="P26"/>
  <c r="Q26"/>
  <c r="S26"/>
  <c r="T26"/>
  <c r="U26"/>
  <c r="V26"/>
  <c r="D26"/>
  <c r="E25"/>
  <c r="F25"/>
  <c r="H25"/>
  <c r="I25"/>
  <c r="J25"/>
  <c r="K25"/>
  <c r="L25"/>
  <c r="M25"/>
  <c r="N25"/>
  <c r="P25"/>
  <c r="Q25"/>
  <c r="S25"/>
  <c r="T25"/>
  <c r="U25"/>
  <c r="V25"/>
  <c r="D25"/>
  <c r="E24"/>
  <c r="F24"/>
  <c r="H24"/>
  <c r="I24"/>
  <c r="J24"/>
  <c r="K24"/>
  <c r="L24"/>
  <c r="M24"/>
  <c r="N24"/>
  <c r="P24"/>
  <c r="Q24"/>
  <c r="S24"/>
  <c r="T24"/>
  <c r="U24"/>
  <c r="V24"/>
  <c r="D24"/>
  <c r="E23"/>
  <c r="F23"/>
  <c r="H23"/>
  <c r="I23"/>
  <c r="J23"/>
  <c r="K23"/>
  <c r="L23"/>
  <c r="M23"/>
  <c r="N23"/>
  <c r="P23"/>
  <c r="Q23"/>
  <c r="S23"/>
  <c r="T23"/>
  <c r="U23"/>
  <c r="V23"/>
  <c r="D23"/>
  <c r="E22"/>
  <c r="F22"/>
  <c r="H22"/>
  <c r="I22"/>
  <c r="J22"/>
  <c r="K22"/>
  <c r="L22"/>
  <c r="M22"/>
  <c r="N22"/>
  <c r="P22"/>
  <c r="Q22"/>
  <c r="S22"/>
  <c r="T22"/>
  <c r="U22"/>
  <c r="V22"/>
  <c r="D22"/>
  <c r="E21"/>
  <c r="F21"/>
  <c r="H21"/>
  <c r="I21"/>
  <c r="J21"/>
  <c r="K21"/>
  <c r="L21"/>
  <c r="M21"/>
  <c r="N21"/>
  <c r="P21"/>
  <c r="Q21"/>
  <c r="S21"/>
  <c r="T21"/>
  <c r="U21"/>
  <c r="V21"/>
  <c r="D21"/>
  <c r="E20"/>
  <c r="F20"/>
  <c r="H20"/>
  <c r="I20"/>
  <c r="J20"/>
  <c r="K20"/>
  <c r="L20"/>
  <c r="M20"/>
  <c r="N20"/>
  <c r="P20"/>
  <c r="Q20"/>
  <c r="S20"/>
  <c r="T20"/>
  <c r="U20"/>
  <c r="V20"/>
  <c r="D20"/>
  <c r="E19"/>
  <c r="F19"/>
  <c r="H19"/>
  <c r="I19"/>
  <c r="J19"/>
  <c r="K19"/>
  <c r="L19"/>
  <c r="M19"/>
  <c r="N19"/>
  <c r="P19"/>
  <c r="Q19"/>
  <c r="S19"/>
  <c r="T19"/>
  <c r="U19"/>
  <c r="V19"/>
  <c r="D17"/>
  <c r="D19"/>
  <c r="E18"/>
  <c r="F18"/>
  <c r="H18"/>
  <c r="I18"/>
  <c r="J18"/>
  <c r="K18"/>
  <c r="L18"/>
  <c r="M18"/>
  <c r="N18"/>
  <c r="P18"/>
  <c r="Q18"/>
  <c r="S18"/>
  <c r="T18"/>
  <c r="U18"/>
  <c r="V18"/>
  <c r="E17"/>
  <c r="F17"/>
  <c r="H17"/>
  <c r="I17"/>
  <c r="J17"/>
  <c r="K17"/>
  <c r="L17"/>
  <c r="M17"/>
  <c r="N17"/>
  <c r="P17"/>
  <c r="Q17"/>
  <c r="S17"/>
  <c r="T17"/>
  <c r="U17"/>
  <c r="V17"/>
  <c r="D18"/>
  <c r="E16"/>
  <c r="F16"/>
  <c r="H16"/>
  <c r="I16"/>
  <c r="J16"/>
  <c r="K16"/>
  <c r="L16"/>
  <c r="M16"/>
  <c r="N16"/>
  <c r="P16"/>
  <c r="Q16"/>
  <c r="S16"/>
  <c r="T16"/>
  <c r="U16"/>
  <c r="V16"/>
  <c r="D16"/>
  <c r="E15"/>
  <c r="F15"/>
  <c r="H15"/>
  <c r="I15"/>
  <c r="J15"/>
  <c r="K15"/>
  <c r="L15"/>
  <c r="M15"/>
  <c r="N15"/>
  <c r="P15"/>
  <c r="Q15"/>
  <c r="S15"/>
  <c r="T15"/>
  <c r="U15"/>
  <c r="V15"/>
  <c r="D15"/>
  <c r="E14"/>
  <c r="F14"/>
  <c r="H14"/>
  <c r="I14"/>
  <c r="J14"/>
  <c r="K14"/>
  <c r="L14"/>
  <c r="M14"/>
  <c r="N14"/>
  <c r="P14"/>
  <c r="Q14"/>
  <c r="S14"/>
  <c r="T14"/>
  <c r="U14"/>
  <c r="V14"/>
  <c r="D14"/>
  <c r="E13"/>
  <c r="F13"/>
  <c r="H13"/>
  <c r="I13"/>
  <c r="J13"/>
  <c r="K13"/>
  <c r="L13"/>
  <c r="M13"/>
  <c r="N13"/>
  <c r="P13"/>
  <c r="Q13"/>
  <c r="S13"/>
  <c r="T13"/>
  <c r="U13"/>
  <c r="V13"/>
  <c r="D13"/>
  <c r="E12"/>
  <c r="F12"/>
  <c r="H12"/>
  <c r="I12"/>
  <c r="J12"/>
  <c r="K12"/>
  <c r="L12"/>
  <c r="M12"/>
  <c r="N12"/>
  <c r="P12"/>
  <c r="Q12"/>
  <c r="S12"/>
  <c r="T12"/>
  <c r="U12"/>
  <c r="V12"/>
  <c r="D12"/>
  <c r="E11"/>
  <c r="F11"/>
  <c r="H11"/>
  <c r="I11"/>
  <c r="J11"/>
  <c r="K11"/>
  <c r="L11"/>
  <c r="M11"/>
  <c r="N11"/>
  <c r="P11"/>
  <c r="Q11"/>
  <c r="S11"/>
  <c r="T11"/>
  <c r="U11"/>
  <c r="V11"/>
  <c r="D11"/>
  <c r="E10"/>
  <c r="F10"/>
  <c r="H10"/>
  <c r="I10"/>
  <c r="J10"/>
  <c r="K10"/>
  <c r="L10"/>
  <c r="M10"/>
  <c r="N10"/>
  <c r="P10"/>
  <c r="Q10"/>
  <c r="S10"/>
  <c r="T10"/>
  <c r="U10"/>
  <c r="V10"/>
  <c r="D10"/>
  <c r="E9"/>
  <c r="F9"/>
  <c r="H9"/>
  <c r="I9"/>
  <c r="J9"/>
  <c r="K9"/>
  <c r="L9"/>
  <c r="M9"/>
  <c r="N9"/>
  <c r="P9"/>
  <c r="Q9"/>
  <c r="S9"/>
  <c r="T9"/>
  <c r="U9"/>
  <c r="V9"/>
  <c r="D9"/>
  <c r="E8"/>
  <c r="F8"/>
  <c r="H8"/>
  <c r="I8"/>
  <c r="J8"/>
  <c r="K8"/>
  <c r="L8"/>
  <c r="M8"/>
  <c r="N8"/>
  <c r="P8"/>
  <c r="Q8"/>
  <c r="S8"/>
  <c r="T8"/>
  <c r="U8"/>
  <c r="V8"/>
  <c r="D8"/>
  <c r="E7"/>
  <c r="F7"/>
  <c r="H7"/>
  <c r="I7"/>
  <c r="J7"/>
  <c r="K7"/>
  <c r="L7"/>
  <c r="M7"/>
  <c r="N7"/>
  <c r="P7"/>
  <c r="Q7"/>
  <c r="S7"/>
  <c r="T7"/>
  <c r="U7"/>
  <c r="V7"/>
  <c r="D7"/>
  <c r="E6"/>
  <c r="F6"/>
  <c r="H6"/>
  <c r="I6"/>
  <c r="J6"/>
  <c r="K6"/>
  <c r="L6"/>
  <c r="M6"/>
  <c r="N6"/>
  <c r="P6"/>
  <c r="Q6"/>
  <c r="S6"/>
  <c r="T6"/>
  <c r="U6"/>
  <c r="V6"/>
  <c r="D6"/>
  <c r="E5"/>
  <c r="F5"/>
  <c r="I5"/>
  <c r="J5"/>
  <c r="K5"/>
  <c r="L5"/>
  <c r="M5"/>
  <c r="N5"/>
  <c r="P5"/>
  <c r="Q5"/>
  <c r="S5"/>
  <c r="T5"/>
  <c r="U5"/>
  <c r="V5"/>
  <c r="D5"/>
  <c r="E4"/>
  <c r="F4"/>
  <c r="H4"/>
  <c r="I4"/>
  <c r="J4"/>
  <c r="K4"/>
  <c r="L4"/>
  <c r="M4"/>
  <c r="N4"/>
  <c r="P4"/>
  <c r="Q4"/>
  <c r="S4"/>
  <c r="T4"/>
  <c r="U4"/>
  <c r="V4"/>
  <c r="D4"/>
  <c r="E3"/>
  <c r="F3"/>
  <c r="H3"/>
  <c r="I3"/>
  <c r="J3"/>
  <c r="K3"/>
  <c r="L3"/>
  <c r="M3"/>
  <c r="N3"/>
  <c r="P3"/>
  <c r="Q3"/>
  <c r="S3"/>
  <c r="T3"/>
  <c r="U3"/>
  <c r="V3"/>
  <c r="D3"/>
  <c r="E2"/>
  <c r="F2"/>
  <c r="H2"/>
  <c r="I2"/>
  <c r="J2"/>
  <c r="K2"/>
  <c r="L2"/>
  <c r="M2"/>
  <c r="N2"/>
  <c r="P2"/>
  <c r="Q2"/>
  <c r="S2"/>
  <c r="T2"/>
  <c r="U2"/>
  <c r="V2"/>
  <c r="D2"/>
  <c r="E1"/>
  <c r="F1"/>
  <c r="K1"/>
  <c r="U1"/>
  <c r="V1"/>
  <c r="D1"/>
  <c r="G1782" i="7"/>
  <c r="G1781"/>
  <c r="G1780"/>
  <c r="G1775"/>
  <c r="G1774"/>
  <c r="G1773"/>
  <c r="G1768"/>
  <c r="G1767"/>
  <c r="G1766"/>
  <c r="G1761"/>
  <c r="G1760"/>
  <c r="G1759"/>
  <c r="G1754"/>
  <c r="G1753"/>
  <c r="G1752"/>
  <c r="G1746"/>
  <c r="G1747"/>
  <c r="G1745"/>
  <c r="G1739"/>
  <c r="G1740"/>
  <c r="G1738"/>
  <c r="G1732"/>
  <c r="G1733"/>
  <c r="G1731"/>
  <c r="G1728"/>
  <c r="G1729"/>
  <c r="G1730"/>
  <c r="G1734"/>
  <c r="G1735"/>
  <c r="G1736"/>
  <c r="G1737"/>
  <c r="G1741"/>
  <c r="G1742"/>
  <c r="G1743"/>
  <c r="G1744"/>
  <c r="G1748"/>
  <c r="G1749"/>
  <c r="G1750"/>
  <c r="G1751"/>
  <c r="G1755"/>
  <c r="G1756"/>
  <c r="G1757"/>
  <c r="G1758"/>
  <c r="G1762"/>
  <c r="G1763"/>
  <c r="G1764"/>
  <c r="G1765"/>
  <c r="G1769"/>
  <c r="G1770"/>
  <c r="G1771"/>
  <c r="G1772"/>
  <c r="G1776"/>
  <c r="G1777"/>
  <c r="G1778"/>
  <c r="G1779"/>
  <c r="G1727"/>
  <c r="G129"/>
  <c r="G124"/>
  <c r="G118"/>
  <c r="G105"/>
  <c r="G106"/>
  <c r="G107"/>
  <c r="G108"/>
  <c r="G109"/>
  <c r="G110"/>
  <c r="G111"/>
  <c r="G112"/>
  <c r="G104"/>
  <c r="G93"/>
  <c r="G94"/>
  <c r="G95"/>
  <c r="G96"/>
  <c r="G97"/>
  <c r="G98"/>
  <c r="G99"/>
  <c r="G100"/>
  <c r="G92"/>
  <c r="G81"/>
  <c r="G82"/>
  <c r="G83"/>
  <c r="G84"/>
  <c r="G85"/>
  <c r="G86"/>
  <c r="G87"/>
  <c r="G88"/>
  <c r="G80"/>
  <c r="G1652"/>
  <c r="G1651"/>
  <c r="G1650"/>
  <c r="G1649"/>
  <c r="G1648"/>
  <c r="G1647"/>
  <c r="G1646"/>
  <c r="G1645"/>
  <c r="G1644"/>
  <c r="G1643"/>
  <c r="G1642"/>
  <c r="G1641"/>
  <c r="G1640"/>
  <c r="G1639"/>
  <c r="G1638"/>
  <c r="G1637"/>
  <c r="G1475"/>
  <c r="G1476"/>
  <c r="G1477"/>
  <c r="G1478"/>
  <c r="G1479"/>
  <c r="G1480"/>
  <c r="G1481"/>
  <c r="G1482"/>
  <c r="G1483"/>
  <c r="G1484"/>
  <c r="G1474"/>
  <c r="G147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653"/>
  <c r="W1783" l="1"/>
  <c r="W1784"/>
  <c r="W1785"/>
  <c r="W1786"/>
  <c r="W1787"/>
  <c r="W1788"/>
  <c r="W1789"/>
  <c r="W1790"/>
  <c r="W1791"/>
  <c r="W1792"/>
  <c r="W1793"/>
  <c r="W1794"/>
  <c r="W1795"/>
  <c r="W1796"/>
  <c r="W1797"/>
  <c r="W1798"/>
  <c r="W1799"/>
  <c r="W1800"/>
  <c r="W1801"/>
  <c r="W1802"/>
  <c r="W1803"/>
  <c r="W1804"/>
  <c r="W1805"/>
  <c r="W1806"/>
  <c r="W1807"/>
  <c r="W1808"/>
  <c r="W1809"/>
  <c r="W1810"/>
  <c r="W1811"/>
  <c r="W1812"/>
  <c r="W1813"/>
  <c r="W1814"/>
  <c r="W1815"/>
  <c r="W1816"/>
  <c r="W1817"/>
  <c r="W1818"/>
  <c r="W1819"/>
  <c r="W1820"/>
  <c r="W1821"/>
  <c r="W1822"/>
  <c r="W1823"/>
  <c r="W1824"/>
  <c r="W1825"/>
  <c r="W1826"/>
  <c r="W1827"/>
  <c r="W1828"/>
  <c r="W1829"/>
  <c r="W1830"/>
  <c r="W1831"/>
  <c r="W1832"/>
  <c r="W1833"/>
  <c r="W1834"/>
  <c r="W1835"/>
  <c r="W1836"/>
  <c r="W1837"/>
  <c r="W1838"/>
  <c r="W1839"/>
  <c r="W1840"/>
  <c r="W1841"/>
  <c r="W1842"/>
  <c r="W1843"/>
  <c r="W1844"/>
  <c r="W1845"/>
  <c r="W1846"/>
  <c r="W1847"/>
  <c r="W1848"/>
  <c r="W1849"/>
  <c r="W1850"/>
  <c r="W1851"/>
  <c r="W1852"/>
  <c r="W1853"/>
  <c r="W1854"/>
  <c r="W1855"/>
  <c r="W1856"/>
  <c r="W1857"/>
  <c r="W1858"/>
  <c r="W1859"/>
  <c r="W1860"/>
  <c r="W1861"/>
  <c r="W1862"/>
  <c r="W1863"/>
  <c r="W1864"/>
  <c r="W1865"/>
  <c r="W1866"/>
  <c r="W1867"/>
  <c r="W1868"/>
  <c r="W1869"/>
  <c r="W1870"/>
  <c r="W1871"/>
  <c r="W1872"/>
  <c r="W1873"/>
  <c r="W1874"/>
  <c r="W1875"/>
  <c r="W1876"/>
  <c r="W1877"/>
  <c r="W1878"/>
  <c r="W1879"/>
  <c r="W1880"/>
  <c r="W1881"/>
  <c r="W1882"/>
  <c r="W1883"/>
  <c r="W1884"/>
  <c r="W1885"/>
  <c r="W1886"/>
  <c r="W1887"/>
  <c r="W1888"/>
  <c r="W1889"/>
  <c r="W1890"/>
  <c r="W1891"/>
  <c r="W1892"/>
  <c r="W1893"/>
  <c r="W1894"/>
  <c r="W1895"/>
  <c r="W1896"/>
  <c r="W1897"/>
  <c r="W1898"/>
  <c r="W1899"/>
  <c r="W1900"/>
  <c r="W1901"/>
  <c r="W1902"/>
  <c r="W1903"/>
  <c r="W1904"/>
  <c r="W1905"/>
  <c r="W1906"/>
  <c r="W1907"/>
  <c r="W1908"/>
  <c r="W1909"/>
  <c r="W1910"/>
  <c r="W1911"/>
  <c r="W1912"/>
  <c r="W1913"/>
  <c r="W1914"/>
  <c r="W1915"/>
  <c r="W1916"/>
  <c r="W1917"/>
  <c r="W1918"/>
  <c r="W1919"/>
  <c r="W1920"/>
  <c r="W1921"/>
  <c r="W1922"/>
  <c r="W1923"/>
  <c r="W1924"/>
  <c r="W1925"/>
  <c r="W1926"/>
  <c r="W1927"/>
  <c r="W1928"/>
  <c r="W1929"/>
  <c r="W1930"/>
  <c r="W1931"/>
  <c r="W1932"/>
  <c r="W1933"/>
  <c r="W1934"/>
  <c r="W1935"/>
  <c r="W1936"/>
  <c r="W1937"/>
  <c r="W1938"/>
  <c r="W1939"/>
  <c r="W1940"/>
  <c r="W1941"/>
  <c r="W1942"/>
  <c r="W1943"/>
  <c r="W1944"/>
  <c r="W1945"/>
  <c r="W1946"/>
  <c r="W1947"/>
  <c r="W1948"/>
  <c r="W1949"/>
  <c r="W1950"/>
  <c r="W1951"/>
  <c r="W1952"/>
  <c r="W1953"/>
  <c r="W1954"/>
  <c r="W1955"/>
  <c r="W1956"/>
  <c r="W1957"/>
  <c r="W1958"/>
  <c r="W1959"/>
  <c r="W1960"/>
  <c r="W1961"/>
  <c r="W1962"/>
  <c r="W1963"/>
  <c r="W1964"/>
  <c r="W1965"/>
  <c r="W1966"/>
  <c r="W1967"/>
  <c r="W1968"/>
  <c r="W1969"/>
  <c r="W1970"/>
  <c r="W1971"/>
  <c r="W1972"/>
  <c r="W1973"/>
  <c r="W1974"/>
  <c r="W1975"/>
  <c r="W1976"/>
  <c r="W1977"/>
  <c r="W1978"/>
  <c r="W1979"/>
  <c r="W1980"/>
  <c r="W1981"/>
  <c r="W1982"/>
  <c r="W1983"/>
  <c r="W1984"/>
  <c r="W1985"/>
  <c r="W1986"/>
  <c r="W1987"/>
  <c r="W1988"/>
  <c r="W1989"/>
  <c r="W1990"/>
  <c r="W1991"/>
  <c r="W1992"/>
  <c r="W1993"/>
  <c r="W1994"/>
  <c r="W1995"/>
  <c r="W1996"/>
  <c r="W1997"/>
  <c r="W1998"/>
  <c r="W1999"/>
  <c r="W2000"/>
  <c r="W2001"/>
  <c r="W2002"/>
  <c r="W2003"/>
  <c r="W2004"/>
  <c r="W2005"/>
  <c r="W2006"/>
  <c r="W2007"/>
  <c r="W2008"/>
  <c r="W2009"/>
  <c r="W2010"/>
  <c r="W2011"/>
  <c r="W2012"/>
  <c r="W2013"/>
  <c r="W2014"/>
  <c r="W2015"/>
  <c r="W2016"/>
  <c r="W2017"/>
  <c r="W2018"/>
  <c r="W2019"/>
  <c r="W2020"/>
  <c r="W2021"/>
  <c r="W2022"/>
  <c r="W2023"/>
  <c r="W2024"/>
  <c r="W2025"/>
  <c r="W2026"/>
  <c r="W2027"/>
  <c r="W2028"/>
  <c r="W2029"/>
  <c r="W2030"/>
  <c r="W2031"/>
  <c r="W2032"/>
  <c r="W2033"/>
  <c r="W2034"/>
  <c r="W2035"/>
  <c r="W2036"/>
  <c r="W2037"/>
  <c r="W2038"/>
  <c r="W2039"/>
  <c r="W2040"/>
  <c r="W2041"/>
  <c r="W2042"/>
  <c r="W2043"/>
  <c r="W2044"/>
  <c r="W2045"/>
  <c r="W2046"/>
  <c r="W2047"/>
  <c r="W2048"/>
  <c r="W2049"/>
  <c r="W2050"/>
  <c r="W2051"/>
  <c r="W2052"/>
  <c r="W2053"/>
  <c r="W2054"/>
  <c r="W2055"/>
  <c r="W2056"/>
  <c r="W2057"/>
  <c r="W2058"/>
  <c r="W2059"/>
  <c r="W2060"/>
  <c r="W2061"/>
  <c r="W2062"/>
  <c r="W2063"/>
  <c r="W2064"/>
  <c r="W2065"/>
  <c r="W2066"/>
  <c r="W2067"/>
  <c r="W2068"/>
  <c r="W2069"/>
  <c r="W2070"/>
  <c r="W2071"/>
  <c r="W2072"/>
  <c r="W2073"/>
  <c r="W2074"/>
  <c r="W2075"/>
  <c r="W2076"/>
  <c r="W2077"/>
  <c r="W2078"/>
  <c r="W2079"/>
  <c r="W2080"/>
  <c r="W2081"/>
  <c r="W2082"/>
  <c r="W2083"/>
  <c r="W2084"/>
  <c r="W2085"/>
  <c r="W2086"/>
  <c r="W2087"/>
  <c r="W2088"/>
  <c r="W2089"/>
  <c r="W2090"/>
  <c r="W2091"/>
  <c r="W2092"/>
  <c r="W2093"/>
  <c r="W2094"/>
  <c r="W2095"/>
  <c r="W2096"/>
  <c r="W2097"/>
  <c r="W2098"/>
  <c r="W2099"/>
  <c r="W2100"/>
  <c r="W2101"/>
  <c r="W2102"/>
  <c r="W2103"/>
  <c r="W2104"/>
  <c r="W2105"/>
  <c r="W2106"/>
  <c r="W2107"/>
  <c r="W2108"/>
  <c r="W2109"/>
  <c r="W2110"/>
  <c r="W2111"/>
  <c r="W2112"/>
  <c r="W2113"/>
  <c r="W2114"/>
  <c r="W2115"/>
  <c r="W2116"/>
  <c r="W2117"/>
  <c r="W2118"/>
  <c r="W2119"/>
  <c r="W2120"/>
  <c r="W2121"/>
  <c r="W2122"/>
  <c r="W2123"/>
  <c r="W2124"/>
  <c r="W2125"/>
  <c r="W2126"/>
  <c r="W2127"/>
  <c r="W2128"/>
  <c r="W2129"/>
  <c r="W2130"/>
  <c r="W2131"/>
  <c r="W2132"/>
  <c r="W2133"/>
  <c r="W2134"/>
  <c r="W2135"/>
  <c r="W2136"/>
  <c r="W2137"/>
  <c r="W2138"/>
  <c r="W2139"/>
  <c r="W2140"/>
  <c r="W2141"/>
  <c r="W2142"/>
  <c r="W2143"/>
  <c r="W2144"/>
  <c r="W2145"/>
  <c r="W2146"/>
  <c r="W2147"/>
  <c r="W2148"/>
  <c r="W2149"/>
  <c r="W2150"/>
  <c r="W2151"/>
  <c r="W2152"/>
  <c r="W2153"/>
  <c r="W2154"/>
  <c r="W2155"/>
  <c r="W2156"/>
  <c r="W2157"/>
  <c r="W2158"/>
  <c r="W2159"/>
  <c r="W2160"/>
  <c r="W2161"/>
  <c r="W2162"/>
  <c r="W2163"/>
  <c r="W2164"/>
  <c r="W2165"/>
  <c r="W2166"/>
  <c r="W2167"/>
  <c r="W2168"/>
  <c r="W2169"/>
  <c r="W2170"/>
  <c r="W2171"/>
  <c r="W2172"/>
  <c r="W2173"/>
  <c r="W2174"/>
  <c r="W2175"/>
  <c r="W2176"/>
  <c r="W2177"/>
  <c r="W2178"/>
  <c r="W2179"/>
  <c r="W2180"/>
  <c r="W2181"/>
  <c r="W2182"/>
  <c r="W2183"/>
  <c r="W2184"/>
  <c r="W2185"/>
  <c r="W2186"/>
  <c r="W2187"/>
  <c r="W2188"/>
  <c r="W2189"/>
  <c r="W2190"/>
  <c r="W2191"/>
  <c r="W2192"/>
  <c r="W2193"/>
  <c r="W2194"/>
  <c r="W2195"/>
  <c r="W2196"/>
  <c r="W2197"/>
  <c r="W2198"/>
  <c r="W2199"/>
  <c r="W2200"/>
  <c r="W2201"/>
  <c r="W2202"/>
  <c r="W2203"/>
  <c r="W2204"/>
  <c r="W2205"/>
  <c r="W2206"/>
  <c r="W2207"/>
  <c r="W2208"/>
  <c r="W2209"/>
  <c r="W2210"/>
  <c r="W2211"/>
  <c r="W2212"/>
  <c r="W2213"/>
  <c r="W2214"/>
  <c r="W2215"/>
  <c r="W2216"/>
  <c r="W2217"/>
  <c r="W2218"/>
  <c r="W2219"/>
  <c r="W2220"/>
  <c r="W2221"/>
  <c r="W2222"/>
  <c r="W2223"/>
  <c r="W2224"/>
  <c r="W2225"/>
  <c r="W2226"/>
  <c r="W2227"/>
  <c r="W2228"/>
  <c r="W2229"/>
  <c r="W2230"/>
  <c r="W2231"/>
  <c r="W2232"/>
  <c r="W2233"/>
  <c r="W2234"/>
  <c r="W2235"/>
  <c r="W2236"/>
  <c r="W2237"/>
  <c r="W2238"/>
  <c r="W2239"/>
  <c r="W2240"/>
  <c r="W2241"/>
  <c r="W2242"/>
  <c r="W2243"/>
  <c r="W2244"/>
  <c r="W2245"/>
  <c r="W2246"/>
  <c r="W2247"/>
  <c r="W2248"/>
  <c r="W2249"/>
  <c r="W2250"/>
  <c r="W2251"/>
  <c r="W2252"/>
  <c r="W2253"/>
  <c r="W2254"/>
  <c r="W2255"/>
  <c r="W2256"/>
  <c r="W2257"/>
  <c r="W2258"/>
  <c r="W2259"/>
  <c r="W2260"/>
  <c r="W2261"/>
  <c r="W2262"/>
  <c r="W2263"/>
  <c r="W2264"/>
  <c r="W2265"/>
  <c r="W2266"/>
  <c r="W2267"/>
  <c r="W2268"/>
  <c r="W2269"/>
  <c r="W2270"/>
  <c r="W2271"/>
  <c r="W2272"/>
  <c r="W2273"/>
  <c r="W2274"/>
  <c r="W2275"/>
  <c r="W2276"/>
  <c r="W2277"/>
  <c r="W2278"/>
  <c r="W2279"/>
  <c r="W2280"/>
  <c r="W2281"/>
  <c r="W2282"/>
  <c r="W2283"/>
  <c r="W2284"/>
  <c r="W2285"/>
  <c r="W2286"/>
  <c r="W2287"/>
  <c r="W2288"/>
  <c r="W2289"/>
  <c r="W2290"/>
  <c r="W2291"/>
  <c r="W2292"/>
  <c r="W2293"/>
  <c r="W2294"/>
  <c r="W2295"/>
  <c r="W2296"/>
  <c r="W2297"/>
  <c r="W2298"/>
  <c r="W2299"/>
  <c r="W2300"/>
  <c r="W2301"/>
  <c r="W2302"/>
  <c r="W2303"/>
  <c r="W2304"/>
  <c r="W2305"/>
  <c r="W2306"/>
  <c r="W2307"/>
  <c r="W2308"/>
  <c r="W2309"/>
  <c r="W2310"/>
  <c r="W2311"/>
  <c r="W2312"/>
  <c r="W2313"/>
  <c r="W2314"/>
  <c r="W2315"/>
  <c r="W2316"/>
  <c r="W2317"/>
  <c r="W2318"/>
  <c r="W2319"/>
  <c r="W2320"/>
  <c r="W2321"/>
  <c r="W2322"/>
  <c r="W2323"/>
  <c r="W2324"/>
  <c r="W2325"/>
  <c r="W2326"/>
  <c r="W2327"/>
  <c r="W2328"/>
  <c r="W2329"/>
  <c r="W2330"/>
  <c r="W2331"/>
  <c r="W2332"/>
  <c r="W2333"/>
  <c r="W2334"/>
  <c r="W2335"/>
  <c r="W2336"/>
  <c r="W2337"/>
  <c r="W2338"/>
  <c r="W2339"/>
  <c r="W2340"/>
  <c r="W2341"/>
  <c r="W2342"/>
  <c r="W2343"/>
  <c r="W2344"/>
  <c r="W2345"/>
  <c r="W2346"/>
  <c r="W2347"/>
  <c r="W2348"/>
  <c r="W2349"/>
  <c r="W2350"/>
  <c r="W2351"/>
  <c r="W2352"/>
  <c r="W2353"/>
  <c r="W2354"/>
  <c r="W2355"/>
  <c r="W2356"/>
  <c r="W2357"/>
  <c r="W2358"/>
  <c r="W2359"/>
  <c r="W2360"/>
  <c r="W2361"/>
  <c r="W2362"/>
  <c r="W2363"/>
  <c r="W2364"/>
  <c r="W2365"/>
  <c r="W2366"/>
  <c r="W2367"/>
  <c r="W2368"/>
  <c r="W2369"/>
  <c r="W2370"/>
  <c r="W2371"/>
  <c r="W2372"/>
  <c r="W2373"/>
  <c r="W2374"/>
  <c r="W2375"/>
  <c r="W2376"/>
  <c r="W2377"/>
  <c r="W2378"/>
  <c r="W2379"/>
  <c r="W2380"/>
  <c r="W2381"/>
  <c r="W2382"/>
  <c r="W2383"/>
  <c r="W2384"/>
  <c r="W2385"/>
  <c r="W2386"/>
  <c r="W2387"/>
  <c r="W2388"/>
  <c r="W2389"/>
  <c r="W2390"/>
  <c r="W2391"/>
  <c r="W2392"/>
  <c r="W2393"/>
  <c r="W2394"/>
  <c r="W2395"/>
  <c r="W2396"/>
  <c r="W2397"/>
  <c r="W2398"/>
  <c r="W2399"/>
  <c r="W2400"/>
  <c r="W2401"/>
  <c r="W2402"/>
  <c r="W2403"/>
  <c r="W2404"/>
  <c r="W2405"/>
  <c r="W2406"/>
  <c r="W2407"/>
  <c r="W2408"/>
  <c r="W2409"/>
  <c r="W2410"/>
  <c r="W2411"/>
  <c r="W2412"/>
  <c r="W2413"/>
  <c r="W2414"/>
  <c r="W2415"/>
  <c r="W2416"/>
  <c r="W2417"/>
  <c r="W2418"/>
  <c r="W2419"/>
  <c r="W2420"/>
  <c r="W2421"/>
  <c r="W2422"/>
  <c r="W2423"/>
  <c r="W2424"/>
  <c r="W2425"/>
  <c r="W2426"/>
  <c r="W2427"/>
  <c r="W2428"/>
  <c r="W2429"/>
  <c r="W2430"/>
  <c r="W2431"/>
  <c r="W2432"/>
  <c r="W2433"/>
  <c r="W2434"/>
  <c r="W2435"/>
  <c r="W2436"/>
  <c r="W2437"/>
  <c r="W2438"/>
  <c r="W2439"/>
  <c r="W2440"/>
  <c r="W2441"/>
  <c r="W2442"/>
  <c r="W2443"/>
  <c r="W2444"/>
  <c r="W2445"/>
  <c r="W2446"/>
  <c r="W2447"/>
  <c r="W2448"/>
  <c r="W2449"/>
  <c r="W2450"/>
  <c r="W2451"/>
  <c r="W2452"/>
  <c r="W2453"/>
  <c r="W2454"/>
  <c r="W2455"/>
  <c r="W2456"/>
  <c r="W2457"/>
  <c r="W2458"/>
  <c r="W2459"/>
  <c r="W2460"/>
  <c r="W2461"/>
  <c r="W2462"/>
  <c r="W2463"/>
  <c r="W2464"/>
  <c r="W2465"/>
  <c r="W2466"/>
  <c r="W2467"/>
  <c r="W2468"/>
  <c r="W2469"/>
  <c r="W2470"/>
  <c r="W2471"/>
  <c r="W2472"/>
  <c r="W2473"/>
  <c r="W2474"/>
  <c r="W2475"/>
  <c r="W2476"/>
  <c r="W2477"/>
  <c r="W2478"/>
  <c r="W2479"/>
  <c r="W2480"/>
  <c r="W2481"/>
  <c r="W2482"/>
  <c r="W2483"/>
  <c r="W2484"/>
  <c r="W2485"/>
  <c r="W2486"/>
  <c r="W2487"/>
  <c r="W2488"/>
  <c r="W2489"/>
  <c r="W2490"/>
  <c r="W2491"/>
  <c r="W2492"/>
  <c r="W2493"/>
  <c r="W2494"/>
  <c r="W2495"/>
  <c r="W2496"/>
  <c r="W2497"/>
  <c r="W2498"/>
  <c r="W2499"/>
  <c r="W2500"/>
  <c r="W2501"/>
  <c r="W2502"/>
  <c r="W2503"/>
  <c r="W2504"/>
  <c r="W2505"/>
  <c r="W2506"/>
  <c r="W2507"/>
  <c r="W2508"/>
  <c r="W2509"/>
  <c r="W2510"/>
  <c r="W2511"/>
  <c r="W2512"/>
  <c r="W2513"/>
  <c r="W2514"/>
  <c r="W2515"/>
  <c r="W2516"/>
  <c r="W2517"/>
  <c r="W2518"/>
  <c r="W2519"/>
  <c r="W2520"/>
  <c r="W2521"/>
  <c r="W2522"/>
  <c r="W2523"/>
  <c r="W2524"/>
  <c r="W2525"/>
  <c r="W2526"/>
  <c r="W2527"/>
  <c r="W2528"/>
  <c r="W2529"/>
  <c r="W2530"/>
  <c r="W2531"/>
  <c r="W2532"/>
  <c r="W2533"/>
  <c r="W2534"/>
  <c r="W2535"/>
  <c r="W2536"/>
  <c r="W2537"/>
  <c r="W2538"/>
  <c r="W2539"/>
  <c r="W2540"/>
  <c r="W2541"/>
  <c r="W2542"/>
  <c r="W2543"/>
  <c r="W2544"/>
  <c r="W2545"/>
  <c r="W2546"/>
  <c r="W2547"/>
  <c r="W2548"/>
  <c r="O1783"/>
  <c r="R1783"/>
  <c r="O1784"/>
  <c r="R1784"/>
  <c r="O1785"/>
  <c r="R1785"/>
  <c r="O1786"/>
  <c r="R1786"/>
  <c r="O1787"/>
  <c r="R1787"/>
  <c r="O1788"/>
  <c r="R1788"/>
  <c r="O1789"/>
  <c r="R1789"/>
  <c r="O1790"/>
  <c r="R1790"/>
  <c r="O1791"/>
  <c r="R1791"/>
  <c r="O1792"/>
  <c r="R1792"/>
  <c r="O1793"/>
  <c r="R1793"/>
  <c r="O1794"/>
  <c r="R1794"/>
  <c r="O1795"/>
  <c r="R1795"/>
  <c r="O1796"/>
  <c r="R1796"/>
  <c r="O1797"/>
  <c r="R1797"/>
  <c r="O1798"/>
  <c r="R1798"/>
  <c r="O1799"/>
  <c r="R1799"/>
  <c r="O1800"/>
  <c r="R1800"/>
  <c r="O1801"/>
  <c r="R1801"/>
  <c r="O1802"/>
  <c r="R1802"/>
  <c r="O1803"/>
  <c r="R1803"/>
  <c r="O1804"/>
  <c r="R1804"/>
  <c r="O1805"/>
  <c r="R1805"/>
  <c r="O1806"/>
  <c r="R1806"/>
  <c r="O1807"/>
  <c r="R1807"/>
  <c r="O1808"/>
  <c r="R1808"/>
  <c r="O1809"/>
  <c r="R1809"/>
  <c r="O1810"/>
  <c r="R1810"/>
  <c r="O1811"/>
  <c r="R1811"/>
  <c r="O1812"/>
  <c r="R1812"/>
  <c r="O1813"/>
  <c r="R1813"/>
  <c r="O1814"/>
  <c r="R1814"/>
  <c r="O1815"/>
  <c r="R1815"/>
  <c r="O1816"/>
  <c r="R1816"/>
  <c r="O1817"/>
  <c r="R1817"/>
  <c r="O1818"/>
  <c r="R1818"/>
  <c r="O1819"/>
  <c r="R1819"/>
  <c r="O1820"/>
  <c r="R1820"/>
  <c r="O1821"/>
  <c r="R1821"/>
  <c r="O1822"/>
  <c r="R1822"/>
  <c r="O1823"/>
  <c r="R1823"/>
  <c r="O1824"/>
  <c r="R1824"/>
  <c r="O1825"/>
  <c r="R1825"/>
  <c r="O1826"/>
  <c r="R1826"/>
  <c r="O1827"/>
  <c r="R1827"/>
  <c r="O1828"/>
  <c r="R1828"/>
  <c r="O1829"/>
  <c r="R1829"/>
  <c r="O1830"/>
  <c r="R1830"/>
  <c r="O1831"/>
  <c r="R1831"/>
  <c r="O1832"/>
  <c r="R1832"/>
  <c r="O1833"/>
  <c r="R1833"/>
  <c r="O1834"/>
  <c r="R1834"/>
  <c r="O1835"/>
  <c r="R1835"/>
  <c r="O1836"/>
  <c r="R1836"/>
  <c r="O1837"/>
  <c r="R1837"/>
  <c r="O1838"/>
  <c r="R1838"/>
  <c r="O1839"/>
  <c r="R1839"/>
  <c r="O1840"/>
  <c r="R1840"/>
  <c r="O1841"/>
  <c r="R1841"/>
  <c r="O1842"/>
  <c r="R1842"/>
  <c r="O1843"/>
  <c r="R1843"/>
  <c r="O1844"/>
  <c r="R1844"/>
  <c r="O1845"/>
  <c r="R1845"/>
  <c r="O1846"/>
  <c r="R1846"/>
  <c r="O1847"/>
  <c r="R1847"/>
  <c r="O1848"/>
  <c r="R1848"/>
  <c r="O1849"/>
  <c r="R1849"/>
  <c r="O1850"/>
  <c r="R1850"/>
  <c r="O1851"/>
  <c r="R1851"/>
  <c r="O1852"/>
  <c r="R1852"/>
  <c r="O1853"/>
  <c r="R1853"/>
  <c r="O1854"/>
  <c r="R1854"/>
  <c r="O1855"/>
  <c r="R1855"/>
  <c r="O1856"/>
  <c r="R1856"/>
  <c r="O1857"/>
  <c r="R1857"/>
  <c r="O1858"/>
  <c r="R1858"/>
  <c r="O1859"/>
  <c r="R1859"/>
  <c r="O1860"/>
  <c r="R1860"/>
  <c r="O1861"/>
  <c r="R1861"/>
  <c r="O1862"/>
  <c r="R1862"/>
  <c r="O1863"/>
  <c r="R1863"/>
  <c r="O1864"/>
  <c r="R1864"/>
  <c r="O1865"/>
  <c r="R1865"/>
  <c r="O1866"/>
  <c r="R1866"/>
  <c r="O1867"/>
  <c r="R1867"/>
  <c r="O1868"/>
  <c r="R1868"/>
  <c r="O1869"/>
  <c r="R1869"/>
  <c r="O1870"/>
  <c r="R1870"/>
  <c r="O1871"/>
  <c r="R1871"/>
  <c r="O1872"/>
  <c r="R1872"/>
  <c r="O1873"/>
  <c r="R1873"/>
  <c r="O1874"/>
  <c r="R1874"/>
  <c r="O1875"/>
  <c r="R1875"/>
  <c r="O1876"/>
  <c r="R1876"/>
  <c r="O1877"/>
  <c r="R1877"/>
  <c r="O1878"/>
  <c r="R1878"/>
  <c r="O1879"/>
  <c r="R1879"/>
  <c r="O1880"/>
  <c r="R1880"/>
  <c r="O1881"/>
  <c r="R1881"/>
  <c r="O1882"/>
  <c r="R1882"/>
  <c r="O1883"/>
  <c r="R1883"/>
  <c r="O1884"/>
  <c r="R1884"/>
  <c r="O1885"/>
  <c r="R1885"/>
  <c r="O1886"/>
  <c r="R1886"/>
  <c r="O1887"/>
  <c r="R1887"/>
  <c r="O1888"/>
  <c r="R1888"/>
  <c r="O1889"/>
  <c r="R1889"/>
  <c r="O1890"/>
  <c r="R1890"/>
  <c r="O1891"/>
  <c r="R1891"/>
  <c r="O1892"/>
  <c r="R1892"/>
  <c r="O1893"/>
  <c r="R1893"/>
  <c r="O1894"/>
  <c r="R1894"/>
  <c r="O1895"/>
  <c r="R1895"/>
  <c r="O1896"/>
  <c r="R1896"/>
  <c r="O1897"/>
  <c r="R1897"/>
  <c r="O1898"/>
  <c r="R1898"/>
  <c r="O1899"/>
  <c r="R1899"/>
  <c r="O1900"/>
  <c r="R1900"/>
  <c r="O1901"/>
  <c r="R1901"/>
  <c r="O1902"/>
  <c r="R1902"/>
  <c r="O1903"/>
  <c r="R1903"/>
  <c r="O1904"/>
  <c r="R1904"/>
  <c r="O1905"/>
  <c r="R1905"/>
  <c r="O1906"/>
  <c r="R1906"/>
  <c r="O1907"/>
  <c r="R1907"/>
  <c r="O1908"/>
  <c r="R1908"/>
  <c r="O1909"/>
  <c r="R1909"/>
  <c r="O1910"/>
  <c r="R1910"/>
  <c r="O1911"/>
  <c r="R1911"/>
  <c r="O1912"/>
  <c r="R1912"/>
  <c r="O1913"/>
  <c r="R1913"/>
  <c r="O1914"/>
  <c r="R1914"/>
  <c r="O1915"/>
  <c r="R1915"/>
  <c r="O1916"/>
  <c r="R1916"/>
  <c r="O1917"/>
  <c r="R1917"/>
  <c r="O1918"/>
  <c r="R1918"/>
  <c r="O1919"/>
  <c r="R1919"/>
  <c r="O1920"/>
  <c r="R1920"/>
  <c r="O1921"/>
  <c r="R1921"/>
  <c r="O1922"/>
  <c r="R1922"/>
  <c r="O1923"/>
  <c r="R1923"/>
  <c r="O1924"/>
  <c r="R1924"/>
  <c r="O1925"/>
  <c r="R1925"/>
  <c r="O1926"/>
  <c r="R1926"/>
  <c r="O1927"/>
  <c r="R1927"/>
  <c r="O1928"/>
  <c r="R1928"/>
  <c r="O1929"/>
  <c r="R1929"/>
  <c r="O1930"/>
  <c r="R1930"/>
  <c r="O1931"/>
  <c r="R1931"/>
  <c r="O1932"/>
  <c r="R1932"/>
  <c r="O1933"/>
  <c r="R1933"/>
  <c r="O1934"/>
  <c r="R1934"/>
  <c r="O1935"/>
  <c r="R1935"/>
  <c r="O1936"/>
  <c r="R1936"/>
  <c r="O1937"/>
  <c r="R1937"/>
  <c r="O1938"/>
  <c r="R1938"/>
  <c r="O1939"/>
  <c r="R1939"/>
  <c r="O1940"/>
  <c r="R1940"/>
  <c r="O1941"/>
  <c r="R1941"/>
  <c r="O1942"/>
  <c r="R1942"/>
  <c r="O1943"/>
  <c r="R1943"/>
  <c r="O1944"/>
  <c r="R1944"/>
  <c r="O1945"/>
  <c r="R1945"/>
  <c r="O1946"/>
  <c r="R1946"/>
  <c r="O1947"/>
  <c r="R1947"/>
  <c r="O1948"/>
  <c r="R1948"/>
  <c r="O1949"/>
  <c r="R1949"/>
  <c r="O1950"/>
  <c r="R1950"/>
  <c r="O1951"/>
  <c r="R1951"/>
  <c r="O1952"/>
  <c r="R1952"/>
  <c r="O1953"/>
  <c r="R1953"/>
  <c r="O1954"/>
  <c r="R1954"/>
  <c r="O1955"/>
  <c r="R1955"/>
  <c r="O1956"/>
  <c r="R1956"/>
  <c r="O1957"/>
  <c r="R1957"/>
  <c r="O1958"/>
  <c r="R1958"/>
  <c r="O1959"/>
  <c r="R1959"/>
  <c r="O1960"/>
  <c r="R1960"/>
  <c r="O1961"/>
  <c r="R1961"/>
  <c r="O1962"/>
  <c r="R1962"/>
  <c r="O1963"/>
  <c r="R1963"/>
  <c r="O1964"/>
  <c r="R1964"/>
  <c r="O1965"/>
  <c r="R1965"/>
  <c r="O1966"/>
  <c r="R1966"/>
  <c r="O1967"/>
  <c r="R1967"/>
  <c r="O1968"/>
  <c r="R1968"/>
  <c r="O1969"/>
  <c r="R1969"/>
  <c r="O1970"/>
  <c r="R1970"/>
  <c r="O1971"/>
  <c r="R1971"/>
  <c r="O1972"/>
  <c r="R1972"/>
  <c r="O1973"/>
  <c r="R1973"/>
  <c r="O1974"/>
  <c r="R1974"/>
  <c r="O1975"/>
  <c r="R1975"/>
  <c r="O1976"/>
  <c r="R1976"/>
  <c r="O1977"/>
  <c r="R1977"/>
  <c r="O1978"/>
  <c r="R1978"/>
  <c r="O1979"/>
  <c r="R1979"/>
  <c r="O1980"/>
  <c r="R1980"/>
  <c r="O1981"/>
  <c r="R1981"/>
  <c r="O1982"/>
  <c r="R1982"/>
  <c r="O1983"/>
  <c r="R1983"/>
  <c r="O1984"/>
  <c r="R1984"/>
  <c r="O1985"/>
  <c r="R1985"/>
  <c r="O1986"/>
  <c r="R1986"/>
  <c r="O1987"/>
  <c r="R1987"/>
  <c r="O1988"/>
  <c r="R1988"/>
  <c r="O1989"/>
  <c r="R1989"/>
  <c r="O1990"/>
  <c r="R1990"/>
  <c r="O1991"/>
  <c r="R1991"/>
  <c r="O1992"/>
  <c r="R1992"/>
  <c r="O1993"/>
  <c r="R1993"/>
  <c r="O1994"/>
  <c r="R1994"/>
  <c r="O1995"/>
  <c r="R1995"/>
  <c r="O1996"/>
  <c r="R1996"/>
  <c r="O1997"/>
  <c r="R1997"/>
  <c r="O1998"/>
  <c r="R1998"/>
  <c r="O1999"/>
  <c r="R1999"/>
  <c r="O2000"/>
  <c r="R2000"/>
  <c r="O2001"/>
  <c r="R2001"/>
  <c r="O2002"/>
  <c r="R2002"/>
  <c r="O2003"/>
  <c r="R2003"/>
  <c r="O2004"/>
  <c r="R2004"/>
  <c r="O2005"/>
  <c r="R2005"/>
  <c r="O2006"/>
  <c r="R2006"/>
  <c r="O2007"/>
  <c r="R2007"/>
  <c r="O2008"/>
  <c r="R2008"/>
  <c r="O2009"/>
  <c r="R2009"/>
  <c r="O2010"/>
  <c r="R2010"/>
  <c r="O2011"/>
  <c r="R2011"/>
  <c r="O2012"/>
  <c r="R2012"/>
  <c r="O2013"/>
  <c r="R2013"/>
  <c r="O2014"/>
  <c r="R2014"/>
  <c r="O2015"/>
  <c r="R2015"/>
  <c r="O2016"/>
  <c r="R2016"/>
  <c r="O2017"/>
  <c r="R2017"/>
  <c r="O2018"/>
  <c r="R2018"/>
  <c r="O2019"/>
  <c r="R2019"/>
  <c r="O2020"/>
  <c r="R2020"/>
  <c r="O2021"/>
  <c r="R2021"/>
  <c r="O2022"/>
  <c r="R2022"/>
  <c r="O2023"/>
  <c r="R2023"/>
  <c r="O2024"/>
  <c r="R2024"/>
  <c r="O2025"/>
  <c r="R2025"/>
  <c r="O2026"/>
  <c r="R2026"/>
  <c r="O2027"/>
  <c r="R2027"/>
  <c r="O2028"/>
  <c r="R2028"/>
  <c r="O2029"/>
  <c r="R2029"/>
  <c r="O2030"/>
  <c r="R2030"/>
  <c r="O2031"/>
  <c r="R2031"/>
  <c r="O2032"/>
  <c r="R2032"/>
  <c r="O2033"/>
  <c r="R2033"/>
  <c r="O2034"/>
  <c r="R2034"/>
  <c r="O2035"/>
  <c r="R2035"/>
  <c r="O2036"/>
  <c r="R2036"/>
  <c r="O2037"/>
  <c r="R2037"/>
  <c r="O2038"/>
  <c r="R2038"/>
  <c r="O2039"/>
  <c r="R2039"/>
  <c r="O2040"/>
  <c r="R2040"/>
  <c r="O2041"/>
  <c r="R2041"/>
  <c r="O2042"/>
  <c r="R2042"/>
  <c r="O2043"/>
  <c r="R2043"/>
  <c r="O2044"/>
  <c r="R2044"/>
  <c r="O2045"/>
  <c r="R2045"/>
  <c r="O2046"/>
  <c r="R2046"/>
  <c r="O2047"/>
  <c r="R2047"/>
  <c r="O2048"/>
  <c r="R2048"/>
  <c r="O2049"/>
  <c r="R2049"/>
  <c r="O2050"/>
  <c r="R2050"/>
  <c r="O2051"/>
  <c r="R2051"/>
  <c r="O2052"/>
  <c r="R2052"/>
  <c r="O2053"/>
  <c r="R2053"/>
  <c r="O2054"/>
  <c r="R2054"/>
  <c r="O2055"/>
  <c r="R2055"/>
  <c r="O2056"/>
  <c r="R2056"/>
  <c r="O2057"/>
  <c r="R2057"/>
  <c r="O2058"/>
  <c r="R2058"/>
  <c r="O2059"/>
  <c r="R2059"/>
  <c r="O2060"/>
  <c r="R2060"/>
  <c r="O2061"/>
  <c r="R2061"/>
  <c r="O2062"/>
  <c r="R2062"/>
  <c r="O2063"/>
  <c r="R2063"/>
  <c r="O2064"/>
  <c r="R2064"/>
  <c r="O2065"/>
  <c r="R2065"/>
  <c r="O2066"/>
  <c r="R2066"/>
  <c r="O2067"/>
  <c r="R2067"/>
  <c r="O2068"/>
  <c r="R2068"/>
  <c r="O2069"/>
  <c r="R2069"/>
  <c r="O2070"/>
  <c r="R2070"/>
  <c r="O2071"/>
  <c r="R2071"/>
  <c r="O2072"/>
  <c r="R2072"/>
  <c r="O2073"/>
  <c r="R2073"/>
  <c r="O2074"/>
  <c r="R2074"/>
  <c r="O2075"/>
  <c r="R2075"/>
  <c r="O2076"/>
  <c r="R2076"/>
  <c r="O2077"/>
  <c r="R2077"/>
  <c r="O2078"/>
  <c r="R2078"/>
  <c r="O2079"/>
  <c r="R2079"/>
  <c r="O2080"/>
  <c r="R2080"/>
  <c r="O2081"/>
  <c r="R2081"/>
  <c r="O2082"/>
  <c r="R2082"/>
  <c r="O2083"/>
  <c r="R2083"/>
  <c r="O2084"/>
  <c r="R2084"/>
  <c r="O2085"/>
  <c r="R2085"/>
  <c r="O2086"/>
  <c r="R2086"/>
  <c r="O2087"/>
  <c r="R2087"/>
  <c r="O2088"/>
  <c r="R2088"/>
  <c r="O2089"/>
  <c r="R2089"/>
  <c r="O2090"/>
  <c r="R2090"/>
  <c r="O2091"/>
  <c r="R2091"/>
  <c r="O2092"/>
  <c r="R2092"/>
  <c r="O2093"/>
  <c r="R2093"/>
  <c r="O2094"/>
  <c r="R2094"/>
  <c r="O2095"/>
  <c r="R2095"/>
  <c r="O2096"/>
  <c r="R2096"/>
  <c r="O2097"/>
  <c r="R2097"/>
  <c r="O2098"/>
  <c r="R2098"/>
  <c r="O2099"/>
  <c r="R2099"/>
  <c r="O2100"/>
  <c r="R2100"/>
  <c r="O2101"/>
  <c r="R2101"/>
  <c r="O2102"/>
  <c r="R2102"/>
  <c r="O2103"/>
  <c r="R2103"/>
  <c r="O2104"/>
  <c r="R2104"/>
  <c r="O2105"/>
  <c r="R2105"/>
  <c r="O2106"/>
  <c r="R2106"/>
  <c r="O2107"/>
  <c r="R2107"/>
  <c r="O2108"/>
  <c r="R2108"/>
  <c r="O2109"/>
  <c r="R2109"/>
  <c r="O2110"/>
  <c r="R2110"/>
  <c r="O2111"/>
  <c r="R2111"/>
  <c r="O2112"/>
  <c r="R2112"/>
  <c r="O2113"/>
  <c r="R2113"/>
  <c r="O2114"/>
  <c r="R2114"/>
  <c r="O2115"/>
  <c r="R2115"/>
  <c r="O2116"/>
  <c r="R2116"/>
  <c r="O2117"/>
  <c r="R2117"/>
  <c r="O2118"/>
  <c r="R2118"/>
  <c r="O2119"/>
  <c r="R2119"/>
  <c r="O2120"/>
  <c r="R2120"/>
  <c r="O2121"/>
  <c r="R2121"/>
  <c r="O2122"/>
  <c r="R2122"/>
  <c r="O2123"/>
  <c r="R2123"/>
  <c r="O2124"/>
  <c r="R2124"/>
  <c r="O2125"/>
  <c r="R2125"/>
  <c r="O2126"/>
  <c r="R2126"/>
  <c r="O2127"/>
  <c r="R2127"/>
  <c r="O2128"/>
  <c r="R2128"/>
  <c r="O2129"/>
  <c r="R2129"/>
  <c r="O2130"/>
  <c r="R2130"/>
  <c r="O2131"/>
  <c r="R2131"/>
  <c r="O2132"/>
  <c r="R2132"/>
  <c r="O2133"/>
  <c r="R2133"/>
  <c r="O2134"/>
  <c r="R2134"/>
  <c r="O2135"/>
  <c r="R2135"/>
  <c r="O2136"/>
  <c r="R2136"/>
  <c r="O2137"/>
  <c r="R2137"/>
  <c r="O2138"/>
  <c r="R2138"/>
  <c r="O2139"/>
  <c r="R2139"/>
  <c r="O2140"/>
  <c r="R2140"/>
  <c r="O2141"/>
  <c r="R2141"/>
  <c r="O2142"/>
  <c r="R2142"/>
  <c r="O2143"/>
  <c r="R2143"/>
  <c r="O2144"/>
  <c r="R2144"/>
  <c r="O2145"/>
  <c r="R2145"/>
  <c r="O2146"/>
  <c r="R2146"/>
  <c r="O2147"/>
  <c r="R2147"/>
  <c r="O2148"/>
  <c r="R2148"/>
  <c r="O2149"/>
  <c r="R2149"/>
  <c r="O2150"/>
  <c r="R2150"/>
  <c r="O2151"/>
  <c r="R2151"/>
  <c r="O2152"/>
  <c r="R2152"/>
  <c r="O2153"/>
  <c r="R2153"/>
  <c r="O2154"/>
  <c r="R2154"/>
  <c r="O2155"/>
  <c r="R2155"/>
  <c r="O2156"/>
  <c r="R2156"/>
  <c r="O2157"/>
  <c r="R2157"/>
  <c r="O2158"/>
  <c r="R2158"/>
  <c r="O2159"/>
  <c r="R2159"/>
  <c r="O2160"/>
  <c r="R2160"/>
  <c r="O2161"/>
  <c r="R2161"/>
  <c r="O2162"/>
  <c r="R2162"/>
  <c r="O2163"/>
  <c r="R2163"/>
  <c r="O2164"/>
  <c r="R2164"/>
  <c r="O2165"/>
  <c r="R2165"/>
  <c r="O2166"/>
  <c r="R2166"/>
  <c r="O2167"/>
  <c r="R2167"/>
  <c r="O2168"/>
  <c r="R2168"/>
  <c r="O2169"/>
  <c r="R2169"/>
  <c r="O2170"/>
  <c r="R2170"/>
  <c r="O2171"/>
  <c r="R2171"/>
  <c r="O2172"/>
  <c r="R2172"/>
  <c r="O2173"/>
  <c r="R2173"/>
  <c r="O2174"/>
  <c r="R2174"/>
  <c r="O2175"/>
  <c r="R2175"/>
  <c r="O2176"/>
  <c r="R2176"/>
  <c r="O2177"/>
  <c r="R2177"/>
  <c r="O2178"/>
  <c r="R2178"/>
  <c r="O2179"/>
  <c r="R2179"/>
  <c r="O2180"/>
  <c r="R2180"/>
  <c r="O2181"/>
  <c r="R2181"/>
  <c r="O2182"/>
  <c r="R2182"/>
  <c r="O2183"/>
  <c r="R2183"/>
  <c r="O2184"/>
  <c r="R2184"/>
  <c r="O2185"/>
  <c r="R2185"/>
  <c r="O2186"/>
  <c r="R2186"/>
  <c r="O2187"/>
  <c r="R2187"/>
  <c r="O2188"/>
  <c r="R2188"/>
  <c r="O2189"/>
  <c r="R2189"/>
  <c r="O2190"/>
  <c r="R2190"/>
  <c r="O2191"/>
  <c r="R2191"/>
  <c r="O2192"/>
  <c r="R2192"/>
  <c r="O2193"/>
  <c r="R2193"/>
  <c r="O2194"/>
  <c r="R2194"/>
  <c r="O2195"/>
  <c r="R2195"/>
  <c r="O2196"/>
  <c r="R2196"/>
  <c r="O2197"/>
  <c r="R2197"/>
  <c r="O2198"/>
  <c r="R2198"/>
  <c r="O2199"/>
  <c r="R2199"/>
  <c r="O2200"/>
  <c r="R2200"/>
  <c r="O2201"/>
  <c r="R2201"/>
  <c r="O2202"/>
  <c r="R2202"/>
  <c r="O2203"/>
  <c r="R2203"/>
  <c r="O2204"/>
  <c r="R2204"/>
  <c r="O2205"/>
  <c r="R2205"/>
  <c r="O2206"/>
  <c r="R2206"/>
  <c r="O2207"/>
  <c r="R2207"/>
  <c r="O2208"/>
  <c r="R2208"/>
  <c r="O2209"/>
  <c r="R2209"/>
  <c r="O2210"/>
  <c r="R2210"/>
  <c r="O2211"/>
  <c r="R2211"/>
  <c r="O2212"/>
  <c r="R2212"/>
  <c r="O2213"/>
  <c r="R2213"/>
  <c r="O2214"/>
  <c r="R2214"/>
  <c r="O2215"/>
  <c r="R2215"/>
  <c r="O2216"/>
  <c r="R2216"/>
  <c r="O2217"/>
  <c r="R2217"/>
  <c r="O2218"/>
  <c r="R2218"/>
  <c r="O2219"/>
  <c r="R2219"/>
  <c r="O2220"/>
  <c r="R2220"/>
  <c r="O2221"/>
  <c r="R2221"/>
  <c r="O2222"/>
  <c r="R2222"/>
  <c r="O2223"/>
  <c r="R2223"/>
  <c r="O2224"/>
  <c r="R2224"/>
  <c r="O2225"/>
  <c r="R2225"/>
  <c r="O2226"/>
  <c r="R2226"/>
  <c r="O2227"/>
  <c r="R2227"/>
  <c r="O2228"/>
  <c r="R2228"/>
  <c r="O2229"/>
  <c r="R2229"/>
  <c r="O2230"/>
  <c r="R2230"/>
  <c r="O2231"/>
  <c r="R2231"/>
  <c r="O2232"/>
  <c r="R2232"/>
  <c r="O2233"/>
  <c r="R2233"/>
  <c r="O2234"/>
  <c r="R2234"/>
  <c r="O2235"/>
  <c r="R2235"/>
  <c r="O2236"/>
  <c r="R2236"/>
  <c r="O2237"/>
  <c r="R2237"/>
  <c r="O2238"/>
  <c r="R2238"/>
  <c r="O2239"/>
  <c r="R2239"/>
  <c r="O2240"/>
  <c r="R2240"/>
  <c r="O2241"/>
  <c r="R2241"/>
  <c r="O2242"/>
  <c r="R2242"/>
  <c r="O2243"/>
  <c r="R2243"/>
  <c r="O2244"/>
  <c r="R2244"/>
  <c r="O2245"/>
  <c r="R2245"/>
  <c r="O2246"/>
  <c r="R2246"/>
  <c r="O2247"/>
  <c r="R2247"/>
  <c r="O2248"/>
  <c r="R2248"/>
  <c r="O2249"/>
  <c r="R2249"/>
  <c r="O2250"/>
  <c r="R2250"/>
  <c r="O2251"/>
  <c r="R2251"/>
  <c r="O2252"/>
  <c r="R2252"/>
  <c r="O2253"/>
  <c r="R2253"/>
  <c r="O2254"/>
  <c r="R2254"/>
  <c r="O2255"/>
  <c r="R2255"/>
  <c r="O2256"/>
  <c r="R2256"/>
  <c r="O2257"/>
  <c r="R2257"/>
  <c r="O2258"/>
  <c r="R2258"/>
  <c r="O2259"/>
  <c r="R2259"/>
  <c r="O2260"/>
  <c r="R2260"/>
  <c r="O2261"/>
  <c r="R2261"/>
  <c r="O2262"/>
  <c r="R2262"/>
  <c r="O2263"/>
  <c r="R2263"/>
  <c r="O2264"/>
  <c r="R2264"/>
  <c r="O2265"/>
  <c r="R2265"/>
  <c r="O2266"/>
  <c r="R2266"/>
  <c r="O2267"/>
  <c r="R2267"/>
  <c r="O2268"/>
  <c r="R2268"/>
  <c r="O2269"/>
  <c r="R2269"/>
  <c r="O2270"/>
  <c r="R2270"/>
  <c r="O2271"/>
  <c r="R2271"/>
  <c r="O2272"/>
  <c r="R2272"/>
  <c r="O2273"/>
  <c r="R2273"/>
  <c r="O2274"/>
  <c r="R2274"/>
  <c r="O2275"/>
  <c r="R2275"/>
  <c r="O2276"/>
  <c r="R2276"/>
  <c r="O2277"/>
  <c r="R2277"/>
  <c r="O2278"/>
  <c r="R2278"/>
  <c r="O2279"/>
  <c r="R2279"/>
  <c r="O2280"/>
  <c r="R2280"/>
  <c r="O2281"/>
  <c r="R2281"/>
  <c r="O2282"/>
  <c r="R2282"/>
  <c r="O2283"/>
  <c r="R2283"/>
  <c r="O2284"/>
  <c r="R2284"/>
  <c r="O2285"/>
  <c r="R2285"/>
  <c r="O2286"/>
  <c r="R2286"/>
  <c r="O2287"/>
  <c r="R2287"/>
  <c r="O2288"/>
  <c r="R2288"/>
  <c r="O2289"/>
  <c r="R2289"/>
  <c r="O2290"/>
  <c r="R2290"/>
  <c r="O2291"/>
  <c r="R2291"/>
  <c r="O2292"/>
  <c r="R2292"/>
  <c r="O2293"/>
  <c r="R2293"/>
  <c r="O2294"/>
  <c r="R2294"/>
  <c r="O2295"/>
  <c r="R2295"/>
  <c r="O2296"/>
  <c r="R2296"/>
  <c r="O2297"/>
  <c r="R2297"/>
  <c r="O2298"/>
  <c r="R2298"/>
  <c r="O2299"/>
  <c r="R2299"/>
  <c r="O2300"/>
  <c r="R2300"/>
  <c r="O2301"/>
  <c r="R2301"/>
  <c r="O2302"/>
  <c r="R2302"/>
  <c r="O2303"/>
  <c r="R2303"/>
  <c r="O2304"/>
  <c r="R2304"/>
  <c r="O2305"/>
  <c r="R2305"/>
  <c r="O2306"/>
  <c r="R2306"/>
  <c r="O2307"/>
  <c r="R2307"/>
  <c r="O2308"/>
  <c r="R2308"/>
  <c r="O2309"/>
  <c r="R2309"/>
  <c r="O2310"/>
  <c r="R2310"/>
  <c r="O2311"/>
  <c r="R2311"/>
  <c r="O2312"/>
  <c r="R2312"/>
  <c r="O2313"/>
  <c r="R2313"/>
  <c r="O2314"/>
  <c r="R2314"/>
  <c r="O2315"/>
  <c r="R2315"/>
  <c r="O2316"/>
  <c r="R2316"/>
  <c r="O2317"/>
  <c r="R2317"/>
  <c r="O2318"/>
  <c r="R2318"/>
  <c r="O2319"/>
  <c r="R2319"/>
  <c r="O2320"/>
  <c r="R2320"/>
  <c r="O2321"/>
  <c r="R2321"/>
  <c r="O2322"/>
  <c r="R2322"/>
  <c r="O2323"/>
  <c r="R2323"/>
  <c r="O2324"/>
  <c r="R2324"/>
  <c r="O2325"/>
  <c r="R2325"/>
  <c r="O2326"/>
  <c r="R2326"/>
  <c r="O2327"/>
  <c r="R2327"/>
  <c r="O2328"/>
  <c r="R2328"/>
  <c r="O2329"/>
  <c r="R2329"/>
  <c r="O2330"/>
  <c r="R2330"/>
  <c r="O2331"/>
  <c r="R2331"/>
  <c r="O2332"/>
  <c r="R2332"/>
  <c r="O2333"/>
  <c r="R2333"/>
  <c r="O2334"/>
  <c r="R2334"/>
  <c r="O2335"/>
  <c r="R2335"/>
  <c r="O2336"/>
  <c r="R2336"/>
  <c r="O2337"/>
  <c r="R2337"/>
  <c r="O2338"/>
  <c r="R2338"/>
  <c r="O2339"/>
  <c r="R2339"/>
  <c r="O2340"/>
  <c r="R2340"/>
  <c r="O2341"/>
  <c r="R2341"/>
  <c r="O2342"/>
  <c r="R2342"/>
  <c r="O2343"/>
  <c r="R2343"/>
  <c r="O2344"/>
  <c r="R2344"/>
  <c r="O2345"/>
  <c r="R2345"/>
  <c r="O2346"/>
  <c r="R2346"/>
  <c r="O2347"/>
  <c r="R2347"/>
  <c r="O2348"/>
  <c r="R2348"/>
  <c r="O2349"/>
  <c r="R2349"/>
  <c r="O2350"/>
  <c r="R2350"/>
  <c r="O2351"/>
  <c r="R2351"/>
  <c r="O2352"/>
  <c r="R2352"/>
  <c r="O2353"/>
  <c r="R2353"/>
  <c r="O2354"/>
  <c r="R2354"/>
  <c r="O2355"/>
  <c r="R2355"/>
  <c r="O2356"/>
  <c r="R2356"/>
  <c r="O2357"/>
  <c r="R2357"/>
  <c r="O2358"/>
  <c r="R2358"/>
  <c r="O2359"/>
  <c r="R2359"/>
  <c r="O2360"/>
  <c r="R2360"/>
  <c r="O2361"/>
  <c r="R2361"/>
  <c r="O2362"/>
  <c r="R2362"/>
  <c r="O2363"/>
  <c r="R2363"/>
  <c r="O2364"/>
  <c r="R2364"/>
  <c r="O2365"/>
  <c r="R2365"/>
  <c r="O2366"/>
  <c r="R2366"/>
  <c r="O2367"/>
  <c r="R2367"/>
  <c r="O2368"/>
  <c r="R2368"/>
  <c r="O2369"/>
  <c r="R2369"/>
  <c r="O2370"/>
  <c r="R2370"/>
  <c r="O2371"/>
  <c r="R2371"/>
  <c r="O2372"/>
  <c r="R2372"/>
  <c r="O2373"/>
  <c r="R2373"/>
  <c r="O2374"/>
  <c r="R2374"/>
  <c r="O2375"/>
  <c r="R2375"/>
  <c r="O2376"/>
  <c r="R2376"/>
  <c r="O2377"/>
  <c r="R2377"/>
  <c r="O2378"/>
  <c r="R2378"/>
  <c r="O2379"/>
  <c r="R2379"/>
  <c r="O2380"/>
  <c r="R2380"/>
  <c r="O2381"/>
  <c r="R2381"/>
  <c r="O2382"/>
  <c r="R2382"/>
  <c r="O2383"/>
  <c r="R2383"/>
  <c r="O2384"/>
  <c r="R2384"/>
  <c r="O2385"/>
  <c r="R2385"/>
  <c r="O2386"/>
  <c r="R2386"/>
  <c r="O2387"/>
  <c r="R2387"/>
  <c r="O2388"/>
  <c r="R2388"/>
  <c r="O2389"/>
  <c r="R2389"/>
  <c r="O2390"/>
  <c r="R2390"/>
  <c r="O2391"/>
  <c r="R2391"/>
  <c r="O2392"/>
  <c r="R2392"/>
  <c r="O2393"/>
  <c r="R2393"/>
  <c r="O2394"/>
  <c r="R2394"/>
  <c r="O2395"/>
  <c r="R2395"/>
  <c r="O2396"/>
  <c r="R2396"/>
  <c r="O2397"/>
  <c r="R2397"/>
  <c r="O2398"/>
  <c r="R2398"/>
  <c r="O2399"/>
  <c r="R2399"/>
  <c r="O2400"/>
  <c r="R2400"/>
  <c r="O2401"/>
  <c r="R2401"/>
  <c r="O2402"/>
  <c r="R2402"/>
  <c r="O2403"/>
  <c r="R2403"/>
  <c r="O2404"/>
  <c r="R2404"/>
  <c r="O2405"/>
  <c r="R2405"/>
  <c r="O2406"/>
  <c r="R2406"/>
  <c r="O2407"/>
  <c r="R2407"/>
  <c r="O2408"/>
  <c r="R2408"/>
  <c r="O2409"/>
  <c r="R2409"/>
  <c r="O2410"/>
  <c r="R2410"/>
  <c r="O2411"/>
  <c r="R2411"/>
  <c r="O2412"/>
  <c r="R2412"/>
  <c r="O2413"/>
  <c r="R2413"/>
  <c r="O2414"/>
  <c r="R2414"/>
  <c r="O2415"/>
  <c r="R2415"/>
  <c r="O2416"/>
  <c r="R2416"/>
  <c r="O2417"/>
  <c r="R2417"/>
  <c r="O2418"/>
  <c r="R2418"/>
  <c r="O2419"/>
  <c r="R2419"/>
  <c r="O2420"/>
  <c r="R2420"/>
  <c r="O2421"/>
  <c r="R2421"/>
  <c r="O2422"/>
  <c r="R2422"/>
  <c r="O2423"/>
  <c r="R2423"/>
  <c r="O2424"/>
  <c r="R2424"/>
  <c r="O2425"/>
  <c r="R2425"/>
  <c r="O2426"/>
  <c r="R2426"/>
  <c r="O2427"/>
  <c r="R2427"/>
  <c r="O2428"/>
  <c r="R2428"/>
  <c r="O2429"/>
  <c r="R2429"/>
  <c r="O2430"/>
  <c r="R2430"/>
  <c r="O2431"/>
  <c r="R2431"/>
  <c r="O2432"/>
  <c r="R2432"/>
  <c r="O2433"/>
  <c r="R2433"/>
  <c r="O2434"/>
  <c r="R2434"/>
  <c r="O2435"/>
  <c r="R2435"/>
  <c r="O2436"/>
  <c r="R2436"/>
  <c r="O2437"/>
  <c r="R2437"/>
  <c r="O2438"/>
  <c r="R2438"/>
  <c r="O2439"/>
  <c r="R2439"/>
  <c r="O2440"/>
  <c r="R2440"/>
  <c r="O2441"/>
  <c r="R2441"/>
  <c r="O2442"/>
  <c r="R2442"/>
  <c r="O2443"/>
  <c r="R2443"/>
  <c r="O2444"/>
  <c r="R2444"/>
  <c r="O2445"/>
  <c r="R2445"/>
  <c r="O2446"/>
  <c r="R2446"/>
  <c r="O2447"/>
  <c r="R2447"/>
  <c r="O2448"/>
  <c r="R2448"/>
  <c r="O2449"/>
  <c r="R2449"/>
  <c r="O2450"/>
  <c r="R2450"/>
  <c r="O2451"/>
  <c r="R2451"/>
  <c r="O2452"/>
  <c r="R2452"/>
  <c r="O2453"/>
  <c r="R2453"/>
  <c r="O2454"/>
  <c r="R2454"/>
  <c r="O2455"/>
  <c r="R2455"/>
  <c r="O2456"/>
  <c r="R2456"/>
  <c r="O2457"/>
  <c r="R2457"/>
  <c r="O2458"/>
  <c r="R2458"/>
  <c r="O2459"/>
  <c r="R2459"/>
  <c r="O2460"/>
  <c r="R2460"/>
  <c r="O2461"/>
  <c r="R2461"/>
  <c r="O2462"/>
  <c r="R2462"/>
  <c r="O2463"/>
  <c r="R2463"/>
  <c r="O2464"/>
  <c r="R2464"/>
  <c r="O2465"/>
  <c r="R2465"/>
  <c r="O2466"/>
  <c r="R2466"/>
  <c r="O2467"/>
  <c r="R2467"/>
  <c r="O2468"/>
  <c r="R2468"/>
  <c r="O2469"/>
  <c r="R2469"/>
  <c r="O2470"/>
  <c r="R2470"/>
  <c r="O2471"/>
  <c r="R2471"/>
  <c r="O2472"/>
  <c r="R2472"/>
  <c r="O2473"/>
  <c r="R2473"/>
  <c r="O2474"/>
  <c r="R2474"/>
  <c r="O2475"/>
  <c r="R2475"/>
  <c r="O2476"/>
  <c r="R2476"/>
  <c r="O2477"/>
  <c r="R2477"/>
  <c r="O2478"/>
  <c r="R2478"/>
  <c r="O2479"/>
  <c r="R2479"/>
  <c r="O2480"/>
  <c r="R2480"/>
  <c r="O2481"/>
  <c r="R2481"/>
  <c r="O2482"/>
  <c r="R2482"/>
  <c r="O2483"/>
  <c r="R2483"/>
  <c r="O2484"/>
  <c r="R2484"/>
  <c r="O2485"/>
  <c r="R2485"/>
  <c r="O2486"/>
  <c r="R2486"/>
  <c r="O2487"/>
  <c r="R2487"/>
  <c r="O2488"/>
  <c r="R2488"/>
  <c r="O2489"/>
  <c r="R2489"/>
  <c r="O2490"/>
  <c r="R2490"/>
  <c r="O2491"/>
  <c r="R2491"/>
  <c r="O2492"/>
  <c r="R2492"/>
  <c r="O2493"/>
  <c r="R2493"/>
  <c r="O2494"/>
  <c r="R2494"/>
  <c r="O2495"/>
  <c r="R2495"/>
  <c r="O2496"/>
  <c r="R2496"/>
  <c r="O2497"/>
  <c r="R2497"/>
  <c r="O2498"/>
  <c r="R2498"/>
  <c r="O2499"/>
  <c r="R2499"/>
  <c r="O2500"/>
  <c r="R2500"/>
  <c r="O2501"/>
  <c r="R2501"/>
  <c r="O2502"/>
  <c r="R2502"/>
  <c r="O2503"/>
  <c r="R2503"/>
  <c r="O2504"/>
  <c r="R2504"/>
  <c r="O2505"/>
  <c r="R2505"/>
  <c r="O2506"/>
  <c r="R2506"/>
  <c r="O2507"/>
  <c r="R2507"/>
  <c r="O2508"/>
  <c r="R2508"/>
  <c r="O2509"/>
  <c r="R2509"/>
  <c r="O2510"/>
  <c r="R2510"/>
  <c r="O2511"/>
  <c r="R2511"/>
  <c r="O2512"/>
  <c r="R2512"/>
  <c r="O2513"/>
  <c r="R2513"/>
  <c r="O2514"/>
  <c r="R2514"/>
  <c r="O2515"/>
  <c r="R2515"/>
  <c r="O2516"/>
  <c r="R2516"/>
  <c r="O2517"/>
  <c r="R2517"/>
  <c r="O2518"/>
  <c r="R2518"/>
  <c r="O2519"/>
  <c r="R2519"/>
  <c r="O2520"/>
  <c r="R2520"/>
  <c r="O2521"/>
  <c r="R2521"/>
  <c r="O2522"/>
  <c r="R2522"/>
  <c r="O2523"/>
  <c r="R2523"/>
  <c r="O2524"/>
  <c r="R2524"/>
  <c r="O2525"/>
  <c r="R2525"/>
  <c r="O2526"/>
  <c r="R2526"/>
  <c r="O2527"/>
  <c r="R2527"/>
  <c r="O2528"/>
  <c r="R2528"/>
  <c r="O2529"/>
  <c r="R2529"/>
  <c r="O2530"/>
  <c r="R2530"/>
  <c r="O2531"/>
  <c r="R2531"/>
  <c r="O2532"/>
  <c r="R2532"/>
  <c r="O2533"/>
  <c r="R2533"/>
  <c r="O2534"/>
  <c r="R2534"/>
  <c r="O2535"/>
  <c r="R2535"/>
  <c r="O2536"/>
  <c r="R2536"/>
  <c r="O2537"/>
  <c r="R2537"/>
  <c r="O2538"/>
  <c r="R2538"/>
  <c r="O2539"/>
  <c r="R2539"/>
  <c r="O2540"/>
  <c r="R2540"/>
  <c r="O2541"/>
  <c r="R2541"/>
  <c r="O2542"/>
  <c r="R2542"/>
  <c r="O2543"/>
  <c r="R2543"/>
  <c r="O2544"/>
  <c r="R2544"/>
  <c r="O2545"/>
  <c r="R2545"/>
  <c r="O2546"/>
  <c r="R2546"/>
  <c r="O2547"/>
  <c r="R2547"/>
  <c r="O2548"/>
  <c r="R2548"/>
  <c r="W1738" l="1"/>
  <c r="W1781"/>
  <c r="W1777"/>
  <c r="W1773"/>
  <c r="W1769"/>
  <c r="W1765"/>
  <c r="W1761"/>
  <c r="W1757"/>
  <c r="W1753"/>
  <c r="W1749"/>
  <c r="W1745"/>
  <c r="W1741"/>
  <c r="W1737"/>
  <c r="W1733"/>
  <c r="W1729"/>
  <c r="R1727"/>
  <c r="R1728"/>
  <c r="R1729"/>
  <c r="R1730"/>
  <c r="R1731"/>
  <c r="R1732"/>
  <c r="R1733"/>
  <c r="R1734"/>
  <c r="R1735"/>
  <c r="R1736"/>
  <c r="R1737"/>
  <c r="R1738"/>
  <c r="R1739"/>
  <c r="R1740"/>
  <c r="R1741"/>
  <c r="R1742"/>
  <c r="R1743"/>
  <c r="R1744"/>
  <c r="R1745"/>
  <c r="R1746"/>
  <c r="R1747"/>
  <c r="R1748"/>
  <c r="R1749"/>
  <c r="R1750"/>
  <c r="R1751"/>
  <c r="R1752"/>
  <c r="R1753"/>
  <c r="R1754"/>
  <c r="R1755"/>
  <c r="R1756"/>
  <c r="R1757"/>
  <c r="R1758"/>
  <c r="R1759"/>
  <c r="R1760"/>
  <c r="R1761"/>
  <c r="R1762"/>
  <c r="R1763"/>
  <c r="R1764"/>
  <c r="R1765"/>
  <c r="R1766"/>
  <c r="R1767"/>
  <c r="R1768"/>
  <c r="R1769"/>
  <c r="R1770"/>
  <c r="R1771"/>
  <c r="R1772"/>
  <c r="R1773"/>
  <c r="R1774"/>
  <c r="R1775"/>
  <c r="R1776"/>
  <c r="R1777"/>
  <c r="R1778"/>
  <c r="R1779"/>
  <c r="R1780"/>
  <c r="R1781"/>
  <c r="R1782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W1727"/>
  <c r="W1728"/>
  <c r="W1730"/>
  <c r="W1731"/>
  <c r="W1732"/>
  <c r="W1734"/>
  <c r="W1735"/>
  <c r="W1736"/>
  <c r="W1739"/>
  <c r="W1740"/>
  <c r="W1742"/>
  <c r="W1743"/>
  <c r="W1744"/>
  <c r="W1746"/>
  <c r="W1747"/>
  <c r="W1748"/>
  <c r="W1750"/>
  <c r="W1751"/>
  <c r="W1752"/>
  <c r="W1754"/>
  <c r="W1755"/>
  <c r="W1756"/>
  <c r="W1758"/>
  <c r="W1759"/>
  <c r="W1760"/>
  <c r="W1762"/>
  <c r="W1763"/>
  <c r="W1764"/>
  <c r="W1766"/>
  <c r="W1767"/>
  <c r="W1768"/>
  <c r="W1770"/>
  <c r="W1771"/>
  <c r="W1772"/>
  <c r="W1774"/>
  <c r="W1775"/>
  <c r="W1776"/>
  <c r="W1778"/>
  <c r="W1779"/>
  <c r="W1780"/>
  <c r="W1782"/>
  <c r="W1726" l="1"/>
  <c r="W1725"/>
  <c r="W1724"/>
  <c r="W1723"/>
  <c r="W1722"/>
  <c r="W1721"/>
  <c r="W1720"/>
  <c r="W1719"/>
  <c r="W1718"/>
  <c r="W1717"/>
  <c r="W1716"/>
  <c r="W1715"/>
  <c r="W1714"/>
  <c r="W1713"/>
  <c r="W1712"/>
  <c r="W1711"/>
  <c r="W1710"/>
  <c r="W1709"/>
  <c r="W1708"/>
  <c r="W1707"/>
  <c r="W1706"/>
  <c r="W1705"/>
  <c r="W1704"/>
  <c r="W1703"/>
  <c r="W1702"/>
  <c r="W1701"/>
  <c r="W1700"/>
  <c r="W1699"/>
  <c r="W1698"/>
  <c r="W1697"/>
  <c r="W1696"/>
  <c r="W1695"/>
  <c r="W1694"/>
  <c r="W1693"/>
  <c r="W1692"/>
  <c r="W1691"/>
  <c r="W1690"/>
  <c r="W1689"/>
  <c r="W1688"/>
  <c r="W1687"/>
  <c r="W1686"/>
  <c r="W1685"/>
  <c r="W1684"/>
  <c r="W1683"/>
  <c r="W1682"/>
  <c r="W1681"/>
  <c r="W1680"/>
  <c r="W1679"/>
  <c r="W1678"/>
  <c r="W1677"/>
  <c r="W1676"/>
  <c r="W1675"/>
  <c r="W1674"/>
  <c r="W1673"/>
  <c r="W1672"/>
  <c r="W1671"/>
  <c r="W1670"/>
  <c r="W1669"/>
  <c r="W1668"/>
  <c r="W1667"/>
  <c r="W1666"/>
  <c r="W1665"/>
  <c r="W1664"/>
  <c r="W1663"/>
  <c r="W1662"/>
  <c r="W1661"/>
  <c r="W1660"/>
  <c r="W1659"/>
  <c r="W1658"/>
  <c r="W1657"/>
  <c r="W1656"/>
  <c r="W1655"/>
  <c r="W1654"/>
  <c r="W1653"/>
  <c r="S1726"/>
  <c r="R1726"/>
  <c r="P1726"/>
  <c r="O1726"/>
  <c r="S1725"/>
  <c r="R1725"/>
  <c r="P1725"/>
  <c r="O1725"/>
  <c r="S1724"/>
  <c r="R1724"/>
  <c r="P1724"/>
  <c r="O1724"/>
  <c r="S1723"/>
  <c r="R1723"/>
  <c r="P1723"/>
  <c r="O1723"/>
  <c r="S1722"/>
  <c r="R1722"/>
  <c r="P1722"/>
  <c r="O1722"/>
  <c r="S1721"/>
  <c r="R1721"/>
  <c r="P1721"/>
  <c r="O1721"/>
  <c r="S1720"/>
  <c r="R1720"/>
  <c r="P1720"/>
  <c r="O1720"/>
  <c r="S1719"/>
  <c r="R1719"/>
  <c r="P1719"/>
  <c r="O1719"/>
  <c r="S1718"/>
  <c r="R1718"/>
  <c r="P1718"/>
  <c r="O1718"/>
  <c r="S1717"/>
  <c r="R1717"/>
  <c r="P1717"/>
  <c r="O1717"/>
  <c r="S1716"/>
  <c r="R1716"/>
  <c r="P1716"/>
  <c r="O1716"/>
  <c r="S1715"/>
  <c r="R1715"/>
  <c r="P1715"/>
  <c r="O1715"/>
  <c r="S1714"/>
  <c r="R1714"/>
  <c r="P1714"/>
  <c r="O1714"/>
  <c r="S1713"/>
  <c r="R1713"/>
  <c r="P1713"/>
  <c r="O1713"/>
  <c r="S1712"/>
  <c r="R1712"/>
  <c r="P1712"/>
  <c r="O1712"/>
  <c r="S1711"/>
  <c r="R1711"/>
  <c r="P1711"/>
  <c r="O1711"/>
  <c r="S1710"/>
  <c r="R1710"/>
  <c r="P1710"/>
  <c r="O1710"/>
  <c r="S1709"/>
  <c r="R1709"/>
  <c r="P1709"/>
  <c r="O1709"/>
  <c r="S1708"/>
  <c r="R1708"/>
  <c r="P1708"/>
  <c r="O1708"/>
  <c r="S1707"/>
  <c r="R1707"/>
  <c r="P1707"/>
  <c r="O1707"/>
  <c r="S1706"/>
  <c r="R1706"/>
  <c r="P1706"/>
  <c r="O1706"/>
  <c r="S1705"/>
  <c r="R1705"/>
  <c r="P1705"/>
  <c r="O1705"/>
  <c r="S1704"/>
  <c r="R1704"/>
  <c r="P1704"/>
  <c r="O1704"/>
  <c r="S1703"/>
  <c r="R1703"/>
  <c r="P1703"/>
  <c r="O1703"/>
  <c r="S1702"/>
  <c r="R1702"/>
  <c r="P1702"/>
  <c r="O1702"/>
  <c r="S1701"/>
  <c r="R1701"/>
  <c r="P1701"/>
  <c r="O1701"/>
  <c r="S1700"/>
  <c r="R1700"/>
  <c r="P1700"/>
  <c r="O1700"/>
  <c r="S1699"/>
  <c r="R1699"/>
  <c r="P1699"/>
  <c r="O1699"/>
  <c r="S1698"/>
  <c r="R1698"/>
  <c r="P1698"/>
  <c r="O1698"/>
  <c r="S1697"/>
  <c r="R1697"/>
  <c r="P1697"/>
  <c r="O1697"/>
  <c r="S1696"/>
  <c r="R1696"/>
  <c r="P1696"/>
  <c r="O1696"/>
  <c r="S1695"/>
  <c r="R1695"/>
  <c r="P1695"/>
  <c r="O1695"/>
  <c r="S1694"/>
  <c r="R1694"/>
  <c r="P1694"/>
  <c r="O1694"/>
  <c r="S1693"/>
  <c r="R1693"/>
  <c r="P1693"/>
  <c r="O1693"/>
  <c r="S1692"/>
  <c r="R1692"/>
  <c r="P1692"/>
  <c r="O1692"/>
  <c r="S1691"/>
  <c r="R1691"/>
  <c r="P1691"/>
  <c r="O1691"/>
  <c r="S1690"/>
  <c r="R1690"/>
  <c r="P1690"/>
  <c r="O1690"/>
  <c r="S1689"/>
  <c r="R1689"/>
  <c r="P1689"/>
  <c r="O1689"/>
  <c r="S1688"/>
  <c r="R1688"/>
  <c r="P1688"/>
  <c r="O1688"/>
  <c r="S1687"/>
  <c r="R1687"/>
  <c r="P1687"/>
  <c r="O1687"/>
  <c r="S1686"/>
  <c r="R1686"/>
  <c r="P1686"/>
  <c r="O1686"/>
  <c r="S1685"/>
  <c r="R1685"/>
  <c r="P1685"/>
  <c r="O1685"/>
  <c r="S1684"/>
  <c r="R1684"/>
  <c r="P1684"/>
  <c r="O1684"/>
  <c r="S1683"/>
  <c r="R1683"/>
  <c r="P1683"/>
  <c r="O1683"/>
  <c r="S1682"/>
  <c r="R1682"/>
  <c r="P1682"/>
  <c r="O1682"/>
  <c r="S1681"/>
  <c r="R1681"/>
  <c r="P1681"/>
  <c r="O1681"/>
  <c r="S1680"/>
  <c r="R1680"/>
  <c r="P1680"/>
  <c r="O1680"/>
  <c r="S1679"/>
  <c r="R1679"/>
  <c r="P1679"/>
  <c r="O1679"/>
  <c r="S1678"/>
  <c r="R1678"/>
  <c r="P1678"/>
  <c r="O1678"/>
  <c r="S1677"/>
  <c r="R1677"/>
  <c r="P1677"/>
  <c r="O1677"/>
  <c r="S1676"/>
  <c r="R1676"/>
  <c r="P1676"/>
  <c r="O1676"/>
  <c r="S1675"/>
  <c r="R1675"/>
  <c r="P1675"/>
  <c r="O1675"/>
  <c r="S1674"/>
  <c r="R1674"/>
  <c r="P1674"/>
  <c r="O1674"/>
  <c r="S1673"/>
  <c r="R1673"/>
  <c r="P1673"/>
  <c r="O1673"/>
  <c r="S1672"/>
  <c r="R1672"/>
  <c r="P1672"/>
  <c r="O1672"/>
  <c r="S1671"/>
  <c r="R1671"/>
  <c r="P1671"/>
  <c r="O1671"/>
  <c r="S1670"/>
  <c r="R1670"/>
  <c r="P1670"/>
  <c r="O1670"/>
  <c r="S1669"/>
  <c r="R1669"/>
  <c r="P1669"/>
  <c r="O1669"/>
  <c r="S1668"/>
  <c r="R1668"/>
  <c r="P1668"/>
  <c r="O1668"/>
  <c r="S1667"/>
  <c r="R1667"/>
  <c r="P1667"/>
  <c r="O1667"/>
  <c r="S1666"/>
  <c r="R1666"/>
  <c r="P1666"/>
  <c r="O1666"/>
  <c r="S1665"/>
  <c r="R1665"/>
  <c r="P1665"/>
  <c r="O1665"/>
  <c r="S1664"/>
  <c r="R1664"/>
  <c r="P1664"/>
  <c r="O1664"/>
  <c r="S1663"/>
  <c r="R1663"/>
  <c r="P1663"/>
  <c r="O1663"/>
  <c r="S1662"/>
  <c r="R1662"/>
  <c r="P1662"/>
  <c r="O1662"/>
  <c r="S1661"/>
  <c r="R1661"/>
  <c r="P1661"/>
  <c r="O1661"/>
  <c r="S1660"/>
  <c r="R1660"/>
  <c r="P1660"/>
  <c r="O1660"/>
  <c r="S1659"/>
  <c r="R1659"/>
  <c r="P1659"/>
  <c r="O1659"/>
  <c r="S1658"/>
  <c r="R1658"/>
  <c r="P1658"/>
  <c r="O1658"/>
  <c r="S1657"/>
  <c r="R1657"/>
  <c r="P1657"/>
  <c r="O1657"/>
  <c r="S1656"/>
  <c r="R1656"/>
  <c r="P1656"/>
  <c r="O1656"/>
  <c r="S1655"/>
  <c r="R1655"/>
  <c r="P1655"/>
  <c r="O1655"/>
  <c r="S1654"/>
  <c r="R1654"/>
  <c r="P1654"/>
  <c r="O1654"/>
  <c r="S1653"/>
  <c r="R1653"/>
  <c r="P1653"/>
  <c r="O1653"/>
  <c r="M1726"/>
  <c r="T1726" s="1"/>
  <c r="M1725"/>
  <c r="T1725" s="1"/>
  <c r="M1724"/>
  <c r="T1724" s="1"/>
  <c r="M1723"/>
  <c r="T1723" s="1"/>
  <c r="M1722"/>
  <c r="T1722" s="1"/>
  <c r="M1721"/>
  <c r="T1721" s="1"/>
  <c r="M1720"/>
  <c r="T1720" s="1"/>
  <c r="M1719"/>
  <c r="T1719" s="1"/>
  <c r="M1718"/>
  <c r="T1718" s="1"/>
  <c r="M1717"/>
  <c r="T1717" s="1"/>
  <c r="M1716"/>
  <c r="T1716" s="1"/>
  <c r="M1715"/>
  <c r="T1715" s="1"/>
  <c r="M1714"/>
  <c r="T1714" s="1"/>
  <c r="M1713"/>
  <c r="T1713" s="1"/>
  <c r="M1712"/>
  <c r="T1712" s="1"/>
  <c r="M1711"/>
  <c r="T1711" s="1"/>
  <c r="M1710"/>
  <c r="T1710" s="1"/>
  <c r="M1709"/>
  <c r="T1709" s="1"/>
  <c r="M1708"/>
  <c r="T1708" s="1"/>
  <c r="M1707"/>
  <c r="T1707" s="1"/>
  <c r="M1706"/>
  <c r="T1706" s="1"/>
  <c r="M1705"/>
  <c r="T1705" s="1"/>
  <c r="M1704"/>
  <c r="T1704" s="1"/>
  <c r="M1703"/>
  <c r="T1703" s="1"/>
  <c r="M1702"/>
  <c r="T1702" s="1"/>
  <c r="M1701"/>
  <c r="T1701" s="1"/>
  <c r="M1700"/>
  <c r="T1700" s="1"/>
  <c r="M1699"/>
  <c r="T1699" s="1"/>
  <c r="M1698"/>
  <c r="T1698" s="1"/>
  <c r="M1697"/>
  <c r="T1697" s="1"/>
  <c r="M1696"/>
  <c r="T1696" s="1"/>
  <c r="M1695"/>
  <c r="T1695" s="1"/>
  <c r="M1694"/>
  <c r="T1694" s="1"/>
  <c r="M1693"/>
  <c r="T1693" s="1"/>
  <c r="M1692"/>
  <c r="T1692" s="1"/>
  <c r="M1691"/>
  <c r="T1691" s="1"/>
  <c r="M1690"/>
  <c r="T1690" s="1"/>
  <c r="M1689"/>
  <c r="T1689" s="1"/>
  <c r="M1688"/>
  <c r="T1688" s="1"/>
  <c r="M1687"/>
  <c r="T1687" s="1"/>
  <c r="M1686"/>
  <c r="T1686" s="1"/>
  <c r="M1685"/>
  <c r="T1685" s="1"/>
  <c r="M1684"/>
  <c r="T1684" s="1"/>
  <c r="M1683"/>
  <c r="T1683" s="1"/>
  <c r="M1682"/>
  <c r="T1682" s="1"/>
  <c r="M1681"/>
  <c r="T1681" s="1"/>
  <c r="M1680"/>
  <c r="T1680" s="1"/>
  <c r="M1679"/>
  <c r="T1679" s="1"/>
  <c r="M1678"/>
  <c r="T1678" s="1"/>
  <c r="M1677"/>
  <c r="T1677" s="1"/>
  <c r="M1676"/>
  <c r="T1676" s="1"/>
  <c r="M1675"/>
  <c r="T1675" s="1"/>
  <c r="M1674"/>
  <c r="T1674" s="1"/>
  <c r="M1673"/>
  <c r="T1673" s="1"/>
  <c r="M1672"/>
  <c r="T1672" s="1"/>
  <c r="M1671"/>
  <c r="T1671" s="1"/>
  <c r="M1670"/>
  <c r="T1670" s="1"/>
  <c r="M1669"/>
  <c r="T1669" s="1"/>
  <c r="M1668"/>
  <c r="T1668" s="1"/>
  <c r="M1667"/>
  <c r="T1667" s="1"/>
  <c r="M1666"/>
  <c r="T1666" s="1"/>
  <c r="M1665"/>
  <c r="T1665" s="1"/>
  <c r="M1664"/>
  <c r="T1664" s="1"/>
  <c r="M1663"/>
  <c r="T1663" s="1"/>
  <c r="M1662"/>
  <c r="T1662" s="1"/>
  <c r="M1661"/>
  <c r="T1661" s="1"/>
  <c r="M1660"/>
  <c r="T1660" s="1"/>
  <c r="M1659"/>
  <c r="T1659" s="1"/>
  <c r="M1658"/>
  <c r="T1658" s="1"/>
  <c r="M1657"/>
  <c r="T1657" s="1"/>
  <c r="M1656"/>
  <c r="T1656" s="1"/>
  <c r="M1655"/>
  <c r="T1655" s="1"/>
  <c r="M1654"/>
  <c r="T1654" s="1"/>
  <c r="M1653"/>
  <c r="T1653" s="1"/>
  <c r="J1726"/>
  <c r="Q1726" s="1"/>
  <c r="J1725"/>
  <c r="Q1725" s="1"/>
  <c r="J1724"/>
  <c r="Q1724" s="1"/>
  <c r="J1723"/>
  <c r="Q1723" s="1"/>
  <c r="J1722"/>
  <c r="Q1722" s="1"/>
  <c r="J1721"/>
  <c r="Q1721" s="1"/>
  <c r="J1720"/>
  <c r="Q1720" s="1"/>
  <c r="J1719"/>
  <c r="Q1719" s="1"/>
  <c r="J1718"/>
  <c r="Q1718" s="1"/>
  <c r="J1717"/>
  <c r="Q1717" s="1"/>
  <c r="J1716"/>
  <c r="Q1716" s="1"/>
  <c r="J1715"/>
  <c r="Q1715" s="1"/>
  <c r="J1714"/>
  <c r="Q1714" s="1"/>
  <c r="J1713"/>
  <c r="Q1713" s="1"/>
  <c r="J1712"/>
  <c r="Q1712" s="1"/>
  <c r="J1711"/>
  <c r="Q1711" s="1"/>
  <c r="J1710"/>
  <c r="Q1710" s="1"/>
  <c r="J1709"/>
  <c r="Q1709" s="1"/>
  <c r="J1708"/>
  <c r="Q1708" s="1"/>
  <c r="J1707"/>
  <c r="Q1707" s="1"/>
  <c r="J1706"/>
  <c r="Q1706" s="1"/>
  <c r="J1705"/>
  <c r="Q1705" s="1"/>
  <c r="J1704"/>
  <c r="Q1704" s="1"/>
  <c r="J1703"/>
  <c r="Q1703" s="1"/>
  <c r="J1702"/>
  <c r="Q1702" s="1"/>
  <c r="J1701"/>
  <c r="Q1701" s="1"/>
  <c r="J1700"/>
  <c r="Q1700" s="1"/>
  <c r="J1699"/>
  <c r="Q1699" s="1"/>
  <c r="J1698"/>
  <c r="Q1698" s="1"/>
  <c r="J1697"/>
  <c r="Q1697" s="1"/>
  <c r="J1696"/>
  <c r="Q1696" s="1"/>
  <c r="J1695"/>
  <c r="Q1695" s="1"/>
  <c r="J1694"/>
  <c r="Q1694" s="1"/>
  <c r="J1693"/>
  <c r="Q1693" s="1"/>
  <c r="J1692"/>
  <c r="Q1692" s="1"/>
  <c r="J1691"/>
  <c r="Q1691" s="1"/>
  <c r="J1690"/>
  <c r="Q1690" s="1"/>
  <c r="J1689"/>
  <c r="Q1689" s="1"/>
  <c r="J1688"/>
  <c r="Q1688" s="1"/>
  <c r="J1687"/>
  <c r="Q1687" s="1"/>
  <c r="J1686"/>
  <c r="Q1686" s="1"/>
  <c r="J1685"/>
  <c r="Q1685" s="1"/>
  <c r="J1684"/>
  <c r="Q1684" s="1"/>
  <c r="J1683"/>
  <c r="Q1683" s="1"/>
  <c r="J1682"/>
  <c r="Q1682" s="1"/>
  <c r="J1681"/>
  <c r="Q1681" s="1"/>
  <c r="J1680"/>
  <c r="Q1680" s="1"/>
  <c r="J1679"/>
  <c r="Q1679" s="1"/>
  <c r="J1678"/>
  <c r="Q1678" s="1"/>
  <c r="J1677"/>
  <c r="Q1677" s="1"/>
  <c r="J1676"/>
  <c r="Q1676" s="1"/>
  <c r="J1675"/>
  <c r="Q1675" s="1"/>
  <c r="J1674"/>
  <c r="Q1674" s="1"/>
  <c r="J1673"/>
  <c r="Q1673" s="1"/>
  <c r="J1672"/>
  <c r="Q1672" s="1"/>
  <c r="J1671"/>
  <c r="Q1671" s="1"/>
  <c r="J1670"/>
  <c r="Q1670" s="1"/>
  <c r="J1669"/>
  <c r="Q1669" s="1"/>
  <c r="J1668"/>
  <c r="Q1668" s="1"/>
  <c r="J1667"/>
  <c r="Q1667" s="1"/>
  <c r="J1666"/>
  <c r="Q1666" s="1"/>
  <c r="J1665"/>
  <c r="Q1665" s="1"/>
  <c r="J1664"/>
  <c r="Q1664" s="1"/>
  <c r="J1663"/>
  <c r="Q1663" s="1"/>
  <c r="J1662"/>
  <c r="Q1662" s="1"/>
  <c r="J1661"/>
  <c r="Q1661" s="1"/>
  <c r="J1660"/>
  <c r="Q1660" s="1"/>
  <c r="J1659"/>
  <c r="Q1659" s="1"/>
  <c r="J1658"/>
  <c r="Q1658" s="1"/>
  <c r="J1657"/>
  <c r="Q1657" s="1"/>
  <c r="J1656"/>
  <c r="Q1656" s="1"/>
  <c r="J1655"/>
  <c r="Q1655" s="1"/>
  <c r="J1654"/>
  <c r="Q1654" s="1"/>
  <c r="J1653"/>
  <c r="Q1653" s="1"/>
  <c r="AB1556" l="1"/>
  <c r="AC1556"/>
  <c r="AB1558"/>
  <c r="AC1558"/>
  <c r="AB1560"/>
  <c r="AC1560"/>
  <c r="AB1561"/>
  <c r="AC1561"/>
  <c r="AB1563"/>
  <c r="AC1563"/>
  <c r="AB1564"/>
  <c r="AC1564"/>
  <c r="AB1565"/>
  <c r="AC1565"/>
  <c r="AB1566"/>
  <c r="AC1566"/>
  <c r="AB1567"/>
  <c r="AC1567"/>
  <c r="AB1568"/>
  <c r="AC1568"/>
  <c r="AB1569"/>
  <c r="AC1569"/>
  <c r="AC1555"/>
  <c r="AB1555"/>
  <c r="AC1519"/>
  <c r="AC1521"/>
  <c r="AC1522"/>
  <c r="AC1524"/>
  <c r="AC1525"/>
  <c r="AC1526"/>
  <c r="AC1527"/>
  <c r="AC1517"/>
  <c r="AB1519"/>
  <c r="AB1521"/>
  <c r="AB1522"/>
  <c r="AB1524"/>
  <c r="AB1525"/>
  <c r="AB1526"/>
  <c r="AB1527"/>
  <c r="AB1517"/>
  <c r="W1516" l="1"/>
  <c r="W1515"/>
  <c r="W1514"/>
  <c r="W1513"/>
  <c r="W1512"/>
  <c r="W1511"/>
  <c r="W1510"/>
  <c r="W1509"/>
  <c r="W1508"/>
  <c r="W1507"/>
  <c r="W1506"/>
  <c r="W1505"/>
  <c r="W1504"/>
  <c r="W1503"/>
  <c r="W1502"/>
  <c r="W1501"/>
  <c r="W1500"/>
  <c r="W1499"/>
  <c r="W1498"/>
  <c r="W1497"/>
  <c r="W1496"/>
  <c r="W1495"/>
  <c r="W1494"/>
  <c r="W1493"/>
  <c r="W1492"/>
  <c r="W1491"/>
  <c r="W1490"/>
  <c r="W1489"/>
  <c r="W1488"/>
  <c r="W1487"/>
  <c r="W1486"/>
  <c r="W1485"/>
  <c r="W1165"/>
  <c r="W1164"/>
  <c r="W1163"/>
  <c r="W1162"/>
  <c r="W1161"/>
  <c r="W1160"/>
  <c r="W1159"/>
  <c r="W1158"/>
  <c r="W1157"/>
  <c r="W1155"/>
  <c r="W1154"/>
  <c r="W1153"/>
  <c r="W1152"/>
  <c r="W1151"/>
  <c r="W1150"/>
  <c r="W1149"/>
  <c r="W1148"/>
  <c r="W1147"/>
  <c r="W1146"/>
  <c r="W1145"/>
  <c r="W1144"/>
  <c r="W1143"/>
  <c r="W1142"/>
  <c r="W1141"/>
  <c r="W1140"/>
  <c r="W1139"/>
  <c r="W1138"/>
  <c r="W1137"/>
  <c r="W1136"/>
  <c r="W1135"/>
  <c r="W1133"/>
  <c r="W1132"/>
  <c r="W1131"/>
  <c r="W1130"/>
  <c r="W1129"/>
  <c r="W1128"/>
  <c r="W314"/>
  <c r="W313"/>
  <c r="W312"/>
  <c r="W311"/>
  <c r="W310"/>
  <c r="W309"/>
  <c r="W308"/>
  <c r="W307"/>
  <c r="W306"/>
  <c r="W305"/>
  <c r="W304"/>
  <c r="W303"/>
  <c r="W302"/>
  <c r="W301"/>
  <c r="W300"/>
  <c r="W299"/>
  <c r="W298"/>
  <c r="W297"/>
  <c r="W296"/>
  <c r="W295"/>
  <c r="W294"/>
  <c r="W293"/>
  <c r="W292"/>
  <c r="W291"/>
  <c r="W290"/>
  <c r="W289"/>
  <c r="W288"/>
  <c r="W134"/>
  <c r="W133"/>
  <c r="W132"/>
  <c r="W131"/>
  <c r="W130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1168"/>
  <c r="W1169"/>
  <c r="W1170"/>
  <c r="W1171"/>
  <c r="W1172"/>
  <c r="W1173"/>
  <c r="W1174"/>
  <c r="W1175"/>
  <c r="W1176"/>
  <c r="W1177"/>
  <c r="W1178"/>
  <c r="W1179"/>
  <c r="W1180"/>
  <c r="W1181"/>
  <c r="W1182"/>
  <c r="W1183"/>
  <c r="W1184"/>
  <c r="W1185"/>
  <c r="W1186"/>
  <c r="W1187"/>
  <c r="W1188"/>
  <c r="W1189"/>
  <c r="W1190"/>
  <c r="W1191"/>
  <c r="W1192"/>
  <c r="W1193"/>
  <c r="W1194"/>
  <c r="W1195"/>
  <c r="W1196"/>
  <c r="W1197"/>
  <c r="W1198"/>
  <c r="W1199"/>
  <c r="W1200"/>
  <c r="W1201"/>
  <c r="W1202"/>
  <c r="W1203"/>
  <c r="W1204"/>
  <c r="W1205"/>
  <c r="W1206"/>
  <c r="W1207"/>
  <c r="W1208"/>
  <c r="W1209"/>
  <c r="W1210"/>
  <c r="W1211"/>
  <c r="W1212"/>
  <c r="W1213"/>
  <c r="W1214"/>
  <c r="W1215"/>
  <c r="W1216"/>
  <c r="W1217"/>
  <c r="W1218"/>
  <c r="W1219"/>
  <c r="W1220"/>
  <c r="W1221"/>
  <c r="W1222"/>
  <c r="W1223"/>
  <c r="W1224"/>
  <c r="W1225"/>
  <c r="W1226"/>
  <c r="W1227"/>
  <c r="W1228"/>
  <c r="W1229"/>
  <c r="W1230"/>
  <c r="W1231"/>
  <c r="W1232"/>
  <c r="W1233"/>
  <c r="W1234"/>
  <c r="W1235"/>
  <c r="W1236"/>
  <c r="W1237"/>
  <c r="W1238"/>
  <c r="W1239"/>
  <c r="W1240"/>
  <c r="W1241"/>
  <c r="W1242"/>
  <c r="W1243"/>
  <c r="W1244"/>
  <c r="W1245"/>
  <c r="W1246"/>
  <c r="W1247"/>
  <c r="W1248"/>
  <c r="W1249"/>
  <c r="W1250"/>
  <c r="W1251"/>
  <c r="W1252"/>
  <c r="W1253"/>
  <c r="W1254"/>
  <c r="W1255"/>
  <c r="W1256"/>
  <c r="W1257"/>
  <c r="W1258"/>
  <c r="W1259"/>
  <c r="W1260"/>
  <c r="W1261"/>
  <c r="W1262"/>
  <c r="W1263"/>
  <c r="W1264"/>
  <c r="W1265"/>
  <c r="W1266"/>
  <c r="W1267"/>
  <c r="W1268"/>
  <c r="W1269"/>
  <c r="W1270"/>
  <c r="W1271"/>
  <c r="W1272"/>
  <c r="W1273"/>
  <c r="W1274"/>
  <c r="W1275"/>
  <c r="W1276"/>
  <c r="W1277"/>
  <c r="W1278"/>
  <c r="W1279"/>
  <c r="W1280"/>
  <c r="W1281"/>
  <c r="W1282"/>
  <c r="W1283"/>
  <c r="W1284"/>
  <c r="W1285"/>
  <c r="W1286"/>
  <c r="W1287"/>
  <c r="W1288"/>
  <c r="W1289"/>
  <c r="W1290"/>
  <c r="W1291"/>
  <c r="W1292"/>
  <c r="W1293"/>
  <c r="W1294"/>
  <c r="W1295"/>
  <c r="W1296"/>
  <c r="W1297"/>
  <c r="W1298"/>
  <c r="W1299"/>
  <c r="W1300"/>
  <c r="W1301"/>
  <c r="W1302"/>
  <c r="W1303"/>
  <c r="W1304"/>
  <c r="W1305"/>
  <c r="W1306"/>
  <c r="W1307"/>
  <c r="W1308"/>
  <c r="W1309"/>
  <c r="W1310"/>
  <c r="W1311"/>
  <c r="W1312"/>
  <c r="W1313"/>
  <c r="W1314"/>
  <c r="W1315"/>
  <c r="W1316"/>
  <c r="W1317"/>
  <c r="W1318"/>
  <c r="W1319"/>
  <c r="W1320"/>
  <c r="W1321"/>
  <c r="W1322"/>
  <c r="W1323"/>
  <c r="W1324"/>
  <c r="W1325"/>
  <c r="W1326"/>
  <c r="W1327"/>
  <c r="W1328"/>
  <c r="W1329"/>
  <c r="W1330"/>
  <c r="W1331"/>
  <c r="W1332"/>
  <c r="W1333"/>
  <c r="W1334"/>
  <c r="W1335"/>
  <c r="W1336"/>
  <c r="W1337"/>
  <c r="W1338"/>
  <c r="W1339"/>
  <c r="W1340"/>
  <c r="W1341"/>
  <c r="W1342"/>
  <c r="W1343"/>
  <c r="W1344"/>
  <c r="W1345"/>
  <c r="W1346"/>
  <c r="W1347"/>
  <c r="W1348"/>
  <c r="W1349"/>
  <c r="W1350"/>
  <c r="W1351"/>
  <c r="W1352"/>
  <c r="W1353"/>
  <c r="W1354"/>
  <c r="W1355"/>
  <c r="W1356"/>
  <c r="W1357"/>
  <c r="W1358"/>
  <c r="W1359"/>
  <c r="W1360"/>
  <c r="W1361"/>
  <c r="W1362"/>
  <c r="W1363"/>
  <c r="W1364"/>
  <c r="W1365"/>
  <c r="W1366"/>
  <c r="W1367"/>
  <c r="W1368"/>
  <c r="W1369"/>
  <c r="W1370"/>
  <c r="W1371"/>
  <c r="W1372"/>
  <c r="W1373"/>
  <c r="W1374"/>
  <c r="W1375"/>
  <c r="W1376"/>
  <c r="W1377"/>
  <c r="W1378"/>
  <c r="W1379"/>
  <c r="W1380"/>
  <c r="W1381"/>
  <c r="W1382"/>
  <c r="W1383"/>
  <c r="W1384"/>
  <c r="W1385"/>
  <c r="W1386"/>
  <c r="W1387"/>
  <c r="W1388"/>
  <c r="W1389"/>
  <c r="W1390"/>
  <c r="W1391"/>
  <c r="W1392"/>
  <c r="W1393"/>
  <c r="W1394"/>
  <c r="W1395"/>
  <c r="W1396"/>
  <c r="W1397"/>
  <c r="W1398"/>
  <c r="W1399"/>
  <c r="W1400"/>
  <c r="W1401"/>
  <c r="W1402"/>
  <c r="W1403"/>
  <c r="W1404"/>
  <c r="W1405"/>
  <c r="W1406"/>
  <c r="W1407"/>
  <c r="W1408"/>
  <c r="W1409"/>
  <c r="W1410"/>
  <c r="W1411"/>
  <c r="W1412"/>
  <c r="W1413"/>
  <c r="W1414"/>
  <c r="W1415"/>
  <c r="W1416"/>
  <c r="W1417"/>
  <c r="W1418"/>
  <c r="W1419"/>
  <c r="W1420"/>
  <c r="W1421"/>
  <c r="W1422"/>
  <c r="W1423"/>
  <c r="W1424"/>
  <c r="W1425"/>
  <c r="W1426"/>
  <c r="W1427"/>
  <c r="W1428"/>
  <c r="W1429"/>
  <c r="W1430"/>
  <c r="W1431"/>
  <c r="W1432"/>
  <c r="W1433"/>
  <c r="W1434"/>
  <c r="W1435"/>
  <c r="W1436"/>
  <c r="W1437"/>
  <c r="W1438"/>
  <c r="W1439"/>
  <c r="W1440"/>
  <c r="W1441"/>
  <c r="W1442"/>
  <c r="W1443"/>
  <c r="W1444"/>
  <c r="W1445"/>
  <c r="W1446"/>
  <c r="W1447"/>
  <c r="W1448"/>
  <c r="W1449"/>
  <c r="W1450"/>
  <c r="W1451"/>
  <c r="W1452"/>
  <c r="W1453"/>
  <c r="W1454"/>
  <c r="W1455"/>
  <c r="W1456"/>
  <c r="W1457"/>
  <c r="W1458"/>
  <c r="W1459"/>
  <c r="W1460"/>
  <c r="W1461"/>
  <c r="W1462"/>
  <c r="W1652"/>
  <c r="W1651"/>
  <c r="W1650"/>
  <c r="W1649"/>
  <c r="W1648"/>
  <c r="W1647"/>
  <c r="W1646"/>
  <c r="W1645"/>
  <c r="W1644"/>
  <c r="W1643"/>
  <c r="W1642"/>
  <c r="W1641"/>
  <c r="W1640"/>
  <c r="W1639"/>
  <c r="W1638"/>
  <c r="W1637"/>
  <c r="W1627"/>
  <c r="W1626"/>
  <c r="W1625"/>
  <c r="W1624"/>
  <c r="W1623"/>
  <c r="W1622"/>
  <c r="W1621"/>
  <c r="W1620"/>
  <c r="W1619"/>
  <c r="W1618"/>
  <c r="W1617"/>
  <c r="W1616"/>
  <c r="W1615"/>
  <c r="W1614"/>
  <c r="W1613"/>
  <c r="W1612"/>
  <c r="W1611"/>
  <c r="W1610"/>
  <c r="W1609"/>
  <c r="W1608"/>
  <c r="W1607"/>
  <c r="W1606"/>
  <c r="W1605"/>
  <c r="W1604"/>
  <c r="W1603"/>
  <c r="W1602"/>
  <c r="W1601"/>
  <c r="W1600"/>
  <c r="W1599"/>
  <c r="W1598"/>
  <c r="W1597"/>
  <c r="W1596"/>
  <c r="W1595"/>
  <c r="W1594"/>
  <c r="W1593"/>
  <c r="W1592"/>
  <c r="W1591"/>
  <c r="W1590"/>
  <c r="W1589"/>
  <c r="W1588"/>
  <c r="W1587"/>
  <c r="W1586"/>
  <c r="W1585"/>
  <c r="W1584"/>
  <c r="W1583"/>
  <c r="W1582"/>
  <c r="W1581"/>
  <c r="W1580"/>
  <c r="W1576"/>
  <c r="W1575"/>
  <c r="W1633" l="1"/>
  <c r="W1631"/>
  <c r="W1632"/>
  <c r="W1636"/>
  <c r="W1634"/>
  <c r="W1635"/>
  <c r="W1630"/>
  <c r="W1629"/>
  <c r="W1628"/>
  <c r="W1572"/>
  <c r="W1571"/>
  <c r="W1568"/>
  <c r="W1567"/>
  <c r="W1566"/>
  <c r="W1565"/>
  <c r="W1564"/>
  <c r="W1563"/>
  <c r="W1561"/>
  <c r="W1560"/>
  <c r="W1558"/>
  <c r="W1556"/>
  <c r="W1555"/>
  <c r="W1554"/>
  <c r="W1553"/>
  <c r="W1552"/>
  <c r="W1551"/>
  <c r="W1550"/>
  <c r="W1549"/>
  <c r="W1548"/>
  <c r="W1547"/>
  <c r="W1546"/>
  <c r="W1545"/>
  <c r="W1544"/>
  <c r="W1543"/>
  <c r="W1542"/>
  <c r="W1541"/>
  <c r="W1540"/>
  <c r="W1539"/>
  <c r="W1538"/>
  <c r="W1537"/>
  <c r="W1536"/>
  <c r="W1535"/>
  <c r="W1534"/>
  <c r="W1533"/>
  <c r="W1532"/>
  <c r="W1529"/>
  <c r="W1528"/>
  <c r="W1527"/>
  <c r="W1526"/>
  <c r="W1525"/>
  <c r="W1524"/>
  <c r="W1522"/>
  <c r="W1521"/>
  <c r="W1519"/>
  <c r="W1517"/>
  <c r="W1484"/>
  <c r="W1483"/>
  <c r="W1482"/>
  <c r="W1481"/>
  <c r="W1480"/>
  <c r="W1479"/>
  <c r="W1478"/>
  <c r="W1477"/>
  <c r="W1476"/>
  <c r="W1475"/>
  <c r="W1474"/>
  <c r="W1473"/>
  <c r="W1472"/>
  <c r="W1471"/>
  <c r="W1470"/>
  <c r="W1469"/>
  <c r="W1468"/>
  <c r="W1467"/>
  <c r="W1466"/>
  <c r="W1465"/>
  <c r="W1464"/>
  <c r="W1463"/>
  <c r="W1127"/>
  <c r="W1126"/>
  <c r="W1125"/>
  <c r="W1124"/>
  <c r="W1123"/>
  <c r="W1122"/>
  <c r="W1121"/>
  <c r="W1120"/>
  <c r="W1119"/>
  <c r="W1118"/>
  <c r="W1117"/>
  <c r="W1116"/>
  <c r="W1115"/>
  <c r="W1114"/>
  <c r="W1113"/>
  <c r="W1112"/>
  <c r="W1111"/>
  <c r="W1110"/>
  <c r="W1109"/>
  <c r="W1108"/>
  <c r="W1107"/>
  <c r="W1106"/>
  <c r="W1105"/>
  <c r="W1104"/>
  <c r="W1103"/>
  <c r="W1102"/>
  <c r="W1101"/>
  <c r="W1100"/>
  <c r="W1099"/>
  <c r="W1098"/>
  <c r="W1097"/>
  <c r="W1096"/>
  <c r="W1095"/>
  <c r="W1094"/>
  <c r="W1093"/>
  <c r="W1092"/>
  <c r="W1091"/>
  <c r="W1090"/>
  <c r="W1089"/>
  <c r="W1088"/>
  <c r="W1087"/>
  <c r="W1086"/>
  <c r="W1085"/>
  <c r="W1084"/>
  <c r="W1083"/>
  <c r="W1082"/>
  <c r="W1081"/>
  <c r="W1080"/>
  <c r="W1079"/>
  <c r="W1078"/>
  <c r="W1077"/>
  <c r="W1076"/>
  <c r="W1075"/>
  <c r="W1074"/>
  <c r="W1073"/>
  <c r="W1072"/>
  <c r="W1071"/>
  <c r="W1070"/>
  <c r="W1069"/>
  <c r="W1068"/>
  <c r="W1067"/>
  <c r="W1066"/>
  <c r="W1065"/>
  <c r="W1064"/>
  <c r="W1063"/>
  <c r="W1062"/>
  <c r="W1061"/>
  <c r="W1060"/>
  <c r="W1059"/>
  <c r="W1058"/>
  <c r="W1057"/>
  <c r="W1056"/>
  <c r="W1055"/>
  <c r="W1054"/>
  <c r="W1053"/>
  <c r="W1052"/>
  <c r="W1051"/>
  <c r="W1050"/>
  <c r="W1049"/>
  <c r="W1048"/>
  <c r="W1047"/>
  <c r="W1046"/>
  <c r="W1045"/>
  <c r="W1044"/>
  <c r="W1043"/>
  <c r="W1042"/>
  <c r="W1041"/>
  <c r="W1040"/>
  <c r="W1039"/>
  <c r="W1038"/>
  <c r="W1037"/>
  <c r="W1036"/>
  <c r="W1035"/>
  <c r="W1034"/>
  <c r="W1033"/>
  <c r="W1032"/>
  <c r="W1031"/>
  <c r="W1030"/>
  <c r="W1029"/>
  <c r="W1028"/>
  <c r="W1027"/>
  <c r="W1026"/>
  <c r="W1025"/>
  <c r="W1024"/>
  <c r="W1023"/>
  <c r="W1022"/>
  <c r="W1021"/>
  <c r="W1020"/>
  <c r="W1019"/>
  <c r="W1018"/>
  <c r="W1017"/>
  <c r="W1016"/>
  <c r="W1015"/>
  <c r="W1014"/>
  <c r="W1013"/>
  <c r="W1012"/>
  <c r="W1011"/>
  <c r="W1010"/>
  <c r="W1009"/>
  <c r="W1008"/>
  <c r="W1007"/>
  <c r="W1006"/>
  <c r="W1005"/>
  <c r="W1004"/>
  <c r="W1003"/>
  <c r="W1002"/>
  <c r="W1001"/>
  <c r="W1000"/>
  <c r="W999"/>
  <c r="W998"/>
  <c r="W997"/>
  <c r="W996"/>
  <c r="W995"/>
  <c r="W994"/>
  <c r="W993"/>
  <c r="W992"/>
  <c r="W991"/>
  <c r="W990"/>
  <c r="W989"/>
  <c r="W988"/>
  <c r="W987"/>
  <c r="W986"/>
  <c r="W985"/>
  <c r="W984"/>
  <c r="W983"/>
  <c r="W982"/>
  <c r="W981"/>
  <c r="W980"/>
  <c r="W979"/>
  <c r="W978"/>
  <c r="W977"/>
  <c r="W976"/>
  <c r="W975"/>
  <c r="W974"/>
  <c r="W973"/>
  <c r="W972"/>
  <c r="W971"/>
  <c r="W970"/>
  <c r="W969"/>
  <c r="W968"/>
  <c r="W967"/>
  <c r="W966"/>
  <c r="W965"/>
  <c r="W964"/>
  <c r="W963"/>
  <c r="W962"/>
  <c r="W961"/>
  <c r="W960"/>
  <c r="W959"/>
  <c r="W958"/>
  <c r="W957"/>
  <c r="W956"/>
  <c r="W955"/>
  <c r="W954"/>
  <c r="W953"/>
  <c r="W952"/>
  <c r="W951"/>
  <c r="W950"/>
  <c r="W949"/>
  <c r="W948"/>
  <c r="W947"/>
  <c r="W946"/>
  <c r="W945"/>
  <c r="W944"/>
  <c r="W943"/>
  <c r="W942"/>
  <c r="W941"/>
  <c r="W940"/>
  <c r="W939"/>
  <c r="W938"/>
  <c r="W937"/>
  <c r="W936"/>
  <c r="W935"/>
  <c r="W934"/>
  <c r="W933"/>
  <c r="W932"/>
  <c r="W931"/>
  <c r="W930"/>
  <c r="W929"/>
  <c r="W928"/>
  <c r="W927"/>
  <c r="W926"/>
  <c r="W925"/>
  <c r="W924"/>
  <c r="W923"/>
  <c r="W922"/>
  <c r="W921"/>
  <c r="W920"/>
  <c r="W919"/>
  <c r="W918"/>
  <c r="W917"/>
  <c r="W916"/>
  <c r="W915"/>
  <c r="W914"/>
  <c r="W913"/>
  <c r="W912"/>
  <c r="W911"/>
  <c r="W910"/>
  <c r="W909"/>
  <c r="W908"/>
  <c r="W907"/>
  <c r="W906"/>
  <c r="W905"/>
  <c r="W904"/>
  <c r="W903"/>
  <c r="W902"/>
  <c r="W901"/>
  <c r="W900"/>
  <c r="W899"/>
  <c r="W898"/>
  <c r="W897"/>
  <c r="W896"/>
  <c r="W895"/>
  <c r="W894"/>
  <c r="W893"/>
  <c r="W892"/>
  <c r="W891"/>
  <c r="W890"/>
  <c r="W889"/>
  <c r="W888"/>
  <c r="W887"/>
  <c r="W886"/>
  <c r="W885"/>
  <c r="W884"/>
  <c r="W883"/>
  <c r="W882"/>
  <c r="W881"/>
  <c r="W880"/>
  <c r="W879"/>
  <c r="W878"/>
  <c r="W877"/>
  <c r="W876"/>
  <c r="W875"/>
  <c r="W874"/>
  <c r="W873"/>
  <c r="W872"/>
  <c r="W871"/>
  <c r="W870"/>
  <c r="W869"/>
  <c r="W868"/>
  <c r="W867"/>
  <c r="W866"/>
  <c r="W865"/>
  <c r="W864"/>
  <c r="W863"/>
  <c r="W862"/>
  <c r="W861"/>
  <c r="W860"/>
  <c r="W859"/>
  <c r="W858"/>
  <c r="W857"/>
  <c r="W856"/>
  <c r="W855"/>
  <c r="W854"/>
  <c r="W853"/>
  <c r="W852"/>
  <c r="W851"/>
  <c r="W850"/>
  <c r="W849"/>
  <c r="W848"/>
  <c r="W847"/>
  <c r="W846"/>
  <c r="W845"/>
  <c r="W844"/>
  <c r="W843"/>
  <c r="W842"/>
  <c r="W841"/>
  <c r="W840"/>
  <c r="W839"/>
  <c r="W838"/>
  <c r="W837"/>
  <c r="W836"/>
  <c r="W835"/>
  <c r="W834"/>
  <c r="W833"/>
  <c r="W832"/>
  <c r="W831"/>
  <c r="W830"/>
  <c r="W829"/>
  <c r="W828"/>
  <c r="W827"/>
  <c r="W826"/>
  <c r="W825"/>
  <c r="W824"/>
  <c r="W823"/>
  <c r="W822"/>
  <c r="W821"/>
  <c r="W820"/>
  <c r="W819"/>
  <c r="W818"/>
  <c r="W817"/>
  <c r="W816"/>
  <c r="W815"/>
  <c r="W814"/>
  <c r="W813"/>
  <c r="W812"/>
  <c r="W811"/>
  <c r="W810"/>
  <c r="W809"/>
  <c r="W808"/>
  <c r="W807"/>
  <c r="W806"/>
  <c r="W805"/>
  <c r="W804"/>
  <c r="W803"/>
  <c r="W802"/>
  <c r="W801"/>
  <c r="W800"/>
  <c r="W799"/>
  <c r="W798"/>
  <c r="W797"/>
  <c r="W796"/>
  <c r="W795"/>
  <c r="W794"/>
  <c r="W793"/>
  <c r="W792"/>
  <c r="W791"/>
  <c r="W790"/>
  <c r="W789"/>
  <c r="W788"/>
  <c r="W787"/>
  <c r="W786"/>
  <c r="W785"/>
  <c r="W784"/>
  <c r="W783"/>
  <c r="W782"/>
  <c r="W781"/>
  <c r="W780"/>
  <c r="W779"/>
  <c r="W778"/>
  <c r="W777"/>
  <c r="W776"/>
  <c r="W775"/>
  <c r="W774"/>
  <c r="W773"/>
  <c r="W772"/>
  <c r="W771"/>
  <c r="W770"/>
  <c r="W769"/>
  <c r="W768"/>
  <c r="W767"/>
  <c r="W766"/>
  <c r="W765"/>
  <c r="W764"/>
  <c r="W763"/>
  <c r="W762"/>
  <c r="W761"/>
  <c r="W760"/>
  <c r="W759"/>
  <c r="W758"/>
  <c r="W757"/>
  <c r="W756"/>
  <c r="W755"/>
  <c r="W754"/>
  <c r="W753"/>
  <c r="W752"/>
  <c r="W751"/>
  <c r="W750"/>
  <c r="W749"/>
  <c r="W748"/>
  <c r="W747"/>
  <c r="W746"/>
  <c r="W745"/>
  <c r="W744"/>
  <c r="W743"/>
  <c r="W742"/>
  <c r="W741"/>
  <c r="W740"/>
  <c r="W739"/>
  <c r="W738"/>
  <c r="W737"/>
  <c r="W736"/>
  <c r="W735"/>
  <c r="W734"/>
  <c r="W733"/>
  <c r="W732"/>
  <c r="W731"/>
  <c r="W730"/>
  <c r="W729"/>
  <c r="W728"/>
  <c r="W727"/>
  <c r="W726"/>
  <c r="W725"/>
  <c r="W724"/>
  <c r="W723"/>
  <c r="W722"/>
  <c r="W721"/>
  <c r="W720"/>
  <c r="W719"/>
  <c r="W718"/>
  <c r="W717"/>
  <c r="W716"/>
  <c r="W715"/>
  <c r="W714"/>
  <c r="W713"/>
  <c r="W712"/>
  <c r="W711"/>
  <c r="W710"/>
  <c r="W709"/>
  <c r="W708"/>
  <c r="W707"/>
  <c r="W706"/>
  <c r="W705"/>
  <c r="W704"/>
  <c r="W703"/>
  <c r="W702"/>
  <c r="W701"/>
  <c r="W700"/>
  <c r="W699"/>
  <c r="W698"/>
  <c r="W697"/>
  <c r="W696"/>
  <c r="W695"/>
  <c r="W694"/>
  <c r="W693"/>
  <c r="W692"/>
  <c r="W691"/>
  <c r="W690"/>
  <c r="W689"/>
  <c r="W688"/>
  <c r="W687"/>
  <c r="W686"/>
  <c r="W685"/>
  <c r="W684"/>
  <c r="W683"/>
  <c r="W682"/>
  <c r="W681"/>
  <c r="W680"/>
  <c r="W679"/>
  <c r="W678"/>
  <c r="W677"/>
  <c r="W676"/>
  <c r="W675"/>
  <c r="W674"/>
  <c r="W673"/>
  <c r="W672"/>
  <c r="W671"/>
  <c r="W670"/>
  <c r="W669"/>
  <c r="W668"/>
  <c r="W667"/>
  <c r="W666"/>
  <c r="W665"/>
  <c r="W664"/>
  <c r="W663"/>
  <c r="W662"/>
  <c r="W661"/>
  <c r="W660"/>
  <c r="W659"/>
  <c r="W658"/>
  <c r="W657"/>
  <c r="W656"/>
  <c r="W655"/>
  <c r="W654"/>
  <c r="W653"/>
  <c r="W652"/>
  <c r="W651"/>
  <c r="W650"/>
  <c r="W649"/>
  <c r="W648"/>
  <c r="W647"/>
  <c r="W646"/>
  <c r="W645"/>
  <c r="W644"/>
  <c r="W643"/>
  <c r="W642"/>
  <c r="W641"/>
  <c r="W640"/>
  <c r="W639"/>
  <c r="W638"/>
  <c r="W637"/>
  <c r="W636"/>
  <c r="W635"/>
  <c r="W634"/>
  <c r="W633"/>
  <c r="W632"/>
  <c r="W631"/>
  <c r="W630"/>
  <c r="W629"/>
  <c r="W628"/>
  <c r="W627"/>
  <c r="W626"/>
  <c r="W625"/>
  <c r="W624"/>
  <c r="W623"/>
  <c r="W622"/>
  <c r="W621"/>
  <c r="W620"/>
  <c r="W619"/>
  <c r="W618"/>
  <c r="W617"/>
  <c r="W616"/>
  <c r="W615"/>
  <c r="W614"/>
  <c r="W613"/>
  <c r="W612"/>
  <c r="W611"/>
  <c r="W610"/>
  <c r="W609"/>
  <c r="W608"/>
  <c r="W607"/>
  <c r="W606"/>
  <c r="W605"/>
  <c r="W604"/>
  <c r="W603"/>
  <c r="W602"/>
  <c r="W601"/>
  <c r="W600"/>
  <c r="W599"/>
  <c r="W598"/>
  <c r="W597"/>
  <c r="W596"/>
  <c r="W595"/>
  <c r="W594"/>
  <c r="W593"/>
  <c r="W592"/>
  <c r="W591"/>
  <c r="W590"/>
  <c r="W589"/>
  <c r="W588"/>
  <c r="W587"/>
  <c r="W586"/>
  <c r="W585"/>
  <c r="W584"/>
  <c r="W583"/>
  <c r="W582"/>
  <c r="W581"/>
  <c r="W580"/>
  <c r="W579"/>
  <c r="W578"/>
  <c r="W577"/>
  <c r="W576"/>
  <c r="W575"/>
  <c r="W574"/>
  <c r="W573"/>
  <c r="W572"/>
  <c r="W571"/>
  <c r="W570"/>
  <c r="W569"/>
  <c r="W568"/>
  <c r="W567"/>
  <c r="W566"/>
  <c r="W565"/>
  <c r="W564"/>
  <c r="W563"/>
  <c r="W562"/>
  <c r="W561"/>
  <c r="W560"/>
  <c r="W559"/>
  <c r="W558"/>
  <c r="W557"/>
  <c r="W556"/>
  <c r="W555"/>
  <c r="W554"/>
  <c r="W553"/>
  <c r="W552"/>
  <c r="W551"/>
  <c r="W550"/>
  <c r="W549"/>
  <c r="W548"/>
  <c r="W547"/>
  <c r="W546"/>
  <c r="W545"/>
  <c r="W544"/>
  <c r="W543"/>
  <c r="W542"/>
  <c r="W541"/>
  <c r="W540"/>
  <c r="W539"/>
  <c r="W538"/>
  <c r="W537"/>
  <c r="W536"/>
  <c r="W535"/>
  <c r="W534"/>
  <c r="W533"/>
  <c r="W532"/>
  <c r="W531"/>
  <c r="W530"/>
  <c r="W529"/>
  <c r="W528"/>
  <c r="W527"/>
  <c r="W526"/>
  <c r="W525"/>
  <c r="W524"/>
  <c r="W523"/>
  <c r="W522"/>
  <c r="W521"/>
  <c r="W520"/>
  <c r="W519"/>
  <c r="W518"/>
  <c r="W517"/>
  <c r="W516"/>
  <c r="W515"/>
  <c r="W514"/>
  <c r="W513"/>
  <c r="W512"/>
  <c r="W511"/>
  <c r="W510"/>
  <c r="W509"/>
  <c r="W508"/>
  <c r="W507"/>
  <c r="W506"/>
  <c r="W505"/>
  <c r="W504"/>
  <c r="W503"/>
  <c r="W502"/>
  <c r="W501"/>
  <c r="W500"/>
  <c r="W499"/>
  <c r="W498"/>
  <c r="W497"/>
  <c r="W496"/>
  <c r="W495"/>
  <c r="W494"/>
  <c r="W493"/>
  <c r="W492"/>
  <c r="W491"/>
  <c r="W490"/>
  <c r="W489"/>
  <c r="W488"/>
  <c r="W487"/>
  <c r="W486"/>
  <c r="W485"/>
  <c r="W484"/>
  <c r="W483"/>
  <c r="W482"/>
  <c r="W481"/>
  <c r="W480"/>
  <c r="W479"/>
  <c r="W478"/>
  <c r="W477"/>
  <c r="W476"/>
  <c r="W475"/>
  <c r="W474"/>
  <c r="W473"/>
  <c r="W472"/>
  <c r="W471"/>
  <c r="W470"/>
  <c r="W469"/>
  <c r="W468"/>
  <c r="W467"/>
  <c r="W466"/>
  <c r="W465"/>
  <c r="W464"/>
  <c r="W463"/>
  <c r="W462"/>
  <c r="W461"/>
  <c r="W460"/>
  <c r="W459"/>
  <c r="W458"/>
  <c r="W457"/>
  <c r="W456"/>
  <c r="W455"/>
  <c r="W454"/>
  <c r="W453"/>
  <c r="W452"/>
  <c r="W451"/>
  <c r="W450"/>
  <c r="W429"/>
  <c r="W428"/>
  <c r="W427"/>
  <c r="W426"/>
  <c r="W425"/>
  <c r="W424"/>
  <c r="W423"/>
  <c r="W422"/>
  <c r="W421"/>
  <c r="W420"/>
  <c r="W419"/>
  <c r="W418"/>
  <c r="W417"/>
  <c r="W416"/>
  <c r="W415"/>
  <c r="W414"/>
  <c r="W413"/>
  <c r="W412"/>
  <c r="W411"/>
  <c r="W410"/>
  <c r="W409"/>
  <c r="W408"/>
  <c r="W407"/>
  <c r="W406"/>
  <c r="W405"/>
  <c r="W404"/>
  <c r="W403"/>
  <c r="W402"/>
  <c r="W401"/>
  <c r="W400"/>
  <c r="W399"/>
  <c r="W398"/>
  <c r="W397"/>
  <c r="W396"/>
  <c r="W395"/>
  <c r="W394"/>
  <c r="W393"/>
  <c r="W392"/>
  <c r="W391"/>
  <c r="W390"/>
  <c r="W389"/>
  <c r="W388"/>
  <c r="W387"/>
  <c r="W386"/>
  <c r="W385"/>
  <c r="W384"/>
  <c r="W383"/>
  <c r="W382"/>
  <c r="W381"/>
  <c r="W380"/>
  <c r="W379"/>
  <c r="W378"/>
  <c r="W377"/>
  <c r="W376"/>
  <c r="W375"/>
  <c r="W374"/>
  <c r="W373"/>
  <c r="W372"/>
  <c r="W371"/>
  <c r="W370"/>
  <c r="W369"/>
  <c r="W368"/>
  <c r="W367"/>
  <c r="W366"/>
  <c r="W365"/>
  <c r="W364"/>
  <c r="W363"/>
  <c r="W362"/>
  <c r="W361"/>
  <c r="W360"/>
  <c r="W359"/>
  <c r="W358"/>
  <c r="W357"/>
  <c r="W356"/>
  <c r="W355"/>
  <c r="W354"/>
  <c r="W353"/>
  <c r="W352"/>
  <c r="W351"/>
  <c r="W350"/>
  <c r="W349"/>
  <c r="W348"/>
  <c r="W347"/>
  <c r="W346"/>
  <c r="W345"/>
  <c r="W344"/>
  <c r="W343"/>
  <c r="W342"/>
  <c r="W341"/>
  <c r="W340"/>
  <c r="W339"/>
  <c r="W338"/>
  <c r="W337"/>
  <c r="W336"/>
  <c r="W335"/>
  <c r="W334"/>
  <c r="W333"/>
  <c r="W332"/>
  <c r="W331"/>
  <c r="W330"/>
  <c r="W329"/>
  <c r="W328"/>
  <c r="W327"/>
  <c r="W326"/>
  <c r="W325"/>
  <c r="W324"/>
  <c r="W323"/>
  <c r="W322"/>
  <c r="W321"/>
  <c r="W320"/>
  <c r="W319"/>
  <c r="W318"/>
  <c r="W317"/>
  <c r="W316"/>
  <c r="W315"/>
  <c r="W449"/>
  <c r="W448"/>
  <c r="W447"/>
  <c r="W446"/>
  <c r="W437"/>
  <c r="W436"/>
  <c r="W435"/>
  <c r="W434"/>
  <c r="W445"/>
  <c r="W444"/>
  <c r="W443"/>
  <c r="W442"/>
  <c r="W441"/>
  <c r="W440"/>
  <c r="W439"/>
  <c r="W438"/>
  <c r="W433"/>
  <c r="W432"/>
  <c r="W431"/>
  <c r="W430"/>
  <c r="W287"/>
  <c r="W286"/>
  <c r="W285"/>
  <c r="W284"/>
  <c r="W283"/>
  <c r="W282"/>
  <c r="W281"/>
  <c r="W280"/>
  <c r="W279"/>
  <c r="W278"/>
  <c r="W277"/>
  <c r="W276"/>
  <c r="W275"/>
  <c r="W274"/>
  <c r="W273"/>
  <c r="W272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W186"/>
  <c r="W185"/>
  <c r="W184"/>
  <c r="W183"/>
  <c r="W182"/>
  <c r="W181"/>
  <c r="W180"/>
  <c r="W179"/>
  <c r="W178"/>
  <c r="W177"/>
  <c r="W176"/>
  <c r="W175"/>
  <c r="W174"/>
  <c r="W173"/>
  <c r="W172"/>
  <c r="W171"/>
  <c r="W170"/>
  <c r="W169"/>
  <c r="W168"/>
  <c r="W167"/>
  <c r="W166"/>
  <c r="W165"/>
  <c r="W164"/>
  <c r="W163"/>
  <c r="W162"/>
  <c r="W161"/>
  <c r="W160"/>
  <c r="W159"/>
  <c r="W158"/>
  <c r="W157"/>
  <c r="W156"/>
  <c r="W155"/>
  <c r="W154"/>
  <c r="W153"/>
  <c r="W152"/>
  <c r="W151"/>
  <c r="W150"/>
  <c r="W149"/>
  <c r="W148"/>
  <c r="W147"/>
  <c r="W146"/>
  <c r="W145"/>
  <c r="W144"/>
  <c r="W143"/>
  <c r="W142"/>
  <c r="W141"/>
  <c r="W140"/>
  <c r="W139"/>
  <c r="W138"/>
  <c r="W137"/>
  <c r="W136"/>
  <c r="W135"/>
  <c r="W129"/>
  <c r="W128"/>
  <c r="W127"/>
  <c r="W126"/>
  <c r="W125"/>
  <c r="W124"/>
  <c r="W123"/>
  <c r="W122"/>
  <c r="W121"/>
  <c r="W120"/>
  <c r="W119"/>
  <c r="W118"/>
  <c r="W117"/>
  <c r="W116"/>
  <c r="W115"/>
  <c r="W114"/>
  <c r="W113"/>
  <c r="W112"/>
  <c r="W111"/>
  <c r="W110"/>
  <c r="W109"/>
  <c r="W108"/>
  <c r="W107"/>
  <c r="W106"/>
  <c r="W105"/>
  <c r="W104"/>
  <c r="W103"/>
  <c r="W102"/>
  <c r="W101"/>
  <c r="W100"/>
  <c r="W99"/>
  <c r="W98"/>
  <c r="W97"/>
  <c r="W96"/>
  <c r="W95"/>
  <c r="W94"/>
  <c r="W93"/>
  <c r="W92"/>
  <c r="W91"/>
  <c r="W90"/>
  <c r="W89"/>
  <c r="W88"/>
  <c r="W87"/>
  <c r="W86"/>
  <c r="W85"/>
  <c r="W84"/>
  <c r="W83"/>
  <c r="W82"/>
  <c r="W81"/>
  <c r="W80"/>
  <c r="W79"/>
  <c r="W78"/>
  <c r="W77"/>
  <c r="W28"/>
  <c r="W27"/>
  <c r="W26"/>
  <c r="W25"/>
  <c r="W24"/>
  <c r="W23"/>
  <c r="W22"/>
  <c r="W21"/>
  <c r="W20"/>
  <c r="W19"/>
  <c r="W18"/>
  <c r="G1633"/>
  <c r="G1631"/>
  <c r="G1632"/>
  <c r="G1636"/>
  <c r="G1634"/>
  <c r="G1635"/>
  <c r="G1630"/>
  <c r="G1629"/>
  <c r="G1628"/>
  <c r="G1554"/>
  <c r="G1553"/>
  <c r="G1552"/>
  <c r="G1551"/>
  <c r="G1550"/>
  <c r="G1549"/>
  <c r="G1548"/>
  <c r="G1547"/>
  <c r="G1546"/>
  <c r="G1545"/>
  <c r="G1544"/>
  <c r="G1543"/>
  <c r="G1542"/>
  <c r="G1541"/>
  <c r="G1540"/>
  <c r="G1539"/>
  <c r="G1538"/>
  <c r="G1537"/>
  <c r="G1536"/>
  <c r="G1535"/>
  <c r="G1534"/>
  <c r="G1472"/>
  <c r="G1471"/>
  <c r="G1470"/>
  <c r="G1469"/>
  <c r="G1468"/>
  <c r="G1467"/>
  <c r="G1466"/>
  <c r="G1465"/>
  <c r="G1464"/>
  <c r="G1463"/>
  <c r="G17"/>
  <c r="G16"/>
  <c r="G15"/>
  <c r="G14"/>
  <c r="G13"/>
  <c r="G12"/>
  <c r="G11"/>
  <c r="G10"/>
  <c r="G9"/>
  <c r="G8"/>
  <c r="G7"/>
  <c r="G6"/>
  <c r="G5"/>
  <c r="G4"/>
  <c r="G3"/>
  <c r="G2"/>
  <c r="G1572"/>
  <c r="G1571"/>
  <c r="G1570"/>
  <c r="G1569"/>
  <c r="G1568"/>
  <c r="G1567"/>
  <c r="G1566"/>
  <c r="G1565"/>
  <c r="G1564"/>
  <c r="G1563"/>
  <c r="G1562"/>
  <c r="G1561"/>
  <c r="G1560"/>
  <c r="G1559"/>
  <c r="G1558"/>
  <c r="G1557"/>
  <c r="G1556"/>
  <c r="G1555"/>
  <c r="G1533"/>
  <c r="G1532"/>
  <c r="G1531"/>
  <c r="G1530"/>
  <c r="G1529"/>
  <c r="G1528"/>
  <c r="G1527"/>
  <c r="G1526"/>
  <c r="G1525"/>
  <c r="G1524"/>
  <c r="G1523"/>
  <c r="G1522"/>
  <c r="G1521"/>
  <c r="G1520"/>
  <c r="G1519"/>
  <c r="G1518"/>
  <c r="G1517"/>
  <c r="G1127"/>
  <c r="G1126"/>
  <c r="G1125"/>
  <c r="G1124"/>
  <c r="G1123"/>
  <c r="G1122"/>
  <c r="G1121"/>
  <c r="G1120"/>
  <c r="G1119"/>
  <c r="G1118"/>
  <c r="G1117"/>
  <c r="G1116"/>
  <c r="G1115"/>
  <c r="G1114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091"/>
  <c r="G1090"/>
  <c r="G1089"/>
  <c r="G1088"/>
  <c r="G1087"/>
  <c r="G1086"/>
  <c r="G1085"/>
  <c r="G1084"/>
  <c r="G1083"/>
  <c r="G1082"/>
  <c r="G1081"/>
  <c r="G1080"/>
  <c r="G1079"/>
  <c r="G1078"/>
  <c r="G1077"/>
  <c r="G1076"/>
  <c r="G1075"/>
  <c r="G1074"/>
  <c r="G1073"/>
  <c r="G1072"/>
  <c r="G1071"/>
  <c r="G1070"/>
  <c r="G1069"/>
  <c r="G1068"/>
  <c r="G1067"/>
  <c r="G1066"/>
  <c r="G1065"/>
  <c r="G1064"/>
  <c r="G1063"/>
  <c r="G1062"/>
  <c r="G1061"/>
  <c r="G1060"/>
  <c r="G1059"/>
  <c r="G1058"/>
  <c r="G1057"/>
  <c r="G1056"/>
  <c r="G1055"/>
  <c r="G1054"/>
  <c r="G1053"/>
  <c r="G1052"/>
  <c r="G1051"/>
  <c r="G1050"/>
  <c r="G1049"/>
  <c r="G1048"/>
  <c r="G1047"/>
  <c r="G1046"/>
  <c r="G1045"/>
  <c r="G1044"/>
  <c r="G1043"/>
  <c r="G1042"/>
  <c r="G1041"/>
  <c r="G1040"/>
  <c r="G1039"/>
  <c r="G1038"/>
  <c r="G1037"/>
  <c r="G1036"/>
  <c r="G1035"/>
  <c r="G1034"/>
  <c r="G1033"/>
  <c r="G1032"/>
  <c r="G1031"/>
  <c r="G1030"/>
  <c r="G1029"/>
  <c r="G1028"/>
  <c r="G1027"/>
  <c r="G1026"/>
  <c r="G1025"/>
  <c r="G1024"/>
  <c r="G1023"/>
  <c r="G1022"/>
  <c r="G1021"/>
  <c r="G1020"/>
  <c r="G1019"/>
  <c r="G1018"/>
  <c r="G1017"/>
  <c r="G1016"/>
  <c r="G1015"/>
  <c r="G1014"/>
  <c r="G1013"/>
  <c r="G1012"/>
  <c r="G1011"/>
  <c r="G1010"/>
  <c r="G1009"/>
  <c r="G1008"/>
  <c r="G1007"/>
  <c r="G1006"/>
  <c r="G1005"/>
  <c r="G1004"/>
  <c r="G1003"/>
  <c r="G1002"/>
  <c r="G1001"/>
  <c r="G1000"/>
  <c r="G999"/>
  <c r="G998"/>
  <c r="G997"/>
  <c r="G996"/>
  <c r="G995"/>
  <c r="G994"/>
  <c r="G993"/>
  <c r="G992"/>
  <c r="G991"/>
  <c r="G990"/>
  <c r="G989"/>
  <c r="G988"/>
  <c r="G987"/>
  <c r="G986"/>
  <c r="G985"/>
  <c r="G984"/>
  <c r="G983"/>
  <c r="G982"/>
  <c r="G981"/>
  <c r="G980"/>
  <c r="G979"/>
  <c r="G978"/>
  <c r="G977"/>
  <c r="G976"/>
  <c r="G975"/>
  <c r="G974"/>
  <c r="G973"/>
  <c r="G972"/>
  <c r="G971"/>
  <c r="G970"/>
  <c r="G969"/>
  <c r="G968"/>
  <c r="G967"/>
  <c r="G966"/>
  <c r="G965"/>
  <c r="G964"/>
  <c r="G963"/>
  <c r="G962"/>
  <c r="G961"/>
  <c r="G960"/>
  <c r="G959"/>
  <c r="G958"/>
  <c r="G957"/>
  <c r="G956"/>
  <c r="G955"/>
  <c r="G954"/>
  <c r="G953"/>
  <c r="G952"/>
  <c r="G951"/>
  <c r="G950"/>
  <c r="G949"/>
  <c r="G948"/>
  <c r="G947"/>
  <c r="G946"/>
  <c r="G945"/>
  <c r="G944"/>
  <c r="G943"/>
  <c r="G942"/>
  <c r="G941"/>
  <c r="G940"/>
  <c r="G939"/>
  <c r="G938"/>
  <c r="G937"/>
  <c r="G936"/>
  <c r="G935"/>
  <c r="G934"/>
  <c r="G933"/>
  <c r="G932"/>
  <c r="G931"/>
  <c r="G930"/>
  <c r="G929"/>
  <c r="G928"/>
  <c r="G927"/>
  <c r="G926"/>
  <c r="G925"/>
  <c r="G924"/>
  <c r="G923"/>
  <c r="G922"/>
  <c r="G921"/>
  <c r="G920"/>
  <c r="G919"/>
  <c r="G918"/>
  <c r="G917"/>
  <c r="G916"/>
  <c r="G915"/>
  <c r="G914"/>
  <c r="G913"/>
  <c r="G912"/>
  <c r="G911"/>
  <c r="G910"/>
  <c r="G909"/>
  <c r="G908"/>
  <c r="G907"/>
  <c r="G906"/>
  <c r="G905"/>
  <c r="G904"/>
  <c r="G903"/>
  <c r="G902"/>
  <c r="G901"/>
  <c r="G900"/>
  <c r="G899"/>
  <c r="G898"/>
  <c r="G897"/>
  <c r="G896"/>
  <c r="G895"/>
  <c r="G894"/>
  <c r="G893"/>
  <c r="G892"/>
  <c r="G891"/>
  <c r="G890"/>
  <c r="G889"/>
  <c r="G888"/>
  <c r="G887"/>
  <c r="G886"/>
  <c r="G885"/>
  <c r="G884"/>
  <c r="G883"/>
  <c r="G882"/>
  <c r="G881"/>
  <c r="G880"/>
  <c r="G879"/>
  <c r="G878"/>
  <c r="G877"/>
  <c r="G876"/>
  <c r="G875"/>
  <c r="G874"/>
  <c r="G873"/>
  <c r="G872"/>
  <c r="G871"/>
  <c r="G870"/>
  <c r="G869"/>
  <c r="G868"/>
  <c r="G867"/>
  <c r="G866"/>
  <c r="G865"/>
  <c r="G864"/>
  <c r="G863"/>
  <c r="G862"/>
  <c r="G861"/>
  <c r="G860"/>
  <c r="G859"/>
  <c r="G858"/>
  <c r="G857"/>
  <c r="G856"/>
  <c r="G855"/>
  <c r="G854"/>
  <c r="G853"/>
  <c r="G852"/>
  <c r="G851"/>
  <c r="G850"/>
  <c r="G849"/>
  <c r="G848"/>
  <c r="G847"/>
  <c r="G846"/>
  <c r="G845"/>
  <c r="G844"/>
  <c r="G843"/>
  <c r="G842"/>
  <c r="G841"/>
  <c r="G840"/>
  <c r="G839"/>
  <c r="G838"/>
  <c r="G837"/>
  <c r="G836"/>
  <c r="G835"/>
  <c r="G834"/>
  <c r="G833"/>
  <c r="G832"/>
  <c r="G831"/>
  <c r="G830"/>
  <c r="G829"/>
  <c r="G828"/>
  <c r="G827"/>
  <c r="G826"/>
  <c r="G825"/>
  <c r="G824"/>
  <c r="G823"/>
  <c r="G822"/>
  <c r="G821"/>
  <c r="G820"/>
  <c r="G819"/>
  <c r="G818"/>
  <c r="G817"/>
  <c r="G816"/>
  <c r="G815"/>
  <c r="G814"/>
  <c r="G813"/>
  <c r="G812"/>
  <c r="G811"/>
  <c r="G810"/>
  <c r="G809"/>
  <c r="G808"/>
  <c r="G807"/>
  <c r="G806"/>
  <c r="G805"/>
  <c r="G804"/>
  <c r="G803"/>
  <c r="G802"/>
  <c r="G801"/>
  <c r="G800"/>
  <c r="G799"/>
  <c r="G798"/>
  <c r="G797"/>
  <c r="G796"/>
  <c r="G795"/>
  <c r="G794"/>
  <c r="G793"/>
  <c r="G792"/>
  <c r="G791"/>
  <c r="G790"/>
  <c r="G789"/>
  <c r="G788"/>
  <c r="G787"/>
  <c r="G786"/>
  <c r="G785"/>
  <c r="G784"/>
  <c r="G783"/>
  <c r="G782"/>
  <c r="G781"/>
  <c r="G780"/>
  <c r="G779"/>
  <c r="G778"/>
  <c r="G777"/>
  <c r="G776"/>
  <c r="G775"/>
  <c r="G774"/>
  <c r="G773"/>
  <c r="G772"/>
  <c r="G771"/>
  <c r="G770"/>
  <c r="G769"/>
  <c r="G768"/>
  <c r="G767"/>
  <c r="G766"/>
  <c r="G765"/>
  <c r="G764"/>
  <c r="G763"/>
  <c r="G762"/>
  <c r="G761"/>
  <c r="G760"/>
  <c r="G759"/>
  <c r="G758"/>
  <c r="G757"/>
  <c r="G756"/>
  <c r="G755"/>
  <c r="G754"/>
  <c r="G753"/>
  <c r="G752"/>
  <c r="G751"/>
  <c r="G750"/>
  <c r="G749"/>
  <c r="G748"/>
  <c r="G747"/>
  <c r="G746"/>
  <c r="G745"/>
  <c r="G744"/>
  <c r="G743"/>
  <c r="G742"/>
  <c r="G741"/>
  <c r="G740"/>
  <c r="G739"/>
  <c r="G738"/>
  <c r="G737"/>
  <c r="G736"/>
  <c r="G735"/>
  <c r="G734"/>
  <c r="G733"/>
  <c r="G732"/>
  <c r="G731"/>
  <c r="G730"/>
  <c r="G729"/>
  <c r="G728"/>
  <c r="G727"/>
  <c r="G726"/>
  <c r="G725"/>
  <c r="G724"/>
  <c r="G723"/>
  <c r="G722"/>
  <c r="G721"/>
  <c r="G720"/>
  <c r="G719"/>
  <c r="G718"/>
  <c r="G717"/>
  <c r="G716"/>
  <c r="G715"/>
  <c r="G714"/>
  <c r="G713"/>
  <c r="G712"/>
  <c r="G711"/>
  <c r="G710"/>
  <c r="G709"/>
  <c r="G708"/>
  <c r="G707"/>
  <c r="G706"/>
  <c r="G705"/>
  <c r="G704"/>
  <c r="G703"/>
  <c r="G702"/>
  <c r="G701"/>
  <c r="G700"/>
  <c r="G699"/>
  <c r="G698"/>
  <c r="G697"/>
  <c r="G696"/>
  <c r="G695"/>
  <c r="G694"/>
  <c r="G693"/>
  <c r="G692"/>
  <c r="G691"/>
  <c r="G690"/>
  <c r="G689"/>
  <c r="G688"/>
  <c r="G687"/>
  <c r="G686"/>
  <c r="G685"/>
  <c r="G684"/>
  <c r="G683"/>
  <c r="G682"/>
  <c r="G681"/>
  <c r="G680"/>
  <c r="G679"/>
  <c r="G678"/>
  <c r="G677"/>
  <c r="G676"/>
  <c r="G675"/>
  <c r="G674"/>
  <c r="G673"/>
  <c r="G672"/>
  <c r="G671"/>
  <c r="G670"/>
  <c r="G669"/>
  <c r="G668"/>
  <c r="G667"/>
  <c r="G666"/>
  <c r="G665"/>
  <c r="G664"/>
  <c r="G663"/>
  <c r="G662"/>
  <c r="G661"/>
  <c r="G660"/>
  <c r="G659"/>
  <c r="G658"/>
  <c r="G657"/>
  <c r="G656"/>
  <c r="G655"/>
  <c r="G654"/>
  <c r="G653"/>
  <c r="G652"/>
  <c r="G651"/>
  <c r="G650"/>
  <c r="G649"/>
  <c r="G648"/>
  <c r="G647"/>
  <c r="G646"/>
  <c r="G645"/>
  <c r="G644"/>
  <c r="G643"/>
  <c r="G642"/>
  <c r="G641"/>
  <c r="G640"/>
  <c r="G639"/>
  <c r="G638"/>
  <c r="G637"/>
  <c r="G636"/>
  <c r="G635"/>
  <c r="G634"/>
  <c r="G633"/>
  <c r="G632"/>
  <c r="G631"/>
  <c r="G630"/>
  <c r="G629"/>
  <c r="G628"/>
  <c r="G627"/>
  <c r="G626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449"/>
  <c r="G448"/>
  <c r="G447"/>
  <c r="G446"/>
  <c r="G437"/>
  <c r="G436"/>
  <c r="G435"/>
  <c r="G434"/>
  <c r="G445"/>
  <c r="G444"/>
  <c r="G443"/>
  <c r="G442"/>
  <c r="G441"/>
  <c r="G440"/>
  <c r="G439"/>
  <c r="G438"/>
  <c r="G433"/>
  <c r="G432"/>
  <c r="G431"/>
  <c r="G430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28"/>
  <c r="G127"/>
  <c r="G126"/>
  <c r="G125"/>
  <c r="G123"/>
  <c r="G122"/>
  <c r="G121"/>
  <c r="G120"/>
  <c r="G119"/>
  <c r="G117"/>
  <c r="G116"/>
  <c r="G115"/>
  <c r="G114"/>
  <c r="G113"/>
  <c r="G103"/>
  <c r="G102"/>
  <c r="G101"/>
  <c r="G91"/>
  <c r="G90"/>
  <c r="G89"/>
  <c r="G79"/>
  <c r="G78"/>
  <c r="G77"/>
  <c r="G28"/>
  <c r="G27"/>
  <c r="G26"/>
  <c r="G25"/>
  <c r="G24"/>
  <c r="G23"/>
  <c r="G22"/>
  <c r="G21"/>
  <c r="G20"/>
  <c r="G19"/>
  <c r="G18"/>
  <c r="G194" i="10" l="1"/>
  <c r="W46"/>
  <c r="W47"/>
  <c r="W48"/>
  <c r="W49"/>
  <c r="W50"/>
  <c r="W51"/>
  <c r="W52"/>
  <c r="W53"/>
  <c r="W54"/>
  <c r="W55"/>
  <c r="W59"/>
  <c r="W60"/>
  <c r="W61"/>
  <c r="W62"/>
  <c r="W63"/>
  <c r="W64"/>
  <c r="W65"/>
  <c r="W66"/>
  <c r="W67"/>
  <c r="W68"/>
  <c r="W69"/>
  <c r="W70"/>
  <c r="W71"/>
  <c r="W72"/>
  <c r="W73"/>
  <c r="W74"/>
  <c r="G58"/>
  <c r="G28"/>
  <c r="G31"/>
  <c r="G34"/>
  <c r="G37"/>
  <c r="G40"/>
  <c r="G43"/>
  <c r="W193"/>
  <c r="G56"/>
  <c r="G30"/>
  <c r="G33"/>
  <c r="G36"/>
  <c r="G39"/>
  <c r="G42"/>
  <c r="G45"/>
  <c r="G57"/>
  <c r="G29"/>
  <c r="G32"/>
  <c r="G35"/>
  <c r="G38"/>
  <c r="G41"/>
  <c r="G4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88"/>
  <c r="G192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9"/>
  <c r="W190"/>
  <c r="W191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9"/>
  <c r="G190"/>
  <c r="G191"/>
  <c r="W57"/>
  <c r="W58"/>
  <c r="W56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194"/>
  <c r="G46"/>
  <c r="G47"/>
  <c r="G48"/>
  <c r="G49"/>
  <c r="G50"/>
  <c r="G51"/>
  <c r="G52"/>
  <c r="G53"/>
  <c r="G54"/>
  <c r="G55"/>
  <c r="G59"/>
  <c r="G60"/>
  <c r="G61"/>
  <c r="G62"/>
  <c r="G63"/>
  <c r="G64"/>
  <c r="G65"/>
  <c r="G66"/>
  <c r="G67"/>
  <c r="G68"/>
  <c r="G69"/>
  <c r="G70"/>
  <c r="G71"/>
  <c r="G72"/>
  <c r="G73"/>
  <c r="G74"/>
  <c r="G193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88"/>
  <c r="W192"/>
  <c r="G9"/>
  <c r="G19"/>
  <c r="G23"/>
  <c r="G24"/>
  <c r="W1"/>
  <c r="W2"/>
  <c r="W3"/>
  <c r="W4"/>
  <c r="W5"/>
  <c r="W6"/>
  <c r="W10"/>
  <c r="W11"/>
  <c r="W12"/>
  <c r="W13"/>
  <c r="W14"/>
  <c r="W15"/>
  <c r="W16"/>
  <c r="W17"/>
  <c r="W18"/>
  <c r="W22"/>
  <c r="W27"/>
  <c r="G3"/>
  <c r="G5"/>
  <c r="G11"/>
  <c r="G15"/>
  <c r="G18"/>
  <c r="G8"/>
  <c r="G20"/>
  <c r="G25"/>
  <c r="G6"/>
  <c r="G10"/>
  <c r="G13"/>
  <c r="G16"/>
  <c r="G22"/>
  <c r="W7"/>
  <c r="W21"/>
  <c r="W26"/>
  <c r="G1"/>
  <c r="G2"/>
  <c r="G4"/>
  <c r="G12"/>
  <c r="G14"/>
  <c r="G17"/>
  <c r="G27"/>
  <c r="G7"/>
  <c r="G21"/>
  <c r="G26"/>
  <c r="W9"/>
  <c r="W19"/>
  <c r="W23"/>
  <c r="W24"/>
  <c r="W8"/>
  <c r="W20"/>
  <c r="W25"/>
  <c r="X1529" i="7"/>
  <c r="Y1529"/>
  <c r="Z1529"/>
  <c r="AA1529"/>
  <c r="X1528"/>
  <c r="Y1528"/>
  <c r="Z1528"/>
  <c r="AA1528"/>
  <c r="R1138"/>
  <c r="R1139"/>
  <c r="R1140"/>
  <c r="L1140"/>
  <c r="L1139"/>
  <c r="L1138"/>
  <c r="I1140"/>
  <c r="O1140"/>
  <c r="I1139"/>
  <c r="O1139"/>
  <c r="I1138"/>
  <c r="O1138"/>
  <c r="AF1582"/>
  <c r="AF1583"/>
  <c r="AF1584"/>
  <c r="AF1585"/>
  <c r="AF1586"/>
  <c r="AF1587"/>
  <c r="AF1588"/>
  <c r="AF1589"/>
  <c r="AF1590"/>
  <c r="AF1591"/>
  <c r="AF1592"/>
  <c r="AF1593"/>
  <c r="AF1594"/>
  <c r="AF1595"/>
  <c r="AF1596"/>
  <c r="AF1597"/>
  <c r="AF1598"/>
  <c r="AF1599"/>
  <c r="AF1600"/>
  <c r="AF1601"/>
  <c r="AF1602"/>
  <c r="AF1603"/>
  <c r="AF1604"/>
  <c r="AF1605"/>
  <c r="AF1606"/>
  <c r="AF1607"/>
  <c r="AF1608"/>
  <c r="AF1609"/>
  <c r="AF1610"/>
  <c r="AF1611"/>
  <c r="AF1612"/>
  <c r="AF1613"/>
  <c r="AF1614"/>
  <c r="AF1615"/>
  <c r="AF1616"/>
  <c r="AF1617"/>
  <c r="AF1618"/>
  <c r="AF1619"/>
  <c r="AF1620"/>
  <c r="AF1621"/>
  <c r="AF1622"/>
  <c r="AF1623"/>
  <c r="AF1624"/>
  <c r="AF1625"/>
  <c r="AF1626"/>
  <c r="AF1627"/>
  <c r="AF1581"/>
  <c r="AF1580"/>
  <c r="AF1576"/>
  <c r="AF1575"/>
  <c r="AH1572"/>
  <c r="AH1571"/>
  <c r="AH1566"/>
  <c r="AH1567"/>
  <c r="AH1568"/>
  <c r="AH1569"/>
  <c r="AH1565"/>
  <c r="AH1564"/>
  <c r="AH1563"/>
  <c r="AH1561"/>
  <c r="AH1560"/>
  <c r="AH1558"/>
  <c r="AH1556"/>
  <c r="AH1555"/>
  <c r="AF1532"/>
  <c r="AF1524"/>
  <c r="AF1522"/>
  <c r="AF1525"/>
  <c r="AF1526"/>
  <c r="AF1527"/>
  <c r="AF1528"/>
  <c r="AF1529"/>
  <c r="AF1533"/>
  <c r="AF1521"/>
  <c r="AF1519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64"/>
  <c r="AF1463"/>
  <c r="AN112"/>
  <c r="AN111"/>
  <c r="AN110"/>
  <c r="AN109"/>
  <c r="AN108"/>
  <c r="AN107"/>
  <c r="AN106"/>
  <c r="AN105"/>
  <c r="AN104"/>
  <c r="AN103"/>
  <c r="AN102"/>
  <c r="AN101"/>
  <c r="AN100"/>
  <c r="AN99"/>
  <c r="AN98"/>
  <c r="AN97"/>
  <c r="AN96"/>
  <c r="AN95"/>
  <c r="AN94"/>
  <c r="AN93"/>
  <c r="AN92"/>
  <c r="AN91"/>
  <c r="AN90"/>
  <c r="AN89"/>
  <c r="AN88"/>
  <c r="AN87"/>
  <c r="AN86"/>
  <c r="AN85"/>
  <c r="AN84"/>
  <c r="AN83"/>
  <c r="AN82"/>
  <c r="AN81"/>
  <c r="AN80"/>
  <c r="AN79"/>
  <c r="AN78"/>
  <c r="AN77"/>
  <c r="AH112"/>
  <c r="AH111"/>
  <c r="AH110"/>
  <c r="AH109"/>
  <c r="AH108"/>
  <c r="AH107"/>
  <c r="AH106"/>
  <c r="AH105"/>
  <c r="AH104"/>
  <c r="AH103"/>
  <c r="AH102"/>
  <c r="AH101"/>
  <c r="AH100"/>
  <c r="AH99"/>
  <c r="AH98"/>
  <c r="AH97"/>
  <c r="AH96"/>
  <c r="AH95"/>
  <c r="AH94"/>
  <c r="AH93"/>
  <c r="AH92"/>
  <c r="AH91"/>
  <c r="AH90"/>
  <c r="AH89"/>
  <c r="AH88"/>
  <c r="AH87"/>
  <c r="AH86"/>
  <c r="AH85"/>
  <c r="AH84"/>
  <c r="AH83"/>
  <c r="AH82"/>
  <c r="AH81"/>
  <c r="AH80"/>
  <c r="AH79"/>
  <c r="AH78"/>
  <c r="AH77"/>
  <c r="AF83"/>
  <c r="AF79"/>
  <c r="AF80"/>
  <c r="AF81"/>
  <c r="AF82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78"/>
  <c r="AF77"/>
  <c r="AF16"/>
  <c r="AF15"/>
  <c r="AF13"/>
  <c r="AF12"/>
  <c r="AF4"/>
  <c r="AF5"/>
  <c r="AF6"/>
  <c r="AF7"/>
  <c r="AF8"/>
  <c r="AF9"/>
  <c r="AF10"/>
  <c r="AF3"/>
  <c r="AF2"/>
  <c r="J4"/>
  <c r="Q4" s="1"/>
  <c r="J5"/>
  <c r="Q5" s="1"/>
  <c r="J6"/>
  <c r="Q6" s="1"/>
  <c r="J7"/>
  <c r="Q7" s="1"/>
  <c r="J8"/>
  <c r="Q8" s="1"/>
  <c r="J9"/>
  <c r="Q9" s="1"/>
  <c r="J10"/>
  <c r="Q10" s="1"/>
  <c r="J11"/>
  <c r="Q11" s="1"/>
  <c r="J12"/>
  <c r="Q12" s="1"/>
  <c r="J13"/>
  <c r="Q13" s="1"/>
  <c r="J14"/>
  <c r="Q14" s="1"/>
  <c r="J15"/>
  <c r="Q15" s="1"/>
  <c r="J16"/>
  <c r="Q16" s="1"/>
  <c r="J17"/>
  <c r="Q17" s="1"/>
  <c r="R19"/>
  <c r="S19"/>
  <c r="R20"/>
  <c r="S20"/>
  <c r="R21"/>
  <c r="S21"/>
  <c r="R22"/>
  <c r="S22"/>
  <c r="R23"/>
  <c r="S23"/>
  <c r="R24"/>
  <c r="S24"/>
  <c r="R25"/>
  <c r="S25"/>
  <c r="R26"/>
  <c r="S26"/>
  <c r="R27"/>
  <c r="S27"/>
  <c r="R28"/>
  <c r="S28"/>
  <c r="S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P18"/>
  <c r="M18"/>
  <c r="T18" s="1"/>
  <c r="M19"/>
  <c r="T19" s="1"/>
  <c r="M20"/>
  <c r="T20" s="1"/>
  <c r="M21"/>
  <c r="T21" s="1"/>
  <c r="M22"/>
  <c r="T22" s="1"/>
  <c r="M23"/>
  <c r="T23" s="1"/>
  <c r="M24"/>
  <c r="T24" s="1"/>
  <c r="M25"/>
  <c r="T25" s="1"/>
  <c r="M26"/>
  <c r="T26" s="1"/>
  <c r="M27"/>
  <c r="T27" s="1"/>
  <c r="M28"/>
  <c r="T28" s="1"/>
  <c r="M29"/>
  <c r="J18"/>
  <c r="Q18" s="1"/>
  <c r="J19"/>
  <c r="Q19" s="1"/>
  <c r="J20"/>
  <c r="Q20" s="1"/>
  <c r="J21"/>
  <c r="Q21" s="1"/>
  <c r="J22"/>
  <c r="Q22" s="1"/>
  <c r="J23"/>
  <c r="Q23" s="1"/>
  <c r="J24"/>
  <c r="Q24" s="1"/>
  <c r="J25"/>
  <c r="Q25" s="1"/>
  <c r="J26"/>
  <c r="Q26" s="1"/>
  <c r="J27"/>
  <c r="Q27" s="1"/>
  <c r="J28"/>
  <c r="Q28" s="1"/>
  <c r="J29"/>
  <c r="Q29" s="1"/>
  <c r="J3"/>
  <c r="Q3" s="1"/>
  <c r="P4"/>
  <c r="P5"/>
  <c r="P6"/>
  <c r="P7"/>
  <c r="P8"/>
  <c r="P9"/>
  <c r="P10"/>
  <c r="P11"/>
  <c r="P12"/>
  <c r="P13"/>
  <c r="P14"/>
  <c r="P15"/>
  <c r="P16"/>
  <c r="P17"/>
  <c r="P3"/>
  <c r="M3"/>
  <c r="M4"/>
  <c r="M5"/>
  <c r="M6"/>
  <c r="M7"/>
  <c r="M8"/>
  <c r="M9"/>
  <c r="M10"/>
  <c r="M12"/>
  <c r="M13"/>
  <c r="M15"/>
  <c r="M16"/>
  <c r="M17"/>
  <c r="M2"/>
  <c r="L1633"/>
  <c r="L1631"/>
  <c r="M1631" s="1"/>
  <c r="T1631" s="1"/>
  <c r="L1632"/>
  <c r="S1632" s="1"/>
  <c r="R1633"/>
  <c r="R1631"/>
  <c r="I1633"/>
  <c r="I1631"/>
  <c r="J1631" s="1"/>
  <c r="Q1631" s="1"/>
  <c r="I1632"/>
  <c r="P1632" s="1"/>
  <c r="O1633"/>
  <c r="O1631"/>
  <c r="O1632"/>
  <c r="R1632"/>
  <c r="O1634"/>
  <c r="R1634"/>
  <c r="O1636"/>
  <c r="R1636"/>
  <c r="L1636"/>
  <c r="S1636" s="1"/>
  <c r="L1634"/>
  <c r="S1634" s="1"/>
  <c r="L1635"/>
  <c r="M1635" s="1"/>
  <c r="T1635" s="1"/>
  <c r="I1636"/>
  <c r="J1636" s="1"/>
  <c r="Q1636" s="1"/>
  <c r="I1634"/>
  <c r="P1634" s="1"/>
  <c r="I1635"/>
  <c r="P1635" s="1"/>
  <c r="O1635"/>
  <c r="R1635"/>
  <c r="R1628"/>
  <c r="R1629"/>
  <c r="R1630"/>
  <c r="O1629"/>
  <c r="O1630"/>
  <c r="O1628"/>
  <c r="L1630"/>
  <c r="S1630" s="1"/>
  <c r="L1629"/>
  <c r="S1629" s="1"/>
  <c r="L1628"/>
  <c r="M1628" s="1"/>
  <c r="T1628" s="1"/>
  <c r="I1630"/>
  <c r="P1630" s="1"/>
  <c r="I1629"/>
  <c r="J1629" s="1"/>
  <c r="Q1629" s="1"/>
  <c r="I1628"/>
  <c r="P1628" s="1"/>
  <c r="O1534"/>
  <c r="R1534"/>
  <c r="O1535"/>
  <c r="R1535"/>
  <c r="O1536"/>
  <c r="R1536"/>
  <c r="O1537"/>
  <c r="R1537"/>
  <c r="O1538"/>
  <c r="R1538"/>
  <c r="O1539"/>
  <c r="R1539"/>
  <c r="O1540"/>
  <c r="R1540"/>
  <c r="O1541"/>
  <c r="R1541"/>
  <c r="O1542"/>
  <c r="R1542"/>
  <c r="O1543"/>
  <c r="R1543"/>
  <c r="O1544"/>
  <c r="R1544"/>
  <c r="O1545"/>
  <c r="R1545"/>
  <c r="O1546"/>
  <c r="R1546"/>
  <c r="O1547"/>
  <c r="R1547"/>
  <c r="O1548"/>
  <c r="R1548"/>
  <c r="O1549"/>
  <c r="R1549"/>
  <c r="O1550"/>
  <c r="P1550"/>
  <c r="R1550"/>
  <c r="S1550"/>
  <c r="O1551"/>
  <c r="R1551"/>
  <c r="O1552"/>
  <c r="R1552"/>
  <c r="O1553"/>
  <c r="R1553"/>
  <c r="O1554"/>
  <c r="R1554"/>
  <c r="M1550"/>
  <c r="T1550" s="1"/>
  <c r="L1554"/>
  <c r="S1554" s="1"/>
  <c r="L1553"/>
  <c r="S1553" s="1"/>
  <c r="L1552"/>
  <c r="S1552" s="1"/>
  <c r="L1551"/>
  <c r="S1551" s="1"/>
  <c r="L1549"/>
  <c r="S1549" s="1"/>
  <c r="L1548"/>
  <c r="S1548" s="1"/>
  <c r="L1547"/>
  <c r="S1547" s="1"/>
  <c r="L1546"/>
  <c r="S1546" s="1"/>
  <c r="L1545"/>
  <c r="S1545" s="1"/>
  <c r="L1544"/>
  <c r="M1544" s="1"/>
  <c r="T1544" s="1"/>
  <c r="L1543"/>
  <c r="S1543" s="1"/>
  <c r="L1542"/>
  <c r="S1542" s="1"/>
  <c r="L1541"/>
  <c r="S1541" s="1"/>
  <c r="L1540"/>
  <c r="M1540" s="1"/>
  <c r="T1540" s="1"/>
  <c r="L1539"/>
  <c r="S1539" s="1"/>
  <c r="L1538"/>
  <c r="S1538" s="1"/>
  <c r="L1537"/>
  <c r="S1537" s="1"/>
  <c r="L1536"/>
  <c r="M1536" s="1"/>
  <c r="T1536" s="1"/>
  <c r="L1535"/>
  <c r="S1535" s="1"/>
  <c r="L1534"/>
  <c r="S1534" s="1"/>
  <c r="J1550"/>
  <c r="Q1550" s="1"/>
  <c r="I1544"/>
  <c r="P1544" s="1"/>
  <c r="I1554"/>
  <c r="P1554" s="1"/>
  <c r="I1553"/>
  <c r="P1553" s="1"/>
  <c r="I1552"/>
  <c r="P1552" s="1"/>
  <c r="I1551"/>
  <c r="P1551" s="1"/>
  <c r="I1549"/>
  <c r="P1549" s="1"/>
  <c r="I1548"/>
  <c r="P1548" s="1"/>
  <c r="I1547"/>
  <c r="J1547" s="1"/>
  <c r="Q1547" s="1"/>
  <c r="I1546"/>
  <c r="P1546" s="1"/>
  <c r="I1545"/>
  <c r="J1545" s="1"/>
  <c r="Q1545" s="1"/>
  <c r="I1543"/>
  <c r="J1543" s="1"/>
  <c r="Q1543" s="1"/>
  <c r="I1542"/>
  <c r="P1542" s="1"/>
  <c r="I1541"/>
  <c r="J1541" s="1"/>
  <c r="Q1541" s="1"/>
  <c r="I1540"/>
  <c r="J1540" s="1"/>
  <c r="Q1540" s="1"/>
  <c r="I1539"/>
  <c r="J1539" s="1"/>
  <c r="Q1539" s="1"/>
  <c r="I1538"/>
  <c r="P1538" s="1"/>
  <c r="I1537"/>
  <c r="J1537" s="1"/>
  <c r="Q1537" s="1"/>
  <c r="I1536"/>
  <c r="P1536" s="1"/>
  <c r="I1535"/>
  <c r="P1535" s="1"/>
  <c r="I1534"/>
  <c r="P1534" s="1"/>
  <c r="R130"/>
  <c r="R131"/>
  <c r="R132"/>
  <c r="R133"/>
  <c r="R134"/>
  <c r="I134"/>
  <c r="J134" s="1"/>
  <c r="Q134" s="1"/>
  <c r="O134"/>
  <c r="I133"/>
  <c r="P133" s="1"/>
  <c r="O133"/>
  <c r="I132"/>
  <c r="J132" s="1"/>
  <c r="Q132" s="1"/>
  <c r="O132"/>
  <c r="I131"/>
  <c r="P131" s="1"/>
  <c r="O131"/>
  <c r="I130"/>
  <c r="J130" s="1"/>
  <c r="Q130" s="1"/>
  <c r="O130"/>
  <c r="AL1620"/>
  <c r="AL1621"/>
  <c r="AL1619"/>
  <c r="AL1617"/>
  <c r="AL1618"/>
  <c r="AL1616"/>
  <c r="AL1598"/>
  <c r="AL1599"/>
  <c r="AL1600"/>
  <c r="AL1597"/>
  <c r="AL1577"/>
  <c r="AL1578"/>
  <c r="AL1579"/>
  <c r="AL1580"/>
  <c r="AL1581"/>
  <c r="AL1582"/>
  <c r="AL1583"/>
  <c r="AL1584"/>
  <c r="AL1585"/>
  <c r="R1511"/>
  <c r="R1510"/>
  <c r="R1509"/>
  <c r="R1508"/>
  <c r="R1507"/>
  <c r="R1506"/>
  <c r="R1505"/>
  <c r="R1504"/>
  <c r="R1503"/>
  <c r="O1511"/>
  <c r="O1510"/>
  <c r="O1509"/>
  <c r="O1508"/>
  <c r="O1507"/>
  <c r="O1506"/>
  <c r="O1505"/>
  <c r="O1504"/>
  <c r="O1503"/>
  <c r="O136"/>
  <c r="R136"/>
  <c r="O137"/>
  <c r="R137"/>
  <c r="O138"/>
  <c r="R138"/>
  <c r="O139"/>
  <c r="R139"/>
  <c r="O140"/>
  <c r="R140"/>
  <c r="O141"/>
  <c r="R141"/>
  <c r="O142"/>
  <c r="R142"/>
  <c r="O143"/>
  <c r="R143"/>
  <c r="O144"/>
  <c r="R144"/>
  <c r="O145"/>
  <c r="R145"/>
  <c r="O146"/>
  <c r="R146"/>
  <c r="O147"/>
  <c r="R147"/>
  <c r="O148"/>
  <c r="R148"/>
  <c r="O149"/>
  <c r="R149"/>
  <c r="O150"/>
  <c r="R150"/>
  <c r="O151"/>
  <c r="R151"/>
  <c r="O152"/>
  <c r="R152"/>
  <c r="O153"/>
  <c r="R153"/>
  <c r="O154"/>
  <c r="R154"/>
  <c r="O155"/>
  <c r="R155"/>
  <c r="O156"/>
  <c r="R156"/>
  <c r="O157"/>
  <c r="R157"/>
  <c r="O158"/>
  <c r="R158"/>
  <c r="O159"/>
  <c r="R159"/>
  <c r="O160"/>
  <c r="R160"/>
  <c r="O161"/>
  <c r="R161"/>
  <c r="O162"/>
  <c r="R162"/>
  <c r="O163"/>
  <c r="R163"/>
  <c r="O164"/>
  <c r="R164"/>
  <c r="O165"/>
  <c r="R165"/>
  <c r="O166"/>
  <c r="R166"/>
  <c r="O167"/>
  <c r="R167"/>
  <c r="O168"/>
  <c r="R168"/>
  <c r="O169"/>
  <c r="R169"/>
  <c r="O170"/>
  <c r="R170"/>
  <c r="O171"/>
  <c r="R171"/>
  <c r="O172"/>
  <c r="R172"/>
  <c r="O173"/>
  <c r="R173"/>
  <c r="O174"/>
  <c r="R174"/>
  <c r="O175"/>
  <c r="R175"/>
  <c r="O176"/>
  <c r="R176"/>
  <c r="O177"/>
  <c r="R177"/>
  <c r="O178"/>
  <c r="R178"/>
  <c r="O179"/>
  <c r="R179"/>
  <c r="O180"/>
  <c r="R180"/>
  <c r="O181"/>
  <c r="R181"/>
  <c r="O182"/>
  <c r="R182"/>
  <c r="O183"/>
  <c r="R183"/>
  <c r="O184"/>
  <c r="R184"/>
  <c r="O185"/>
  <c r="R185"/>
  <c r="O186"/>
  <c r="R186"/>
  <c r="O187"/>
  <c r="R187"/>
  <c r="O188"/>
  <c r="R188"/>
  <c r="O189"/>
  <c r="R189"/>
  <c r="O190"/>
  <c r="R190"/>
  <c r="O191"/>
  <c r="R191"/>
  <c r="O192"/>
  <c r="R192"/>
  <c r="O193"/>
  <c r="R193"/>
  <c r="O194"/>
  <c r="R194"/>
  <c r="O195"/>
  <c r="R195"/>
  <c r="O196"/>
  <c r="R196"/>
  <c r="O197"/>
  <c r="R197"/>
  <c r="O198"/>
  <c r="R198"/>
  <c r="O199"/>
  <c r="R199"/>
  <c r="O200"/>
  <c r="R200"/>
  <c r="O201"/>
  <c r="R201"/>
  <c r="O202"/>
  <c r="R202"/>
  <c r="O203"/>
  <c r="R203"/>
  <c r="O204"/>
  <c r="R204"/>
  <c r="O205"/>
  <c r="R205"/>
  <c r="O206"/>
  <c r="R206"/>
  <c r="O207"/>
  <c r="R207"/>
  <c r="O208"/>
  <c r="R208"/>
  <c r="O209"/>
  <c r="R209"/>
  <c r="O210"/>
  <c r="R210"/>
  <c r="O211"/>
  <c r="R211"/>
  <c r="O212"/>
  <c r="R212"/>
  <c r="O213"/>
  <c r="R213"/>
  <c r="O214"/>
  <c r="R214"/>
  <c r="O215"/>
  <c r="R215"/>
  <c r="O216"/>
  <c r="R216"/>
  <c r="O217"/>
  <c r="R217"/>
  <c r="O218"/>
  <c r="R218"/>
  <c r="O219"/>
  <c r="R219"/>
  <c r="O220"/>
  <c r="R220"/>
  <c r="O221"/>
  <c r="R221"/>
  <c r="O222"/>
  <c r="R222"/>
  <c r="O223"/>
  <c r="R223"/>
  <c r="O224"/>
  <c r="R224"/>
  <c r="O225"/>
  <c r="R225"/>
  <c r="O226"/>
  <c r="R226"/>
  <c r="O227"/>
  <c r="R227"/>
  <c r="O228"/>
  <c r="R228"/>
  <c r="O229"/>
  <c r="R229"/>
  <c r="O230"/>
  <c r="R230"/>
  <c r="O231"/>
  <c r="R231"/>
  <c r="O232"/>
  <c r="R232"/>
  <c r="O233"/>
  <c r="R233"/>
  <c r="O234"/>
  <c r="R234"/>
  <c r="O235"/>
  <c r="R235"/>
  <c r="O236"/>
  <c r="R236"/>
  <c r="O237"/>
  <c r="R237"/>
  <c r="O238"/>
  <c r="R238"/>
  <c r="O239"/>
  <c r="R239"/>
  <c r="O240"/>
  <c r="R240"/>
  <c r="O241"/>
  <c r="R241"/>
  <c r="O242"/>
  <c r="R242"/>
  <c r="O243"/>
  <c r="R243"/>
  <c r="O244"/>
  <c r="R244"/>
  <c r="O245"/>
  <c r="R245"/>
  <c r="O246"/>
  <c r="R246"/>
  <c r="O247"/>
  <c r="R247"/>
  <c r="O248"/>
  <c r="R248"/>
  <c r="O249"/>
  <c r="R249"/>
  <c r="O250"/>
  <c r="R250"/>
  <c r="O251"/>
  <c r="R251"/>
  <c r="O252"/>
  <c r="R252"/>
  <c r="O253"/>
  <c r="R253"/>
  <c r="O254"/>
  <c r="R254"/>
  <c r="O255"/>
  <c r="R255"/>
  <c r="O256"/>
  <c r="R256"/>
  <c r="O257"/>
  <c r="R257"/>
  <c r="O258"/>
  <c r="R258"/>
  <c r="O259"/>
  <c r="R259"/>
  <c r="O260"/>
  <c r="R260"/>
  <c r="O261"/>
  <c r="R261"/>
  <c r="O262"/>
  <c r="R262"/>
  <c r="O263"/>
  <c r="R263"/>
  <c r="O264"/>
  <c r="R264"/>
  <c r="O265"/>
  <c r="R265"/>
  <c r="O266"/>
  <c r="R266"/>
  <c r="O267"/>
  <c r="R267"/>
  <c r="O268"/>
  <c r="R268"/>
  <c r="O269"/>
  <c r="R269"/>
  <c r="O270"/>
  <c r="R270"/>
  <c r="O271"/>
  <c r="R271"/>
  <c r="O272"/>
  <c r="R272"/>
  <c r="O273"/>
  <c r="R273"/>
  <c r="O274"/>
  <c r="R274"/>
  <c r="O275"/>
  <c r="R275"/>
  <c r="O276"/>
  <c r="R276"/>
  <c r="O277"/>
  <c r="R277"/>
  <c r="O278"/>
  <c r="R278"/>
  <c r="O279"/>
  <c r="R279"/>
  <c r="O280"/>
  <c r="R280"/>
  <c r="O281"/>
  <c r="R281"/>
  <c r="O282"/>
  <c r="R282"/>
  <c r="O283"/>
  <c r="R283"/>
  <c r="O284"/>
  <c r="R284"/>
  <c r="O285"/>
  <c r="R285"/>
  <c r="O286"/>
  <c r="R286"/>
  <c r="O287"/>
  <c r="R287"/>
  <c r="O288"/>
  <c r="R288"/>
  <c r="O289"/>
  <c r="R289"/>
  <c r="O290"/>
  <c r="R290"/>
  <c r="O291"/>
  <c r="R291"/>
  <c r="O292"/>
  <c r="R292"/>
  <c r="O293"/>
  <c r="R293"/>
  <c r="O294"/>
  <c r="R294"/>
  <c r="O295"/>
  <c r="R295"/>
  <c r="O296"/>
  <c r="R296"/>
  <c r="O297"/>
  <c r="R297"/>
  <c r="O298"/>
  <c r="R298"/>
  <c r="O299"/>
  <c r="R299"/>
  <c r="O300"/>
  <c r="R300"/>
  <c r="O301"/>
  <c r="R301"/>
  <c r="O302"/>
  <c r="R302"/>
  <c r="O303"/>
  <c r="R303"/>
  <c r="O304"/>
  <c r="R304"/>
  <c r="O305"/>
  <c r="R305"/>
  <c r="O306"/>
  <c r="R306"/>
  <c r="O307"/>
  <c r="R307"/>
  <c r="O308"/>
  <c r="R308"/>
  <c r="O309"/>
  <c r="R309"/>
  <c r="O310"/>
  <c r="R310"/>
  <c r="O311"/>
  <c r="R311"/>
  <c r="O312"/>
  <c r="R312"/>
  <c r="O313"/>
  <c r="R313"/>
  <c r="O314"/>
  <c r="R314"/>
  <c r="O430"/>
  <c r="R430"/>
  <c r="O431"/>
  <c r="R431"/>
  <c r="O432"/>
  <c r="R432"/>
  <c r="O433"/>
  <c r="R433"/>
  <c r="O438"/>
  <c r="R438"/>
  <c r="O439"/>
  <c r="R439"/>
  <c r="O440"/>
  <c r="R440"/>
  <c r="O441"/>
  <c r="R441"/>
  <c r="O442"/>
  <c r="R442"/>
  <c r="O443"/>
  <c r="R443"/>
  <c r="O444"/>
  <c r="R444"/>
  <c r="O445"/>
  <c r="R445"/>
  <c r="O434"/>
  <c r="R434"/>
  <c r="O435"/>
  <c r="R435"/>
  <c r="O436"/>
  <c r="R436"/>
  <c r="O437"/>
  <c r="R437"/>
  <c r="O446"/>
  <c r="R446"/>
  <c r="O447"/>
  <c r="R447"/>
  <c r="O448"/>
  <c r="R448"/>
  <c r="O449"/>
  <c r="R449"/>
  <c r="O315"/>
  <c r="R315"/>
  <c r="O316"/>
  <c r="R316"/>
  <c r="O317"/>
  <c r="R317"/>
  <c r="O318"/>
  <c r="R318"/>
  <c r="O319"/>
  <c r="R319"/>
  <c r="O320"/>
  <c r="R320"/>
  <c r="O321"/>
  <c r="R321"/>
  <c r="O322"/>
  <c r="R322"/>
  <c r="O323"/>
  <c r="R323"/>
  <c r="O324"/>
  <c r="R324"/>
  <c r="O325"/>
  <c r="R325"/>
  <c r="O326"/>
  <c r="R326"/>
  <c r="O327"/>
  <c r="R327"/>
  <c r="O328"/>
  <c r="R328"/>
  <c r="O329"/>
  <c r="R329"/>
  <c r="O330"/>
  <c r="R330"/>
  <c r="O331"/>
  <c r="R331"/>
  <c r="O332"/>
  <c r="R332"/>
  <c r="O333"/>
  <c r="R333"/>
  <c r="O334"/>
  <c r="R334"/>
  <c r="O335"/>
  <c r="R335"/>
  <c r="O336"/>
  <c r="R336"/>
  <c r="O337"/>
  <c r="R337"/>
  <c r="O338"/>
  <c r="R338"/>
  <c r="O339"/>
  <c r="R339"/>
  <c r="O340"/>
  <c r="R340"/>
  <c r="O341"/>
  <c r="R341"/>
  <c r="O342"/>
  <c r="R342"/>
  <c r="O343"/>
  <c r="R343"/>
  <c r="O344"/>
  <c r="R344"/>
  <c r="O345"/>
  <c r="R345"/>
  <c r="O346"/>
  <c r="R346"/>
  <c r="O347"/>
  <c r="R347"/>
  <c r="O348"/>
  <c r="R348"/>
  <c r="O349"/>
  <c r="R349"/>
  <c r="O350"/>
  <c r="R350"/>
  <c r="O351"/>
  <c r="R351"/>
  <c r="O352"/>
  <c r="R352"/>
  <c r="O353"/>
  <c r="R353"/>
  <c r="O354"/>
  <c r="R354"/>
  <c r="O355"/>
  <c r="R355"/>
  <c r="O356"/>
  <c r="R356"/>
  <c r="O357"/>
  <c r="R357"/>
  <c r="O358"/>
  <c r="R358"/>
  <c r="O359"/>
  <c r="R359"/>
  <c r="O360"/>
  <c r="R360"/>
  <c r="O361"/>
  <c r="R361"/>
  <c r="O362"/>
  <c r="R362"/>
  <c r="O363"/>
  <c r="R363"/>
  <c r="O364"/>
  <c r="R364"/>
  <c r="O365"/>
  <c r="R365"/>
  <c r="O366"/>
  <c r="R366"/>
  <c r="O367"/>
  <c r="R367"/>
  <c r="O368"/>
  <c r="R368"/>
  <c r="O369"/>
  <c r="R369"/>
  <c r="O370"/>
  <c r="R370"/>
  <c r="O371"/>
  <c r="R371"/>
  <c r="O372"/>
  <c r="R372"/>
  <c r="O373"/>
  <c r="R373"/>
  <c r="O374"/>
  <c r="R374"/>
  <c r="O375"/>
  <c r="R375"/>
  <c r="O376"/>
  <c r="R376"/>
  <c r="O377"/>
  <c r="R377"/>
  <c r="O378"/>
  <c r="R378"/>
  <c r="O379"/>
  <c r="R379"/>
  <c r="O380"/>
  <c r="R380"/>
  <c r="O381"/>
  <c r="R381"/>
  <c r="O382"/>
  <c r="R382"/>
  <c r="O383"/>
  <c r="R383"/>
  <c r="O384"/>
  <c r="R384"/>
  <c r="O385"/>
  <c r="R385"/>
  <c r="O386"/>
  <c r="R386"/>
  <c r="O387"/>
  <c r="R387"/>
  <c r="O388"/>
  <c r="R388"/>
  <c r="O389"/>
  <c r="R389"/>
  <c r="O390"/>
  <c r="R390"/>
  <c r="O391"/>
  <c r="R391"/>
  <c r="O392"/>
  <c r="R392"/>
  <c r="O393"/>
  <c r="R393"/>
  <c r="O394"/>
  <c r="R394"/>
  <c r="O395"/>
  <c r="R395"/>
  <c r="O396"/>
  <c r="R396"/>
  <c r="O397"/>
  <c r="R397"/>
  <c r="O398"/>
  <c r="R398"/>
  <c r="O399"/>
  <c r="R399"/>
  <c r="O400"/>
  <c r="R400"/>
  <c r="O401"/>
  <c r="R401"/>
  <c r="O402"/>
  <c r="R402"/>
  <c r="O403"/>
  <c r="R403"/>
  <c r="O404"/>
  <c r="R404"/>
  <c r="O405"/>
  <c r="R405"/>
  <c r="O406"/>
  <c r="R406"/>
  <c r="O407"/>
  <c r="R407"/>
  <c r="O408"/>
  <c r="R408"/>
  <c r="O409"/>
  <c r="R409"/>
  <c r="O410"/>
  <c r="R410"/>
  <c r="O411"/>
  <c r="R411"/>
  <c r="O412"/>
  <c r="R412"/>
  <c r="O413"/>
  <c r="R413"/>
  <c r="O414"/>
  <c r="R414"/>
  <c r="O415"/>
  <c r="R415"/>
  <c r="O416"/>
  <c r="R416"/>
  <c r="O417"/>
  <c r="R417"/>
  <c r="O418"/>
  <c r="R418"/>
  <c r="O419"/>
  <c r="R419"/>
  <c r="O420"/>
  <c r="R420"/>
  <c r="O421"/>
  <c r="R421"/>
  <c r="O422"/>
  <c r="R422"/>
  <c r="O423"/>
  <c r="R423"/>
  <c r="O424"/>
  <c r="R424"/>
  <c r="O425"/>
  <c r="R425"/>
  <c r="O426"/>
  <c r="R426"/>
  <c r="O427"/>
  <c r="R427"/>
  <c r="O428"/>
  <c r="R428"/>
  <c r="O429"/>
  <c r="R429"/>
  <c r="O450"/>
  <c r="R450"/>
  <c r="O451"/>
  <c r="R451"/>
  <c r="O452"/>
  <c r="R452"/>
  <c r="O453"/>
  <c r="R453"/>
  <c r="O454"/>
  <c r="R454"/>
  <c r="O455"/>
  <c r="R455"/>
  <c r="O456"/>
  <c r="R456"/>
  <c r="O457"/>
  <c r="R457"/>
  <c r="O458"/>
  <c r="R458"/>
  <c r="O459"/>
  <c r="R459"/>
  <c r="O460"/>
  <c r="R460"/>
  <c r="O461"/>
  <c r="R461"/>
  <c r="O462"/>
  <c r="R462"/>
  <c r="O463"/>
  <c r="R463"/>
  <c r="O464"/>
  <c r="R464"/>
  <c r="O465"/>
  <c r="R465"/>
  <c r="O466"/>
  <c r="R466"/>
  <c r="O467"/>
  <c r="R467"/>
  <c r="O468"/>
  <c r="R468"/>
  <c r="O469"/>
  <c r="R469"/>
  <c r="O470"/>
  <c r="R470"/>
  <c r="O471"/>
  <c r="R471"/>
  <c r="O472"/>
  <c r="R472"/>
  <c r="O473"/>
  <c r="R473"/>
  <c r="O474"/>
  <c r="R474"/>
  <c r="O475"/>
  <c r="R475"/>
  <c r="O476"/>
  <c r="R476"/>
  <c r="O477"/>
  <c r="R477"/>
  <c r="O478"/>
  <c r="R478"/>
  <c r="O479"/>
  <c r="R479"/>
  <c r="O480"/>
  <c r="R480"/>
  <c r="O481"/>
  <c r="R481"/>
  <c r="O482"/>
  <c r="R482"/>
  <c r="O483"/>
  <c r="R483"/>
  <c r="O484"/>
  <c r="R484"/>
  <c r="O485"/>
  <c r="R485"/>
  <c r="O486"/>
  <c r="R486"/>
  <c r="O487"/>
  <c r="R487"/>
  <c r="O488"/>
  <c r="R488"/>
  <c r="O489"/>
  <c r="R489"/>
  <c r="O490"/>
  <c r="R490"/>
  <c r="O491"/>
  <c r="R491"/>
  <c r="O492"/>
  <c r="R492"/>
  <c r="O493"/>
  <c r="R493"/>
  <c r="O494"/>
  <c r="R494"/>
  <c r="O495"/>
  <c r="R495"/>
  <c r="O496"/>
  <c r="R496"/>
  <c r="O497"/>
  <c r="R497"/>
  <c r="O498"/>
  <c r="R498"/>
  <c r="O499"/>
  <c r="R499"/>
  <c r="O500"/>
  <c r="R500"/>
  <c r="O501"/>
  <c r="R501"/>
  <c r="O502"/>
  <c r="R502"/>
  <c r="O503"/>
  <c r="R503"/>
  <c r="O504"/>
  <c r="R504"/>
  <c r="O505"/>
  <c r="R505"/>
  <c r="O506"/>
  <c r="R506"/>
  <c r="O507"/>
  <c r="R507"/>
  <c r="O508"/>
  <c r="R508"/>
  <c r="O509"/>
  <c r="R509"/>
  <c r="O510"/>
  <c r="R510"/>
  <c r="O511"/>
  <c r="R511"/>
  <c r="O512"/>
  <c r="R512"/>
  <c r="O513"/>
  <c r="R513"/>
  <c r="O514"/>
  <c r="R514"/>
  <c r="O515"/>
  <c r="R515"/>
  <c r="O516"/>
  <c r="R516"/>
  <c r="O517"/>
  <c r="R517"/>
  <c r="O518"/>
  <c r="R518"/>
  <c r="O519"/>
  <c r="R519"/>
  <c r="O520"/>
  <c r="R520"/>
  <c r="O521"/>
  <c r="R521"/>
  <c r="O522"/>
  <c r="R522"/>
  <c r="O523"/>
  <c r="R523"/>
  <c r="O524"/>
  <c r="R524"/>
  <c r="O525"/>
  <c r="R525"/>
  <c r="O526"/>
  <c r="R526"/>
  <c r="O527"/>
  <c r="R527"/>
  <c r="O528"/>
  <c r="R528"/>
  <c r="O529"/>
  <c r="R529"/>
  <c r="O530"/>
  <c r="R530"/>
  <c r="O531"/>
  <c r="R531"/>
  <c r="O532"/>
  <c r="R532"/>
  <c r="O533"/>
  <c r="R533"/>
  <c r="O534"/>
  <c r="R534"/>
  <c r="O535"/>
  <c r="R535"/>
  <c r="O536"/>
  <c r="R536"/>
  <c r="O537"/>
  <c r="R537"/>
  <c r="O538"/>
  <c r="R538"/>
  <c r="O539"/>
  <c r="R539"/>
  <c r="O540"/>
  <c r="R540"/>
  <c r="O541"/>
  <c r="R541"/>
  <c r="O542"/>
  <c r="R542"/>
  <c r="O543"/>
  <c r="R543"/>
  <c r="O544"/>
  <c r="R544"/>
  <c r="O545"/>
  <c r="R545"/>
  <c r="O546"/>
  <c r="R546"/>
  <c r="O547"/>
  <c r="R547"/>
  <c r="O548"/>
  <c r="R548"/>
  <c r="O549"/>
  <c r="R549"/>
  <c r="O550"/>
  <c r="R550"/>
  <c r="O551"/>
  <c r="R551"/>
  <c r="O552"/>
  <c r="R552"/>
  <c r="O553"/>
  <c r="R553"/>
  <c r="O554"/>
  <c r="R554"/>
  <c r="O555"/>
  <c r="R555"/>
  <c r="O556"/>
  <c r="R556"/>
  <c r="O557"/>
  <c r="R557"/>
  <c r="O558"/>
  <c r="R558"/>
  <c r="O559"/>
  <c r="R559"/>
  <c r="O560"/>
  <c r="R560"/>
  <c r="O561"/>
  <c r="R561"/>
  <c r="O562"/>
  <c r="R562"/>
  <c r="O563"/>
  <c r="R563"/>
  <c r="O564"/>
  <c r="R564"/>
  <c r="O565"/>
  <c r="R565"/>
  <c r="O566"/>
  <c r="R566"/>
  <c r="O567"/>
  <c r="R567"/>
  <c r="O568"/>
  <c r="R568"/>
  <c r="O569"/>
  <c r="R569"/>
  <c r="O570"/>
  <c r="R570"/>
  <c r="O571"/>
  <c r="R571"/>
  <c r="O572"/>
  <c r="R572"/>
  <c r="O573"/>
  <c r="R573"/>
  <c r="O574"/>
  <c r="R574"/>
  <c r="O575"/>
  <c r="R575"/>
  <c r="O576"/>
  <c r="R576"/>
  <c r="O577"/>
  <c r="R577"/>
  <c r="O578"/>
  <c r="R578"/>
  <c r="O579"/>
  <c r="R579"/>
  <c r="O580"/>
  <c r="R580"/>
  <c r="O581"/>
  <c r="R581"/>
  <c r="O582"/>
  <c r="R582"/>
  <c r="O583"/>
  <c r="R583"/>
  <c r="O584"/>
  <c r="R584"/>
  <c r="O585"/>
  <c r="R585"/>
  <c r="O586"/>
  <c r="R586"/>
  <c r="O587"/>
  <c r="R587"/>
  <c r="O588"/>
  <c r="R588"/>
  <c r="O589"/>
  <c r="R589"/>
  <c r="O590"/>
  <c r="R590"/>
  <c r="O591"/>
  <c r="R591"/>
  <c r="O592"/>
  <c r="R592"/>
  <c r="O593"/>
  <c r="R593"/>
  <c r="O594"/>
  <c r="R594"/>
  <c r="O595"/>
  <c r="R595"/>
  <c r="O596"/>
  <c r="R596"/>
  <c r="O597"/>
  <c r="R597"/>
  <c r="O598"/>
  <c r="R598"/>
  <c r="O599"/>
  <c r="R599"/>
  <c r="O600"/>
  <c r="R600"/>
  <c r="O601"/>
  <c r="R601"/>
  <c r="O602"/>
  <c r="R602"/>
  <c r="O603"/>
  <c r="R603"/>
  <c r="O604"/>
  <c r="R604"/>
  <c r="O605"/>
  <c r="R605"/>
  <c r="O606"/>
  <c r="R606"/>
  <c r="O607"/>
  <c r="R607"/>
  <c r="O608"/>
  <c r="R608"/>
  <c r="O609"/>
  <c r="R609"/>
  <c r="O610"/>
  <c r="R610"/>
  <c r="O611"/>
  <c r="R611"/>
  <c r="O612"/>
  <c r="R612"/>
  <c r="O613"/>
  <c r="R613"/>
  <c r="O614"/>
  <c r="R614"/>
  <c r="O615"/>
  <c r="R615"/>
  <c r="O616"/>
  <c r="R616"/>
  <c r="O617"/>
  <c r="R617"/>
  <c r="O618"/>
  <c r="R618"/>
  <c r="O619"/>
  <c r="R619"/>
  <c r="O620"/>
  <c r="R620"/>
  <c r="O621"/>
  <c r="R621"/>
  <c r="O622"/>
  <c r="R622"/>
  <c r="O623"/>
  <c r="R623"/>
  <c r="O624"/>
  <c r="R624"/>
  <c r="O625"/>
  <c r="R625"/>
  <c r="O626"/>
  <c r="R626"/>
  <c r="O627"/>
  <c r="R627"/>
  <c r="O628"/>
  <c r="R628"/>
  <c r="O629"/>
  <c r="R629"/>
  <c r="O630"/>
  <c r="R630"/>
  <c r="O631"/>
  <c r="R631"/>
  <c r="O632"/>
  <c r="R632"/>
  <c r="O633"/>
  <c r="R633"/>
  <c r="O634"/>
  <c r="R634"/>
  <c r="O635"/>
  <c r="R635"/>
  <c r="O636"/>
  <c r="R636"/>
  <c r="O637"/>
  <c r="R637"/>
  <c r="O638"/>
  <c r="R638"/>
  <c r="O639"/>
  <c r="R639"/>
  <c r="O640"/>
  <c r="R640"/>
  <c r="O641"/>
  <c r="R641"/>
  <c r="O642"/>
  <c r="R642"/>
  <c r="O643"/>
  <c r="R643"/>
  <c r="O644"/>
  <c r="R644"/>
  <c r="O645"/>
  <c r="R645"/>
  <c r="O646"/>
  <c r="R646"/>
  <c r="O647"/>
  <c r="R647"/>
  <c r="O648"/>
  <c r="R648"/>
  <c r="O649"/>
  <c r="R649"/>
  <c r="O650"/>
  <c r="R650"/>
  <c r="O651"/>
  <c r="R651"/>
  <c r="O652"/>
  <c r="R652"/>
  <c r="O653"/>
  <c r="R653"/>
  <c r="O654"/>
  <c r="R654"/>
  <c r="O655"/>
  <c r="R655"/>
  <c r="O656"/>
  <c r="R656"/>
  <c r="O657"/>
  <c r="R657"/>
  <c r="O658"/>
  <c r="R658"/>
  <c r="O659"/>
  <c r="R659"/>
  <c r="O660"/>
  <c r="R660"/>
  <c r="O661"/>
  <c r="R661"/>
  <c r="O662"/>
  <c r="R662"/>
  <c r="O663"/>
  <c r="R663"/>
  <c r="O664"/>
  <c r="R664"/>
  <c r="O665"/>
  <c r="R665"/>
  <c r="O666"/>
  <c r="R666"/>
  <c r="O667"/>
  <c r="R667"/>
  <c r="O668"/>
  <c r="R668"/>
  <c r="O669"/>
  <c r="R669"/>
  <c r="O670"/>
  <c r="R670"/>
  <c r="O671"/>
  <c r="R671"/>
  <c r="O672"/>
  <c r="R672"/>
  <c r="O673"/>
  <c r="R673"/>
  <c r="O674"/>
  <c r="R674"/>
  <c r="O675"/>
  <c r="R675"/>
  <c r="O676"/>
  <c r="R676"/>
  <c r="O677"/>
  <c r="R677"/>
  <c r="O678"/>
  <c r="R678"/>
  <c r="O679"/>
  <c r="R679"/>
  <c r="O680"/>
  <c r="R680"/>
  <c r="O681"/>
  <c r="R681"/>
  <c r="O682"/>
  <c r="R682"/>
  <c r="O683"/>
  <c r="R683"/>
  <c r="O684"/>
  <c r="R684"/>
  <c r="O685"/>
  <c r="R685"/>
  <c r="O686"/>
  <c r="R686"/>
  <c r="O687"/>
  <c r="R687"/>
  <c r="O688"/>
  <c r="R688"/>
  <c r="O689"/>
  <c r="R689"/>
  <c r="O690"/>
  <c r="R690"/>
  <c r="O691"/>
  <c r="R691"/>
  <c r="O692"/>
  <c r="R692"/>
  <c r="O693"/>
  <c r="R693"/>
  <c r="O694"/>
  <c r="R694"/>
  <c r="O695"/>
  <c r="R695"/>
  <c r="O696"/>
  <c r="R696"/>
  <c r="O697"/>
  <c r="R697"/>
  <c r="O698"/>
  <c r="R698"/>
  <c r="O699"/>
  <c r="R699"/>
  <c r="O700"/>
  <c r="R700"/>
  <c r="O701"/>
  <c r="R701"/>
  <c r="O702"/>
  <c r="R702"/>
  <c r="O703"/>
  <c r="R703"/>
  <c r="O704"/>
  <c r="R704"/>
  <c r="O705"/>
  <c r="R705"/>
  <c r="O706"/>
  <c r="R706"/>
  <c r="O707"/>
  <c r="R707"/>
  <c r="O708"/>
  <c r="R708"/>
  <c r="O709"/>
  <c r="R709"/>
  <c r="O710"/>
  <c r="R710"/>
  <c r="O711"/>
  <c r="R711"/>
  <c r="O712"/>
  <c r="R712"/>
  <c r="O713"/>
  <c r="R713"/>
  <c r="O714"/>
  <c r="R714"/>
  <c r="O715"/>
  <c r="R715"/>
  <c r="O716"/>
  <c r="R716"/>
  <c r="O717"/>
  <c r="R717"/>
  <c r="O718"/>
  <c r="R718"/>
  <c r="O719"/>
  <c r="R719"/>
  <c r="O720"/>
  <c r="R720"/>
  <c r="O721"/>
  <c r="R721"/>
  <c r="O722"/>
  <c r="R722"/>
  <c r="O723"/>
  <c r="R723"/>
  <c r="O724"/>
  <c r="R724"/>
  <c r="O725"/>
  <c r="R725"/>
  <c r="O726"/>
  <c r="R726"/>
  <c r="O727"/>
  <c r="R727"/>
  <c r="O728"/>
  <c r="R728"/>
  <c r="O729"/>
  <c r="R729"/>
  <c r="O730"/>
  <c r="R730"/>
  <c r="O731"/>
  <c r="R731"/>
  <c r="O732"/>
  <c r="R732"/>
  <c r="O733"/>
  <c r="R733"/>
  <c r="O734"/>
  <c r="R734"/>
  <c r="O735"/>
  <c r="R735"/>
  <c r="O736"/>
  <c r="R736"/>
  <c r="O737"/>
  <c r="R737"/>
  <c r="O738"/>
  <c r="R738"/>
  <c r="O739"/>
  <c r="R739"/>
  <c r="O740"/>
  <c r="R740"/>
  <c r="O741"/>
  <c r="R741"/>
  <c r="O742"/>
  <c r="R742"/>
  <c r="O743"/>
  <c r="R743"/>
  <c r="O744"/>
  <c r="R744"/>
  <c r="O745"/>
  <c r="R745"/>
  <c r="O746"/>
  <c r="R746"/>
  <c r="O747"/>
  <c r="R747"/>
  <c r="O748"/>
  <c r="R748"/>
  <c r="O749"/>
  <c r="R749"/>
  <c r="O750"/>
  <c r="R750"/>
  <c r="O751"/>
  <c r="R751"/>
  <c r="O752"/>
  <c r="R752"/>
  <c r="O753"/>
  <c r="R753"/>
  <c r="O754"/>
  <c r="R754"/>
  <c r="O755"/>
  <c r="R755"/>
  <c r="O756"/>
  <c r="R756"/>
  <c r="O757"/>
  <c r="R757"/>
  <c r="O758"/>
  <c r="R758"/>
  <c r="O759"/>
  <c r="R759"/>
  <c r="O760"/>
  <c r="R760"/>
  <c r="O761"/>
  <c r="R761"/>
  <c r="O762"/>
  <c r="R762"/>
  <c r="O763"/>
  <c r="R763"/>
  <c r="O764"/>
  <c r="R764"/>
  <c r="O765"/>
  <c r="R765"/>
  <c r="O766"/>
  <c r="R766"/>
  <c r="O767"/>
  <c r="R767"/>
  <c r="O768"/>
  <c r="R768"/>
  <c r="O769"/>
  <c r="R769"/>
  <c r="O770"/>
  <c r="R770"/>
  <c r="O771"/>
  <c r="R771"/>
  <c r="O772"/>
  <c r="R772"/>
  <c r="O773"/>
  <c r="R773"/>
  <c r="O774"/>
  <c r="R774"/>
  <c r="O775"/>
  <c r="R775"/>
  <c r="O776"/>
  <c r="R776"/>
  <c r="O777"/>
  <c r="R777"/>
  <c r="O778"/>
  <c r="R778"/>
  <c r="O779"/>
  <c r="R779"/>
  <c r="O780"/>
  <c r="R780"/>
  <c r="O781"/>
  <c r="R781"/>
  <c r="O782"/>
  <c r="R782"/>
  <c r="O783"/>
  <c r="R783"/>
  <c r="O784"/>
  <c r="R784"/>
  <c r="O785"/>
  <c r="R785"/>
  <c r="O786"/>
  <c r="R786"/>
  <c r="O787"/>
  <c r="R787"/>
  <c r="O788"/>
  <c r="R788"/>
  <c r="O789"/>
  <c r="R789"/>
  <c r="O790"/>
  <c r="R790"/>
  <c r="O791"/>
  <c r="R791"/>
  <c r="O792"/>
  <c r="R792"/>
  <c r="O793"/>
  <c r="R793"/>
  <c r="O794"/>
  <c r="R794"/>
  <c r="O795"/>
  <c r="R795"/>
  <c r="O796"/>
  <c r="R796"/>
  <c r="O797"/>
  <c r="R797"/>
  <c r="O798"/>
  <c r="R798"/>
  <c r="O799"/>
  <c r="R799"/>
  <c r="O800"/>
  <c r="R800"/>
  <c r="O801"/>
  <c r="R801"/>
  <c r="O802"/>
  <c r="R802"/>
  <c r="O803"/>
  <c r="R803"/>
  <c r="O804"/>
  <c r="R804"/>
  <c r="O805"/>
  <c r="R805"/>
  <c r="O806"/>
  <c r="R806"/>
  <c r="O807"/>
  <c r="R807"/>
  <c r="O808"/>
  <c r="R808"/>
  <c r="O809"/>
  <c r="R809"/>
  <c r="O810"/>
  <c r="R810"/>
  <c r="O811"/>
  <c r="R811"/>
  <c r="O812"/>
  <c r="R812"/>
  <c r="O813"/>
  <c r="R813"/>
  <c r="O814"/>
  <c r="R814"/>
  <c r="O815"/>
  <c r="R815"/>
  <c r="O816"/>
  <c r="R816"/>
  <c r="O817"/>
  <c r="R817"/>
  <c r="O818"/>
  <c r="R818"/>
  <c r="O819"/>
  <c r="R819"/>
  <c r="O820"/>
  <c r="R820"/>
  <c r="O821"/>
  <c r="R821"/>
  <c r="O822"/>
  <c r="R822"/>
  <c r="O823"/>
  <c r="R823"/>
  <c r="O824"/>
  <c r="R824"/>
  <c r="O825"/>
  <c r="R825"/>
  <c r="O826"/>
  <c r="R826"/>
  <c r="O827"/>
  <c r="R827"/>
  <c r="O828"/>
  <c r="R828"/>
  <c r="O829"/>
  <c r="R829"/>
  <c r="O830"/>
  <c r="R830"/>
  <c r="O831"/>
  <c r="R831"/>
  <c r="O832"/>
  <c r="R832"/>
  <c r="O833"/>
  <c r="R833"/>
  <c r="O834"/>
  <c r="R834"/>
  <c r="O835"/>
  <c r="R835"/>
  <c r="O836"/>
  <c r="R836"/>
  <c r="O837"/>
  <c r="R837"/>
  <c r="O838"/>
  <c r="R838"/>
  <c r="O839"/>
  <c r="R839"/>
  <c r="O840"/>
  <c r="R840"/>
  <c r="O841"/>
  <c r="R841"/>
  <c r="O842"/>
  <c r="R842"/>
  <c r="O843"/>
  <c r="R843"/>
  <c r="O844"/>
  <c r="R844"/>
  <c r="O845"/>
  <c r="R845"/>
  <c r="O846"/>
  <c r="R846"/>
  <c r="O847"/>
  <c r="R847"/>
  <c r="O848"/>
  <c r="R848"/>
  <c r="O849"/>
  <c r="R849"/>
  <c r="O850"/>
  <c r="R850"/>
  <c r="O851"/>
  <c r="R851"/>
  <c r="O852"/>
  <c r="R852"/>
  <c r="O853"/>
  <c r="R853"/>
  <c r="O854"/>
  <c r="R854"/>
  <c r="O855"/>
  <c r="R855"/>
  <c r="O856"/>
  <c r="R856"/>
  <c r="O857"/>
  <c r="R857"/>
  <c r="O858"/>
  <c r="R858"/>
  <c r="O859"/>
  <c r="R859"/>
  <c r="O860"/>
  <c r="R860"/>
  <c r="O861"/>
  <c r="R861"/>
  <c r="O862"/>
  <c r="R862"/>
  <c r="O863"/>
  <c r="R863"/>
  <c r="O864"/>
  <c r="R864"/>
  <c r="O865"/>
  <c r="R865"/>
  <c r="O866"/>
  <c r="R866"/>
  <c r="O867"/>
  <c r="R867"/>
  <c r="O868"/>
  <c r="R868"/>
  <c r="O869"/>
  <c r="R869"/>
  <c r="O870"/>
  <c r="R870"/>
  <c r="O871"/>
  <c r="R871"/>
  <c r="O872"/>
  <c r="R872"/>
  <c r="O873"/>
  <c r="R873"/>
  <c r="O874"/>
  <c r="R874"/>
  <c r="O875"/>
  <c r="R875"/>
  <c r="O876"/>
  <c r="R876"/>
  <c r="O877"/>
  <c r="R877"/>
  <c r="O878"/>
  <c r="R878"/>
  <c r="O879"/>
  <c r="R879"/>
  <c r="O880"/>
  <c r="R880"/>
  <c r="O881"/>
  <c r="R881"/>
  <c r="O882"/>
  <c r="R882"/>
  <c r="O883"/>
  <c r="R883"/>
  <c r="O884"/>
  <c r="R884"/>
  <c r="O885"/>
  <c r="R885"/>
  <c r="O886"/>
  <c r="R886"/>
  <c r="O887"/>
  <c r="R887"/>
  <c r="O888"/>
  <c r="R888"/>
  <c r="O889"/>
  <c r="R889"/>
  <c r="O890"/>
  <c r="R890"/>
  <c r="O891"/>
  <c r="R891"/>
  <c r="O892"/>
  <c r="R892"/>
  <c r="O893"/>
  <c r="R893"/>
  <c r="O894"/>
  <c r="R894"/>
  <c r="O895"/>
  <c r="R895"/>
  <c r="O896"/>
  <c r="R896"/>
  <c r="O897"/>
  <c r="R897"/>
  <c r="O898"/>
  <c r="R898"/>
  <c r="O899"/>
  <c r="R899"/>
  <c r="O900"/>
  <c r="R900"/>
  <c r="O901"/>
  <c r="R901"/>
  <c r="O902"/>
  <c r="R902"/>
  <c r="O903"/>
  <c r="R903"/>
  <c r="O904"/>
  <c r="R904"/>
  <c r="O905"/>
  <c r="R905"/>
  <c r="O906"/>
  <c r="R906"/>
  <c r="O907"/>
  <c r="R907"/>
  <c r="O908"/>
  <c r="R908"/>
  <c r="O909"/>
  <c r="R909"/>
  <c r="O910"/>
  <c r="R910"/>
  <c r="O911"/>
  <c r="R911"/>
  <c r="O912"/>
  <c r="R912"/>
  <c r="O913"/>
  <c r="R913"/>
  <c r="O914"/>
  <c r="R914"/>
  <c r="O915"/>
  <c r="R915"/>
  <c r="O916"/>
  <c r="R916"/>
  <c r="O917"/>
  <c r="R917"/>
  <c r="O918"/>
  <c r="R918"/>
  <c r="O919"/>
  <c r="R919"/>
  <c r="O920"/>
  <c r="R920"/>
  <c r="O921"/>
  <c r="R921"/>
  <c r="O922"/>
  <c r="R922"/>
  <c r="O923"/>
  <c r="R923"/>
  <c r="O924"/>
  <c r="R924"/>
  <c r="O925"/>
  <c r="R925"/>
  <c r="O926"/>
  <c r="R926"/>
  <c r="O927"/>
  <c r="R927"/>
  <c r="O928"/>
  <c r="R928"/>
  <c r="O929"/>
  <c r="R929"/>
  <c r="O930"/>
  <c r="R930"/>
  <c r="O931"/>
  <c r="R931"/>
  <c r="O932"/>
  <c r="R932"/>
  <c r="O933"/>
  <c r="R933"/>
  <c r="O934"/>
  <c r="R934"/>
  <c r="O935"/>
  <c r="R935"/>
  <c r="O936"/>
  <c r="R936"/>
  <c r="O937"/>
  <c r="R937"/>
  <c r="O938"/>
  <c r="R938"/>
  <c r="O939"/>
  <c r="R939"/>
  <c r="O940"/>
  <c r="R940"/>
  <c r="O941"/>
  <c r="R941"/>
  <c r="O942"/>
  <c r="R942"/>
  <c r="O943"/>
  <c r="R943"/>
  <c r="O944"/>
  <c r="R944"/>
  <c r="O945"/>
  <c r="R945"/>
  <c r="O946"/>
  <c r="R946"/>
  <c r="O947"/>
  <c r="R947"/>
  <c r="O948"/>
  <c r="R948"/>
  <c r="O949"/>
  <c r="R949"/>
  <c r="O950"/>
  <c r="R950"/>
  <c r="O951"/>
  <c r="R951"/>
  <c r="O952"/>
  <c r="R952"/>
  <c r="O953"/>
  <c r="R953"/>
  <c r="O954"/>
  <c r="R954"/>
  <c r="O955"/>
  <c r="R955"/>
  <c r="O956"/>
  <c r="R956"/>
  <c r="O957"/>
  <c r="R957"/>
  <c r="O958"/>
  <c r="R958"/>
  <c r="O959"/>
  <c r="R959"/>
  <c r="O960"/>
  <c r="R960"/>
  <c r="O961"/>
  <c r="R961"/>
  <c r="O962"/>
  <c r="R962"/>
  <c r="O963"/>
  <c r="R963"/>
  <c r="O964"/>
  <c r="R964"/>
  <c r="O965"/>
  <c r="R965"/>
  <c r="O966"/>
  <c r="R966"/>
  <c r="O967"/>
  <c r="R967"/>
  <c r="O968"/>
  <c r="R968"/>
  <c r="O969"/>
  <c r="R969"/>
  <c r="O970"/>
  <c r="R970"/>
  <c r="O971"/>
  <c r="R971"/>
  <c r="O972"/>
  <c r="R972"/>
  <c r="O973"/>
  <c r="R973"/>
  <c r="O974"/>
  <c r="R974"/>
  <c r="O975"/>
  <c r="R975"/>
  <c r="O976"/>
  <c r="R976"/>
  <c r="O977"/>
  <c r="R977"/>
  <c r="O978"/>
  <c r="R978"/>
  <c r="O979"/>
  <c r="R979"/>
  <c r="O980"/>
  <c r="R980"/>
  <c r="O981"/>
  <c r="R981"/>
  <c r="O982"/>
  <c r="R982"/>
  <c r="O983"/>
  <c r="R983"/>
  <c r="O984"/>
  <c r="R984"/>
  <c r="O985"/>
  <c r="R985"/>
  <c r="O986"/>
  <c r="R986"/>
  <c r="O987"/>
  <c r="R987"/>
  <c r="O988"/>
  <c r="R988"/>
  <c r="O989"/>
  <c r="R989"/>
  <c r="O990"/>
  <c r="R990"/>
  <c r="O991"/>
  <c r="R991"/>
  <c r="O992"/>
  <c r="R992"/>
  <c r="O993"/>
  <c r="R993"/>
  <c r="O994"/>
  <c r="R994"/>
  <c r="O995"/>
  <c r="R995"/>
  <c r="O996"/>
  <c r="R996"/>
  <c r="O997"/>
  <c r="R997"/>
  <c r="O998"/>
  <c r="R998"/>
  <c r="O999"/>
  <c r="R999"/>
  <c r="O1000"/>
  <c r="R1000"/>
  <c r="O1001"/>
  <c r="R1001"/>
  <c r="O1002"/>
  <c r="R1002"/>
  <c r="O1003"/>
  <c r="R1003"/>
  <c r="O1004"/>
  <c r="R1004"/>
  <c r="O1005"/>
  <c r="R1005"/>
  <c r="O1006"/>
  <c r="R1006"/>
  <c r="O1007"/>
  <c r="R1007"/>
  <c r="O1008"/>
  <c r="R1008"/>
  <c r="O1009"/>
  <c r="R1009"/>
  <c r="O1010"/>
  <c r="R1010"/>
  <c r="O1011"/>
  <c r="R1011"/>
  <c r="O1012"/>
  <c r="R1012"/>
  <c r="O1013"/>
  <c r="R1013"/>
  <c r="O1014"/>
  <c r="R1014"/>
  <c r="O1015"/>
  <c r="R1015"/>
  <c r="O1016"/>
  <c r="R1016"/>
  <c r="O1017"/>
  <c r="R1017"/>
  <c r="O1018"/>
  <c r="R1018"/>
  <c r="O1019"/>
  <c r="R1019"/>
  <c r="O1020"/>
  <c r="R1020"/>
  <c r="O1021"/>
  <c r="R1021"/>
  <c r="O1022"/>
  <c r="R1022"/>
  <c r="O1023"/>
  <c r="R1023"/>
  <c r="O1024"/>
  <c r="R1024"/>
  <c r="O1025"/>
  <c r="R1025"/>
  <c r="O1026"/>
  <c r="R1026"/>
  <c r="O1027"/>
  <c r="R1027"/>
  <c r="O1028"/>
  <c r="R1028"/>
  <c r="O1029"/>
  <c r="R1029"/>
  <c r="O1030"/>
  <c r="R1030"/>
  <c r="O1031"/>
  <c r="R1031"/>
  <c r="O1032"/>
  <c r="R1032"/>
  <c r="O1033"/>
  <c r="R1033"/>
  <c r="O1034"/>
  <c r="R1034"/>
  <c r="O1035"/>
  <c r="R1035"/>
  <c r="O1036"/>
  <c r="R1036"/>
  <c r="O1037"/>
  <c r="R1037"/>
  <c r="O1038"/>
  <c r="R1038"/>
  <c r="O1039"/>
  <c r="R1039"/>
  <c r="O1040"/>
  <c r="R1040"/>
  <c r="O1041"/>
  <c r="R1041"/>
  <c r="O1042"/>
  <c r="R1042"/>
  <c r="O1043"/>
  <c r="R1043"/>
  <c r="O1044"/>
  <c r="R1044"/>
  <c r="O1045"/>
  <c r="R1045"/>
  <c r="O1046"/>
  <c r="R1046"/>
  <c r="O1047"/>
  <c r="R1047"/>
  <c r="O1048"/>
  <c r="R1048"/>
  <c r="O1049"/>
  <c r="R1049"/>
  <c r="O1050"/>
  <c r="R1050"/>
  <c r="O1051"/>
  <c r="R1051"/>
  <c r="O1052"/>
  <c r="R1052"/>
  <c r="O1053"/>
  <c r="R1053"/>
  <c r="O1054"/>
  <c r="R1054"/>
  <c r="O1055"/>
  <c r="R1055"/>
  <c r="O1056"/>
  <c r="R1056"/>
  <c r="O1057"/>
  <c r="R1057"/>
  <c r="O1058"/>
  <c r="R1058"/>
  <c r="O1059"/>
  <c r="R1059"/>
  <c r="O1060"/>
  <c r="R1060"/>
  <c r="O1061"/>
  <c r="R1061"/>
  <c r="O1062"/>
  <c r="R1062"/>
  <c r="O1063"/>
  <c r="R1063"/>
  <c r="O1064"/>
  <c r="R1064"/>
  <c r="O1065"/>
  <c r="R1065"/>
  <c r="O1066"/>
  <c r="R1066"/>
  <c r="O1067"/>
  <c r="R1067"/>
  <c r="O1068"/>
  <c r="R1068"/>
  <c r="O1069"/>
  <c r="R1069"/>
  <c r="O1070"/>
  <c r="R1070"/>
  <c r="O1071"/>
  <c r="R1071"/>
  <c r="O1072"/>
  <c r="R1072"/>
  <c r="O1073"/>
  <c r="R1073"/>
  <c r="O1074"/>
  <c r="R1074"/>
  <c r="O1075"/>
  <c r="R1075"/>
  <c r="O1076"/>
  <c r="R1076"/>
  <c r="O1077"/>
  <c r="R1077"/>
  <c r="O1078"/>
  <c r="R1078"/>
  <c r="O1079"/>
  <c r="R1079"/>
  <c r="O1080"/>
  <c r="R1080"/>
  <c r="O1081"/>
  <c r="R1081"/>
  <c r="O1082"/>
  <c r="R1082"/>
  <c r="O1083"/>
  <c r="R1083"/>
  <c r="O1084"/>
  <c r="R1084"/>
  <c r="O1085"/>
  <c r="R1085"/>
  <c r="O1086"/>
  <c r="R1086"/>
  <c r="O1087"/>
  <c r="R1087"/>
  <c r="O1088"/>
  <c r="R1088"/>
  <c r="O1089"/>
  <c r="R1089"/>
  <c r="O1090"/>
  <c r="R1090"/>
  <c r="O1091"/>
  <c r="R1091"/>
  <c r="O1092"/>
  <c r="R1092"/>
  <c r="O1093"/>
  <c r="R1093"/>
  <c r="O1094"/>
  <c r="R1094"/>
  <c r="O1095"/>
  <c r="R1095"/>
  <c r="O1096"/>
  <c r="R1096"/>
  <c r="O1097"/>
  <c r="R1097"/>
  <c r="O1098"/>
  <c r="R1098"/>
  <c r="O1099"/>
  <c r="R1099"/>
  <c r="O1100"/>
  <c r="R1100"/>
  <c r="O1101"/>
  <c r="R1101"/>
  <c r="O1102"/>
  <c r="R1102"/>
  <c r="O1103"/>
  <c r="R1103"/>
  <c r="O1104"/>
  <c r="R1104"/>
  <c r="O1105"/>
  <c r="R1105"/>
  <c r="O1106"/>
  <c r="R1106"/>
  <c r="O1107"/>
  <c r="R1107"/>
  <c r="O1108"/>
  <c r="R1108"/>
  <c r="O1109"/>
  <c r="R1109"/>
  <c r="O1110"/>
  <c r="R1110"/>
  <c r="O1111"/>
  <c r="R1111"/>
  <c r="O1112"/>
  <c r="R1112"/>
  <c r="O1113"/>
  <c r="R1113"/>
  <c r="O1114"/>
  <c r="R1114"/>
  <c r="O1115"/>
  <c r="R1115"/>
  <c r="O1116"/>
  <c r="R1116"/>
  <c r="O1117"/>
  <c r="R1117"/>
  <c r="O1118"/>
  <c r="R1118"/>
  <c r="O1119"/>
  <c r="R1119"/>
  <c r="O1120"/>
  <c r="R1120"/>
  <c r="O1121"/>
  <c r="R1121"/>
  <c r="O1122"/>
  <c r="R1122"/>
  <c r="O1123"/>
  <c r="R1123"/>
  <c r="O1124"/>
  <c r="R1124"/>
  <c r="O1125"/>
  <c r="R1125"/>
  <c r="O1126"/>
  <c r="R1126"/>
  <c r="O1127"/>
  <c r="R1127"/>
  <c r="R135"/>
  <c r="O135"/>
  <c r="L114"/>
  <c r="S114" s="1"/>
  <c r="L115"/>
  <c r="S115" s="1"/>
  <c r="L116"/>
  <c r="S116" s="1"/>
  <c r="L117"/>
  <c r="S117" s="1"/>
  <c r="L118"/>
  <c r="S118" s="1"/>
  <c r="L119"/>
  <c r="S119" s="1"/>
  <c r="L120"/>
  <c r="L121"/>
  <c r="S121" s="1"/>
  <c r="L122"/>
  <c r="S122" s="1"/>
  <c r="L123"/>
  <c r="S123" s="1"/>
  <c r="L124"/>
  <c r="S124" s="1"/>
  <c r="L125"/>
  <c r="S125" s="1"/>
  <c r="L126"/>
  <c r="S126" s="1"/>
  <c r="L127"/>
  <c r="S127" s="1"/>
  <c r="L128"/>
  <c r="S128" s="1"/>
  <c r="L129"/>
  <c r="S129" s="1"/>
  <c r="L113"/>
  <c r="S113" s="1"/>
  <c r="K114"/>
  <c r="R114" s="1"/>
  <c r="K115"/>
  <c r="R115" s="1"/>
  <c r="K116"/>
  <c r="R116" s="1"/>
  <c r="K117"/>
  <c r="K118"/>
  <c r="R118" s="1"/>
  <c r="K119"/>
  <c r="K120"/>
  <c r="R120" s="1"/>
  <c r="K121"/>
  <c r="K122"/>
  <c r="R122" s="1"/>
  <c r="K123"/>
  <c r="R123" s="1"/>
  <c r="K124"/>
  <c r="R124" s="1"/>
  <c r="K125"/>
  <c r="K126"/>
  <c r="R126" s="1"/>
  <c r="K127"/>
  <c r="R127" s="1"/>
  <c r="K128"/>
  <c r="R128" s="1"/>
  <c r="K129"/>
  <c r="R129" s="1"/>
  <c r="K113"/>
  <c r="R113" s="1"/>
  <c r="O18"/>
  <c r="R18"/>
  <c r="O77"/>
  <c r="R77"/>
  <c r="O78"/>
  <c r="R78"/>
  <c r="O79"/>
  <c r="R79"/>
  <c r="O80"/>
  <c r="R80"/>
  <c r="O81"/>
  <c r="R81"/>
  <c r="O82"/>
  <c r="R82"/>
  <c r="O83"/>
  <c r="R83"/>
  <c r="O84"/>
  <c r="R84"/>
  <c r="O85"/>
  <c r="R85"/>
  <c r="O86"/>
  <c r="R86"/>
  <c r="O87"/>
  <c r="R87"/>
  <c r="O88"/>
  <c r="R88"/>
  <c r="O89"/>
  <c r="R89"/>
  <c r="O90"/>
  <c r="R90"/>
  <c r="O91"/>
  <c r="R91"/>
  <c r="O92"/>
  <c r="R92"/>
  <c r="O93"/>
  <c r="R93"/>
  <c r="O94"/>
  <c r="R94"/>
  <c r="O95"/>
  <c r="R95"/>
  <c r="O96"/>
  <c r="R96"/>
  <c r="O97"/>
  <c r="R97"/>
  <c r="O98"/>
  <c r="R98"/>
  <c r="O99"/>
  <c r="R99"/>
  <c r="O100"/>
  <c r="R100"/>
  <c r="O101"/>
  <c r="R101"/>
  <c r="O102"/>
  <c r="R102"/>
  <c r="O103"/>
  <c r="R103"/>
  <c r="O104"/>
  <c r="R104"/>
  <c r="O105"/>
  <c r="R105"/>
  <c r="O106"/>
  <c r="R106"/>
  <c r="O107"/>
  <c r="R107"/>
  <c r="O108"/>
  <c r="R108"/>
  <c r="O109"/>
  <c r="R109"/>
  <c r="O110"/>
  <c r="R110"/>
  <c r="O111"/>
  <c r="R111"/>
  <c r="O112"/>
  <c r="R112"/>
  <c r="J113"/>
  <c r="Q113" s="1"/>
  <c r="O113"/>
  <c r="P113"/>
  <c r="J114"/>
  <c r="Q114" s="1"/>
  <c r="O114"/>
  <c r="P114"/>
  <c r="J115"/>
  <c r="Q115" s="1"/>
  <c r="O115"/>
  <c r="P115"/>
  <c r="J116"/>
  <c r="Q116" s="1"/>
  <c r="O116"/>
  <c r="P116"/>
  <c r="J117"/>
  <c r="Q117" s="1"/>
  <c r="O117"/>
  <c r="P117"/>
  <c r="J118"/>
  <c r="Q118" s="1"/>
  <c r="O118"/>
  <c r="P118"/>
  <c r="J119"/>
  <c r="Q119" s="1"/>
  <c r="O119"/>
  <c r="P119"/>
  <c r="J120"/>
  <c r="Q120" s="1"/>
  <c r="O120"/>
  <c r="P120"/>
  <c r="J121"/>
  <c r="Q121" s="1"/>
  <c r="O121"/>
  <c r="P121"/>
  <c r="J122"/>
  <c r="Q122" s="1"/>
  <c r="O122"/>
  <c r="P122"/>
  <c r="J123"/>
  <c r="Q123" s="1"/>
  <c r="O123"/>
  <c r="P123"/>
  <c r="J124"/>
  <c r="Q124" s="1"/>
  <c r="O124"/>
  <c r="P124"/>
  <c r="J125"/>
  <c r="Q125" s="1"/>
  <c r="O125"/>
  <c r="P125"/>
  <c r="J126"/>
  <c r="Q126" s="1"/>
  <c r="O126"/>
  <c r="P126"/>
  <c r="J127"/>
  <c r="Q127" s="1"/>
  <c r="O127"/>
  <c r="P127"/>
  <c r="J128"/>
  <c r="Q128" s="1"/>
  <c r="O128"/>
  <c r="P128"/>
  <c r="J129"/>
  <c r="Q129" s="1"/>
  <c r="O129"/>
  <c r="P129"/>
  <c r="J1128"/>
  <c r="K1128"/>
  <c r="L1128"/>
  <c r="O1128"/>
  <c r="P1128"/>
  <c r="J1129"/>
  <c r="K1129"/>
  <c r="L1129"/>
  <c r="O1129"/>
  <c r="P1129"/>
  <c r="J1130"/>
  <c r="K1130"/>
  <c r="L1130"/>
  <c r="O1130"/>
  <c r="P1130"/>
  <c r="J1131"/>
  <c r="K1131"/>
  <c r="L1131"/>
  <c r="O1131"/>
  <c r="P1131"/>
  <c r="J1132"/>
  <c r="K1132"/>
  <c r="L1132"/>
  <c r="O1132"/>
  <c r="P1132"/>
  <c r="J1133"/>
  <c r="K1133"/>
  <c r="L1133"/>
  <c r="O1133"/>
  <c r="P1133"/>
  <c r="J1135"/>
  <c r="K1135"/>
  <c r="L1135"/>
  <c r="O1135"/>
  <c r="P1135"/>
  <c r="J1136"/>
  <c r="K1136"/>
  <c r="L1136"/>
  <c r="O1136"/>
  <c r="P1136"/>
  <c r="J1137"/>
  <c r="K1137"/>
  <c r="L1137"/>
  <c r="O1137"/>
  <c r="P1137"/>
  <c r="L1141"/>
  <c r="O1141"/>
  <c r="R1141"/>
  <c r="L1142"/>
  <c r="O1142"/>
  <c r="R1142"/>
  <c r="L1143"/>
  <c r="O1143"/>
  <c r="R1143"/>
  <c r="O1144"/>
  <c r="R1144"/>
  <c r="O1145"/>
  <c r="R1145"/>
  <c r="O1146"/>
  <c r="R1146"/>
  <c r="O1147"/>
  <c r="R1147"/>
  <c r="O1148"/>
  <c r="R1148"/>
  <c r="O1149"/>
  <c r="R1149"/>
  <c r="O1150"/>
  <c r="R1150"/>
  <c r="O1151"/>
  <c r="R1151"/>
  <c r="O1152"/>
  <c r="R1152"/>
  <c r="O1153"/>
  <c r="R1153"/>
  <c r="O1154"/>
  <c r="R1154"/>
  <c r="O1155"/>
  <c r="R1155"/>
  <c r="O1157"/>
  <c r="R1157"/>
  <c r="O1158"/>
  <c r="R1158"/>
  <c r="O1159"/>
  <c r="R1159"/>
  <c r="O1160"/>
  <c r="R1160"/>
  <c r="O1161"/>
  <c r="R1161"/>
  <c r="O1162"/>
  <c r="R1162"/>
  <c r="O1163"/>
  <c r="R1163"/>
  <c r="O1164"/>
  <c r="R1164"/>
  <c r="O1165"/>
  <c r="R1165"/>
  <c r="O1168"/>
  <c r="R1168"/>
  <c r="O1169"/>
  <c r="R1169"/>
  <c r="O1170"/>
  <c r="R1170"/>
  <c r="O1171"/>
  <c r="R1171"/>
  <c r="O1172"/>
  <c r="R1172"/>
  <c r="O1173"/>
  <c r="R1173"/>
  <c r="J1450"/>
  <c r="Q1450" s="1"/>
  <c r="M1450"/>
  <c r="T1450" s="1"/>
  <c r="O1450"/>
  <c r="P1450"/>
  <c r="R1450"/>
  <c r="S1450"/>
  <c r="J1451"/>
  <c r="Q1451" s="1"/>
  <c r="M1451"/>
  <c r="T1451" s="1"/>
  <c r="O1451"/>
  <c r="P1451"/>
  <c r="R1451"/>
  <c r="S1451"/>
  <c r="J1452"/>
  <c r="Q1452" s="1"/>
  <c r="M1452"/>
  <c r="T1452" s="1"/>
  <c r="O1452"/>
  <c r="P1452"/>
  <c r="R1452"/>
  <c r="S1452"/>
  <c r="J1453"/>
  <c r="Q1453" s="1"/>
  <c r="M1453"/>
  <c r="T1453" s="1"/>
  <c r="O1453"/>
  <c r="P1453"/>
  <c r="R1453"/>
  <c r="S1453"/>
  <c r="J1454"/>
  <c r="Q1454" s="1"/>
  <c r="M1454"/>
  <c r="T1454" s="1"/>
  <c r="O1454"/>
  <c r="P1454"/>
  <c r="R1454"/>
  <c r="S1454"/>
  <c r="J1455"/>
  <c r="Q1455" s="1"/>
  <c r="M1455"/>
  <c r="T1455" s="1"/>
  <c r="O1455"/>
  <c r="P1455"/>
  <c r="R1455"/>
  <c r="S1455"/>
  <c r="J1456"/>
  <c r="Q1456" s="1"/>
  <c r="M1456"/>
  <c r="T1456" s="1"/>
  <c r="O1456"/>
  <c r="P1456"/>
  <c r="R1456"/>
  <c r="S1456"/>
  <c r="J1457"/>
  <c r="Q1457" s="1"/>
  <c r="M1457"/>
  <c r="T1457" s="1"/>
  <c r="O1457"/>
  <c r="P1457"/>
  <c r="R1457"/>
  <c r="S1457"/>
  <c r="J1458"/>
  <c r="Q1458" s="1"/>
  <c r="M1458"/>
  <c r="T1458" s="1"/>
  <c r="O1458"/>
  <c r="P1458"/>
  <c r="R1458"/>
  <c r="S1458"/>
  <c r="J1459"/>
  <c r="Q1459" s="1"/>
  <c r="M1459"/>
  <c r="T1459" s="1"/>
  <c r="O1459"/>
  <c r="P1459"/>
  <c r="R1459"/>
  <c r="S1459"/>
  <c r="J1460"/>
  <c r="Q1460" s="1"/>
  <c r="M1460"/>
  <c r="T1460" s="1"/>
  <c r="O1460"/>
  <c r="P1460"/>
  <c r="R1460"/>
  <c r="S1460"/>
  <c r="J1461"/>
  <c r="Q1461" s="1"/>
  <c r="M1461"/>
  <c r="T1461" s="1"/>
  <c r="O1461"/>
  <c r="P1461"/>
  <c r="R1461"/>
  <c r="S1461"/>
  <c r="J1462"/>
  <c r="Q1462" s="1"/>
  <c r="M1462"/>
  <c r="T1462" s="1"/>
  <c r="O1462"/>
  <c r="P1462"/>
  <c r="R1462"/>
  <c r="S1462"/>
  <c r="O1463"/>
  <c r="R1463"/>
  <c r="O1464"/>
  <c r="R1464"/>
  <c r="O1465"/>
  <c r="R1465"/>
  <c r="O1466"/>
  <c r="R1466"/>
  <c r="O1467"/>
  <c r="R1467"/>
  <c r="O1468"/>
  <c r="R1468"/>
  <c r="O1469"/>
  <c r="R1469"/>
  <c r="O1470"/>
  <c r="R1470"/>
  <c r="O1471"/>
  <c r="R1471"/>
  <c r="O1472"/>
  <c r="R1472"/>
  <c r="O1473"/>
  <c r="R1473"/>
  <c r="O1474"/>
  <c r="R1474"/>
  <c r="O1475"/>
  <c r="R1475"/>
  <c r="O1476"/>
  <c r="R1476"/>
  <c r="O1477"/>
  <c r="R1477"/>
  <c r="O1478"/>
  <c r="R1478"/>
  <c r="O1479"/>
  <c r="R1479"/>
  <c r="O1480"/>
  <c r="R1480"/>
  <c r="O1481"/>
  <c r="R1481"/>
  <c r="O1482"/>
  <c r="R1482"/>
  <c r="O1483"/>
  <c r="R1483"/>
  <c r="O1484"/>
  <c r="R1484"/>
  <c r="O1485"/>
  <c r="R1485"/>
  <c r="O1486"/>
  <c r="R1486"/>
  <c r="O1487"/>
  <c r="R1487"/>
  <c r="O1488"/>
  <c r="R1488"/>
  <c r="O1489"/>
  <c r="R1489"/>
  <c r="O1490"/>
  <c r="R1490"/>
  <c r="O1491"/>
  <c r="R1491"/>
  <c r="O1492"/>
  <c r="R1492"/>
  <c r="O1493"/>
  <c r="R1493"/>
  <c r="O1494"/>
  <c r="R1494"/>
  <c r="O1495"/>
  <c r="R1495"/>
  <c r="O1496"/>
  <c r="R1496"/>
  <c r="O1497"/>
  <c r="R1497"/>
  <c r="O1498"/>
  <c r="R1498"/>
  <c r="O1499"/>
  <c r="R1499"/>
  <c r="O1500"/>
  <c r="R1500"/>
  <c r="O1501"/>
  <c r="R1501"/>
  <c r="O1502"/>
  <c r="R1502"/>
  <c r="O1512"/>
  <c r="R1512"/>
  <c r="O1513"/>
  <c r="R1513"/>
  <c r="O1514"/>
  <c r="R1514"/>
  <c r="O1515"/>
  <c r="R1515"/>
  <c r="O1516"/>
  <c r="R1516"/>
  <c r="J1517"/>
  <c r="Q1517" s="1"/>
  <c r="M1517"/>
  <c r="T1517" s="1"/>
  <c r="O1517"/>
  <c r="P1517"/>
  <c r="R1517"/>
  <c r="S1517"/>
  <c r="J1519"/>
  <c r="Q1519" s="1"/>
  <c r="M1519"/>
  <c r="T1519" s="1"/>
  <c r="O1519"/>
  <c r="P1519"/>
  <c r="R1519"/>
  <c r="S1519"/>
  <c r="J1521"/>
  <c r="Q1521" s="1"/>
  <c r="M1521"/>
  <c r="T1521" s="1"/>
  <c r="O1521"/>
  <c r="P1521"/>
  <c r="R1521"/>
  <c r="S1521"/>
  <c r="J1522"/>
  <c r="Q1522" s="1"/>
  <c r="M1522"/>
  <c r="T1522" s="1"/>
  <c r="O1522"/>
  <c r="P1522"/>
  <c r="R1522"/>
  <c r="S1522"/>
  <c r="J1524"/>
  <c r="Q1524" s="1"/>
  <c r="M1524"/>
  <c r="T1524" s="1"/>
  <c r="O1524"/>
  <c r="P1524"/>
  <c r="R1524"/>
  <c r="S1524"/>
  <c r="J1525"/>
  <c r="Q1525" s="1"/>
  <c r="M1525"/>
  <c r="T1525" s="1"/>
  <c r="O1525"/>
  <c r="P1525"/>
  <c r="R1525"/>
  <c r="S1525"/>
  <c r="J1526"/>
  <c r="Q1526" s="1"/>
  <c r="M1526"/>
  <c r="T1526" s="1"/>
  <c r="O1526"/>
  <c r="P1526"/>
  <c r="R1526"/>
  <c r="S1526"/>
  <c r="J1527"/>
  <c r="Q1527" s="1"/>
  <c r="M1527"/>
  <c r="T1527" s="1"/>
  <c r="O1527"/>
  <c r="P1527"/>
  <c r="R1527"/>
  <c r="S1527"/>
  <c r="J1528"/>
  <c r="Q1528" s="1"/>
  <c r="M1528"/>
  <c r="T1528" s="1"/>
  <c r="O1528"/>
  <c r="P1528"/>
  <c r="R1528"/>
  <c r="S1528"/>
  <c r="J1529"/>
  <c r="Q1529" s="1"/>
  <c r="M1529"/>
  <c r="T1529" s="1"/>
  <c r="O1529"/>
  <c r="P1529"/>
  <c r="R1529"/>
  <c r="S1529"/>
  <c r="J1532"/>
  <c r="Q1532" s="1"/>
  <c r="M1532"/>
  <c r="T1532" s="1"/>
  <c r="O1532"/>
  <c r="P1532"/>
  <c r="R1532"/>
  <c r="S1532"/>
  <c r="J1533"/>
  <c r="Q1533" s="1"/>
  <c r="M1533"/>
  <c r="T1533" s="1"/>
  <c r="O1533"/>
  <c r="P1533"/>
  <c r="R1533"/>
  <c r="S1533"/>
  <c r="J1555"/>
  <c r="Q1555" s="1"/>
  <c r="M1555"/>
  <c r="T1555" s="1"/>
  <c r="O1555"/>
  <c r="P1555"/>
  <c r="R1555"/>
  <c r="S1555"/>
  <c r="J1556"/>
  <c r="Q1556" s="1"/>
  <c r="M1556"/>
  <c r="T1556" s="1"/>
  <c r="O1556"/>
  <c r="P1556"/>
  <c r="R1556"/>
  <c r="S1556"/>
  <c r="J1558"/>
  <c r="Q1558" s="1"/>
  <c r="M1558"/>
  <c r="T1558" s="1"/>
  <c r="O1558"/>
  <c r="P1558"/>
  <c r="R1558"/>
  <c r="S1558"/>
  <c r="J1560"/>
  <c r="Q1560" s="1"/>
  <c r="M1560"/>
  <c r="T1560" s="1"/>
  <c r="O1560"/>
  <c r="P1560"/>
  <c r="R1560"/>
  <c r="S1560"/>
  <c r="J1561"/>
  <c r="Q1561" s="1"/>
  <c r="M1561"/>
  <c r="T1561" s="1"/>
  <c r="O1561"/>
  <c r="P1561"/>
  <c r="R1561"/>
  <c r="S1561"/>
  <c r="J1563"/>
  <c r="Q1563" s="1"/>
  <c r="M1563"/>
  <c r="T1563" s="1"/>
  <c r="O1563"/>
  <c r="P1563"/>
  <c r="R1563"/>
  <c r="S1563"/>
  <c r="J1564"/>
  <c r="Q1564" s="1"/>
  <c r="M1564"/>
  <c r="T1564" s="1"/>
  <c r="O1564"/>
  <c r="P1564"/>
  <c r="R1564"/>
  <c r="S1564"/>
  <c r="J1565"/>
  <c r="Q1565" s="1"/>
  <c r="M1565"/>
  <c r="T1565" s="1"/>
  <c r="O1565"/>
  <c r="P1565"/>
  <c r="R1565"/>
  <c r="S1565"/>
  <c r="J1566"/>
  <c r="Q1566" s="1"/>
  <c r="M1566"/>
  <c r="T1566" s="1"/>
  <c r="O1566"/>
  <c r="P1566"/>
  <c r="R1566"/>
  <c r="S1566"/>
  <c r="J1567"/>
  <c r="Q1567" s="1"/>
  <c r="M1567"/>
  <c r="T1567" s="1"/>
  <c r="O1567"/>
  <c r="P1567"/>
  <c r="R1567"/>
  <c r="S1567"/>
  <c r="J1568"/>
  <c r="Q1568" s="1"/>
  <c r="M1568"/>
  <c r="T1568" s="1"/>
  <c r="O1568"/>
  <c r="P1568"/>
  <c r="R1568"/>
  <c r="S1568"/>
  <c r="J1571"/>
  <c r="Q1571" s="1"/>
  <c r="M1571"/>
  <c r="T1571" s="1"/>
  <c r="O1571"/>
  <c r="P1571"/>
  <c r="R1571"/>
  <c r="S1571"/>
  <c r="J1572"/>
  <c r="Q1572" s="1"/>
  <c r="M1572"/>
  <c r="T1572" s="1"/>
  <c r="O1572"/>
  <c r="P1572"/>
  <c r="R1572"/>
  <c r="S1572"/>
  <c r="E3" i="2"/>
  <c r="F3"/>
  <c r="E4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E44"/>
  <c r="F44"/>
  <c r="E45"/>
  <c r="F45"/>
  <c r="E46"/>
  <c r="F46"/>
  <c r="E47"/>
  <c r="F47"/>
  <c r="E48"/>
  <c r="F48"/>
  <c r="E49"/>
  <c r="F49"/>
  <c r="E50"/>
  <c r="F50"/>
  <c r="E51"/>
  <c r="F51"/>
  <c r="E52"/>
  <c r="F52"/>
  <c r="E53"/>
  <c r="F53"/>
  <c r="E54"/>
  <c r="F54"/>
  <c r="E55"/>
  <c r="F55"/>
  <c r="E56"/>
  <c r="F56"/>
  <c r="E57"/>
  <c r="F57"/>
  <c r="E58"/>
  <c r="F58"/>
  <c r="E59"/>
  <c r="F59"/>
  <c r="D2" i="1"/>
  <c r="F2"/>
  <c r="D3"/>
  <c r="F3"/>
  <c r="D4"/>
  <c r="F4"/>
  <c r="D5"/>
  <c r="F5"/>
  <c r="D6"/>
  <c r="F6"/>
  <c r="D7"/>
  <c r="F7"/>
  <c r="D8"/>
  <c r="F8"/>
  <c r="D9"/>
  <c r="F9"/>
  <c r="D10"/>
  <c r="F10"/>
  <c r="D11"/>
  <c r="F11"/>
  <c r="D12"/>
  <c r="F12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D22"/>
  <c r="F22"/>
  <c r="D23"/>
  <c r="F23"/>
  <c r="D24"/>
  <c r="F24"/>
  <c r="D25"/>
  <c r="F25"/>
  <c r="D26"/>
  <c r="F26"/>
  <c r="D27"/>
  <c r="F27"/>
  <c r="D28"/>
  <c r="F28"/>
  <c r="D29"/>
  <c r="F29"/>
  <c r="M36"/>
  <c r="M37"/>
  <c r="M38"/>
  <c r="M39"/>
  <c r="M40"/>
  <c r="M56"/>
  <c r="M57"/>
  <c r="M58"/>
  <c r="M59"/>
  <c r="M60"/>
  <c r="R194" i="10" l="1"/>
  <c r="R192"/>
  <c r="R193"/>
  <c r="R191"/>
  <c r="R190"/>
  <c r="R189"/>
  <c r="R187"/>
  <c r="R186"/>
  <c r="R185"/>
  <c r="R184"/>
  <c r="R183"/>
  <c r="R182"/>
  <c r="R181"/>
  <c r="R180"/>
  <c r="R179"/>
  <c r="R178"/>
  <c r="R177"/>
  <c r="R176"/>
  <c r="R175"/>
  <c r="R174"/>
  <c r="R173"/>
  <c r="R172"/>
  <c r="R171"/>
  <c r="R170"/>
  <c r="R169"/>
  <c r="R168"/>
  <c r="R167"/>
  <c r="R166"/>
  <c r="R165"/>
  <c r="R164"/>
  <c r="R163"/>
  <c r="R162"/>
  <c r="R161"/>
  <c r="R160"/>
  <c r="R159"/>
  <c r="R158"/>
  <c r="R157"/>
  <c r="R156"/>
  <c r="R155"/>
  <c r="R154"/>
  <c r="R153"/>
  <c r="R152"/>
  <c r="R151"/>
  <c r="R150"/>
  <c r="R149"/>
  <c r="R148"/>
  <c r="R147"/>
  <c r="R146"/>
  <c r="R145"/>
  <c r="R144"/>
  <c r="R143"/>
  <c r="R142"/>
  <c r="R141"/>
  <c r="R140"/>
  <c r="R139"/>
  <c r="R138"/>
  <c r="R137"/>
  <c r="R136"/>
  <c r="R135"/>
  <c r="R134"/>
  <c r="R133"/>
  <c r="R132"/>
  <c r="R131"/>
  <c r="R130"/>
  <c r="R129"/>
  <c r="R128"/>
  <c r="R127"/>
  <c r="R74"/>
  <c r="R73"/>
  <c r="R72"/>
  <c r="R71"/>
  <c r="R70"/>
  <c r="R69"/>
  <c r="R68"/>
  <c r="R67"/>
  <c r="R66"/>
  <c r="R65"/>
  <c r="R64"/>
  <c r="R63"/>
  <c r="R62"/>
  <c r="R61"/>
  <c r="R60"/>
  <c r="R59"/>
  <c r="R55"/>
  <c r="R54"/>
  <c r="R53"/>
  <c r="R52"/>
  <c r="R51"/>
  <c r="R50"/>
  <c r="R49"/>
  <c r="R48"/>
  <c r="R47"/>
  <c r="R46"/>
  <c r="O194"/>
  <c r="O192"/>
  <c r="O188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56"/>
  <c r="O58"/>
  <c r="O57"/>
  <c r="R188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R77"/>
  <c r="R76"/>
  <c r="R75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56"/>
  <c r="R58"/>
  <c r="R57"/>
  <c r="O193"/>
  <c r="O191"/>
  <c r="O190"/>
  <c r="O189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74"/>
  <c r="O73"/>
  <c r="O72"/>
  <c r="O71"/>
  <c r="O70"/>
  <c r="O69"/>
  <c r="O68"/>
  <c r="O67"/>
  <c r="O66"/>
  <c r="O65"/>
  <c r="O64"/>
  <c r="O63"/>
  <c r="O62"/>
  <c r="O61"/>
  <c r="O60"/>
  <c r="O59"/>
  <c r="O55"/>
  <c r="O54"/>
  <c r="O53"/>
  <c r="O52"/>
  <c r="O51"/>
  <c r="O50"/>
  <c r="O49"/>
  <c r="O48"/>
  <c r="O47"/>
  <c r="O46"/>
  <c r="R1"/>
  <c r="O1"/>
  <c r="S1133" i="7"/>
  <c r="Q1131"/>
  <c r="Q1137"/>
  <c r="S1137"/>
  <c r="Q1135"/>
  <c r="R1133"/>
  <c r="S1132"/>
  <c r="Q1130"/>
  <c r="R1129"/>
  <c r="S1128"/>
  <c r="M1140"/>
  <c r="R27" i="10"/>
  <c r="R25"/>
  <c r="R22"/>
  <c r="R20"/>
  <c r="R18"/>
  <c r="R17"/>
  <c r="R16"/>
  <c r="R15"/>
  <c r="R14"/>
  <c r="R13"/>
  <c r="R12"/>
  <c r="R11"/>
  <c r="R10"/>
  <c r="R8"/>
  <c r="R6"/>
  <c r="R5"/>
  <c r="R4"/>
  <c r="R3"/>
  <c r="R2"/>
  <c r="R1130" i="7"/>
  <c r="P1139"/>
  <c r="S1139"/>
  <c r="O26" i="10"/>
  <c r="O24"/>
  <c r="O23"/>
  <c r="O21"/>
  <c r="O19"/>
  <c r="O9"/>
  <c r="O7"/>
  <c r="R1135" i="7"/>
  <c r="S1142"/>
  <c r="S1135"/>
  <c r="Q1132"/>
  <c r="S1138"/>
  <c r="R26" i="10"/>
  <c r="R24"/>
  <c r="R23"/>
  <c r="R21"/>
  <c r="R19"/>
  <c r="R9"/>
  <c r="R7"/>
  <c r="S1143" i="7"/>
  <c r="Q1136"/>
  <c r="S1129"/>
  <c r="R1136"/>
  <c r="Q1128"/>
  <c r="M1141"/>
  <c r="S1136"/>
  <c r="Q1133"/>
  <c r="S1131"/>
  <c r="Q1129"/>
  <c r="R1128"/>
  <c r="J1138"/>
  <c r="P1140"/>
  <c r="O27" i="10"/>
  <c r="O25"/>
  <c r="O22"/>
  <c r="O20"/>
  <c r="O18"/>
  <c r="O17"/>
  <c r="O16"/>
  <c r="O15"/>
  <c r="O14"/>
  <c r="O13"/>
  <c r="O12"/>
  <c r="O11"/>
  <c r="O10"/>
  <c r="O8"/>
  <c r="O6"/>
  <c r="O5"/>
  <c r="O4"/>
  <c r="O3"/>
  <c r="O2"/>
  <c r="AB1528" i="7"/>
  <c r="AB1529"/>
  <c r="AC1528"/>
  <c r="AC1529"/>
  <c r="M1633"/>
  <c r="T1633" s="1"/>
  <c r="J1633"/>
  <c r="Q1633" s="1"/>
  <c r="P1541"/>
  <c r="M1534"/>
  <c r="T1534" s="1"/>
  <c r="M1552"/>
  <c r="T1552" s="1"/>
  <c r="J1554"/>
  <c r="Q1554" s="1"/>
  <c r="J1630"/>
  <c r="Q1630" s="1"/>
  <c r="M1548"/>
  <c r="T1548" s="1"/>
  <c r="M1551"/>
  <c r="T1551" s="1"/>
  <c r="M1547"/>
  <c r="T1547" s="1"/>
  <c r="J1536"/>
  <c r="Q1536" s="1"/>
  <c r="P1629"/>
  <c r="P134"/>
  <c r="M1542"/>
  <c r="T1542" s="1"/>
  <c r="M1630"/>
  <c r="T1630" s="1"/>
  <c r="M1538"/>
  <c r="T1538" s="1"/>
  <c r="J1628"/>
  <c r="Q1628" s="1"/>
  <c r="S1628"/>
  <c r="J1548"/>
  <c r="Q1548" s="1"/>
  <c r="J133"/>
  <c r="Q133" s="1"/>
  <c r="M1537"/>
  <c r="T1537" s="1"/>
  <c r="J1542"/>
  <c r="Q1542" s="1"/>
  <c r="P1543"/>
  <c r="M1546"/>
  <c r="T1546" s="1"/>
  <c r="P1547"/>
  <c r="P130"/>
  <c r="M1543"/>
  <c r="T1543" s="1"/>
  <c r="M1553"/>
  <c r="T1553" s="1"/>
  <c r="J131"/>
  <c r="Q131" s="1"/>
  <c r="P1545"/>
  <c r="M1539"/>
  <c r="T1539" s="1"/>
  <c r="J1534"/>
  <c r="Q1534" s="1"/>
  <c r="J1552"/>
  <c r="Q1552" s="1"/>
  <c r="P1537"/>
  <c r="J1544"/>
  <c r="Q1544" s="1"/>
  <c r="P1539"/>
  <c r="J1546"/>
  <c r="Q1546" s="1"/>
  <c r="J1535"/>
  <c r="Q1535" s="1"/>
  <c r="J1551"/>
  <c r="Q1551" s="1"/>
  <c r="J1553"/>
  <c r="Q1553" s="1"/>
  <c r="S1540"/>
  <c r="M1629"/>
  <c r="T1629" s="1"/>
  <c r="M1535"/>
  <c r="T1535" s="1"/>
  <c r="M1545"/>
  <c r="T1545" s="1"/>
  <c r="J1538"/>
  <c r="Q1538" s="1"/>
  <c r="P1540"/>
  <c r="J1549"/>
  <c r="Q1549" s="1"/>
  <c r="S1536"/>
  <c r="S1544"/>
  <c r="J1634"/>
  <c r="Q1634" s="1"/>
  <c r="M1636"/>
  <c r="T1636" s="1"/>
  <c r="P132"/>
  <c r="M1554"/>
  <c r="T1554" s="1"/>
  <c r="M1541"/>
  <c r="T1541" s="1"/>
  <c r="M1549"/>
  <c r="T1549" s="1"/>
  <c r="J1140"/>
  <c r="M1139"/>
  <c r="M113"/>
  <c r="T113" s="1"/>
  <c r="P1631"/>
  <c r="S1140"/>
  <c r="M1138"/>
  <c r="M126"/>
  <c r="T126" s="1"/>
  <c r="M114"/>
  <c r="T114" s="1"/>
  <c r="M119"/>
  <c r="T119" s="1"/>
  <c r="M120"/>
  <c r="T120" s="1"/>
  <c r="M1143"/>
  <c r="M1131"/>
  <c r="J1635"/>
  <c r="Q1635" s="1"/>
  <c r="M1129"/>
  <c r="M127"/>
  <c r="T127" s="1"/>
  <c r="M1130"/>
  <c r="S120"/>
  <c r="M115"/>
  <c r="T115" s="1"/>
  <c r="M118"/>
  <c r="T118" s="1"/>
  <c r="M124"/>
  <c r="T124" s="1"/>
  <c r="S1141"/>
  <c r="M122"/>
  <c r="T122" s="1"/>
  <c r="M125"/>
  <c r="T125" s="1"/>
  <c r="M121"/>
  <c r="T121" s="1"/>
  <c r="M117"/>
  <c r="T117" s="1"/>
  <c r="M1632"/>
  <c r="T1632" s="1"/>
  <c r="M128"/>
  <c r="T128" s="1"/>
  <c r="M123"/>
  <c r="T123" s="1"/>
  <c r="R117"/>
  <c r="R1131"/>
  <c r="M1136"/>
  <c r="M116"/>
  <c r="T116" s="1"/>
  <c r="M1137"/>
  <c r="S1130"/>
  <c r="R125"/>
  <c r="R121"/>
  <c r="J1632"/>
  <c r="Q1632" s="1"/>
  <c r="P1633"/>
  <c r="M1133"/>
  <c r="M1142"/>
  <c r="M1135"/>
  <c r="M1132"/>
  <c r="S1631"/>
  <c r="P1138"/>
  <c r="R1132"/>
  <c r="R1137"/>
  <c r="M1128"/>
  <c r="R119"/>
  <c r="S1633"/>
  <c r="S1635"/>
  <c r="M129"/>
  <c r="T129" s="1"/>
  <c r="M1634"/>
  <c r="T1634" s="1"/>
  <c r="P1636"/>
  <c r="J1139"/>
  <c r="T1128" l="1"/>
  <c r="T1136"/>
  <c r="T1133"/>
  <c r="T1143"/>
  <c r="T1131"/>
  <c r="Q1138"/>
  <c r="T1135"/>
  <c r="T1137"/>
  <c r="Q1140"/>
  <c r="T1140"/>
  <c r="T1142"/>
  <c r="T1130"/>
  <c r="Q1139"/>
  <c r="T1132"/>
  <c r="T1129"/>
  <c r="T1138"/>
  <c r="T1139"/>
  <c r="T1141"/>
  <c r="AF2825"/>
</calcChain>
</file>

<file path=xl/comments1.xml><?xml version="1.0" encoding="utf-8"?>
<comments xmlns="http://schemas.openxmlformats.org/spreadsheetml/2006/main">
  <authors>
    <author>Administrator</author>
  </authors>
  <commentList>
    <comment ref="AF1" authorId="0">
      <text>
        <r>
          <rPr>
            <b/>
            <sz val="9"/>
            <color indexed="81"/>
            <rFont val="Tahoma"/>
            <family val="2"/>
          </rPr>
          <t>Inês:
Para acomodar respostas a estimulos ambientais de forma desfasada.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0" authorId="0">
      <text>
        <r>
          <rPr>
            <sz val="9"/>
            <color indexed="81"/>
            <rFont val="Tahoma"/>
            <family val="2"/>
          </rPr>
          <t xml:space="preserve">(valores já convertidos)
Vasco Vieira:
conversão para peso seco:
0.19: Kraemer &amp; Alberte (1993)
0.24: Zavodnik et al 
(1998)
</t>
        </r>
      </text>
    </comment>
  </commentList>
</comments>
</file>

<file path=xl/sharedStrings.xml><?xml version="1.0" encoding="utf-8"?>
<sst xmlns="http://schemas.openxmlformats.org/spreadsheetml/2006/main" count="9770" uniqueCount="291">
  <si>
    <t>Species</t>
  </si>
  <si>
    <t>Method</t>
  </si>
  <si>
    <t>density</t>
  </si>
  <si>
    <t>Discriptive</t>
  </si>
  <si>
    <t>Tt d</t>
  </si>
  <si>
    <t>Tt f</t>
  </si>
  <si>
    <t>Tt a</t>
  </si>
  <si>
    <t>Zn a</t>
  </si>
  <si>
    <t>Zn b</t>
  </si>
  <si>
    <t>Zm a</t>
  </si>
  <si>
    <t>Zm b</t>
  </si>
  <si>
    <t>Zm c</t>
  </si>
  <si>
    <t>Zc c</t>
  </si>
  <si>
    <t>Ho</t>
  </si>
  <si>
    <t>Ht b</t>
  </si>
  <si>
    <t>Po a</t>
  </si>
  <si>
    <t>Po b</t>
  </si>
  <si>
    <t>Th b</t>
  </si>
  <si>
    <t>Cn</t>
  </si>
  <si>
    <t>biomass</t>
  </si>
  <si>
    <t>Tt e</t>
  </si>
  <si>
    <t>Zc b</t>
  </si>
  <si>
    <t>density (%)</t>
  </si>
  <si>
    <t>biomass (%)</t>
  </si>
  <si>
    <t>SUMÁRIO DOS RESULTADOS</t>
  </si>
  <si>
    <t>Estatística de regressão</t>
  </si>
  <si>
    <t>R múltiplo</t>
  </si>
  <si>
    <t>Quadrado de R</t>
  </si>
  <si>
    <t>Quadrado de R ajustado</t>
  </si>
  <si>
    <t>Erro-padrão</t>
  </si>
  <si>
    <t>Observações</t>
  </si>
  <si>
    <t>ANOVA</t>
  </si>
  <si>
    <t>Regressão</t>
  </si>
  <si>
    <t>Residual</t>
  </si>
  <si>
    <t>Total</t>
  </si>
  <si>
    <t>Interceptar</t>
  </si>
  <si>
    <t>gl</t>
  </si>
  <si>
    <t>SQ</t>
  </si>
  <si>
    <t>MQ</t>
  </si>
  <si>
    <t>F</t>
  </si>
  <si>
    <t>F de significância</t>
  </si>
  <si>
    <t>Coeficientes</t>
  </si>
  <si>
    <t>Stat t</t>
  </si>
  <si>
    <t>valor P</t>
  </si>
  <si>
    <t>95% inferior</t>
  </si>
  <si>
    <t>95% superior</t>
  </si>
  <si>
    <t>Inferior 95.0%</t>
  </si>
  <si>
    <t>Superior 95.0%</t>
  </si>
  <si>
    <t>Variável X 1</t>
  </si>
  <si>
    <t>Experimental</t>
  </si>
  <si>
    <t>nutrient</t>
  </si>
  <si>
    <t>High</t>
  </si>
  <si>
    <t>Low</t>
  </si>
  <si>
    <t>Descriptive</t>
  </si>
  <si>
    <t>Des-High</t>
  </si>
  <si>
    <t>Exp-High</t>
  </si>
  <si>
    <t>Screen</t>
  </si>
  <si>
    <t>Fig</t>
  </si>
  <si>
    <t>Th a</t>
  </si>
  <si>
    <t>Ht a</t>
  </si>
  <si>
    <t>Hu a</t>
  </si>
  <si>
    <t>Hu b</t>
  </si>
  <si>
    <t>Zc a</t>
  </si>
  <si>
    <t>Tt b</t>
  </si>
  <si>
    <t>Tt c</t>
  </si>
  <si>
    <t>Cr</t>
  </si>
  <si>
    <t>Cs</t>
  </si>
  <si>
    <t>Pa</t>
  </si>
  <si>
    <t>SUMÁRIO DOS RESULTADOS de "Descriptive"</t>
  </si>
  <si>
    <t>%Dens</t>
  </si>
  <si>
    <t>% Biom</t>
  </si>
  <si>
    <t>Model</t>
  </si>
  <si>
    <t>Si</t>
  </si>
  <si>
    <t>'old group'</t>
  </si>
  <si>
    <t>'new group'</t>
  </si>
  <si>
    <t>'Discriptive'</t>
  </si>
  <si>
    <t>'Experimental'</t>
  </si>
  <si>
    <t>Exp-Low</t>
  </si>
  <si>
    <t>Des-Low</t>
  </si>
  <si>
    <t>R1</t>
  </si>
  <si>
    <t>R2</t>
  </si>
  <si>
    <t>R3</t>
  </si>
  <si>
    <t>I1</t>
  </si>
  <si>
    <t>I2</t>
  </si>
  <si>
    <t>H1</t>
  </si>
  <si>
    <t>H2</t>
  </si>
  <si>
    <t>H3</t>
  </si>
  <si>
    <t>C1</t>
  </si>
  <si>
    <t>C2</t>
  </si>
  <si>
    <t>C3</t>
  </si>
  <si>
    <t>Nutrients PC1</t>
  </si>
  <si>
    <t>RF1</t>
  </si>
  <si>
    <t>RF2</t>
  </si>
  <si>
    <t>RF3</t>
  </si>
  <si>
    <t>RF4</t>
  </si>
  <si>
    <t>Ar1</t>
  </si>
  <si>
    <t>Ar2</t>
  </si>
  <si>
    <t>Ar3</t>
  </si>
  <si>
    <t>Ar4</t>
  </si>
  <si>
    <t>Tv1</t>
  </si>
  <si>
    <t>Tv2</t>
  </si>
  <si>
    <t>Site</t>
  </si>
  <si>
    <t>density (mean)</t>
  </si>
  <si>
    <t>density (+sd)</t>
  </si>
  <si>
    <t>logD (mean)</t>
  </si>
  <si>
    <t>logB</t>
  </si>
  <si>
    <t>Month</t>
  </si>
  <si>
    <t>date num</t>
  </si>
  <si>
    <t>Study</t>
  </si>
  <si>
    <t>Paynter et al (2001)</t>
  </si>
  <si>
    <t>Puerto Vargas</t>
  </si>
  <si>
    <t>Punta Cahuita</t>
  </si>
  <si>
    <t>Rio Perezoso</t>
  </si>
  <si>
    <t>Thalassia testudinum</t>
  </si>
  <si>
    <t>log B (+sd)</t>
  </si>
  <si>
    <t>logD ((+sd)</t>
  </si>
  <si>
    <t>Posidonia oceanica</t>
  </si>
  <si>
    <t>Terrados &amp; Pons (2011)</t>
  </si>
  <si>
    <t>Magaluf</t>
  </si>
  <si>
    <t>Ses Salines</t>
  </si>
  <si>
    <t>biomass (+sd)</t>
  </si>
  <si>
    <t>density (+3sd)</t>
  </si>
  <si>
    <t>biomass (+3sd)</t>
  </si>
  <si>
    <t>logD ((+3sd)</t>
  </si>
  <si>
    <t>log B (+3sd)</t>
  </si>
  <si>
    <t>Year</t>
  </si>
  <si>
    <t>Zostera noltii</t>
  </si>
  <si>
    <t>Cabaço et al (2007)</t>
  </si>
  <si>
    <t>Garcia-Marín et al (2013)</t>
  </si>
  <si>
    <t>Plus et al (2001)</t>
  </si>
  <si>
    <t>Thau Lagoon</t>
  </si>
  <si>
    <t>Temperature</t>
  </si>
  <si>
    <t>Salinity</t>
  </si>
  <si>
    <t>Galegos et al 2001</t>
  </si>
  <si>
    <t>Cancun - S1</t>
  </si>
  <si>
    <t>Cancun - S2</t>
  </si>
  <si>
    <t>Cancun - S3</t>
  </si>
  <si>
    <t>day</t>
  </si>
  <si>
    <t>Cymodocea nodosa</t>
  </si>
  <si>
    <t>Agostini et al 2003</t>
  </si>
  <si>
    <t>Urbinu lagoon</t>
  </si>
  <si>
    <t>Total Biomass</t>
  </si>
  <si>
    <t>Duarte &amp; Sand-Jensen 1997</t>
  </si>
  <si>
    <t>Sghaier et al 2017</t>
  </si>
  <si>
    <t>Monastir Bay - S1</t>
  </si>
  <si>
    <t>Monastir Bay -S2</t>
  </si>
  <si>
    <t>Monastir Bay -S3</t>
  </si>
  <si>
    <t>hours sunlight</t>
  </si>
  <si>
    <t>(various)</t>
  </si>
  <si>
    <t>Olesen &amp; Sand-Jensen 1994</t>
  </si>
  <si>
    <t>Zostera marina</t>
  </si>
  <si>
    <t>Lee et al 2006</t>
  </si>
  <si>
    <t>Zostera japonica</t>
  </si>
  <si>
    <t>Ammonium (water)</t>
  </si>
  <si>
    <t>Ammonium (sed.)</t>
  </si>
  <si>
    <t>Nitrate (water)</t>
  </si>
  <si>
    <t>Nitrate (sed.)</t>
  </si>
  <si>
    <r>
      <t>NO3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+NO2</t>
    </r>
    <r>
      <rPr>
        <vertAlign val="superscript"/>
        <sz val="10"/>
        <rFont val="Arial"/>
        <family val="2"/>
      </rPr>
      <t>- (sed.)</t>
    </r>
  </si>
  <si>
    <r>
      <t>NO3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+NO2</t>
    </r>
    <r>
      <rPr>
        <vertAlign val="superscript"/>
        <sz val="10"/>
        <rFont val="Arial"/>
        <family val="2"/>
      </rPr>
      <t>- (water)</t>
    </r>
  </si>
  <si>
    <t>Phosphate (water)</t>
  </si>
  <si>
    <t>Phosphate (sed.)</t>
  </si>
  <si>
    <t>Peduzzi &amp; Vukovic 1990</t>
  </si>
  <si>
    <t>Abrolhos</t>
  </si>
  <si>
    <t>Ilha do Japonês</t>
  </si>
  <si>
    <t>Saco da Velha</t>
  </si>
  <si>
    <t>J Fernandinho</t>
  </si>
  <si>
    <t>Piraquara da dentro</t>
  </si>
  <si>
    <t>Catita</t>
  </si>
  <si>
    <t>da Aguáda</t>
  </si>
  <si>
    <t>Ferradura</t>
  </si>
  <si>
    <t>P. Paquetá</t>
  </si>
  <si>
    <t>da Fazenda</t>
  </si>
  <si>
    <t>da Pitangeira</t>
  </si>
  <si>
    <t>?</t>
  </si>
  <si>
    <t>Cancún, Mexico</t>
  </si>
  <si>
    <t>Lower Laguna Madre</t>
  </si>
  <si>
    <t>Blackjack Peninsula,San Antonio Bay, Texas</t>
  </si>
  <si>
    <t>East Flats, Corpus Cristi Bay, Texas</t>
  </si>
  <si>
    <t>USFWS</t>
  </si>
  <si>
    <t>KR</t>
  </si>
  <si>
    <t>Laguna Madre (LM151)</t>
  </si>
  <si>
    <t>IDJ</t>
  </si>
  <si>
    <t>Halodule wrightii</t>
  </si>
  <si>
    <t>Joel Creed</t>
  </si>
  <si>
    <t>Plus et al (2003)</t>
  </si>
  <si>
    <t>NaN</t>
  </si>
  <si>
    <t>PAR (surf.)</t>
  </si>
  <si>
    <t>PAR (bot.)</t>
  </si>
  <si>
    <t>PPFD (surf.)</t>
  </si>
  <si>
    <t>PPFD (bot.)</t>
  </si>
  <si>
    <t>Cancemi et al 2002</t>
  </si>
  <si>
    <t>Punta San Pietro Bay</t>
  </si>
  <si>
    <t>Cunha &amp; Duarte 2007</t>
  </si>
  <si>
    <t>S1</t>
  </si>
  <si>
    <t>S2</t>
  </si>
  <si>
    <t>MS3</t>
  </si>
  <si>
    <t>M4</t>
  </si>
  <si>
    <t>M5</t>
  </si>
  <si>
    <t>Muller et al 2014</t>
  </si>
  <si>
    <t>Prangli</t>
  </si>
  <si>
    <t>Ahelaid</t>
  </si>
  <si>
    <t>Saarnaki</t>
  </si>
  <si>
    <t>Soru</t>
  </si>
  <si>
    <t>Ruesink et al (2009)</t>
  </si>
  <si>
    <t>Willapa Bay</t>
  </si>
  <si>
    <t>Willapa Bay (low)</t>
  </si>
  <si>
    <t>Willapa Bay (high)</t>
  </si>
  <si>
    <t>LogD</t>
  </si>
  <si>
    <t>LogB</t>
  </si>
  <si>
    <t>Cabaço et al 2008</t>
  </si>
  <si>
    <t>S3</t>
  </si>
  <si>
    <t>S4</t>
  </si>
  <si>
    <t>Temp. AVG</t>
  </si>
  <si>
    <t>Salinity AVG</t>
  </si>
  <si>
    <t>Hour sun AVG</t>
  </si>
  <si>
    <t>Thalassia hemprichii</t>
  </si>
  <si>
    <t>Larson</t>
  </si>
  <si>
    <t>Portuguese Iland</t>
  </si>
  <si>
    <t>Banco</t>
  </si>
  <si>
    <t>Saco</t>
  </si>
  <si>
    <t>Shoot length (cm)</t>
  </si>
  <si>
    <t>SL +STD DEV</t>
  </si>
  <si>
    <t>Intermode length</t>
  </si>
  <si>
    <t>IL +STD DEV</t>
  </si>
  <si>
    <t>SL/IL</t>
  </si>
  <si>
    <t>SL/IL (s.d.)</t>
  </si>
  <si>
    <t>Willapa Bay, Stackpole (high)</t>
  </si>
  <si>
    <t>Willapa Bay, Stackpole (low)</t>
  </si>
  <si>
    <t>Willapa Bay, Oysterville (high)</t>
  </si>
  <si>
    <t>Willapa Bay, Oysterville (low)</t>
  </si>
  <si>
    <t>Willapa Bay, Nahcotta (high)</t>
  </si>
  <si>
    <t>Willapa Bay, Nahcotta (low)</t>
  </si>
  <si>
    <t>Willapa Bay, Stackpole</t>
  </si>
  <si>
    <t>Willapa Bay, Oysterville</t>
  </si>
  <si>
    <t>Willapa Bay, Nahcotta</t>
  </si>
  <si>
    <t>REF</t>
  </si>
  <si>
    <t>Location</t>
  </si>
  <si>
    <t>Date</t>
  </si>
  <si>
    <t>Elevation (n MLLW)</t>
  </si>
  <si>
    <t>Zmarina</t>
  </si>
  <si>
    <t>ruesink et al 2009</t>
  </si>
  <si>
    <t>Zjaponica</t>
  </si>
  <si>
    <t>lee et al 2006</t>
  </si>
  <si>
    <t>Dadae Bay</t>
  </si>
  <si>
    <t>USA, Florida, Punta Gorda</t>
  </si>
  <si>
    <t>USA, Florida, Hog Island</t>
  </si>
  <si>
    <t>USA, Florida, Trout Creek</t>
  </si>
  <si>
    <t>USA, Florida, Radio Tower</t>
  </si>
  <si>
    <t>USA, Florida, Cape Haze</t>
  </si>
  <si>
    <t>USA, Florida, Devilfish Key</t>
  </si>
  <si>
    <t>USA, Florida, Burnt Store</t>
  </si>
  <si>
    <t>USA, Florida, Alligator Creek</t>
  </si>
  <si>
    <t>Krause-Jensen et al 2000</t>
  </si>
  <si>
    <t>Oresund - 5-6m</t>
  </si>
  <si>
    <t>Oresund - 4-5m</t>
  </si>
  <si>
    <t>Oresund - 3-4m</t>
  </si>
  <si>
    <t>Oresund - 2-3 m</t>
  </si>
  <si>
    <t>Oresund - 0-2m</t>
  </si>
  <si>
    <t>Tomasko &amp; Hall (1999)</t>
  </si>
  <si>
    <t>Creed et al</t>
  </si>
  <si>
    <t>Enriquez &amp; Pantoya-Reyes 2005</t>
  </si>
  <si>
    <t>Puerto Morelos, Mexico, site 1</t>
  </si>
  <si>
    <t>Puerto Morelos, Mexico, site 2</t>
  </si>
  <si>
    <t>Puerto Morelos, Mexico, site 3</t>
  </si>
  <si>
    <t>Puerto Morelos, Mexico, site 4</t>
  </si>
  <si>
    <t>Puerto Morelos, Mexico, site 5</t>
  </si>
  <si>
    <t>Puerto Morelos, Mexico, site 6</t>
  </si>
  <si>
    <t>Puerto Morelos, Mexico, site 7</t>
  </si>
  <si>
    <t>Puerto Morelos, Mexico, site 8</t>
  </si>
  <si>
    <t>Puerto Morelos, Mexico, site 9</t>
  </si>
  <si>
    <t>Hall et al 1999</t>
  </si>
  <si>
    <t>Florida Bay</t>
  </si>
  <si>
    <t xml:space="preserve">Florida Bay , Mainland </t>
  </si>
  <si>
    <t>Florida Bay, North East</t>
  </si>
  <si>
    <t>Florida Bay, East Central</t>
  </si>
  <si>
    <t>Florida Bay, -interior</t>
  </si>
  <si>
    <t>Florida Bay,  Atlantic</t>
  </si>
  <si>
    <t>Florida Bay, Gulf</t>
  </si>
  <si>
    <t>Syringodium filiforme</t>
  </si>
  <si>
    <t>Kaldy &amp; Dunton 2000</t>
  </si>
  <si>
    <t>Kim et al 2013</t>
  </si>
  <si>
    <r>
      <t>d</t>
    </r>
    <r>
      <rPr>
        <vertAlign val="subscript"/>
        <sz val="10"/>
        <rFont val="Arial"/>
        <family val="2"/>
      </rPr>
      <t>grass</t>
    </r>
  </si>
  <si>
    <t>Seomjin Estuary, Korea , Upper intertidal</t>
  </si>
  <si>
    <t>Seomjin Estuary, Korea , Lower intertidal</t>
  </si>
  <si>
    <t>Médina- Gomez et al 2016</t>
  </si>
  <si>
    <t>Bahia de la Ascension , D6VG</t>
  </si>
  <si>
    <t>Bahia de la Ascension , R6VG</t>
  </si>
  <si>
    <t>Bahia de la Ascension, D6CB</t>
  </si>
  <si>
    <t>Bahia de la Ascension, R6CB</t>
  </si>
  <si>
    <t>Bahia de la Ascencion , D6CC</t>
  </si>
  <si>
    <t>Bahia de la Ascencion, R6CC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</si>
</sst>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_)"/>
    <numFmt numFmtId="166" formatCode="0.000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vertAlign val="subscript"/>
      <sz val="10"/>
      <name val="Arial"/>
      <family val="2"/>
    </font>
    <font>
      <i/>
      <sz val="10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sz val="10"/>
      <name val="Helv"/>
    </font>
    <font>
      <i/>
      <sz val="11"/>
      <color rgb="FFFF0000"/>
      <name val="Calibri"/>
      <family val="2"/>
      <scheme val="minor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0" fontId="6" fillId="0" borderId="0"/>
    <xf numFmtId="0" fontId="2" fillId="0" borderId="0"/>
    <xf numFmtId="0" fontId="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/>
    </xf>
    <xf numFmtId="11" fontId="0" fillId="0" borderId="0" xfId="0" applyNumberFormat="1"/>
    <xf numFmtId="2" fontId="0" fillId="0" borderId="0" xfId="0" applyNumberFormat="1"/>
    <xf numFmtId="0" fontId="0" fillId="0" borderId="0" xfId="0" applyBorder="1"/>
    <xf numFmtId="0" fontId="5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1" fontId="0" fillId="0" borderId="0" xfId="0" applyNumberFormat="1"/>
    <xf numFmtId="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5" fillId="0" borderId="0" xfId="0" applyFont="1" applyAlignment="1">
      <alignment vertical="center"/>
    </xf>
    <xf numFmtId="14" fontId="0" fillId="0" borderId="0" xfId="0" applyNumberFormat="1"/>
    <xf numFmtId="1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3" applyFont="1" applyFill="1"/>
    <xf numFmtId="0" fontId="17" fillId="0" borderId="0" xfId="0" applyFont="1" applyAlignment="1">
      <alignment horizontal="right"/>
    </xf>
    <xf numFmtId="1" fontId="18" fillId="0" borderId="0" xfId="3" applyNumberFormat="1" applyFont="1" applyFill="1" applyAlignment="1">
      <alignment horizontal="right"/>
    </xf>
    <xf numFmtId="0" fontId="19" fillId="0" borderId="0" xfId="0" applyFont="1"/>
    <xf numFmtId="2" fontId="20" fillId="0" borderId="0" xfId="3" applyNumberFormat="1" applyFont="1" applyFill="1"/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vertical="center"/>
    </xf>
    <xf numFmtId="0" fontId="21" fillId="0" borderId="0" xfId="3" applyFont="1" applyFill="1"/>
    <xf numFmtId="164" fontId="19" fillId="0" borderId="0" xfId="0" applyNumberFormat="1" applyFont="1"/>
    <xf numFmtId="164" fontId="22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right"/>
    </xf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/>
    </xf>
    <xf numFmtId="2" fontId="13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/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vertical="center"/>
    </xf>
    <xf numFmtId="2" fontId="13" fillId="0" borderId="0" xfId="0" applyNumberFormat="1" applyFont="1"/>
    <xf numFmtId="2" fontId="13" fillId="2" borderId="0" xfId="0" applyNumberFormat="1" applyFont="1" applyFill="1" applyAlignment="1">
      <alignment horizontal="right" vertical="center"/>
    </xf>
    <xf numFmtId="2" fontId="23" fillId="0" borderId="0" xfId="0" applyNumberFormat="1" applyFont="1"/>
    <xf numFmtId="2" fontId="13" fillId="0" borderId="0" xfId="0" applyNumberFormat="1" applyFont="1" applyFill="1"/>
    <xf numFmtId="2" fontId="13" fillId="0" borderId="0" xfId="0" applyNumberFormat="1" applyFont="1" applyFill="1" applyAlignment="1">
      <alignment horizontal="right" vertical="center"/>
    </xf>
    <xf numFmtId="164" fontId="16" fillId="0" borderId="0" xfId="1" applyNumberFormat="1" applyFont="1" applyFill="1"/>
    <xf numFmtId="1" fontId="13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164" fontId="2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" fontId="13" fillId="0" borderId="0" xfId="0" applyNumberFormat="1" applyFont="1"/>
    <xf numFmtId="0" fontId="13" fillId="0" borderId="0" xfId="0" applyFont="1" applyProtection="1"/>
    <xf numFmtId="0" fontId="13" fillId="0" borderId="0" xfId="0" quotePrefix="1" applyFont="1" applyProtection="1"/>
    <xf numFmtId="0" fontId="13" fillId="0" borderId="0" xfId="0" applyNumberFormat="1" applyFont="1"/>
    <xf numFmtId="1" fontId="13" fillId="0" borderId="0" xfId="0" applyNumberFormat="1" applyFont="1" applyProtection="1"/>
    <xf numFmtId="0" fontId="13" fillId="0" borderId="0" xfId="0" quotePrefix="1" applyFont="1"/>
    <xf numFmtId="0" fontId="13" fillId="0" borderId="0" xfId="0" applyFont="1" applyFill="1"/>
    <xf numFmtId="0" fontId="13" fillId="0" borderId="0" xfId="0" applyNumberFormat="1" applyFont="1" applyAlignment="1" applyProtection="1">
      <alignment horizontal="right"/>
    </xf>
    <xf numFmtId="0" fontId="13" fillId="0" borderId="0" xfId="0" applyFont="1" applyAlignment="1" applyProtection="1">
      <alignment horizontal="left"/>
    </xf>
    <xf numFmtId="2" fontId="13" fillId="0" borderId="0" xfId="0" applyNumberFormat="1" applyFont="1" applyAlignment="1" applyProtection="1">
      <alignment horizontal="right"/>
    </xf>
    <xf numFmtId="0" fontId="14" fillId="0" borderId="0" xfId="0" applyFont="1" applyAlignment="1">
      <alignment horizontal="center"/>
    </xf>
    <xf numFmtId="0" fontId="14" fillId="0" borderId="0" xfId="0" applyNumberFormat="1" applyFont="1" applyAlignment="1">
      <alignment horizontal="right"/>
    </xf>
    <xf numFmtId="0" fontId="14" fillId="0" borderId="0" xfId="0" applyFont="1" applyBorder="1" applyProtection="1"/>
    <xf numFmtId="1" fontId="14" fillId="0" borderId="0" xfId="0" applyNumberFormat="1" applyFont="1"/>
    <xf numFmtId="165" fontId="14" fillId="0" borderId="0" xfId="0" applyNumberFormat="1" applyFont="1" applyBorder="1" applyProtection="1"/>
    <xf numFmtId="2" fontId="24" fillId="0" borderId="0" xfId="0" applyNumberFormat="1" applyFont="1" applyBorder="1" applyProtection="1"/>
    <xf numFmtId="2" fontId="24" fillId="0" borderId="0" xfId="0" applyNumberFormat="1" applyFont="1" applyProtection="1"/>
    <xf numFmtId="1" fontId="13" fillId="0" borderId="0" xfId="0" applyNumberFormat="1" applyFont="1" applyAlignment="1">
      <alignment horizontal="right"/>
    </xf>
    <xf numFmtId="1" fontId="23" fillId="0" borderId="0" xfId="0" applyNumberFormat="1" applyFont="1" applyAlignment="1">
      <alignment vertical="center"/>
    </xf>
    <xf numFmtId="1" fontId="23" fillId="0" borderId="0" xfId="0" applyNumberFormat="1" applyFont="1" applyAlignment="1">
      <alignment horizontal="center" vertical="center"/>
    </xf>
    <xf numFmtId="0" fontId="21" fillId="0" borderId="0" xfId="0" applyFont="1"/>
    <xf numFmtId="1" fontId="16" fillId="0" borderId="0" xfId="1" applyNumberFormat="1" applyFont="1" applyFill="1"/>
    <xf numFmtId="0" fontId="16" fillId="0" borderId="0" xfId="1" applyFont="1"/>
    <xf numFmtId="164" fontId="13" fillId="0" borderId="0" xfId="0" applyNumberFormat="1" applyFont="1"/>
    <xf numFmtId="164" fontId="13" fillId="0" borderId="0" xfId="0" applyNumberFormat="1" applyFont="1" applyAlignment="1">
      <alignment horizontal="left" vertical="center"/>
    </xf>
    <xf numFmtId="2" fontId="14" fillId="0" borderId="0" xfId="0" applyNumberFormat="1" applyFont="1"/>
    <xf numFmtId="164" fontId="13" fillId="0" borderId="0" xfId="0" applyNumberFormat="1" applyFont="1" applyAlignment="1">
      <alignment horizontal="right"/>
    </xf>
    <xf numFmtId="2" fontId="13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1" fontId="26" fillId="0" borderId="0" xfId="0" applyNumberFormat="1" applyFont="1" applyAlignment="1">
      <alignment horizontal="right" vertical="center"/>
    </xf>
    <xf numFmtId="1" fontId="26" fillId="0" borderId="0" xfId="0" applyNumberFormat="1" applyFont="1"/>
    <xf numFmtId="2" fontId="26" fillId="0" borderId="0" xfId="0" applyNumberFormat="1" applyFont="1" applyAlignment="1">
      <alignment vertical="center"/>
    </xf>
    <xf numFmtId="2" fontId="26" fillId="0" borderId="0" xfId="0" applyNumberFormat="1" applyFont="1" applyAlignment="1">
      <alignment horizontal="right" vertical="center"/>
    </xf>
    <xf numFmtId="2" fontId="26" fillId="0" borderId="0" xfId="0" applyNumberFormat="1" applyFont="1" applyAlignment="1">
      <alignment horizontal="left" vertical="center"/>
    </xf>
    <xf numFmtId="1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1" fontId="13" fillId="0" borderId="0" xfId="0" applyNumberFormat="1" applyFont="1" applyFill="1" applyAlignment="1">
      <alignment horizontal="right" vertical="center"/>
    </xf>
    <xf numFmtId="0" fontId="16" fillId="0" borderId="0" xfId="0" applyFont="1" applyFill="1"/>
    <xf numFmtId="1" fontId="13" fillId="0" borderId="0" xfId="0" applyNumberFormat="1" applyFont="1" applyFill="1" applyAlignment="1">
      <alignment horizontal="center" vertical="center"/>
    </xf>
    <xf numFmtId="1" fontId="16" fillId="0" borderId="0" xfId="0" applyNumberFormat="1" applyFont="1" applyFill="1"/>
    <xf numFmtId="2" fontId="13" fillId="0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6" fillId="0" borderId="0" xfId="0" applyNumberFormat="1" applyFont="1" applyFill="1"/>
    <xf numFmtId="164" fontId="13" fillId="0" borderId="0" xfId="0" applyNumberFormat="1" applyFont="1" applyFill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" fontId="13" fillId="0" borderId="0" xfId="0" applyNumberFormat="1" applyFont="1" applyAlignment="1" applyProtection="1">
      <alignment horizontal="right"/>
    </xf>
    <xf numFmtId="1" fontId="14" fillId="0" borderId="0" xfId="0" applyNumberFormat="1" applyFont="1" applyBorder="1" applyAlignment="1" applyProtection="1">
      <alignment horizontal="right"/>
    </xf>
    <xf numFmtId="1" fontId="14" fillId="0" borderId="0" xfId="0" applyNumberFormat="1" applyFont="1" applyAlignment="1">
      <alignment horizontal="right"/>
    </xf>
    <xf numFmtId="1" fontId="24" fillId="0" borderId="0" xfId="0" applyNumberFormat="1" applyFont="1" applyBorder="1" applyAlignment="1" applyProtection="1">
      <alignment horizontal="right"/>
    </xf>
    <xf numFmtId="1" fontId="24" fillId="0" borderId="0" xfId="0" applyNumberFormat="1" applyFont="1" applyAlignment="1" applyProtection="1">
      <alignment horizontal="right"/>
    </xf>
    <xf numFmtId="0" fontId="13" fillId="0" borderId="0" xfId="0" applyFont="1" applyAlignment="1" applyProtection="1">
      <alignment horizontal="right"/>
    </xf>
    <xf numFmtId="0" fontId="13" fillId="0" borderId="0" xfId="0" quotePrefix="1" applyFont="1" applyAlignment="1">
      <alignment horizontal="right"/>
    </xf>
  </cellXfs>
  <cellStyles count="20">
    <cellStyle name="Normal" xfId="0" builtinId="0"/>
    <cellStyle name="Normal 10" xfId="11"/>
    <cellStyle name="Normal 11" xfId="12"/>
    <cellStyle name="Normal 12" xfId="13"/>
    <cellStyle name="Normal 13" xfId="14"/>
    <cellStyle name="Normal 14" xfId="15"/>
    <cellStyle name="Normal 15" xfId="16"/>
    <cellStyle name="Normal 16" xfId="17"/>
    <cellStyle name="Normal 17" xfId="18"/>
    <cellStyle name="Normal 18" xfId="19"/>
    <cellStyle name="Normal 2" xfId="2"/>
    <cellStyle name="Normal 2 2" xfId="4"/>
    <cellStyle name="Normal 2 3" xfId="5"/>
    <cellStyle name="Normal 3" xfId="1"/>
    <cellStyle name="Normal 4" xfId="3"/>
    <cellStyle name="Normal 5" xfId="6"/>
    <cellStyle name="Normal 6" xfId="7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4.3010817208527174E-2"/>
          <c:y val="5.3304959547574159E-2"/>
          <c:w val="0.91551596629579235"/>
          <c:h val="0.89552332039923987"/>
        </c:manualLayout>
      </c:layout>
      <c:scatterChart>
        <c:scatterStyle val="lineMarker"/>
        <c:ser>
          <c:idx val="0"/>
          <c:order val="0"/>
          <c:tx>
            <c:v>Des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Cabaço1!$D$2:$D$18</c:f>
              <c:numCache>
                <c:formatCode>General</c:formatCode>
                <c:ptCount val="17"/>
                <c:pt idx="0">
                  <c:v>-54</c:v>
                </c:pt>
                <c:pt idx="1">
                  <c:v>-25</c:v>
                </c:pt>
                <c:pt idx="2">
                  <c:v>-66</c:v>
                </c:pt>
                <c:pt idx="3">
                  <c:v>74</c:v>
                </c:pt>
                <c:pt idx="4">
                  <c:v>-10.999999999999996</c:v>
                </c:pt>
                <c:pt idx="5">
                  <c:v>-27</c:v>
                </c:pt>
                <c:pt idx="6">
                  <c:v>-80</c:v>
                </c:pt>
                <c:pt idx="7">
                  <c:v>-47</c:v>
                </c:pt>
                <c:pt idx="8">
                  <c:v>-72</c:v>
                </c:pt>
                <c:pt idx="9">
                  <c:v>-63</c:v>
                </c:pt>
                <c:pt idx="10">
                  <c:v>66</c:v>
                </c:pt>
                <c:pt idx="11">
                  <c:v>-45.999999999999993</c:v>
                </c:pt>
                <c:pt idx="12">
                  <c:v>-48</c:v>
                </c:pt>
                <c:pt idx="13">
                  <c:v>-65</c:v>
                </c:pt>
                <c:pt idx="14">
                  <c:v>-35</c:v>
                </c:pt>
                <c:pt idx="15">
                  <c:v>-45.999999999999993</c:v>
                </c:pt>
                <c:pt idx="16">
                  <c:v>-32</c:v>
                </c:pt>
              </c:numCache>
            </c:numRef>
          </c:xVal>
          <c:yVal>
            <c:numRef>
              <c:f>Cabaço1!$F$2:$F$18</c:f>
              <c:numCache>
                <c:formatCode>General</c:formatCode>
                <c:ptCount val="17"/>
                <c:pt idx="0">
                  <c:v>-64</c:v>
                </c:pt>
                <c:pt idx="1">
                  <c:v>91.999999999999986</c:v>
                </c:pt>
                <c:pt idx="2">
                  <c:v>-14.000000000000004</c:v>
                </c:pt>
                <c:pt idx="3">
                  <c:v>-14.000000000000004</c:v>
                </c:pt>
                <c:pt idx="4">
                  <c:v>-60</c:v>
                </c:pt>
                <c:pt idx="5">
                  <c:v>-64</c:v>
                </c:pt>
                <c:pt idx="6">
                  <c:v>-30</c:v>
                </c:pt>
                <c:pt idx="7">
                  <c:v>-11.999999999999993</c:v>
                </c:pt>
                <c:pt idx="8">
                  <c:v>-28</c:v>
                </c:pt>
                <c:pt idx="9">
                  <c:v>-5.9999999999999964</c:v>
                </c:pt>
                <c:pt idx="10">
                  <c:v>-54</c:v>
                </c:pt>
                <c:pt idx="11">
                  <c:v>20</c:v>
                </c:pt>
                <c:pt idx="12">
                  <c:v>-56</c:v>
                </c:pt>
                <c:pt idx="13">
                  <c:v>-84</c:v>
                </c:pt>
                <c:pt idx="14">
                  <c:v>-76</c:v>
                </c:pt>
                <c:pt idx="15">
                  <c:v>-58</c:v>
                </c:pt>
                <c:pt idx="16">
                  <c:v>-18.000000000000007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CA98-4AE0-985E-25635C75228E}"/>
            </c:ext>
          </c:extLst>
        </c:ser>
        <c:ser>
          <c:idx val="2"/>
          <c:order val="1"/>
          <c:tx>
            <c:v>Exp</c:v>
          </c:tx>
          <c:spPr>
            <a:ln w="19050">
              <a:noFill/>
            </a:ln>
          </c:spPr>
          <c:marker>
            <c:symbol val="circle"/>
            <c:size val="6"/>
            <c:spPr>
              <a:noFill/>
              <a:ln>
                <a:solidFill>
                  <a:srgbClr val="333399"/>
                </a:solidFill>
                <a:prstDash val="solid"/>
              </a:ln>
            </c:spPr>
          </c:marker>
          <c:xVal>
            <c:numRef>
              <c:f>Cabaço1!$D$19:$D$29</c:f>
              <c:numCache>
                <c:formatCode>General</c:formatCode>
                <c:ptCount val="11"/>
                <c:pt idx="0">
                  <c:v>33.5</c:v>
                </c:pt>
                <c:pt idx="1">
                  <c:v>-9</c:v>
                </c:pt>
                <c:pt idx="2">
                  <c:v>-13</c:v>
                </c:pt>
                <c:pt idx="3">
                  <c:v>126</c:v>
                </c:pt>
                <c:pt idx="4">
                  <c:v>-5</c:v>
                </c:pt>
                <c:pt idx="5">
                  <c:v>-9.5</c:v>
                </c:pt>
                <c:pt idx="6">
                  <c:v>51.5</c:v>
                </c:pt>
                <c:pt idx="7">
                  <c:v>68.5</c:v>
                </c:pt>
                <c:pt idx="8">
                  <c:v>80</c:v>
                </c:pt>
                <c:pt idx="9">
                  <c:v>93.5</c:v>
                </c:pt>
                <c:pt idx="10">
                  <c:v>-55.999999999999993</c:v>
                </c:pt>
              </c:numCache>
            </c:numRef>
          </c:xVal>
          <c:yVal>
            <c:numRef>
              <c:f>Cabaço1!$F$19:$F$29</c:f>
              <c:numCache>
                <c:formatCode>General</c:formatCode>
                <c:ptCount val="11"/>
                <c:pt idx="0">
                  <c:v>90</c:v>
                </c:pt>
                <c:pt idx="1">
                  <c:v>18</c:v>
                </c:pt>
                <c:pt idx="2">
                  <c:v>12</c:v>
                </c:pt>
                <c:pt idx="3">
                  <c:v>12</c:v>
                </c:pt>
                <c:pt idx="4">
                  <c:v>-16</c:v>
                </c:pt>
                <c:pt idx="5">
                  <c:v>-20</c:v>
                </c:pt>
                <c:pt idx="6">
                  <c:v>46</c:v>
                </c:pt>
                <c:pt idx="7">
                  <c:v>210</c:v>
                </c:pt>
                <c:pt idx="8">
                  <c:v>268</c:v>
                </c:pt>
                <c:pt idx="9">
                  <c:v>213</c:v>
                </c:pt>
                <c:pt idx="10">
                  <c:v>-30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CA98-4AE0-985E-25635C75228E}"/>
            </c:ext>
          </c:extLst>
        </c:ser>
        <c:ser>
          <c:idx val="1"/>
          <c:order val="2"/>
          <c:tx>
            <c:v>"Des Model"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Cabaço1!$L$36:$L$40</c:f>
              <c:numCache>
                <c:formatCode>General</c:formatCode>
                <c:ptCount val="5"/>
                <c:pt idx="0">
                  <c:v>-100</c:v>
                </c:pt>
                <c:pt idx="1">
                  <c:v>-50</c:v>
                </c:pt>
                <c:pt idx="2">
                  <c:v>0</c:v>
                </c:pt>
                <c:pt idx="3">
                  <c:v>50</c:v>
                </c:pt>
                <c:pt idx="4">
                  <c:v>100</c:v>
                </c:pt>
              </c:numCache>
            </c:numRef>
          </c:xVal>
          <c:yVal>
            <c:numRef>
              <c:f>Cabaço1!$M$36:$M$40</c:f>
              <c:numCache>
                <c:formatCode>General</c:formatCode>
                <c:ptCount val="5"/>
                <c:pt idx="0">
                  <c:v>-32.061742398792184</c:v>
                </c:pt>
                <c:pt idx="1">
                  <c:v>-31.213584750552329</c:v>
                </c:pt>
                <c:pt idx="2">
                  <c:v>-30.365427102312477</c:v>
                </c:pt>
                <c:pt idx="3">
                  <c:v>-29.517269454072625</c:v>
                </c:pt>
                <c:pt idx="4">
                  <c:v>-28.66911180583277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2-CA98-4AE0-985E-25635C75228E}"/>
            </c:ext>
          </c:extLst>
        </c:ser>
        <c:ser>
          <c:idx val="3"/>
          <c:order val="3"/>
          <c:tx>
            <c:v>"Exp Model"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Cabaço1!$L$56:$L$60</c:f>
              <c:numCache>
                <c:formatCode>General</c:formatCode>
                <c:ptCount val="5"/>
                <c:pt idx="0">
                  <c:v>-50</c:v>
                </c:pt>
                <c:pt idx="1">
                  <c:v>0</c:v>
                </c:pt>
                <c:pt idx="2">
                  <c:v>50</c:v>
                </c:pt>
                <c:pt idx="3">
                  <c:v>100</c:v>
                </c:pt>
                <c:pt idx="4">
                  <c:v>125</c:v>
                </c:pt>
              </c:numCache>
            </c:numRef>
          </c:xVal>
          <c:yVal>
            <c:numRef>
              <c:f>Cabaço1!$M$56:$M$60</c:f>
              <c:numCache>
                <c:formatCode>General</c:formatCode>
                <c:ptCount val="5"/>
                <c:pt idx="0">
                  <c:v>-27.777063097770849</c:v>
                </c:pt>
                <c:pt idx="1">
                  <c:v>33.098702639487762</c:v>
                </c:pt>
                <c:pt idx="2">
                  <c:v>93.974468376746373</c:v>
                </c:pt>
                <c:pt idx="3">
                  <c:v>154.85023411400499</c:v>
                </c:pt>
                <c:pt idx="4">
                  <c:v>185.28811698263428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3-CA98-4AE0-985E-25635C75228E}"/>
            </c:ext>
          </c:extLst>
        </c:ser>
        <c:axId val="133743360"/>
        <c:axId val="133744896"/>
      </c:scatterChart>
      <c:valAx>
        <c:axId val="133743360"/>
        <c:scaling>
          <c:orientation val="minMax"/>
        </c:scaling>
        <c:axPos val="b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744896"/>
        <c:crosses val="autoZero"/>
        <c:crossBetween val="midCat"/>
      </c:valAx>
      <c:valAx>
        <c:axId val="133744896"/>
        <c:scaling>
          <c:orientation val="minMax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74336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44" r="0.75000000000000544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Experimental</a:t>
            </a:r>
          </a:p>
        </c:rich>
      </c:tx>
      <c:layout>
        <c:manualLayout>
          <c:xMode val="edge"/>
          <c:yMode val="edge"/>
          <c:x val="0.3926131923448003"/>
          <c:y val="3.467163378771244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632460208046121"/>
          <c:y val="0.14784985049629201"/>
          <c:w val="0.77823486652463403"/>
          <c:h val="0.65591570038354685"/>
        </c:manualLayout>
      </c:layout>
      <c:scatterChart>
        <c:scatterStyle val="lineMarker"/>
        <c:ser>
          <c:idx val="0"/>
          <c:order val="0"/>
          <c:tx>
            <c:v>High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Cabaço2!$E$3:$E$13</c:f>
              <c:numCache>
                <c:formatCode>0.00</c:formatCode>
                <c:ptCount val="11"/>
                <c:pt idx="0">
                  <c:v>1.6625000000000001</c:v>
                </c:pt>
                <c:pt idx="1">
                  <c:v>2.6425000000000001</c:v>
                </c:pt>
                <c:pt idx="2">
                  <c:v>2.65</c:v>
                </c:pt>
                <c:pt idx="3">
                  <c:v>3.0249999999999999</c:v>
                </c:pt>
                <c:pt idx="4">
                  <c:v>3.15</c:v>
                </c:pt>
                <c:pt idx="5">
                  <c:v>3.2</c:v>
                </c:pt>
                <c:pt idx="6">
                  <c:v>3.3</c:v>
                </c:pt>
                <c:pt idx="7">
                  <c:v>3.3125</c:v>
                </c:pt>
                <c:pt idx="8">
                  <c:v>3.35</c:v>
                </c:pt>
                <c:pt idx="9">
                  <c:v>3.875</c:v>
                </c:pt>
                <c:pt idx="10">
                  <c:v>3.9375</c:v>
                </c:pt>
              </c:numCache>
            </c:numRef>
          </c:xVal>
          <c:yVal>
            <c:numRef>
              <c:f>Cabaço2!$F$3:$F$13</c:f>
              <c:numCache>
                <c:formatCode>0.00</c:formatCode>
                <c:ptCount val="11"/>
                <c:pt idx="0">
                  <c:v>0.7</c:v>
                </c:pt>
                <c:pt idx="1">
                  <c:v>1.825</c:v>
                </c:pt>
                <c:pt idx="2">
                  <c:v>1.825</c:v>
                </c:pt>
                <c:pt idx="3">
                  <c:v>1.9</c:v>
                </c:pt>
                <c:pt idx="4">
                  <c:v>1.3875</c:v>
                </c:pt>
                <c:pt idx="5">
                  <c:v>2.0874999999999999</c:v>
                </c:pt>
                <c:pt idx="6">
                  <c:v>2.5</c:v>
                </c:pt>
                <c:pt idx="7">
                  <c:v>1.8</c:v>
                </c:pt>
                <c:pt idx="8">
                  <c:v>2.2124999999999999</c:v>
                </c:pt>
                <c:pt idx="9">
                  <c:v>2.0125000000000002</c:v>
                </c:pt>
                <c:pt idx="10">
                  <c:v>2.125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C711-4191-9E28-DBE503C252EA}"/>
            </c:ext>
          </c:extLst>
        </c:ser>
        <c:ser>
          <c:idx val="1"/>
          <c:order val="1"/>
          <c:tx>
            <c:v>Low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Cabaço2!$E$14:$E$24</c:f>
              <c:numCache>
                <c:formatCode>0.00</c:formatCode>
                <c:ptCount val="11"/>
                <c:pt idx="0">
                  <c:v>1.3</c:v>
                </c:pt>
                <c:pt idx="1">
                  <c:v>2.6749999999999998</c:v>
                </c:pt>
                <c:pt idx="2">
                  <c:v>2.7</c:v>
                </c:pt>
                <c:pt idx="3">
                  <c:v>2.9</c:v>
                </c:pt>
                <c:pt idx="4">
                  <c:v>3.0125000000000002</c:v>
                </c:pt>
                <c:pt idx="5">
                  <c:v>3.0750000000000002</c:v>
                </c:pt>
                <c:pt idx="6">
                  <c:v>3.3250000000000002</c:v>
                </c:pt>
                <c:pt idx="7">
                  <c:v>3.35</c:v>
                </c:pt>
                <c:pt idx="8">
                  <c:v>3.5</c:v>
                </c:pt>
                <c:pt idx="9">
                  <c:v>3.6625000000000001</c:v>
                </c:pt>
                <c:pt idx="10">
                  <c:v>3.6749999999999998</c:v>
                </c:pt>
              </c:numCache>
            </c:numRef>
          </c:xVal>
          <c:yVal>
            <c:numRef>
              <c:f>Cabaço2!$F$14:$F$24</c:f>
              <c:numCache>
                <c:formatCode>0.00</c:formatCode>
                <c:ptCount val="11"/>
                <c:pt idx="0">
                  <c:v>0.66249999999999998</c:v>
                </c:pt>
                <c:pt idx="1">
                  <c:v>1.75</c:v>
                </c:pt>
                <c:pt idx="2">
                  <c:v>1.925</c:v>
                </c:pt>
                <c:pt idx="3">
                  <c:v>1.625</c:v>
                </c:pt>
                <c:pt idx="4">
                  <c:v>1.925</c:v>
                </c:pt>
                <c:pt idx="5">
                  <c:v>1.7250000000000001</c:v>
                </c:pt>
                <c:pt idx="6">
                  <c:v>1.8875</c:v>
                </c:pt>
                <c:pt idx="7">
                  <c:v>2.4624999999999999</c:v>
                </c:pt>
                <c:pt idx="8">
                  <c:v>1.5375000000000001</c:v>
                </c:pt>
                <c:pt idx="9">
                  <c:v>1.5249999999999999</c:v>
                </c:pt>
                <c:pt idx="10">
                  <c:v>1.55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C711-4191-9E28-DBE503C252EA}"/>
            </c:ext>
          </c:extLst>
        </c:ser>
        <c:axId val="134045696"/>
        <c:axId val="134047616"/>
      </c:scatterChart>
      <c:valAx>
        <c:axId val="134045696"/>
        <c:scaling>
          <c:orientation val="minMax"/>
          <c:min val="0.5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log Density</a:t>
                </a:r>
              </a:p>
            </c:rich>
          </c:tx>
          <c:layout>
            <c:manualLayout>
              <c:xMode val="edge"/>
              <c:yMode val="edge"/>
              <c:x val="0.46648471815766956"/>
              <c:y val="0.89416052832105053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47616"/>
        <c:crosses val="autoZero"/>
        <c:crossBetween val="midCat"/>
      </c:valAx>
      <c:valAx>
        <c:axId val="13404761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log Biomass</a:t>
                </a:r>
              </a:p>
            </c:rich>
          </c:tx>
          <c:layout>
            <c:manualLayout>
              <c:xMode val="edge"/>
              <c:yMode val="edge"/>
              <c:x val="2.7359752515535202E-2"/>
              <c:y val="0.35583947167894736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4569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72981508728972"/>
          <c:y val="2.419354838709678E-2"/>
          <c:w val="9.8562628336754554E-2"/>
          <c:h val="0.1075271639432176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44" r="0.75000000000000544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Descriptive</a:t>
            </a:r>
          </a:p>
        </c:rich>
      </c:tx>
      <c:layout>
        <c:manualLayout>
          <c:xMode val="edge"/>
          <c:yMode val="edge"/>
          <c:x val="0.40963876503389224"/>
          <c:y val="3.44202974628172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465895742924319"/>
          <c:y val="0.17333378472339794"/>
          <c:w val="0.7510054887626455"/>
          <c:h val="0.68266844444908092"/>
        </c:manualLayout>
      </c:layout>
      <c:scatterChart>
        <c:scatterStyle val="lineMarker"/>
        <c:ser>
          <c:idx val="0"/>
          <c:order val="0"/>
          <c:tx>
            <c:v>High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Cabaço2!$E$25:$E$41</c:f>
              <c:numCache>
                <c:formatCode>0.00</c:formatCode>
                <c:ptCount val="17"/>
                <c:pt idx="0">
                  <c:v>2</c:v>
                </c:pt>
                <c:pt idx="1">
                  <c:v>2.125</c:v>
                </c:pt>
                <c:pt idx="2">
                  <c:v>2.4</c:v>
                </c:pt>
                <c:pt idx="3">
                  <c:v>2.5</c:v>
                </c:pt>
                <c:pt idx="4">
                  <c:v>2.4750000000000001</c:v>
                </c:pt>
                <c:pt idx="5">
                  <c:v>2.5750000000000002</c:v>
                </c:pt>
                <c:pt idx="6">
                  <c:v>2.7875000000000001</c:v>
                </c:pt>
                <c:pt idx="7">
                  <c:v>2.75</c:v>
                </c:pt>
                <c:pt idx="8">
                  <c:v>2.7625000000000002</c:v>
                </c:pt>
                <c:pt idx="9">
                  <c:v>2.875</c:v>
                </c:pt>
                <c:pt idx="10">
                  <c:v>3.1</c:v>
                </c:pt>
                <c:pt idx="11">
                  <c:v>3.1625000000000001</c:v>
                </c:pt>
                <c:pt idx="12">
                  <c:v>3.3125</c:v>
                </c:pt>
                <c:pt idx="13">
                  <c:v>3.3</c:v>
                </c:pt>
                <c:pt idx="14">
                  <c:v>3.5375000000000001</c:v>
                </c:pt>
                <c:pt idx="15">
                  <c:v>3.5375000000000001</c:v>
                </c:pt>
                <c:pt idx="16">
                  <c:v>3.875</c:v>
                </c:pt>
              </c:numCache>
            </c:numRef>
          </c:xVal>
          <c:yVal>
            <c:numRef>
              <c:f>Cabaço2!$F$25:$F$41</c:f>
              <c:numCache>
                <c:formatCode>0.00</c:formatCode>
                <c:ptCount val="17"/>
                <c:pt idx="0">
                  <c:v>2.0499999999999998</c:v>
                </c:pt>
                <c:pt idx="1">
                  <c:v>2</c:v>
                </c:pt>
                <c:pt idx="2">
                  <c:v>1.575</c:v>
                </c:pt>
                <c:pt idx="3">
                  <c:v>2.0499999999999998</c:v>
                </c:pt>
                <c:pt idx="4">
                  <c:v>2.3875000000000002</c:v>
                </c:pt>
                <c:pt idx="5">
                  <c:v>1.6875</c:v>
                </c:pt>
                <c:pt idx="6">
                  <c:v>0.85</c:v>
                </c:pt>
                <c:pt idx="7">
                  <c:v>1.85</c:v>
                </c:pt>
                <c:pt idx="8">
                  <c:v>2.125</c:v>
                </c:pt>
                <c:pt idx="9">
                  <c:v>2.2250000000000001</c:v>
                </c:pt>
                <c:pt idx="10">
                  <c:v>2.1749999999999998</c:v>
                </c:pt>
                <c:pt idx="11">
                  <c:v>2.3875000000000002</c:v>
                </c:pt>
                <c:pt idx="12">
                  <c:v>1.6375</c:v>
                </c:pt>
                <c:pt idx="13">
                  <c:v>2.0499999999999998</c:v>
                </c:pt>
                <c:pt idx="14">
                  <c:v>0.92500000000000004</c:v>
                </c:pt>
                <c:pt idx="15">
                  <c:v>1.675</c:v>
                </c:pt>
                <c:pt idx="16">
                  <c:v>1.8625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EE9E-4F0E-BE2C-6828AC8837C8}"/>
            </c:ext>
          </c:extLst>
        </c:ser>
        <c:ser>
          <c:idx val="1"/>
          <c:order val="1"/>
          <c:tx>
            <c:v>Low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Cabaço2!$E$42:$E$59</c:f>
              <c:numCache>
                <c:formatCode>0.00</c:formatCode>
                <c:ptCount val="18"/>
                <c:pt idx="0">
                  <c:v>2.3374999999999999</c:v>
                </c:pt>
                <c:pt idx="1">
                  <c:v>2.4375</c:v>
                </c:pt>
                <c:pt idx="2">
                  <c:v>2.375</c:v>
                </c:pt>
                <c:pt idx="3">
                  <c:v>2.6749999999999998</c:v>
                </c:pt>
                <c:pt idx="4">
                  <c:v>2.6749999999999998</c:v>
                </c:pt>
                <c:pt idx="5">
                  <c:v>2.7250000000000001</c:v>
                </c:pt>
                <c:pt idx="6">
                  <c:v>2.875</c:v>
                </c:pt>
                <c:pt idx="7">
                  <c:v>3.0874999999999999</c:v>
                </c:pt>
                <c:pt idx="8">
                  <c:v>3.0375000000000001</c:v>
                </c:pt>
                <c:pt idx="9">
                  <c:v>3.0249999999999999</c:v>
                </c:pt>
                <c:pt idx="10">
                  <c:v>3.25</c:v>
                </c:pt>
                <c:pt idx="11">
                  <c:v>3.3624999999999998</c:v>
                </c:pt>
                <c:pt idx="12">
                  <c:v>3.3624999999999998</c:v>
                </c:pt>
                <c:pt idx="13">
                  <c:v>3.35</c:v>
                </c:pt>
                <c:pt idx="14">
                  <c:v>3.3250000000000002</c:v>
                </c:pt>
                <c:pt idx="15">
                  <c:v>3.8</c:v>
                </c:pt>
                <c:pt idx="16">
                  <c:v>4</c:v>
                </c:pt>
                <c:pt idx="17">
                  <c:v>4.25</c:v>
                </c:pt>
              </c:numCache>
            </c:numRef>
          </c:xVal>
          <c:yVal>
            <c:numRef>
              <c:f>Cabaço2!$F$42:$F$59</c:f>
              <c:numCache>
                <c:formatCode>0.00</c:formatCode>
                <c:ptCount val="18"/>
                <c:pt idx="0">
                  <c:v>1.75</c:v>
                </c:pt>
                <c:pt idx="1">
                  <c:v>2.1</c:v>
                </c:pt>
                <c:pt idx="2">
                  <c:v>2.3624999999999998</c:v>
                </c:pt>
                <c:pt idx="3">
                  <c:v>2.6749999999999998</c:v>
                </c:pt>
                <c:pt idx="4">
                  <c:v>2.6749999999999998</c:v>
                </c:pt>
                <c:pt idx="5">
                  <c:v>2.0375000000000001</c:v>
                </c:pt>
                <c:pt idx="6">
                  <c:v>1.575</c:v>
                </c:pt>
                <c:pt idx="7">
                  <c:v>1.9375</c:v>
                </c:pt>
                <c:pt idx="8">
                  <c:v>2.1749999999999998</c:v>
                </c:pt>
                <c:pt idx="9">
                  <c:v>2.5249999999999999</c:v>
                </c:pt>
                <c:pt idx="10">
                  <c:v>1.6</c:v>
                </c:pt>
                <c:pt idx="11">
                  <c:v>2.1</c:v>
                </c:pt>
                <c:pt idx="12">
                  <c:v>2.2749999999999999</c:v>
                </c:pt>
                <c:pt idx="13">
                  <c:v>2.4375</c:v>
                </c:pt>
                <c:pt idx="14">
                  <c:v>2.4750000000000001</c:v>
                </c:pt>
                <c:pt idx="15">
                  <c:v>1.3</c:v>
                </c:pt>
                <c:pt idx="16">
                  <c:v>2.2999999999999998</c:v>
                </c:pt>
                <c:pt idx="17">
                  <c:v>1.825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EE9E-4F0E-BE2C-6828AC8837C8}"/>
            </c:ext>
          </c:extLst>
        </c:ser>
        <c:axId val="134091136"/>
        <c:axId val="134093056"/>
      </c:scatterChart>
      <c:valAx>
        <c:axId val="134091136"/>
        <c:scaling>
          <c:orientation val="minMax"/>
          <c:min val="0.5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log D</a:t>
                </a:r>
              </a:p>
            </c:rich>
          </c:tx>
          <c:layout>
            <c:manualLayout>
              <c:xMode val="edge"/>
              <c:yMode val="edge"/>
              <c:x val="0.49665349060283132"/>
              <c:y val="0.91666841644794395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93056"/>
        <c:crosses val="autoZero"/>
        <c:crossBetween val="midCat"/>
      </c:valAx>
      <c:valAx>
        <c:axId val="13409305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log B</a:t>
                </a:r>
              </a:p>
            </c:rich>
          </c:tx>
          <c:layout>
            <c:manualLayout>
              <c:xMode val="edge"/>
              <c:yMode val="edge"/>
              <c:x val="2.8112449799196727E-2"/>
              <c:y val="0.47101536307962039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911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731092348396207"/>
          <c:y val="2.4E-2"/>
          <c:w val="0.10240984937123856"/>
          <c:h val="0.1120002799650047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44" r="0.75000000000000544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0</xdr:row>
      <xdr:rowOff>76200</xdr:rowOff>
    </xdr:from>
    <xdr:to>
      <xdr:col>16</xdr:col>
      <xdr:colOff>590550</xdr:colOff>
      <xdr:row>28</xdr:row>
      <xdr:rowOff>9525</xdr:rowOff>
    </xdr:to>
    <xdr:graphicFrame macro="">
      <xdr:nvGraphicFramePr>
        <xdr:cNvPr id="1197" name="Chart 1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2</xdr:row>
      <xdr:rowOff>19050</xdr:rowOff>
    </xdr:from>
    <xdr:to>
      <xdr:col>13</xdr:col>
      <xdr:colOff>523875</xdr:colOff>
      <xdr:row>24</xdr:row>
      <xdr:rowOff>0</xdr:rowOff>
    </xdr:to>
    <xdr:graphicFrame macro="">
      <xdr:nvGraphicFramePr>
        <xdr:cNvPr id="2394" name="Chart 1">
          <a:extLst>
            <a:ext uri="{FF2B5EF4-FFF2-40B4-BE49-F238E27FC236}">
              <a16:creationId xmlns="" xmlns:a16="http://schemas.microsoft.com/office/drawing/2014/main" id="{00000000-0008-0000-0100-00005A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</xdr:colOff>
      <xdr:row>24</xdr:row>
      <xdr:rowOff>9525</xdr:rowOff>
    </xdr:from>
    <xdr:to>
      <xdr:col>13</xdr:col>
      <xdr:colOff>523875</xdr:colOff>
      <xdr:row>46</xdr:row>
      <xdr:rowOff>19050</xdr:rowOff>
    </xdr:to>
    <xdr:graphicFrame macro="">
      <xdr:nvGraphicFramePr>
        <xdr:cNvPr id="2395" name="Chart 2">
          <a:extLst>
            <a:ext uri="{FF2B5EF4-FFF2-40B4-BE49-F238E27FC236}">
              <a16:creationId xmlns="" xmlns:a16="http://schemas.microsoft.com/office/drawing/2014/main" id="{00000000-0008-0000-0100-00005B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9"/>
  <sheetViews>
    <sheetView workbookViewId="0">
      <selection activeCell="X22" sqref="X22"/>
    </sheetView>
  </sheetViews>
  <sheetFormatPr defaultRowHeight="12.75"/>
  <cols>
    <col min="1" max="1" width="12.28515625" customWidth="1"/>
    <col min="19" max="19" width="14.5703125" customWidth="1"/>
    <col min="21" max="21" width="11.42578125" customWidth="1"/>
    <col min="22" max="22" width="12.7109375" customWidth="1"/>
    <col min="23" max="23" width="13.140625" customWidth="1"/>
  </cols>
  <sheetData>
    <row r="1" spans="1:24">
      <c r="A1" t="s">
        <v>1</v>
      </c>
      <c r="B1" t="s">
        <v>0</v>
      </c>
      <c r="C1" t="s">
        <v>2</v>
      </c>
      <c r="D1" t="s">
        <v>22</v>
      </c>
      <c r="E1" t="s">
        <v>19</v>
      </c>
      <c r="F1" t="s">
        <v>23</v>
      </c>
      <c r="S1" t="s">
        <v>1</v>
      </c>
      <c r="T1" t="s">
        <v>22</v>
      </c>
      <c r="U1" t="s">
        <v>23</v>
      </c>
      <c r="V1" t="s">
        <v>73</v>
      </c>
      <c r="W1" t="s">
        <v>74</v>
      </c>
      <c r="X1" t="s">
        <v>0</v>
      </c>
    </row>
    <row r="2" spans="1:24">
      <c r="A2" t="s">
        <v>3</v>
      </c>
      <c r="B2" t="s">
        <v>6</v>
      </c>
      <c r="C2">
        <v>-4.5999999999999996</v>
      </c>
      <c r="D2">
        <f>-(10+C2)*100/10</f>
        <v>-54</v>
      </c>
      <c r="E2">
        <v>-1.8</v>
      </c>
      <c r="F2">
        <f>-(5+E2)*100/5</f>
        <v>-64</v>
      </c>
      <c r="I2" s="7"/>
      <c r="J2" s="7"/>
      <c r="K2" s="7"/>
      <c r="L2" s="7"/>
      <c r="M2" s="7"/>
      <c r="N2" s="7"/>
      <c r="O2" s="7"/>
      <c r="P2" s="7"/>
      <c r="Q2" s="7"/>
      <c r="S2" t="s">
        <v>3</v>
      </c>
      <c r="T2">
        <v>-54</v>
      </c>
      <c r="U2">
        <v>-64</v>
      </c>
      <c r="V2" t="s">
        <v>75</v>
      </c>
      <c r="W2" t="s">
        <v>75</v>
      </c>
      <c r="X2" t="s">
        <v>6</v>
      </c>
    </row>
    <row r="3" spans="1:24">
      <c r="A3" t="s">
        <v>3</v>
      </c>
      <c r="B3" t="s">
        <v>4</v>
      </c>
      <c r="C3">
        <v>-7.5</v>
      </c>
      <c r="D3">
        <f t="shared" ref="D3:D18" si="0">-(10+C3)*100/10</f>
        <v>-25</v>
      </c>
      <c r="E3">
        <v>4.5999999999999996</v>
      </c>
      <c r="F3">
        <f>(E3)*100/5</f>
        <v>91.999999999999986</v>
      </c>
      <c r="I3" s="7"/>
      <c r="J3" s="7"/>
      <c r="K3" s="7"/>
      <c r="L3" s="7"/>
      <c r="M3" s="7"/>
      <c r="N3" s="7"/>
      <c r="O3" s="7"/>
      <c r="P3" s="7"/>
      <c r="Q3" s="7"/>
      <c r="S3" t="s">
        <v>3</v>
      </c>
      <c r="T3">
        <v>-25</v>
      </c>
      <c r="U3">
        <v>92</v>
      </c>
      <c r="V3" t="s">
        <v>75</v>
      </c>
      <c r="W3" t="s">
        <v>76</v>
      </c>
      <c r="X3" t="s">
        <v>4</v>
      </c>
    </row>
    <row r="4" spans="1:24">
      <c r="A4" t="s">
        <v>3</v>
      </c>
      <c r="B4" t="s">
        <v>5</v>
      </c>
      <c r="C4">
        <v>-3.4</v>
      </c>
      <c r="D4">
        <f t="shared" si="0"/>
        <v>-66</v>
      </c>
      <c r="E4">
        <v>-4.3</v>
      </c>
      <c r="F4">
        <f t="shared" ref="F4:F18" si="1">-(5+E4)*100/5</f>
        <v>-14.000000000000004</v>
      </c>
      <c r="I4" s="8"/>
      <c r="J4" s="8"/>
      <c r="K4" s="7"/>
      <c r="L4" s="7"/>
      <c r="M4" s="7"/>
      <c r="N4" s="7"/>
      <c r="O4" s="7"/>
      <c r="P4" s="7"/>
      <c r="Q4" s="7"/>
      <c r="S4" t="s">
        <v>3</v>
      </c>
      <c r="T4">
        <v>-66</v>
      </c>
      <c r="U4">
        <v>-14</v>
      </c>
      <c r="V4" t="s">
        <v>75</v>
      </c>
      <c r="W4" t="s">
        <v>75</v>
      </c>
      <c r="X4" t="s">
        <v>5</v>
      </c>
    </row>
    <row r="5" spans="1:24">
      <c r="A5" t="s">
        <v>3</v>
      </c>
      <c r="B5" t="s">
        <v>20</v>
      </c>
      <c r="C5">
        <v>7.4</v>
      </c>
      <c r="D5">
        <f>(C5)*100/10</f>
        <v>74</v>
      </c>
      <c r="E5">
        <v>-4.3</v>
      </c>
      <c r="F5">
        <f t="shared" si="1"/>
        <v>-14.000000000000004</v>
      </c>
      <c r="I5" s="1"/>
      <c r="J5" s="1"/>
      <c r="K5" s="7"/>
      <c r="L5" s="7"/>
      <c r="M5" s="7"/>
      <c r="N5" s="7"/>
      <c r="O5" s="7"/>
      <c r="P5" s="7"/>
      <c r="Q5" s="7"/>
      <c r="S5" t="s">
        <v>3</v>
      </c>
      <c r="T5">
        <v>74</v>
      </c>
      <c r="U5">
        <v>-14</v>
      </c>
      <c r="V5" t="s">
        <v>75</v>
      </c>
      <c r="W5" t="s">
        <v>76</v>
      </c>
      <c r="X5" t="s">
        <v>20</v>
      </c>
    </row>
    <row r="6" spans="1:24">
      <c r="A6" t="s">
        <v>3</v>
      </c>
      <c r="B6" t="s">
        <v>17</v>
      </c>
      <c r="C6">
        <v>-8.9</v>
      </c>
      <c r="D6">
        <f t="shared" si="0"/>
        <v>-10.999999999999996</v>
      </c>
      <c r="E6">
        <v>-2</v>
      </c>
      <c r="F6">
        <f t="shared" si="1"/>
        <v>-60</v>
      </c>
      <c r="I6" s="1"/>
      <c r="J6" s="1"/>
      <c r="K6" s="7"/>
      <c r="L6" s="7"/>
      <c r="M6" s="7"/>
      <c r="N6" s="7"/>
      <c r="O6" s="7"/>
      <c r="P6" s="7"/>
      <c r="Q6" s="7"/>
      <c r="S6" t="s">
        <v>3</v>
      </c>
      <c r="T6">
        <v>-11</v>
      </c>
      <c r="U6">
        <v>-60</v>
      </c>
      <c r="V6" t="s">
        <v>75</v>
      </c>
      <c r="W6" t="s">
        <v>75</v>
      </c>
      <c r="X6" t="s">
        <v>17</v>
      </c>
    </row>
    <row r="7" spans="1:24">
      <c r="A7" t="s">
        <v>3</v>
      </c>
      <c r="B7" t="s">
        <v>7</v>
      </c>
      <c r="C7">
        <v>-7.3</v>
      </c>
      <c r="D7">
        <f t="shared" si="0"/>
        <v>-27</v>
      </c>
      <c r="E7">
        <v>-1.8</v>
      </c>
      <c r="F7">
        <f t="shared" si="1"/>
        <v>-64</v>
      </c>
      <c r="I7" s="1"/>
      <c r="J7" s="1"/>
      <c r="K7" s="7"/>
      <c r="L7" s="7"/>
      <c r="M7" s="7"/>
      <c r="N7" s="7"/>
      <c r="O7" s="7"/>
      <c r="P7" s="7"/>
      <c r="Q7" s="7"/>
      <c r="S7" t="s">
        <v>3</v>
      </c>
      <c r="T7">
        <v>-27</v>
      </c>
      <c r="U7">
        <v>-64</v>
      </c>
      <c r="V7" t="s">
        <v>75</v>
      </c>
      <c r="W7" t="s">
        <v>75</v>
      </c>
      <c r="X7" t="s">
        <v>7</v>
      </c>
    </row>
    <row r="8" spans="1:24">
      <c r="A8" t="s">
        <v>3</v>
      </c>
      <c r="B8" t="s">
        <v>8</v>
      </c>
      <c r="C8">
        <v>-2</v>
      </c>
      <c r="D8">
        <f t="shared" si="0"/>
        <v>-80</v>
      </c>
      <c r="E8">
        <v>-3.5</v>
      </c>
      <c r="F8">
        <f t="shared" si="1"/>
        <v>-30</v>
      </c>
      <c r="I8" s="1"/>
      <c r="J8" s="1"/>
      <c r="K8" s="7"/>
      <c r="L8" s="7"/>
      <c r="M8" s="7"/>
      <c r="N8" s="7"/>
      <c r="O8" s="7"/>
      <c r="P8" s="7"/>
      <c r="Q8" s="7"/>
      <c r="S8" t="s">
        <v>3</v>
      </c>
      <c r="T8">
        <v>-80</v>
      </c>
      <c r="U8">
        <v>-30</v>
      </c>
      <c r="V8" t="s">
        <v>75</v>
      </c>
      <c r="W8" t="s">
        <v>75</v>
      </c>
      <c r="X8" t="s">
        <v>8</v>
      </c>
    </row>
    <row r="9" spans="1:24">
      <c r="A9" t="s">
        <v>3</v>
      </c>
      <c r="B9" t="s">
        <v>9</v>
      </c>
      <c r="C9">
        <v>-5.3</v>
      </c>
      <c r="D9">
        <f t="shared" si="0"/>
        <v>-47</v>
      </c>
      <c r="E9">
        <v>-4.4000000000000004</v>
      </c>
      <c r="F9">
        <f t="shared" si="1"/>
        <v>-11.999999999999993</v>
      </c>
      <c r="I9" s="1"/>
      <c r="J9" s="1"/>
      <c r="K9" s="7"/>
      <c r="L9" s="7"/>
      <c r="M9" s="7"/>
      <c r="N9" s="7"/>
      <c r="O9" s="7"/>
      <c r="P9" s="7"/>
      <c r="Q9" s="7"/>
      <c r="S9" t="s">
        <v>3</v>
      </c>
      <c r="T9">
        <v>-47</v>
      </c>
      <c r="U9">
        <v>-12</v>
      </c>
      <c r="V9" t="s">
        <v>75</v>
      </c>
      <c r="W9" t="s">
        <v>75</v>
      </c>
      <c r="X9" t="s">
        <v>9</v>
      </c>
    </row>
    <row r="10" spans="1:24">
      <c r="A10" t="s">
        <v>3</v>
      </c>
      <c r="B10" t="s">
        <v>10</v>
      </c>
      <c r="C10">
        <v>-2.8</v>
      </c>
      <c r="D10">
        <f t="shared" si="0"/>
        <v>-72</v>
      </c>
      <c r="E10">
        <v>-3.6</v>
      </c>
      <c r="F10">
        <f t="shared" si="1"/>
        <v>-28</v>
      </c>
      <c r="I10" s="7"/>
      <c r="J10" s="7"/>
      <c r="K10" s="7"/>
      <c r="L10" s="7"/>
      <c r="M10" s="7"/>
      <c r="N10" s="7"/>
      <c r="O10" s="7"/>
      <c r="P10" s="7"/>
      <c r="Q10" s="7"/>
      <c r="S10" t="s">
        <v>3</v>
      </c>
      <c r="T10">
        <v>-72</v>
      </c>
      <c r="U10">
        <v>-28</v>
      </c>
      <c r="V10" t="s">
        <v>75</v>
      </c>
      <c r="W10" t="s">
        <v>75</v>
      </c>
      <c r="X10" t="s">
        <v>10</v>
      </c>
    </row>
    <row r="11" spans="1:24">
      <c r="A11" t="s">
        <v>3</v>
      </c>
      <c r="B11" t="s">
        <v>11</v>
      </c>
      <c r="C11">
        <v>-3.7</v>
      </c>
      <c r="D11">
        <f t="shared" si="0"/>
        <v>-63</v>
      </c>
      <c r="E11">
        <v>-4.7</v>
      </c>
      <c r="F11">
        <f t="shared" si="1"/>
        <v>-5.9999999999999964</v>
      </c>
      <c r="I11" s="7"/>
      <c r="J11" s="7"/>
      <c r="K11" s="7"/>
      <c r="L11" s="7"/>
      <c r="M11" s="7"/>
      <c r="N11" s="7"/>
      <c r="O11" s="7"/>
      <c r="P11" s="7"/>
      <c r="Q11" s="7"/>
      <c r="S11" t="s">
        <v>3</v>
      </c>
      <c r="T11">
        <v>-63</v>
      </c>
      <c r="U11">
        <v>-6</v>
      </c>
      <c r="V11" t="s">
        <v>75</v>
      </c>
      <c r="W11" t="s">
        <v>75</v>
      </c>
      <c r="X11" t="s">
        <v>11</v>
      </c>
    </row>
    <row r="12" spans="1:24">
      <c r="A12" t="s">
        <v>3</v>
      </c>
      <c r="B12" t="s">
        <v>21</v>
      </c>
      <c r="C12">
        <v>6.6</v>
      </c>
      <c r="D12">
        <f>(C12)*100/10</f>
        <v>66</v>
      </c>
      <c r="E12">
        <v>-2.2999999999999998</v>
      </c>
      <c r="F12">
        <f t="shared" si="1"/>
        <v>-54</v>
      </c>
      <c r="I12" s="9"/>
      <c r="J12" s="9"/>
      <c r="K12" s="9"/>
      <c r="L12" s="9"/>
      <c r="M12" s="9"/>
      <c r="N12" s="9"/>
      <c r="O12" s="7"/>
      <c r="P12" s="7"/>
      <c r="Q12" s="7"/>
      <c r="S12" t="s">
        <v>3</v>
      </c>
      <c r="T12">
        <v>66</v>
      </c>
      <c r="U12">
        <v>-54</v>
      </c>
      <c r="V12" t="s">
        <v>75</v>
      </c>
      <c r="W12" t="s">
        <v>76</v>
      </c>
      <c r="X12" t="s">
        <v>21</v>
      </c>
    </row>
    <row r="13" spans="1:24">
      <c r="A13" t="s">
        <v>3</v>
      </c>
      <c r="B13" t="s">
        <v>12</v>
      </c>
      <c r="C13">
        <v>-5.4</v>
      </c>
      <c r="D13">
        <f t="shared" si="0"/>
        <v>-45.999999999999993</v>
      </c>
      <c r="E13">
        <v>1</v>
      </c>
      <c r="F13">
        <f>(E13)*100/5</f>
        <v>20</v>
      </c>
      <c r="I13" s="1"/>
      <c r="J13" s="1"/>
      <c r="K13" s="1"/>
      <c r="L13" s="1"/>
      <c r="M13" s="1"/>
      <c r="N13" s="1"/>
      <c r="O13" s="7"/>
      <c r="P13" s="7"/>
      <c r="Q13" s="7"/>
      <c r="S13" t="s">
        <v>3</v>
      </c>
      <c r="T13">
        <v>-46</v>
      </c>
      <c r="U13">
        <v>20</v>
      </c>
      <c r="V13" t="s">
        <v>75</v>
      </c>
      <c r="W13" t="s">
        <v>75</v>
      </c>
      <c r="X13" t="s">
        <v>12</v>
      </c>
    </row>
    <row r="14" spans="1:24">
      <c r="A14" t="s">
        <v>3</v>
      </c>
      <c r="B14" t="s">
        <v>13</v>
      </c>
      <c r="C14">
        <v>-5.2</v>
      </c>
      <c r="D14">
        <f t="shared" si="0"/>
        <v>-48</v>
      </c>
      <c r="E14">
        <v>-2.2000000000000002</v>
      </c>
      <c r="F14">
        <f t="shared" si="1"/>
        <v>-56</v>
      </c>
      <c r="I14" s="1"/>
      <c r="J14" s="1"/>
      <c r="K14" s="1"/>
      <c r="L14" s="1"/>
      <c r="M14" s="1"/>
      <c r="N14" s="1"/>
      <c r="O14" s="7"/>
      <c r="P14" s="7"/>
      <c r="Q14" s="7"/>
      <c r="S14" t="s">
        <v>3</v>
      </c>
      <c r="T14">
        <v>-48</v>
      </c>
      <c r="U14">
        <v>-56</v>
      </c>
      <c r="V14" t="s">
        <v>75</v>
      </c>
      <c r="W14" t="s">
        <v>75</v>
      </c>
      <c r="X14" t="s">
        <v>13</v>
      </c>
    </row>
    <row r="15" spans="1:24">
      <c r="A15" t="s">
        <v>3</v>
      </c>
      <c r="B15" t="s">
        <v>14</v>
      </c>
      <c r="C15">
        <v>-3.5</v>
      </c>
      <c r="D15">
        <f t="shared" si="0"/>
        <v>-65</v>
      </c>
      <c r="E15">
        <v>-0.8</v>
      </c>
      <c r="F15">
        <f t="shared" si="1"/>
        <v>-84</v>
      </c>
      <c r="I15" s="1"/>
      <c r="J15" s="1"/>
      <c r="K15" s="1"/>
      <c r="L15" s="1"/>
      <c r="M15" s="1"/>
      <c r="N15" s="1"/>
      <c r="O15" s="7"/>
      <c r="P15" s="7"/>
      <c r="Q15" s="7"/>
      <c r="S15" t="s">
        <v>3</v>
      </c>
      <c r="T15">
        <v>-65</v>
      </c>
      <c r="U15">
        <v>-84</v>
      </c>
      <c r="V15" t="s">
        <v>75</v>
      </c>
      <c r="W15" t="s">
        <v>75</v>
      </c>
      <c r="X15" t="s">
        <v>14</v>
      </c>
    </row>
    <row r="16" spans="1:24">
      <c r="A16" t="s">
        <v>3</v>
      </c>
      <c r="B16" t="s">
        <v>15</v>
      </c>
      <c r="C16">
        <v>-6.5</v>
      </c>
      <c r="D16">
        <f t="shared" si="0"/>
        <v>-35</v>
      </c>
      <c r="E16">
        <v>-1.2</v>
      </c>
      <c r="F16">
        <f t="shared" si="1"/>
        <v>-76</v>
      </c>
      <c r="I16" s="7"/>
      <c r="J16" s="7"/>
      <c r="K16" s="7"/>
      <c r="L16" s="7"/>
      <c r="M16" s="7"/>
      <c r="N16" s="7"/>
      <c r="O16" s="7"/>
      <c r="P16" s="7"/>
      <c r="Q16" s="7"/>
      <c r="S16" t="s">
        <v>3</v>
      </c>
      <c r="T16">
        <v>-35</v>
      </c>
      <c r="U16">
        <v>-76</v>
      </c>
      <c r="V16" t="s">
        <v>75</v>
      </c>
      <c r="W16" t="s">
        <v>75</v>
      </c>
      <c r="X16" t="s">
        <v>15</v>
      </c>
    </row>
    <row r="17" spans="1:24">
      <c r="A17" t="s">
        <v>3</v>
      </c>
      <c r="B17" t="s">
        <v>16</v>
      </c>
      <c r="C17">
        <v>-5.4</v>
      </c>
      <c r="D17">
        <f t="shared" si="0"/>
        <v>-45.999999999999993</v>
      </c>
      <c r="E17">
        <v>-2.1</v>
      </c>
      <c r="F17">
        <f t="shared" si="1"/>
        <v>-58</v>
      </c>
      <c r="I17" s="9"/>
      <c r="J17" s="9"/>
      <c r="K17" s="9"/>
      <c r="L17" s="9"/>
      <c r="M17" s="9"/>
      <c r="N17" s="9"/>
      <c r="O17" s="9"/>
      <c r="P17" s="9"/>
      <c r="Q17" s="9"/>
      <c r="S17" t="s">
        <v>3</v>
      </c>
      <c r="T17">
        <v>-46</v>
      </c>
      <c r="U17">
        <v>-58</v>
      </c>
      <c r="V17" t="s">
        <v>75</v>
      </c>
      <c r="W17" t="s">
        <v>75</v>
      </c>
      <c r="X17" t="s">
        <v>16</v>
      </c>
    </row>
    <row r="18" spans="1:24">
      <c r="A18" t="s">
        <v>3</v>
      </c>
      <c r="B18" t="s">
        <v>18</v>
      </c>
      <c r="C18">
        <v>-6.8</v>
      </c>
      <c r="D18">
        <f t="shared" si="0"/>
        <v>-32</v>
      </c>
      <c r="E18">
        <v>-4.0999999999999996</v>
      </c>
      <c r="F18">
        <f t="shared" si="1"/>
        <v>-18.000000000000007</v>
      </c>
      <c r="I18" s="1"/>
      <c r="J18" s="1"/>
      <c r="K18" s="1"/>
      <c r="L18" s="1"/>
      <c r="M18" s="1"/>
      <c r="N18" s="1"/>
      <c r="O18" s="1"/>
      <c r="P18" s="1"/>
      <c r="Q18" s="1"/>
      <c r="S18" t="s">
        <v>3</v>
      </c>
      <c r="T18">
        <v>-32</v>
      </c>
      <c r="U18">
        <v>-18</v>
      </c>
      <c r="V18" t="s">
        <v>75</v>
      </c>
      <c r="W18" t="s">
        <v>75</v>
      </c>
      <c r="X18" t="s">
        <v>18</v>
      </c>
    </row>
    <row r="19" spans="1:24">
      <c r="A19" t="s">
        <v>49</v>
      </c>
      <c r="B19" t="s">
        <v>58</v>
      </c>
      <c r="C19">
        <v>3.35</v>
      </c>
      <c r="D19">
        <f>C19/5*50</f>
        <v>33.5</v>
      </c>
      <c r="E19">
        <v>4.5</v>
      </c>
      <c r="F19">
        <f>E19/5*100</f>
        <v>90</v>
      </c>
      <c r="I19" s="1"/>
      <c r="J19" s="1"/>
      <c r="K19" s="1"/>
      <c r="L19" s="1"/>
      <c r="M19" s="1"/>
      <c r="N19" s="1"/>
      <c r="O19" s="1"/>
      <c r="P19" s="1"/>
      <c r="Q19" s="1"/>
      <c r="S19" t="s">
        <v>49</v>
      </c>
      <c r="T19">
        <v>33.5</v>
      </c>
      <c r="U19">
        <v>90</v>
      </c>
      <c r="V19" t="s">
        <v>76</v>
      </c>
      <c r="W19" t="s">
        <v>76</v>
      </c>
      <c r="X19" t="s">
        <v>58</v>
      </c>
    </row>
    <row r="20" spans="1:24">
      <c r="A20" t="s">
        <v>49</v>
      </c>
      <c r="B20" t="s">
        <v>63</v>
      </c>
      <c r="C20">
        <v>-0.9</v>
      </c>
      <c r="D20">
        <f t="shared" ref="D20:D29" si="2">C20/5*50</f>
        <v>-9</v>
      </c>
      <c r="E20">
        <v>0.9</v>
      </c>
      <c r="F20">
        <f t="shared" ref="F20:F29" si="3">E20/5*100</f>
        <v>18</v>
      </c>
      <c r="I20" s="7"/>
      <c r="J20" s="7"/>
      <c r="K20" s="7"/>
      <c r="L20" s="7"/>
      <c r="M20" s="7"/>
      <c r="N20" s="7"/>
      <c r="O20" s="7"/>
      <c r="P20" s="7"/>
      <c r="Q20" s="7"/>
      <c r="S20" t="s">
        <v>49</v>
      </c>
      <c r="T20">
        <v>-9</v>
      </c>
      <c r="U20">
        <v>18</v>
      </c>
      <c r="V20" t="s">
        <v>76</v>
      </c>
      <c r="W20" t="s">
        <v>75</v>
      </c>
      <c r="X20" t="s">
        <v>63</v>
      </c>
    </row>
    <row r="21" spans="1:24">
      <c r="A21" t="s">
        <v>49</v>
      </c>
      <c r="B21" t="s">
        <v>64</v>
      </c>
      <c r="C21">
        <v>-1.3</v>
      </c>
      <c r="D21">
        <f t="shared" si="2"/>
        <v>-13</v>
      </c>
      <c r="E21">
        <v>0.6</v>
      </c>
      <c r="F21">
        <f t="shared" si="3"/>
        <v>12</v>
      </c>
      <c r="I21" s="7"/>
      <c r="J21" s="7"/>
      <c r="K21" s="7"/>
      <c r="L21" s="7"/>
      <c r="M21" s="7"/>
      <c r="N21" s="7"/>
      <c r="O21" s="7"/>
      <c r="P21" s="7"/>
      <c r="Q21" s="7"/>
      <c r="S21" t="s">
        <v>49</v>
      </c>
      <c r="T21">
        <v>-13</v>
      </c>
      <c r="U21">
        <v>12</v>
      </c>
      <c r="V21" t="s">
        <v>76</v>
      </c>
      <c r="W21" t="s">
        <v>75</v>
      </c>
      <c r="X21" t="s">
        <v>64</v>
      </c>
    </row>
    <row r="22" spans="1:24">
      <c r="A22" t="s">
        <v>49</v>
      </c>
      <c r="B22" t="s">
        <v>65</v>
      </c>
      <c r="C22">
        <v>12.6</v>
      </c>
      <c r="D22">
        <f t="shared" si="2"/>
        <v>126</v>
      </c>
      <c r="E22">
        <v>0.6</v>
      </c>
      <c r="F22">
        <f t="shared" si="3"/>
        <v>12</v>
      </c>
      <c r="I22" s="7"/>
      <c r="J22" s="7"/>
      <c r="K22" s="7"/>
      <c r="L22" s="7"/>
      <c r="M22" s="7"/>
      <c r="N22" s="7"/>
      <c r="O22" s="7"/>
      <c r="P22" s="7"/>
      <c r="Q22" s="7"/>
      <c r="S22" t="s">
        <v>49</v>
      </c>
      <c r="T22">
        <v>126</v>
      </c>
      <c r="U22">
        <v>12</v>
      </c>
      <c r="V22" t="s">
        <v>76</v>
      </c>
      <c r="W22" t="s">
        <v>76</v>
      </c>
      <c r="X22" t="s">
        <v>65</v>
      </c>
    </row>
    <row r="23" spans="1:24">
      <c r="A23" t="s">
        <v>49</v>
      </c>
      <c r="B23" t="s">
        <v>66</v>
      </c>
      <c r="C23">
        <v>-0.5</v>
      </c>
      <c r="D23">
        <f t="shared" si="2"/>
        <v>-5</v>
      </c>
      <c r="E23">
        <v>-0.8</v>
      </c>
      <c r="F23">
        <f t="shared" si="3"/>
        <v>-16</v>
      </c>
      <c r="I23" s="7"/>
      <c r="J23" s="7"/>
      <c r="K23" s="7"/>
      <c r="L23" s="7"/>
      <c r="M23" s="7"/>
      <c r="N23" s="7"/>
      <c r="O23" s="7"/>
      <c r="P23" s="7"/>
      <c r="Q23" s="7"/>
      <c r="S23" t="s">
        <v>49</v>
      </c>
      <c r="T23">
        <v>-5</v>
      </c>
      <c r="U23">
        <v>-16</v>
      </c>
      <c r="V23" t="s">
        <v>76</v>
      </c>
      <c r="W23" t="s">
        <v>75</v>
      </c>
      <c r="X23" t="s">
        <v>66</v>
      </c>
    </row>
    <row r="24" spans="1:24">
      <c r="A24" t="s">
        <v>49</v>
      </c>
      <c r="B24" t="s">
        <v>67</v>
      </c>
      <c r="C24">
        <v>-0.95</v>
      </c>
      <c r="D24">
        <f t="shared" si="2"/>
        <v>-9.5</v>
      </c>
      <c r="E24">
        <v>-1</v>
      </c>
      <c r="F24">
        <f t="shared" si="3"/>
        <v>-20</v>
      </c>
      <c r="I24" s="7"/>
      <c r="J24" s="7"/>
      <c r="K24" s="7"/>
      <c r="L24" s="7"/>
      <c r="M24" s="7"/>
      <c r="N24" s="7"/>
      <c r="O24" s="7"/>
      <c r="P24" s="7"/>
      <c r="Q24" s="7"/>
      <c r="S24" t="s">
        <v>49</v>
      </c>
      <c r="T24">
        <v>-9.5</v>
      </c>
      <c r="U24">
        <v>-20</v>
      </c>
      <c r="V24" t="s">
        <v>76</v>
      </c>
      <c r="W24" t="s">
        <v>75</v>
      </c>
      <c r="X24" t="s">
        <v>67</v>
      </c>
    </row>
    <row r="25" spans="1:24">
      <c r="A25" t="s">
        <v>49</v>
      </c>
      <c r="B25" t="s">
        <v>59</v>
      </c>
      <c r="C25">
        <v>5.15</v>
      </c>
      <c r="D25">
        <f t="shared" si="2"/>
        <v>51.5</v>
      </c>
      <c r="E25">
        <v>2.2999999999999998</v>
      </c>
      <c r="F25">
        <f t="shared" si="3"/>
        <v>46</v>
      </c>
      <c r="I25" s="9"/>
      <c r="J25" s="9"/>
      <c r="K25" s="9"/>
      <c r="L25" s="7"/>
      <c r="M25" s="7"/>
      <c r="N25" s="7"/>
      <c r="O25" s="7"/>
      <c r="P25" s="7"/>
      <c r="Q25" s="7"/>
      <c r="S25" t="s">
        <v>49</v>
      </c>
      <c r="T25">
        <v>51.5</v>
      </c>
      <c r="U25">
        <v>46</v>
      </c>
      <c r="V25" t="s">
        <v>76</v>
      </c>
      <c r="W25" t="s">
        <v>76</v>
      </c>
      <c r="X25" t="s">
        <v>59</v>
      </c>
    </row>
    <row r="26" spans="1:24">
      <c r="A26" t="s">
        <v>49</v>
      </c>
      <c r="B26" t="s">
        <v>60</v>
      </c>
      <c r="C26">
        <v>6.85</v>
      </c>
      <c r="D26">
        <f t="shared" si="2"/>
        <v>68.5</v>
      </c>
      <c r="E26">
        <v>10.5</v>
      </c>
      <c r="F26">
        <f t="shared" si="3"/>
        <v>210</v>
      </c>
      <c r="I26" s="1"/>
      <c r="J26" s="1"/>
      <c r="K26" s="1"/>
      <c r="L26" s="7"/>
      <c r="M26" s="7"/>
      <c r="N26" s="7"/>
      <c r="O26" s="7"/>
      <c r="P26" s="7"/>
      <c r="Q26" s="7"/>
      <c r="S26" t="s">
        <v>49</v>
      </c>
      <c r="T26">
        <v>68.5</v>
      </c>
      <c r="U26">
        <v>210</v>
      </c>
      <c r="V26" t="s">
        <v>76</v>
      </c>
      <c r="W26" t="s">
        <v>76</v>
      </c>
      <c r="X26" t="s">
        <v>60</v>
      </c>
    </row>
    <row r="27" spans="1:24">
      <c r="A27" t="s">
        <v>49</v>
      </c>
      <c r="B27" t="s">
        <v>61</v>
      </c>
      <c r="C27">
        <v>8</v>
      </c>
      <c r="D27">
        <f t="shared" si="2"/>
        <v>80</v>
      </c>
      <c r="E27">
        <v>13.4</v>
      </c>
      <c r="F27">
        <f t="shared" si="3"/>
        <v>268</v>
      </c>
      <c r="I27" s="1"/>
      <c r="J27" s="1"/>
      <c r="K27" s="1"/>
      <c r="L27" s="7"/>
      <c r="M27" s="7"/>
      <c r="N27" s="7"/>
      <c r="O27" s="7"/>
      <c r="P27" s="7"/>
      <c r="Q27" s="7"/>
      <c r="S27" t="s">
        <v>49</v>
      </c>
      <c r="T27">
        <v>80</v>
      </c>
      <c r="U27">
        <v>268</v>
      </c>
      <c r="V27" t="s">
        <v>76</v>
      </c>
      <c r="W27" t="s">
        <v>76</v>
      </c>
      <c r="X27" t="s">
        <v>61</v>
      </c>
    </row>
    <row r="28" spans="1:24">
      <c r="A28" t="s">
        <v>49</v>
      </c>
      <c r="B28" t="s">
        <v>62</v>
      </c>
      <c r="C28">
        <v>9.35</v>
      </c>
      <c r="D28">
        <f t="shared" si="2"/>
        <v>93.5</v>
      </c>
      <c r="E28">
        <v>10.65</v>
      </c>
      <c r="F28">
        <f t="shared" si="3"/>
        <v>213</v>
      </c>
      <c r="I28" s="1"/>
      <c r="J28" s="1"/>
      <c r="K28" s="1"/>
      <c r="L28" s="7"/>
      <c r="M28" s="7"/>
      <c r="N28" s="7"/>
      <c r="O28" s="7"/>
      <c r="P28" s="7"/>
      <c r="Q28" s="7"/>
      <c r="S28" t="s">
        <v>49</v>
      </c>
      <c r="T28">
        <v>93.5</v>
      </c>
      <c r="U28">
        <v>213</v>
      </c>
      <c r="V28" t="s">
        <v>76</v>
      </c>
      <c r="W28" t="s">
        <v>76</v>
      </c>
      <c r="X28" t="s">
        <v>62</v>
      </c>
    </row>
    <row r="29" spans="1:24">
      <c r="A29" t="s">
        <v>49</v>
      </c>
      <c r="B29" t="s">
        <v>72</v>
      </c>
      <c r="C29">
        <v>-5.6</v>
      </c>
      <c r="D29">
        <f t="shared" si="2"/>
        <v>-55.999999999999993</v>
      </c>
      <c r="E29">
        <v>-1.5</v>
      </c>
      <c r="F29">
        <f t="shared" si="3"/>
        <v>-30</v>
      </c>
      <c r="I29" s="1"/>
      <c r="J29" s="1"/>
      <c r="K29" s="1"/>
      <c r="L29" s="7"/>
      <c r="M29" s="7"/>
      <c r="N29" s="7"/>
      <c r="O29" s="7"/>
      <c r="P29" s="7"/>
      <c r="Q29" s="7"/>
      <c r="S29" t="s">
        <v>49</v>
      </c>
      <c r="T29">
        <v>-56</v>
      </c>
      <c r="U29">
        <v>-30</v>
      </c>
      <c r="V29" t="s">
        <v>76</v>
      </c>
      <c r="W29" t="s">
        <v>75</v>
      </c>
      <c r="X29" t="s">
        <v>72</v>
      </c>
    </row>
    <row r="30" spans="1:24">
      <c r="I30" s="1"/>
      <c r="J30" s="1"/>
      <c r="K30" s="1"/>
      <c r="L30" s="7"/>
      <c r="M30" s="7"/>
      <c r="N30" s="7"/>
      <c r="O30" s="7"/>
      <c r="P30" s="7"/>
      <c r="Q30" s="7"/>
      <c r="R30" s="7"/>
    </row>
    <row r="31" spans="1:24">
      <c r="I31" s="1"/>
      <c r="J31" s="1"/>
      <c r="K31" s="1"/>
      <c r="L31" s="7"/>
      <c r="M31" s="7"/>
      <c r="N31" s="7"/>
      <c r="O31" s="7"/>
      <c r="P31" s="7"/>
      <c r="Q31" s="7"/>
      <c r="R31" s="7"/>
    </row>
    <row r="32" spans="1:24">
      <c r="A32" t="s">
        <v>68</v>
      </c>
      <c r="J32" s="1"/>
      <c r="K32" s="1"/>
      <c r="L32" s="7"/>
      <c r="M32" s="7"/>
      <c r="N32" s="7"/>
      <c r="O32" s="7"/>
      <c r="P32" s="7"/>
      <c r="Q32" s="7"/>
      <c r="R32" s="7"/>
    </row>
    <row r="33" spans="1:18" ht="13.5" thickBot="1">
      <c r="J33" s="1"/>
      <c r="K33" s="1"/>
      <c r="N33" s="7"/>
      <c r="O33" s="7"/>
      <c r="P33" s="7"/>
      <c r="Q33" s="7"/>
      <c r="R33" s="7"/>
    </row>
    <row r="34" spans="1:18">
      <c r="A34" s="4" t="s">
        <v>25</v>
      </c>
      <c r="B34" s="4"/>
      <c r="J34" s="1"/>
      <c r="L34" s="7" t="s">
        <v>71</v>
      </c>
      <c r="M34" s="7"/>
      <c r="N34" s="7"/>
      <c r="O34" s="7"/>
      <c r="P34" s="7"/>
      <c r="Q34" s="7"/>
      <c r="R34" s="7"/>
    </row>
    <row r="35" spans="1:18">
      <c r="A35" s="1" t="s">
        <v>26</v>
      </c>
      <c r="B35" s="1">
        <v>1.712441625218139E-2</v>
      </c>
      <c r="J35" s="1"/>
      <c r="K35" s="1"/>
      <c r="L35" s="7" t="s">
        <v>69</v>
      </c>
      <c r="M35" s="1" t="s">
        <v>70</v>
      </c>
      <c r="N35" s="7"/>
      <c r="O35" s="7"/>
      <c r="P35" s="7"/>
      <c r="Q35" s="7"/>
      <c r="R35" s="7"/>
    </row>
    <row r="36" spans="1:18">
      <c r="A36" s="1" t="s">
        <v>27</v>
      </c>
      <c r="B36" s="1">
        <v>2.932456319779741E-4</v>
      </c>
      <c r="J36" s="1"/>
      <c r="K36" s="1"/>
      <c r="L36" s="7">
        <v>-100</v>
      </c>
      <c r="M36" s="7">
        <f>$B$48+$B$49*L36</f>
        <v>-32.061742398792184</v>
      </c>
      <c r="N36" s="7"/>
      <c r="O36" s="7"/>
      <c r="P36" s="7"/>
      <c r="Q36" s="7"/>
      <c r="R36" s="7"/>
    </row>
    <row r="37" spans="1:18">
      <c r="A37" s="1" t="s">
        <v>28</v>
      </c>
      <c r="B37" s="1">
        <v>-6.6353871325890157E-2</v>
      </c>
      <c r="J37" s="1"/>
      <c r="K37" s="1"/>
      <c r="L37" s="7">
        <v>-50</v>
      </c>
      <c r="M37" s="7">
        <f>$B$48+$B$49*L37</f>
        <v>-31.213584750552329</v>
      </c>
      <c r="N37" s="7"/>
      <c r="O37" s="7"/>
      <c r="P37" s="7"/>
      <c r="Q37" s="7"/>
      <c r="R37" s="7"/>
    </row>
    <row r="38" spans="1:18">
      <c r="A38" s="1" t="s">
        <v>29</v>
      </c>
      <c r="B38" s="1">
        <v>44.121329522167912</v>
      </c>
      <c r="J38" s="1"/>
      <c r="K38" s="1"/>
      <c r="L38" s="7">
        <v>0</v>
      </c>
      <c r="M38" s="7">
        <f>$B$48+$B$49*L38</f>
        <v>-30.365427102312477</v>
      </c>
      <c r="N38" s="7"/>
      <c r="O38" s="7"/>
      <c r="P38" s="7"/>
      <c r="Q38" s="7"/>
      <c r="R38" s="7"/>
    </row>
    <row r="39" spans="1:18" ht="13.5" thickBot="1">
      <c r="A39" s="2" t="s">
        <v>30</v>
      </c>
      <c r="B39" s="2">
        <v>17</v>
      </c>
      <c r="J39" s="1"/>
      <c r="K39" s="1"/>
      <c r="L39" s="10">
        <v>50</v>
      </c>
      <c r="M39" s="7">
        <f>$B$48+$B$49*L39</f>
        <v>-29.517269454072625</v>
      </c>
      <c r="N39" s="7"/>
      <c r="O39" s="7"/>
      <c r="P39" s="7"/>
      <c r="Q39" s="7"/>
      <c r="R39" s="7"/>
    </row>
    <row r="40" spans="1:18">
      <c r="J40" s="1"/>
      <c r="K40" s="1"/>
      <c r="L40" s="10">
        <v>100</v>
      </c>
      <c r="M40" s="7">
        <f>$B$48+$B$49*L40</f>
        <v>-28.66911180583277</v>
      </c>
      <c r="N40" s="7"/>
      <c r="O40" s="7"/>
      <c r="P40" s="7"/>
      <c r="Q40" s="7"/>
      <c r="R40" s="7"/>
    </row>
    <row r="41" spans="1:18" ht="13.5" thickBot="1">
      <c r="A41" t="s">
        <v>31</v>
      </c>
      <c r="J41" s="1"/>
      <c r="K41" s="1"/>
      <c r="L41" s="7"/>
      <c r="M41" s="7"/>
      <c r="N41" s="7"/>
      <c r="O41" s="7"/>
      <c r="P41" s="7"/>
      <c r="Q41" s="7"/>
      <c r="R41" s="7"/>
    </row>
    <row r="42" spans="1:18">
      <c r="A42" s="3"/>
      <c r="B42" s="3" t="s">
        <v>36</v>
      </c>
      <c r="C42" s="3" t="s">
        <v>37</v>
      </c>
      <c r="D42" s="3" t="s">
        <v>38</v>
      </c>
      <c r="E42" s="3" t="s">
        <v>39</v>
      </c>
      <c r="F42" s="3" t="s">
        <v>40</v>
      </c>
      <c r="J42" s="1"/>
      <c r="K42" s="1"/>
      <c r="L42" s="7"/>
      <c r="M42" s="7"/>
      <c r="N42" s="7"/>
      <c r="O42" s="7"/>
      <c r="P42" s="7"/>
      <c r="Q42" s="7"/>
      <c r="R42" s="7"/>
    </row>
    <row r="43" spans="1:18">
      <c r="A43" s="1" t="s">
        <v>32</v>
      </c>
      <c r="B43" s="1">
        <v>1</v>
      </c>
      <c r="C43" s="1">
        <v>8.5653944147015864</v>
      </c>
      <c r="D43" s="1">
        <v>8.5653944147015864</v>
      </c>
      <c r="E43" s="1">
        <v>4.3999747530467552E-3</v>
      </c>
      <c r="F43" s="1">
        <v>0.94798930356847011</v>
      </c>
      <c r="J43" s="7"/>
      <c r="K43" s="7"/>
      <c r="L43" s="7"/>
      <c r="M43" s="7"/>
      <c r="N43" s="7"/>
      <c r="O43" s="7"/>
      <c r="P43" s="7"/>
      <c r="Q43" s="7"/>
      <c r="R43" s="7"/>
    </row>
    <row r="44" spans="1:18">
      <c r="A44" s="1" t="s">
        <v>33</v>
      </c>
      <c r="B44" s="1">
        <v>15</v>
      </c>
      <c r="C44" s="1">
        <v>29200.375782055882</v>
      </c>
      <c r="D44" s="1">
        <v>1946.6917188037255</v>
      </c>
      <c r="E44" s="1"/>
      <c r="F44" s="1"/>
      <c r="J44" s="7"/>
      <c r="K44" s="7"/>
      <c r="L44" s="7"/>
      <c r="M44" s="7"/>
      <c r="N44" s="7"/>
      <c r="O44" s="7"/>
      <c r="P44" s="7"/>
      <c r="Q44" s="7"/>
      <c r="R44" s="7"/>
    </row>
    <row r="45" spans="1:18" ht="13.5" thickBot="1">
      <c r="A45" s="2" t="s">
        <v>34</v>
      </c>
      <c r="B45" s="2">
        <v>16</v>
      </c>
      <c r="C45" s="2">
        <v>29208.941176470584</v>
      </c>
      <c r="D45" s="2"/>
      <c r="E45" s="2"/>
      <c r="F45" s="2"/>
      <c r="J45" s="7"/>
      <c r="K45" s="7"/>
      <c r="L45" s="7"/>
      <c r="M45" s="7"/>
      <c r="N45" s="7"/>
      <c r="O45" s="7"/>
      <c r="P45" s="7"/>
      <c r="Q45" s="7"/>
      <c r="R45" s="7"/>
    </row>
    <row r="46" spans="1:18" ht="13.5" thickBot="1">
      <c r="J46" s="7"/>
      <c r="K46" s="7"/>
      <c r="L46" s="7"/>
      <c r="M46" s="7"/>
      <c r="N46" s="7"/>
      <c r="O46" s="7"/>
      <c r="P46" s="7"/>
      <c r="Q46" s="7"/>
      <c r="R46" s="7"/>
    </row>
    <row r="47" spans="1:18">
      <c r="A47" s="3"/>
      <c r="B47" s="3" t="s">
        <v>41</v>
      </c>
      <c r="C47" s="3" t="s">
        <v>29</v>
      </c>
      <c r="D47" s="3" t="s">
        <v>42</v>
      </c>
      <c r="E47" s="3" t="s">
        <v>43</v>
      </c>
      <c r="F47" s="3" t="s">
        <v>44</v>
      </c>
      <c r="G47" s="3" t="s">
        <v>45</v>
      </c>
      <c r="H47" s="3" t="s">
        <v>46</v>
      </c>
      <c r="I47" s="3" t="s">
        <v>47</v>
      </c>
      <c r="J47" s="7"/>
      <c r="K47" s="7"/>
      <c r="L47" s="7"/>
      <c r="M47" s="7"/>
      <c r="N47" s="7"/>
      <c r="O47" s="7"/>
      <c r="P47" s="7"/>
      <c r="Q47" s="7"/>
      <c r="R47" s="7"/>
    </row>
    <row r="48" spans="1:18">
      <c r="A48" s="1" t="s">
        <v>35</v>
      </c>
      <c r="B48" s="1">
        <v>-30.365427102312477</v>
      </c>
      <c r="C48" s="1">
        <v>13.778597191381079</v>
      </c>
      <c r="D48" s="1">
        <v>-2.2038112211674896</v>
      </c>
      <c r="E48" s="1">
        <v>4.3577374694395724E-2</v>
      </c>
      <c r="F48" s="1">
        <v>-59.733811688147661</v>
      </c>
      <c r="G48" s="1">
        <v>-0.99704251647729336</v>
      </c>
      <c r="H48" s="1">
        <v>-59.733811688147661</v>
      </c>
      <c r="I48" s="1">
        <v>-0.99704251647729336</v>
      </c>
      <c r="J48" s="7"/>
      <c r="K48" s="7"/>
      <c r="L48" s="7"/>
      <c r="M48" s="7"/>
      <c r="N48" s="7"/>
      <c r="O48" s="7"/>
      <c r="P48" s="7"/>
      <c r="Q48" s="7"/>
      <c r="R48" s="7"/>
    </row>
    <row r="49" spans="1:18" ht="13.5" thickBot="1">
      <c r="A49" s="2" t="s">
        <v>48</v>
      </c>
      <c r="B49" s="2">
        <v>1.6963152964797064E-2</v>
      </c>
      <c r="C49" s="2">
        <v>0.25572988661773444</v>
      </c>
      <c r="D49" s="2">
        <v>6.6332305500739611E-2</v>
      </c>
      <c r="E49" s="2">
        <v>0.94798930356848976</v>
      </c>
      <c r="F49" s="2">
        <v>-0.52811219512503693</v>
      </c>
      <c r="G49" s="2">
        <v>0.56203850105463116</v>
      </c>
      <c r="H49" s="2">
        <v>-0.52811219512503693</v>
      </c>
      <c r="I49" s="2">
        <v>0.56203850105463116</v>
      </c>
      <c r="J49" s="7"/>
      <c r="K49" s="7"/>
      <c r="L49" s="7"/>
      <c r="M49" s="7"/>
      <c r="N49" s="7"/>
      <c r="O49" s="7"/>
      <c r="P49" s="7"/>
      <c r="Q49" s="7"/>
      <c r="R49" s="7"/>
    </row>
    <row r="50" spans="1:18">
      <c r="A50" s="1"/>
      <c r="B50" s="1"/>
      <c r="C50" s="1"/>
      <c r="D50" s="1"/>
      <c r="E50" s="1"/>
      <c r="F50" s="1"/>
      <c r="G50" s="1"/>
      <c r="H50" s="1"/>
      <c r="I50" s="1"/>
      <c r="J50" s="7"/>
      <c r="K50" s="7"/>
      <c r="L50" s="7"/>
      <c r="M50" s="7"/>
      <c r="N50" s="7"/>
      <c r="O50" s="7"/>
      <c r="P50" s="7"/>
      <c r="Q50" s="7"/>
      <c r="R50" s="7"/>
    </row>
    <row r="51" spans="1:18">
      <c r="J51" s="7"/>
      <c r="K51" s="7"/>
      <c r="L51" s="7"/>
      <c r="M51" s="7"/>
      <c r="N51" s="7"/>
      <c r="O51" s="7"/>
      <c r="P51" s="7"/>
      <c r="Q51" s="7"/>
      <c r="R51" s="7"/>
    </row>
    <row r="52" spans="1:18">
      <c r="A52" t="s">
        <v>24</v>
      </c>
      <c r="J52" s="7"/>
      <c r="K52" s="7"/>
      <c r="L52" s="7"/>
      <c r="M52" s="7"/>
      <c r="N52" s="7"/>
      <c r="O52" s="7"/>
      <c r="P52" s="7"/>
      <c r="Q52" s="7"/>
      <c r="R52" s="7"/>
    </row>
    <row r="53" spans="1:18" ht="13.5" thickBot="1">
      <c r="J53" s="7"/>
      <c r="K53" s="7"/>
      <c r="L53" s="7"/>
      <c r="M53" s="7"/>
      <c r="N53" s="7"/>
      <c r="O53" s="7"/>
      <c r="P53" s="7"/>
      <c r="Q53" s="7"/>
      <c r="R53" s="7"/>
    </row>
    <row r="54" spans="1:18">
      <c r="A54" s="4" t="s">
        <v>25</v>
      </c>
      <c r="B54" s="4"/>
      <c r="J54" s="7"/>
      <c r="K54" s="7"/>
      <c r="L54" s="7" t="s">
        <v>71</v>
      </c>
      <c r="M54" s="7"/>
      <c r="N54" s="7"/>
      <c r="O54" s="7"/>
      <c r="P54" s="7"/>
      <c r="Q54" s="7"/>
      <c r="R54" s="7"/>
    </row>
    <row r="55" spans="1:18">
      <c r="A55" s="1" t="s">
        <v>26</v>
      </c>
      <c r="B55" s="1">
        <v>0.63371814130791104</v>
      </c>
      <c r="J55" s="7"/>
      <c r="K55" s="7"/>
      <c r="L55" s="7" t="s">
        <v>69</v>
      </c>
      <c r="M55" s="1" t="s">
        <v>70</v>
      </c>
      <c r="N55" s="7"/>
      <c r="O55" s="7"/>
      <c r="P55" s="7"/>
      <c r="Q55" s="7"/>
      <c r="R55" s="7"/>
    </row>
    <row r="56" spans="1:18">
      <c r="A56" s="1" t="s">
        <v>27</v>
      </c>
      <c r="B56" s="1">
        <v>0.40159868262275356</v>
      </c>
      <c r="L56" s="7">
        <v>-50</v>
      </c>
      <c r="M56" s="7">
        <f>$B$68+$B$69*L56</f>
        <v>-27.777063097770849</v>
      </c>
    </row>
    <row r="57" spans="1:18">
      <c r="A57" s="1" t="s">
        <v>28</v>
      </c>
      <c r="B57" s="1">
        <v>0.33510964735861509</v>
      </c>
      <c r="L57" s="7">
        <v>0</v>
      </c>
      <c r="M57" s="7">
        <f>$B$68+$B$69*L57</f>
        <v>33.098702639487762</v>
      </c>
    </row>
    <row r="58" spans="1:18">
      <c r="A58" s="1" t="s">
        <v>29</v>
      </c>
      <c r="B58" s="1">
        <v>87.464823897503209</v>
      </c>
      <c r="L58" s="7">
        <v>50</v>
      </c>
      <c r="M58" s="7">
        <f>$B$68+$B$69*L58</f>
        <v>93.974468376746373</v>
      </c>
    </row>
    <row r="59" spans="1:18" ht="13.5" thickBot="1">
      <c r="A59" s="2" t="s">
        <v>30</v>
      </c>
      <c r="B59" s="2">
        <v>11</v>
      </c>
      <c r="L59" s="10">
        <v>100</v>
      </c>
      <c r="M59" s="7">
        <f>$B$68+$B$69*L59</f>
        <v>154.85023411400499</v>
      </c>
    </row>
    <row r="60" spans="1:18">
      <c r="L60" s="10">
        <v>125</v>
      </c>
      <c r="M60" s="7">
        <f>$B$68+$B$69*L60</f>
        <v>185.28811698263428</v>
      </c>
    </row>
    <row r="61" spans="1:18" ht="13.5" thickBot="1">
      <c r="A61" t="s">
        <v>31</v>
      </c>
    </row>
    <row r="62" spans="1:18">
      <c r="A62" s="3"/>
      <c r="B62" s="3" t="s">
        <v>36</v>
      </c>
      <c r="C62" s="3" t="s">
        <v>37</v>
      </c>
      <c r="D62" s="3" t="s">
        <v>38</v>
      </c>
      <c r="E62" s="3" t="s">
        <v>39</v>
      </c>
      <c r="F62" s="3" t="s">
        <v>40</v>
      </c>
    </row>
    <row r="63" spans="1:18">
      <c r="A63" s="1" t="s">
        <v>32</v>
      </c>
      <c r="B63" s="1">
        <v>1</v>
      </c>
      <c r="C63" s="1">
        <v>46207.141225208776</v>
      </c>
      <c r="D63" s="1">
        <v>46207.141225208776</v>
      </c>
      <c r="E63" s="1">
        <v>6.040073841157982</v>
      </c>
      <c r="F63" s="1">
        <v>3.6297949207244114E-2</v>
      </c>
    </row>
    <row r="64" spans="1:18">
      <c r="A64" s="1" t="s">
        <v>33</v>
      </c>
      <c r="B64" s="1">
        <v>9</v>
      </c>
      <c r="C64" s="1">
        <v>68850.858774791224</v>
      </c>
      <c r="D64" s="1">
        <v>7650.0954194212472</v>
      </c>
      <c r="E64" s="1"/>
      <c r="F64" s="1"/>
    </row>
    <row r="65" spans="1:9" ht="13.5" thickBot="1">
      <c r="A65" s="2" t="s">
        <v>34</v>
      </c>
      <c r="B65" s="2">
        <v>10</v>
      </c>
      <c r="C65" s="2">
        <v>115058</v>
      </c>
      <c r="D65" s="2"/>
      <c r="E65" s="2"/>
      <c r="F65" s="2"/>
    </row>
    <row r="66" spans="1:9" ht="13.5" thickBot="1"/>
    <row r="67" spans="1:9">
      <c r="A67" s="3"/>
      <c r="B67" s="3" t="s">
        <v>41</v>
      </c>
      <c r="C67" s="3" t="s">
        <v>29</v>
      </c>
      <c r="D67" s="3" t="s">
        <v>42</v>
      </c>
      <c r="E67" s="3" t="s">
        <v>43</v>
      </c>
      <c r="F67" s="3" t="s">
        <v>44</v>
      </c>
      <c r="G67" s="3" t="s">
        <v>45</v>
      </c>
      <c r="H67" s="3" t="s">
        <v>46</v>
      </c>
      <c r="I67" s="3" t="s">
        <v>47</v>
      </c>
    </row>
    <row r="68" spans="1:9">
      <c r="A68" s="1" t="s">
        <v>35</v>
      </c>
      <c r="B68" s="1">
        <v>33.098702639487762</v>
      </c>
      <c r="C68" s="1">
        <v>30.968612382805638</v>
      </c>
      <c r="D68" s="1">
        <v>1.0687822311943427</v>
      </c>
      <c r="E68" s="1">
        <v>0.31299439765984804</v>
      </c>
      <c r="F68" s="1">
        <v>-36.957165540979069</v>
      </c>
      <c r="G68" s="1">
        <v>103.15457081995459</v>
      </c>
      <c r="H68" s="1">
        <v>-36.957165540979069</v>
      </c>
      <c r="I68" s="1">
        <v>103.15457081995459</v>
      </c>
    </row>
    <row r="69" spans="1:9" ht="13.5" thickBot="1">
      <c r="A69" s="2" t="s">
        <v>48</v>
      </c>
      <c r="B69" s="2">
        <v>1.2175153147451723</v>
      </c>
      <c r="C69" s="2">
        <v>0.4953969275654157</v>
      </c>
      <c r="D69" s="2">
        <v>2.4576561682135241</v>
      </c>
      <c r="E69" s="2">
        <v>3.6297949207244121E-2</v>
      </c>
      <c r="F69" s="2">
        <v>9.6849608915867247E-2</v>
      </c>
      <c r="G69" s="2">
        <v>2.3381810205744773</v>
      </c>
      <c r="H69" s="2">
        <v>9.6849608915867247E-2</v>
      </c>
      <c r="I69" s="2">
        <v>2.3381810205744773</v>
      </c>
    </row>
  </sheetData>
  <phoneticPr fontId="4" type="noConversion"/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9"/>
  <sheetViews>
    <sheetView workbookViewId="0">
      <selection activeCell="Q57" sqref="Q57"/>
    </sheetView>
  </sheetViews>
  <sheetFormatPr defaultRowHeight="12.75"/>
  <cols>
    <col min="1" max="1" width="13" customWidth="1"/>
    <col min="15" max="15" width="13" customWidth="1"/>
  </cols>
  <sheetData>
    <row r="1" spans="1:19">
      <c r="C1" s="118" t="s">
        <v>56</v>
      </c>
      <c r="D1" s="118"/>
      <c r="E1" s="118" t="s">
        <v>57</v>
      </c>
      <c r="F1" s="118"/>
    </row>
    <row r="2" spans="1:19">
      <c r="A2" t="s">
        <v>1</v>
      </c>
      <c r="B2" t="s">
        <v>50</v>
      </c>
      <c r="C2" t="s">
        <v>2</v>
      </c>
      <c r="D2" t="s">
        <v>19</v>
      </c>
      <c r="E2" t="s">
        <v>2</v>
      </c>
      <c r="F2" t="s">
        <v>19</v>
      </c>
      <c r="O2" t="s">
        <v>1</v>
      </c>
      <c r="P2" t="s">
        <v>2</v>
      </c>
      <c r="Q2" t="s">
        <v>19</v>
      </c>
    </row>
    <row r="3" spans="1:19">
      <c r="A3" s="5" t="s">
        <v>49</v>
      </c>
      <c r="B3" t="s">
        <v>51</v>
      </c>
      <c r="C3" s="6">
        <v>4.6500000000000004</v>
      </c>
      <c r="D3" s="6">
        <v>2.8</v>
      </c>
      <c r="E3" s="6">
        <f t="shared" ref="E3:E24" si="0">0.5+C3*0.5/2</f>
        <v>1.6625000000000001</v>
      </c>
      <c r="F3" s="6">
        <f t="shared" ref="F3:F24" si="1">D3*0.5/2</f>
        <v>0.7</v>
      </c>
      <c r="O3" s="5" t="s">
        <v>55</v>
      </c>
      <c r="P3" s="6">
        <v>2.6425000000000001</v>
      </c>
      <c r="Q3" s="6">
        <v>1.825</v>
      </c>
      <c r="R3" s="6"/>
      <c r="S3" s="6"/>
    </row>
    <row r="4" spans="1:19">
      <c r="A4" s="5" t="s">
        <v>49</v>
      </c>
      <c r="B4" t="s">
        <v>51</v>
      </c>
      <c r="C4" s="6">
        <v>8.57</v>
      </c>
      <c r="D4" s="6">
        <v>7.3</v>
      </c>
      <c r="E4" s="6">
        <f t="shared" si="0"/>
        <v>2.6425000000000001</v>
      </c>
      <c r="F4" s="6">
        <f t="shared" si="1"/>
        <v>1.825</v>
      </c>
      <c r="O4" s="5" t="s">
        <v>55</v>
      </c>
      <c r="P4" s="6">
        <v>2.65</v>
      </c>
      <c r="Q4" s="6">
        <v>1.825</v>
      </c>
      <c r="R4" s="6"/>
      <c r="S4" s="6"/>
    </row>
    <row r="5" spans="1:19">
      <c r="A5" s="5" t="s">
        <v>49</v>
      </c>
      <c r="B5" t="s">
        <v>51</v>
      </c>
      <c r="C5" s="6">
        <v>8.6</v>
      </c>
      <c r="D5" s="6">
        <v>7.3</v>
      </c>
      <c r="E5" s="6">
        <f t="shared" si="0"/>
        <v>2.65</v>
      </c>
      <c r="F5" s="6">
        <f t="shared" si="1"/>
        <v>1.825</v>
      </c>
      <c r="O5" s="5" t="s">
        <v>55</v>
      </c>
      <c r="P5" s="6">
        <v>3.0249999999999999</v>
      </c>
      <c r="Q5" s="6">
        <v>1.9</v>
      </c>
      <c r="R5" s="6"/>
      <c r="S5" s="6"/>
    </row>
    <row r="6" spans="1:19">
      <c r="A6" s="5" t="s">
        <v>49</v>
      </c>
      <c r="B6" t="s">
        <v>51</v>
      </c>
      <c r="C6" s="6">
        <v>10.1</v>
      </c>
      <c r="D6" s="6">
        <v>7.6</v>
      </c>
      <c r="E6" s="6">
        <f t="shared" si="0"/>
        <v>3.0249999999999999</v>
      </c>
      <c r="F6" s="6">
        <f t="shared" si="1"/>
        <v>1.9</v>
      </c>
      <c r="O6" s="5" t="s">
        <v>55</v>
      </c>
      <c r="P6" s="6">
        <v>3.15</v>
      </c>
      <c r="Q6" s="6">
        <v>1.3875</v>
      </c>
      <c r="R6" s="6"/>
      <c r="S6" s="6"/>
    </row>
    <row r="7" spans="1:19">
      <c r="A7" s="5" t="s">
        <v>49</v>
      </c>
      <c r="B7" t="s">
        <v>51</v>
      </c>
      <c r="C7" s="6">
        <v>10.6</v>
      </c>
      <c r="D7" s="6">
        <v>5.55</v>
      </c>
      <c r="E7" s="6">
        <f t="shared" si="0"/>
        <v>3.15</v>
      </c>
      <c r="F7" s="6">
        <f t="shared" si="1"/>
        <v>1.3875</v>
      </c>
      <c r="O7" s="5" t="s">
        <v>55</v>
      </c>
      <c r="P7" s="6">
        <v>3.2</v>
      </c>
      <c r="Q7" s="6">
        <v>2.0874999999999999</v>
      </c>
      <c r="R7" s="6"/>
      <c r="S7" s="6"/>
    </row>
    <row r="8" spans="1:19">
      <c r="A8" s="5" t="s">
        <v>49</v>
      </c>
      <c r="B8" t="s">
        <v>51</v>
      </c>
      <c r="C8" s="6">
        <v>10.8</v>
      </c>
      <c r="D8" s="6">
        <v>8.35</v>
      </c>
      <c r="E8" s="6">
        <f t="shared" si="0"/>
        <v>3.2</v>
      </c>
      <c r="F8" s="6">
        <f t="shared" si="1"/>
        <v>2.0874999999999999</v>
      </c>
      <c r="O8" s="5" t="s">
        <v>55</v>
      </c>
      <c r="P8" s="6">
        <v>3.3</v>
      </c>
      <c r="Q8" s="6">
        <v>2.5</v>
      </c>
      <c r="R8" s="6"/>
      <c r="S8" s="6"/>
    </row>
    <row r="9" spans="1:19">
      <c r="A9" s="5" t="s">
        <v>49</v>
      </c>
      <c r="B9" t="s">
        <v>51</v>
      </c>
      <c r="C9" s="6">
        <v>11.2</v>
      </c>
      <c r="D9" s="6">
        <v>10</v>
      </c>
      <c r="E9" s="6">
        <f t="shared" si="0"/>
        <v>3.3</v>
      </c>
      <c r="F9" s="6">
        <f t="shared" si="1"/>
        <v>2.5</v>
      </c>
      <c r="O9" s="5" t="s">
        <v>55</v>
      </c>
      <c r="P9" s="6">
        <v>3.3125</v>
      </c>
      <c r="Q9" s="6">
        <v>1.8</v>
      </c>
      <c r="R9" s="6"/>
      <c r="S9" s="6"/>
    </row>
    <row r="10" spans="1:19">
      <c r="A10" s="5" t="s">
        <v>49</v>
      </c>
      <c r="B10" t="s">
        <v>51</v>
      </c>
      <c r="C10" s="6">
        <v>11.25</v>
      </c>
      <c r="D10" s="6">
        <v>7.2</v>
      </c>
      <c r="E10" s="6">
        <f t="shared" si="0"/>
        <v>3.3125</v>
      </c>
      <c r="F10" s="6">
        <f t="shared" si="1"/>
        <v>1.8</v>
      </c>
      <c r="O10" s="5" t="s">
        <v>55</v>
      </c>
      <c r="P10" s="6">
        <v>3.35</v>
      </c>
      <c r="Q10" s="6">
        <v>2.2124999999999999</v>
      </c>
      <c r="R10" s="6"/>
      <c r="S10" s="6"/>
    </row>
    <row r="11" spans="1:19">
      <c r="A11" s="5" t="s">
        <v>49</v>
      </c>
      <c r="B11" t="s">
        <v>51</v>
      </c>
      <c r="C11" s="6">
        <v>11.4</v>
      </c>
      <c r="D11" s="6">
        <v>8.85</v>
      </c>
      <c r="E11" s="6">
        <f t="shared" si="0"/>
        <v>3.35</v>
      </c>
      <c r="F11" s="6">
        <f t="shared" si="1"/>
        <v>2.2124999999999999</v>
      </c>
      <c r="O11" s="5" t="s">
        <v>55</v>
      </c>
      <c r="P11" s="6">
        <v>3.875</v>
      </c>
      <c r="Q11" s="6">
        <v>2.0125000000000002</v>
      </c>
      <c r="R11" s="6"/>
      <c r="S11" s="6"/>
    </row>
    <row r="12" spans="1:19">
      <c r="A12" s="5" t="s">
        <v>49</v>
      </c>
      <c r="B12" t="s">
        <v>51</v>
      </c>
      <c r="C12" s="6">
        <v>13.5</v>
      </c>
      <c r="D12" s="6">
        <v>8.0500000000000007</v>
      </c>
      <c r="E12" s="6">
        <f t="shared" si="0"/>
        <v>3.875</v>
      </c>
      <c r="F12" s="6">
        <f t="shared" si="1"/>
        <v>2.0125000000000002</v>
      </c>
      <c r="O12" s="5" t="s">
        <v>55</v>
      </c>
      <c r="P12" s="6">
        <v>3.9375</v>
      </c>
      <c r="Q12" s="6">
        <v>2.125</v>
      </c>
      <c r="R12" s="6"/>
      <c r="S12" s="6"/>
    </row>
    <row r="13" spans="1:19">
      <c r="A13" s="5" t="s">
        <v>49</v>
      </c>
      <c r="B13" t="s">
        <v>51</v>
      </c>
      <c r="C13" s="6">
        <v>13.75</v>
      </c>
      <c r="D13" s="6">
        <v>8.5</v>
      </c>
      <c r="E13" s="6">
        <f t="shared" si="0"/>
        <v>3.9375</v>
      </c>
      <c r="F13" s="6">
        <f t="shared" si="1"/>
        <v>2.125</v>
      </c>
      <c r="O13" s="5" t="s">
        <v>77</v>
      </c>
      <c r="P13" s="6">
        <v>2.6749999999999998</v>
      </c>
      <c r="Q13" s="6">
        <v>1.75</v>
      </c>
      <c r="R13" s="6"/>
      <c r="S13" s="6"/>
    </row>
    <row r="14" spans="1:19">
      <c r="A14" s="5" t="s">
        <v>49</v>
      </c>
      <c r="B14" t="s">
        <v>52</v>
      </c>
      <c r="C14" s="6">
        <v>3.2</v>
      </c>
      <c r="D14" s="6">
        <v>2.65</v>
      </c>
      <c r="E14" s="6">
        <f t="shared" si="0"/>
        <v>1.3</v>
      </c>
      <c r="F14" s="6">
        <f t="shared" si="1"/>
        <v>0.66249999999999998</v>
      </c>
      <c r="O14" s="5" t="s">
        <v>77</v>
      </c>
      <c r="P14" s="6">
        <v>2.7</v>
      </c>
      <c r="Q14" s="6">
        <v>1.925</v>
      </c>
    </row>
    <row r="15" spans="1:19">
      <c r="A15" s="5" t="s">
        <v>49</v>
      </c>
      <c r="B15" t="s">
        <v>52</v>
      </c>
      <c r="C15" s="6">
        <v>8.6999999999999993</v>
      </c>
      <c r="D15" s="6">
        <v>7</v>
      </c>
      <c r="E15" s="6">
        <f t="shared" si="0"/>
        <v>2.6749999999999998</v>
      </c>
      <c r="F15" s="6">
        <f t="shared" si="1"/>
        <v>1.75</v>
      </c>
      <c r="O15" s="5" t="s">
        <v>77</v>
      </c>
      <c r="P15" s="6">
        <v>2.9</v>
      </c>
      <c r="Q15" s="6">
        <v>1.625</v>
      </c>
    </row>
    <row r="16" spans="1:19">
      <c r="A16" s="5" t="s">
        <v>49</v>
      </c>
      <c r="B16" t="s">
        <v>52</v>
      </c>
      <c r="C16" s="6">
        <v>8.8000000000000007</v>
      </c>
      <c r="D16" s="6">
        <v>7.7</v>
      </c>
      <c r="E16" s="6">
        <f t="shared" si="0"/>
        <v>2.7</v>
      </c>
      <c r="F16" s="6">
        <f t="shared" si="1"/>
        <v>1.925</v>
      </c>
      <c r="O16" s="5" t="s">
        <v>77</v>
      </c>
      <c r="P16" s="6">
        <v>3.0125000000000002</v>
      </c>
      <c r="Q16" s="6">
        <v>1.925</v>
      </c>
    </row>
    <row r="17" spans="1:19">
      <c r="A17" s="5" t="s">
        <v>49</v>
      </c>
      <c r="B17" t="s">
        <v>52</v>
      </c>
      <c r="C17" s="6">
        <v>9.6</v>
      </c>
      <c r="D17" s="6">
        <v>6.5</v>
      </c>
      <c r="E17" s="6">
        <f t="shared" si="0"/>
        <v>2.9</v>
      </c>
      <c r="F17" s="6">
        <f t="shared" si="1"/>
        <v>1.625</v>
      </c>
      <c r="O17" s="5" t="s">
        <v>77</v>
      </c>
      <c r="P17" s="6">
        <v>3.0750000000000002</v>
      </c>
      <c r="Q17" s="6">
        <v>1.7250000000000001</v>
      </c>
    </row>
    <row r="18" spans="1:19">
      <c r="A18" s="5" t="s">
        <v>49</v>
      </c>
      <c r="B18" t="s">
        <v>52</v>
      </c>
      <c r="C18" s="6">
        <v>10.050000000000001</v>
      </c>
      <c r="D18" s="6">
        <v>7.7</v>
      </c>
      <c r="E18" s="6">
        <f t="shared" si="0"/>
        <v>3.0125000000000002</v>
      </c>
      <c r="F18" s="6">
        <f t="shared" si="1"/>
        <v>1.925</v>
      </c>
      <c r="O18" s="5" t="s">
        <v>77</v>
      </c>
      <c r="P18" s="6">
        <v>3.3250000000000002</v>
      </c>
      <c r="Q18" s="6">
        <v>1.8875</v>
      </c>
    </row>
    <row r="19" spans="1:19">
      <c r="A19" s="5" t="s">
        <v>49</v>
      </c>
      <c r="B19" t="s">
        <v>52</v>
      </c>
      <c r="C19" s="6">
        <v>10.3</v>
      </c>
      <c r="D19" s="6">
        <v>6.9</v>
      </c>
      <c r="E19" s="6">
        <f t="shared" si="0"/>
        <v>3.0750000000000002</v>
      </c>
      <c r="F19" s="6">
        <f t="shared" si="1"/>
        <v>1.7250000000000001</v>
      </c>
      <c r="O19" s="5" t="s">
        <v>77</v>
      </c>
      <c r="P19" s="6">
        <v>3.35</v>
      </c>
      <c r="Q19" s="6">
        <v>2.4624999999999999</v>
      </c>
    </row>
    <row r="20" spans="1:19">
      <c r="A20" s="5" t="s">
        <v>49</v>
      </c>
      <c r="B20" t="s">
        <v>52</v>
      </c>
      <c r="C20" s="6">
        <v>11.3</v>
      </c>
      <c r="D20" s="6">
        <v>7.55</v>
      </c>
      <c r="E20" s="6">
        <f t="shared" si="0"/>
        <v>3.3250000000000002</v>
      </c>
      <c r="F20" s="6">
        <f t="shared" si="1"/>
        <v>1.8875</v>
      </c>
      <c r="O20" s="5" t="s">
        <v>77</v>
      </c>
      <c r="P20" s="6">
        <v>3.5</v>
      </c>
      <c r="Q20" s="6">
        <v>1.5375000000000001</v>
      </c>
    </row>
    <row r="21" spans="1:19">
      <c r="A21" s="5" t="s">
        <v>49</v>
      </c>
      <c r="B21" t="s">
        <v>52</v>
      </c>
      <c r="C21" s="6">
        <v>11.4</v>
      </c>
      <c r="D21" s="6">
        <v>9.85</v>
      </c>
      <c r="E21" s="6">
        <f t="shared" si="0"/>
        <v>3.35</v>
      </c>
      <c r="F21" s="6">
        <f t="shared" si="1"/>
        <v>2.4624999999999999</v>
      </c>
      <c r="O21" s="5" t="s">
        <v>77</v>
      </c>
      <c r="P21" s="6">
        <v>3.6625000000000001</v>
      </c>
      <c r="Q21" s="6">
        <v>1.5249999999999999</v>
      </c>
    </row>
    <row r="22" spans="1:19">
      <c r="A22" s="5" t="s">
        <v>49</v>
      </c>
      <c r="B22" t="s">
        <v>52</v>
      </c>
      <c r="C22" s="6">
        <v>12</v>
      </c>
      <c r="D22" s="6">
        <v>6.15</v>
      </c>
      <c r="E22" s="6">
        <f t="shared" si="0"/>
        <v>3.5</v>
      </c>
      <c r="F22" s="6">
        <f t="shared" si="1"/>
        <v>1.5375000000000001</v>
      </c>
      <c r="O22" s="5" t="s">
        <v>77</v>
      </c>
      <c r="P22" s="6">
        <v>3.6749999999999998</v>
      </c>
      <c r="Q22" s="6">
        <v>1.55</v>
      </c>
    </row>
    <row r="23" spans="1:19">
      <c r="A23" s="5" t="s">
        <v>49</v>
      </c>
      <c r="B23" t="s">
        <v>52</v>
      </c>
      <c r="C23" s="6">
        <v>12.65</v>
      </c>
      <c r="D23" s="6">
        <v>6.1</v>
      </c>
      <c r="E23" s="6">
        <f t="shared" si="0"/>
        <v>3.6625000000000001</v>
      </c>
      <c r="F23" s="6">
        <f t="shared" si="1"/>
        <v>1.5249999999999999</v>
      </c>
      <c r="O23" s="5" t="s">
        <v>54</v>
      </c>
      <c r="P23" s="6">
        <v>2</v>
      </c>
      <c r="Q23" s="6">
        <v>2.0499999999999998</v>
      </c>
    </row>
    <row r="24" spans="1:19">
      <c r="A24" s="5" t="s">
        <v>49</v>
      </c>
      <c r="B24" t="s">
        <v>52</v>
      </c>
      <c r="C24" s="6">
        <v>12.7</v>
      </c>
      <c r="D24" s="6">
        <v>6.2</v>
      </c>
      <c r="E24" s="6">
        <f t="shared" si="0"/>
        <v>3.6749999999999998</v>
      </c>
      <c r="F24" s="6">
        <f t="shared" si="1"/>
        <v>1.55</v>
      </c>
      <c r="O24" s="5" t="s">
        <v>54</v>
      </c>
      <c r="P24" s="6">
        <v>2.125</v>
      </c>
      <c r="Q24" s="6">
        <v>2</v>
      </c>
    </row>
    <row r="25" spans="1:19">
      <c r="A25" s="5" t="s">
        <v>53</v>
      </c>
      <c r="B25" t="s">
        <v>51</v>
      </c>
      <c r="C25" s="6">
        <v>6</v>
      </c>
      <c r="D25" s="6">
        <v>8.1999999999999993</v>
      </c>
      <c r="E25" s="6">
        <f t="shared" ref="E25:E35" si="2">0.5+C25*0.5/2</f>
        <v>2</v>
      </c>
      <c r="F25" s="6">
        <f t="shared" ref="F25:F35" si="3">D25*0.5/2</f>
        <v>2.0499999999999998</v>
      </c>
      <c r="O25" s="5" t="s">
        <v>54</v>
      </c>
      <c r="P25" s="6">
        <v>2.4</v>
      </c>
      <c r="Q25" s="6">
        <v>1.575</v>
      </c>
      <c r="R25" s="6"/>
      <c r="S25" s="6"/>
    </row>
    <row r="26" spans="1:19">
      <c r="A26" s="5" t="s">
        <v>53</v>
      </c>
      <c r="B26" t="s">
        <v>51</v>
      </c>
      <c r="C26" s="6">
        <v>6.5</v>
      </c>
      <c r="D26" s="6">
        <v>8</v>
      </c>
      <c r="E26" s="6">
        <f t="shared" si="2"/>
        <v>2.125</v>
      </c>
      <c r="F26" s="6">
        <f t="shared" si="3"/>
        <v>2</v>
      </c>
      <c r="O26" s="5" t="s">
        <v>54</v>
      </c>
      <c r="P26" s="6">
        <v>2.5</v>
      </c>
      <c r="Q26" s="6">
        <v>2.0499999999999998</v>
      </c>
      <c r="R26" s="6"/>
      <c r="S26" s="6"/>
    </row>
    <row r="27" spans="1:19">
      <c r="A27" s="5" t="s">
        <v>53</v>
      </c>
      <c r="B27" t="s">
        <v>51</v>
      </c>
      <c r="C27" s="6">
        <v>7.6</v>
      </c>
      <c r="D27" s="6">
        <v>6.3</v>
      </c>
      <c r="E27" s="6">
        <f t="shared" si="2"/>
        <v>2.4</v>
      </c>
      <c r="F27" s="6">
        <f t="shared" si="3"/>
        <v>1.575</v>
      </c>
      <c r="O27" s="5" t="s">
        <v>54</v>
      </c>
      <c r="P27" s="6">
        <v>2.4750000000000001</v>
      </c>
      <c r="Q27" s="6">
        <v>2.3875000000000002</v>
      </c>
      <c r="R27" s="6"/>
      <c r="S27" s="6"/>
    </row>
    <row r="28" spans="1:19">
      <c r="A28" s="5" t="s">
        <v>53</v>
      </c>
      <c r="B28" t="s">
        <v>51</v>
      </c>
      <c r="C28" s="6">
        <v>8</v>
      </c>
      <c r="D28" s="6">
        <v>8.1999999999999993</v>
      </c>
      <c r="E28" s="6">
        <f t="shared" si="2"/>
        <v>2.5</v>
      </c>
      <c r="F28" s="6">
        <f t="shared" si="3"/>
        <v>2.0499999999999998</v>
      </c>
      <c r="O28" s="5" t="s">
        <v>54</v>
      </c>
      <c r="P28" s="6">
        <v>2.5750000000000002</v>
      </c>
      <c r="Q28" s="6">
        <v>1.6875</v>
      </c>
      <c r="R28" s="6"/>
      <c r="S28" s="6"/>
    </row>
    <row r="29" spans="1:19">
      <c r="A29" s="5" t="s">
        <v>53</v>
      </c>
      <c r="B29" t="s">
        <v>51</v>
      </c>
      <c r="C29" s="6">
        <v>7.9</v>
      </c>
      <c r="D29" s="6">
        <v>9.5500000000000007</v>
      </c>
      <c r="E29" s="6">
        <f t="shared" si="2"/>
        <v>2.4750000000000001</v>
      </c>
      <c r="F29" s="6">
        <f t="shared" si="3"/>
        <v>2.3875000000000002</v>
      </c>
      <c r="O29" s="5" t="s">
        <v>54</v>
      </c>
      <c r="P29" s="6">
        <v>2.7875000000000001</v>
      </c>
      <c r="Q29" s="6">
        <v>0.85</v>
      </c>
      <c r="R29" s="6"/>
      <c r="S29" s="6"/>
    </row>
    <row r="30" spans="1:19">
      <c r="A30" s="5" t="s">
        <v>53</v>
      </c>
      <c r="B30" t="s">
        <v>51</v>
      </c>
      <c r="C30" s="6">
        <v>8.3000000000000007</v>
      </c>
      <c r="D30" s="6">
        <v>6.75</v>
      </c>
      <c r="E30" s="6">
        <f t="shared" si="2"/>
        <v>2.5750000000000002</v>
      </c>
      <c r="F30" s="6">
        <f t="shared" si="3"/>
        <v>1.6875</v>
      </c>
      <c r="O30" s="5" t="s">
        <v>54</v>
      </c>
      <c r="P30" s="6">
        <v>2.75</v>
      </c>
      <c r="Q30" s="6">
        <v>1.85</v>
      </c>
      <c r="R30" s="6"/>
      <c r="S30" s="6"/>
    </row>
    <row r="31" spans="1:19">
      <c r="A31" s="5" t="s">
        <v>53</v>
      </c>
      <c r="B31" t="s">
        <v>51</v>
      </c>
      <c r="C31" s="6">
        <v>9.15</v>
      </c>
      <c r="D31" s="6">
        <v>3.4</v>
      </c>
      <c r="E31" s="6">
        <f t="shared" si="2"/>
        <v>2.7875000000000001</v>
      </c>
      <c r="F31" s="6">
        <f t="shared" si="3"/>
        <v>0.85</v>
      </c>
      <c r="O31" s="5" t="s">
        <v>54</v>
      </c>
      <c r="P31" s="6">
        <v>2.7625000000000002</v>
      </c>
      <c r="Q31" s="6">
        <v>2.125</v>
      </c>
      <c r="R31" s="6"/>
      <c r="S31" s="6"/>
    </row>
    <row r="32" spans="1:19">
      <c r="A32" s="5" t="s">
        <v>53</v>
      </c>
      <c r="B32" t="s">
        <v>51</v>
      </c>
      <c r="C32" s="6">
        <v>9</v>
      </c>
      <c r="D32" s="6">
        <v>7.4</v>
      </c>
      <c r="E32" s="6">
        <f t="shared" si="2"/>
        <v>2.75</v>
      </c>
      <c r="F32" s="6">
        <f t="shared" si="3"/>
        <v>1.85</v>
      </c>
      <c r="O32" s="5" t="s">
        <v>54</v>
      </c>
      <c r="P32" s="6">
        <v>2.875</v>
      </c>
      <c r="Q32" s="6">
        <v>2.2250000000000001</v>
      </c>
      <c r="R32" s="6"/>
      <c r="S32" s="6"/>
    </row>
    <row r="33" spans="1:19">
      <c r="A33" s="5" t="s">
        <v>53</v>
      </c>
      <c r="B33" t="s">
        <v>51</v>
      </c>
      <c r="C33" s="6">
        <v>9.0500000000000007</v>
      </c>
      <c r="D33" s="6">
        <v>8.5</v>
      </c>
      <c r="E33" s="6">
        <f t="shared" si="2"/>
        <v>2.7625000000000002</v>
      </c>
      <c r="F33" s="6">
        <f t="shared" si="3"/>
        <v>2.125</v>
      </c>
      <c r="O33" s="5" t="s">
        <v>54</v>
      </c>
      <c r="P33" s="6">
        <v>3.1</v>
      </c>
      <c r="Q33" s="6">
        <v>2.1749999999999998</v>
      </c>
      <c r="R33" s="6"/>
      <c r="S33" s="6"/>
    </row>
    <row r="34" spans="1:19">
      <c r="A34" s="5" t="s">
        <v>53</v>
      </c>
      <c r="B34" t="s">
        <v>51</v>
      </c>
      <c r="C34" s="6">
        <v>9.5</v>
      </c>
      <c r="D34" s="6">
        <v>8.9</v>
      </c>
      <c r="E34" s="6">
        <f t="shared" si="2"/>
        <v>2.875</v>
      </c>
      <c r="F34" s="6">
        <f t="shared" si="3"/>
        <v>2.2250000000000001</v>
      </c>
      <c r="O34" s="5" t="s">
        <v>54</v>
      </c>
      <c r="P34" s="6">
        <v>3.1625000000000001</v>
      </c>
      <c r="Q34" s="6">
        <v>2.3875000000000002</v>
      </c>
      <c r="R34" s="6"/>
      <c r="S34" s="6"/>
    </row>
    <row r="35" spans="1:19">
      <c r="A35" s="5" t="s">
        <v>53</v>
      </c>
      <c r="B35" t="s">
        <v>51</v>
      </c>
      <c r="C35" s="6">
        <v>10.4</v>
      </c>
      <c r="D35" s="6">
        <v>8.6999999999999993</v>
      </c>
      <c r="E35" s="6">
        <f t="shared" si="2"/>
        <v>3.1</v>
      </c>
      <c r="F35" s="6">
        <f t="shared" si="3"/>
        <v>2.1749999999999998</v>
      </c>
      <c r="O35" s="5" t="s">
        <v>54</v>
      </c>
      <c r="P35" s="6">
        <v>3.3125</v>
      </c>
      <c r="Q35" s="6">
        <v>1.6375</v>
      </c>
      <c r="R35" s="6"/>
      <c r="S35" s="6"/>
    </row>
    <row r="36" spans="1:19">
      <c r="A36" s="5" t="s">
        <v>53</v>
      </c>
      <c r="B36" t="s">
        <v>51</v>
      </c>
      <c r="C36" s="6">
        <v>10.65</v>
      </c>
      <c r="D36" s="6">
        <v>9.5500000000000007</v>
      </c>
      <c r="E36" s="6">
        <f t="shared" ref="E36:E41" si="4">0.5+C36*0.5/2</f>
        <v>3.1625000000000001</v>
      </c>
      <c r="F36" s="6">
        <f t="shared" ref="F36:F41" si="5">D36*0.5/2</f>
        <v>2.3875000000000002</v>
      </c>
      <c r="O36" s="5" t="s">
        <v>54</v>
      </c>
      <c r="P36" s="6">
        <v>3.3</v>
      </c>
      <c r="Q36" s="6">
        <v>2.0499999999999998</v>
      </c>
      <c r="R36" s="6"/>
      <c r="S36" s="6"/>
    </row>
    <row r="37" spans="1:19">
      <c r="A37" s="5" t="s">
        <v>53</v>
      </c>
      <c r="B37" t="s">
        <v>51</v>
      </c>
      <c r="C37" s="6">
        <v>11.25</v>
      </c>
      <c r="D37" s="6">
        <v>6.55</v>
      </c>
      <c r="E37" s="6">
        <f t="shared" si="4"/>
        <v>3.3125</v>
      </c>
      <c r="F37" s="6">
        <f t="shared" si="5"/>
        <v>1.6375</v>
      </c>
      <c r="O37" s="5" t="s">
        <v>54</v>
      </c>
      <c r="P37" s="6">
        <v>3.5375000000000001</v>
      </c>
      <c r="Q37" s="6">
        <v>0.92500000000000004</v>
      </c>
      <c r="R37" s="6"/>
      <c r="S37" s="6"/>
    </row>
    <row r="38" spans="1:19">
      <c r="A38" s="5" t="s">
        <v>53</v>
      </c>
      <c r="B38" t="s">
        <v>51</v>
      </c>
      <c r="C38" s="6">
        <v>11.2</v>
      </c>
      <c r="D38" s="6">
        <v>8.1999999999999993</v>
      </c>
      <c r="E38" s="6">
        <f t="shared" si="4"/>
        <v>3.3</v>
      </c>
      <c r="F38" s="6">
        <f t="shared" si="5"/>
        <v>2.0499999999999998</v>
      </c>
      <c r="O38" s="5" t="s">
        <v>54</v>
      </c>
      <c r="P38" s="6">
        <v>3.5375000000000001</v>
      </c>
      <c r="Q38" s="6">
        <v>1.675</v>
      </c>
      <c r="R38" s="6"/>
      <c r="S38" s="6"/>
    </row>
    <row r="39" spans="1:19">
      <c r="A39" s="5" t="s">
        <v>53</v>
      </c>
      <c r="B39" t="s">
        <v>51</v>
      </c>
      <c r="C39" s="6">
        <v>12.15</v>
      </c>
      <c r="D39" s="6">
        <v>3.7</v>
      </c>
      <c r="E39" s="6">
        <f t="shared" si="4"/>
        <v>3.5375000000000001</v>
      </c>
      <c r="F39" s="6">
        <f t="shared" si="5"/>
        <v>0.92500000000000004</v>
      </c>
      <c r="O39" s="5" t="s">
        <v>54</v>
      </c>
      <c r="P39" s="6">
        <v>3.875</v>
      </c>
      <c r="Q39" s="6">
        <v>1.8625</v>
      </c>
      <c r="R39" s="6"/>
      <c r="S39" s="6"/>
    </row>
    <row r="40" spans="1:19">
      <c r="A40" s="5" t="s">
        <v>53</v>
      </c>
      <c r="B40" t="s">
        <v>51</v>
      </c>
      <c r="C40" s="6">
        <v>12.15</v>
      </c>
      <c r="D40" s="6">
        <v>6.7</v>
      </c>
      <c r="E40" s="6">
        <f t="shared" si="4"/>
        <v>3.5375000000000001</v>
      </c>
      <c r="F40" s="6">
        <f t="shared" si="5"/>
        <v>1.675</v>
      </c>
      <c r="O40" s="5" t="s">
        <v>78</v>
      </c>
      <c r="P40" s="6">
        <v>2.3374999999999999</v>
      </c>
      <c r="Q40" s="6">
        <v>1.75</v>
      </c>
      <c r="R40" s="6"/>
      <c r="S40" s="6"/>
    </row>
    <row r="41" spans="1:19">
      <c r="A41" s="5" t="s">
        <v>53</v>
      </c>
      <c r="B41" t="s">
        <v>51</v>
      </c>
      <c r="C41" s="6">
        <v>13.5</v>
      </c>
      <c r="D41" s="6">
        <v>7.45</v>
      </c>
      <c r="E41" s="6">
        <f t="shared" si="4"/>
        <v>3.875</v>
      </c>
      <c r="F41" s="6">
        <f t="shared" si="5"/>
        <v>1.8625</v>
      </c>
      <c r="O41" s="5" t="s">
        <v>78</v>
      </c>
      <c r="P41" s="6">
        <v>2.4375</v>
      </c>
      <c r="Q41" s="6">
        <v>2.1</v>
      </c>
      <c r="R41" s="6"/>
      <c r="S41" s="6"/>
    </row>
    <row r="42" spans="1:19">
      <c r="A42" s="5" t="s">
        <v>53</v>
      </c>
      <c r="B42" t="s">
        <v>52</v>
      </c>
      <c r="C42" s="6">
        <v>7.35</v>
      </c>
      <c r="D42" s="6">
        <v>7</v>
      </c>
      <c r="E42" s="6">
        <f t="shared" ref="E42:E52" si="6">0.5+C42*0.5/2</f>
        <v>2.3374999999999999</v>
      </c>
      <c r="F42" s="6">
        <f t="shared" ref="F42:F52" si="7">D42*0.5/2</f>
        <v>1.75</v>
      </c>
      <c r="O42" s="5" t="s">
        <v>78</v>
      </c>
      <c r="P42" s="6">
        <v>2.375</v>
      </c>
      <c r="Q42" s="6">
        <v>2.3624999999999998</v>
      </c>
      <c r="R42" s="6"/>
      <c r="S42" s="6"/>
    </row>
    <row r="43" spans="1:19">
      <c r="A43" s="5" t="s">
        <v>53</v>
      </c>
      <c r="B43" t="s">
        <v>52</v>
      </c>
      <c r="C43" s="6">
        <v>7.75</v>
      </c>
      <c r="D43" s="6">
        <v>8.4</v>
      </c>
      <c r="E43" s="6">
        <f t="shared" si="6"/>
        <v>2.4375</v>
      </c>
      <c r="F43" s="6">
        <f t="shared" si="7"/>
        <v>2.1</v>
      </c>
      <c r="O43" s="5" t="s">
        <v>78</v>
      </c>
      <c r="P43" s="6">
        <v>2.6749999999999998</v>
      </c>
      <c r="Q43" s="6">
        <v>2.6749999999999998</v>
      </c>
      <c r="R43" s="6"/>
      <c r="S43" s="6"/>
    </row>
    <row r="44" spans="1:19">
      <c r="A44" s="5" t="s">
        <v>53</v>
      </c>
      <c r="B44" t="s">
        <v>52</v>
      </c>
      <c r="C44" s="6">
        <v>7.5</v>
      </c>
      <c r="D44" s="6">
        <v>9.4499999999999993</v>
      </c>
      <c r="E44" s="6">
        <f t="shared" si="6"/>
        <v>2.375</v>
      </c>
      <c r="F44" s="6">
        <f t="shared" si="7"/>
        <v>2.3624999999999998</v>
      </c>
      <c r="O44" s="5" t="s">
        <v>78</v>
      </c>
      <c r="P44" s="6">
        <v>2.6749999999999998</v>
      </c>
      <c r="Q44" s="6">
        <v>2.6749999999999998</v>
      </c>
      <c r="R44" s="6"/>
      <c r="S44" s="6"/>
    </row>
    <row r="45" spans="1:19">
      <c r="A45" s="5" t="s">
        <v>53</v>
      </c>
      <c r="B45" t="s">
        <v>52</v>
      </c>
      <c r="C45" s="6">
        <v>8.6999999999999993</v>
      </c>
      <c r="D45" s="6">
        <v>10.7</v>
      </c>
      <c r="E45" s="6">
        <f t="shared" si="6"/>
        <v>2.6749999999999998</v>
      </c>
      <c r="F45" s="6">
        <f t="shared" si="7"/>
        <v>2.6749999999999998</v>
      </c>
      <c r="O45" s="5" t="s">
        <v>78</v>
      </c>
      <c r="P45" s="6">
        <v>2.7250000000000001</v>
      </c>
      <c r="Q45" s="6">
        <v>2.0375000000000001</v>
      </c>
      <c r="R45" s="6"/>
      <c r="S45" s="6"/>
    </row>
    <row r="46" spans="1:19">
      <c r="A46" s="5" t="s">
        <v>53</v>
      </c>
      <c r="B46" t="s">
        <v>52</v>
      </c>
      <c r="C46" s="6">
        <v>8.6999999999999993</v>
      </c>
      <c r="D46" s="6">
        <v>10.7</v>
      </c>
      <c r="E46" s="6">
        <f t="shared" si="6"/>
        <v>2.6749999999999998</v>
      </c>
      <c r="F46" s="6">
        <f t="shared" si="7"/>
        <v>2.6749999999999998</v>
      </c>
      <c r="O46" s="5" t="s">
        <v>78</v>
      </c>
      <c r="P46" s="6">
        <v>2.875</v>
      </c>
      <c r="Q46" s="6">
        <v>1.575</v>
      </c>
      <c r="R46" s="6"/>
      <c r="S46" s="6"/>
    </row>
    <row r="47" spans="1:19">
      <c r="A47" s="5" t="s">
        <v>53</v>
      </c>
      <c r="B47" t="s">
        <v>52</v>
      </c>
      <c r="C47" s="6">
        <v>8.9</v>
      </c>
      <c r="D47" s="6">
        <v>8.15</v>
      </c>
      <c r="E47" s="6">
        <f t="shared" si="6"/>
        <v>2.7250000000000001</v>
      </c>
      <c r="F47" s="6">
        <f t="shared" si="7"/>
        <v>2.0375000000000001</v>
      </c>
      <c r="O47" s="5" t="s">
        <v>78</v>
      </c>
      <c r="P47" s="6">
        <v>3.0874999999999999</v>
      </c>
      <c r="Q47" s="6">
        <v>1.9375</v>
      </c>
      <c r="R47" s="6"/>
      <c r="S47" s="6"/>
    </row>
    <row r="48" spans="1:19">
      <c r="A48" s="5" t="s">
        <v>53</v>
      </c>
      <c r="B48" t="s">
        <v>52</v>
      </c>
      <c r="C48" s="6">
        <v>9.5</v>
      </c>
      <c r="D48" s="6">
        <v>6.3</v>
      </c>
      <c r="E48" s="6">
        <f t="shared" si="6"/>
        <v>2.875</v>
      </c>
      <c r="F48" s="6">
        <f t="shared" si="7"/>
        <v>1.575</v>
      </c>
      <c r="O48" s="5" t="s">
        <v>78</v>
      </c>
      <c r="P48" s="6">
        <v>3.0375000000000001</v>
      </c>
      <c r="Q48" s="6">
        <v>2.1749999999999998</v>
      </c>
      <c r="R48" s="6"/>
      <c r="S48" s="6"/>
    </row>
    <row r="49" spans="1:19">
      <c r="A49" s="5" t="s">
        <v>53</v>
      </c>
      <c r="B49" t="s">
        <v>52</v>
      </c>
      <c r="C49" s="6">
        <v>10.35</v>
      </c>
      <c r="D49" s="6">
        <v>7.75</v>
      </c>
      <c r="E49" s="6">
        <f t="shared" si="6"/>
        <v>3.0874999999999999</v>
      </c>
      <c r="F49" s="6">
        <f t="shared" si="7"/>
        <v>1.9375</v>
      </c>
      <c r="O49" s="5" t="s">
        <v>78</v>
      </c>
      <c r="P49" s="6">
        <v>3.0249999999999999</v>
      </c>
      <c r="Q49" s="6">
        <v>2.5249999999999999</v>
      </c>
      <c r="R49" s="6"/>
      <c r="S49" s="6"/>
    </row>
    <row r="50" spans="1:19">
      <c r="A50" s="5" t="s">
        <v>53</v>
      </c>
      <c r="B50" t="s">
        <v>52</v>
      </c>
      <c r="C50" s="6">
        <v>10.15</v>
      </c>
      <c r="D50" s="6">
        <v>8.6999999999999993</v>
      </c>
      <c r="E50" s="6">
        <f t="shared" si="6"/>
        <v>3.0375000000000001</v>
      </c>
      <c r="F50" s="6">
        <f t="shared" si="7"/>
        <v>2.1749999999999998</v>
      </c>
      <c r="O50" s="5" t="s">
        <v>78</v>
      </c>
      <c r="P50" s="6">
        <v>3.25</v>
      </c>
      <c r="Q50" s="6">
        <v>1.6</v>
      </c>
      <c r="R50" s="6"/>
      <c r="S50" s="6"/>
    </row>
    <row r="51" spans="1:19">
      <c r="A51" s="5" t="s">
        <v>53</v>
      </c>
      <c r="B51" t="s">
        <v>52</v>
      </c>
      <c r="C51" s="6">
        <v>10.1</v>
      </c>
      <c r="D51" s="6">
        <v>10.1</v>
      </c>
      <c r="E51" s="6">
        <f t="shared" si="6"/>
        <v>3.0249999999999999</v>
      </c>
      <c r="F51" s="6">
        <f t="shared" si="7"/>
        <v>2.5249999999999999</v>
      </c>
      <c r="O51" s="5" t="s">
        <v>78</v>
      </c>
      <c r="P51" s="6">
        <v>3.3624999999999998</v>
      </c>
      <c r="Q51" s="6">
        <v>2.1</v>
      </c>
      <c r="R51" s="6"/>
      <c r="S51" s="6"/>
    </row>
    <row r="52" spans="1:19">
      <c r="A52" s="5" t="s">
        <v>53</v>
      </c>
      <c r="B52" t="s">
        <v>52</v>
      </c>
      <c r="C52" s="6">
        <v>11</v>
      </c>
      <c r="D52" s="6">
        <v>6.4</v>
      </c>
      <c r="E52" s="6">
        <f t="shared" si="6"/>
        <v>3.25</v>
      </c>
      <c r="F52" s="6">
        <f t="shared" si="7"/>
        <v>1.6</v>
      </c>
      <c r="O52" s="5" t="s">
        <v>78</v>
      </c>
      <c r="P52" s="6">
        <v>3.3624999999999998</v>
      </c>
      <c r="Q52" s="6">
        <v>2.2749999999999999</v>
      </c>
      <c r="R52" s="6"/>
      <c r="S52" s="6"/>
    </row>
    <row r="53" spans="1:19">
      <c r="A53" s="5" t="s">
        <v>53</v>
      </c>
      <c r="B53" t="s">
        <v>52</v>
      </c>
      <c r="C53" s="6">
        <v>11.45</v>
      </c>
      <c r="D53" s="6">
        <v>8.4</v>
      </c>
      <c r="E53" s="6">
        <f t="shared" ref="E53:E59" si="8">0.5+C53*0.5/2</f>
        <v>3.3624999999999998</v>
      </c>
      <c r="F53" s="6">
        <f t="shared" ref="F53:F59" si="9">D53*0.5/2</f>
        <v>2.1</v>
      </c>
      <c r="O53" s="5" t="s">
        <v>78</v>
      </c>
      <c r="P53" s="6">
        <v>3.35</v>
      </c>
      <c r="Q53" s="6">
        <v>2.4375</v>
      </c>
      <c r="R53" s="6"/>
      <c r="S53" s="6"/>
    </row>
    <row r="54" spans="1:19">
      <c r="A54" s="5" t="s">
        <v>53</v>
      </c>
      <c r="B54" t="s">
        <v>52</v>
      </c>
      <c r="C54" s="6">
        <v>11.45</v>
      </c>
      <c r="D54" s="6">
        <v>9.1</v>
      </c>
      <c r="E54" s="6">
        <f t="shared" si="8"/>
        <v>3.3624999999999998</v>
      </c>
      <c r="F54" s="6">
        <f t="shared" si="9"/>
        <v>2.2749999999999999</v>
      </c>
      <c r="O54" s="5" t="s">
        <v>78</v>
      </c>
      <c r="P54" s="6">
        <v>3.3250000000000002</v>
      </c>
      <c r="Q54" s="6">
        <v>2.4750000000000001</v>
      </c>
      <c r="R54" s="6"/>
      <c r="S54" s="6"/>
    </row>
    <row r="55" spans="1:19">
      <c r="A55" s="5" t="s">
        <v>53</v>
      </c>
      <c r="B55" t="s">
        <v>52</v>
      </c>
      <c r="C55" s="6">
        <v>11.4</v>
      </c>
      <c r="D55" s="6">
        <v>9.75</v>
      </c>
      <c r="E55" s="6">
        <f t="shared" si="8"/>
        <v>3.35</v>
      </c>
      <c r="F55" s="6">
        <f t="shared" si="9"/>
        <v>2.4375</v>
      </c>
      <c r="O55" s="5" t="s">
        <v>78</v>
      </c>
      <c r="P55" s="6">
        <v>3.8</v>
      </c>
      <c r="Q55" s="6">
        <v>1.3</v>
      </c>
      <c r="R55" s="6"/>
      <c r="S55" s="6"/>
    </row>
    <row r="56" spans="1:19">
      <c r="A56" s="5" t="s">
        <v>53</v>
      </c>
      <c r="B56" t="s">
        <v>52</v>
      </c>
      <c r="C56" s="6">
        <v>11.3</v>
      </c>
      <c r="D56" s="6">
        <v>9.9</v>
      </c>
      <c r="E56" s="6">
        <f t="shared" si="8"/>
        <v>3.3250000000000002</v>
      </c>
      <c r="F56" s="6">
        <f t="shared" si="9"/>
        <v>2.4750000000000001</v>
      </c>
      <c r="O56" s="5" t="s">
        <v>78</v>
      </c>
      <c r="P56" s="6">
        <v>4</v>
      </c>
      <c r="Q56" s="6">
        <v>2.2999999999999998</v>
      </c>
      <c r="R56" s="6"/>
      <c r="S56" s="6"/>
    </row>
    <row r="57" spans="1:19">
      <c r="A57" s="5" t="s">
        <v>53</v>
      </c>
      <c r="B57" t="s">
        <v>52</v>
      </c>
      <c r="C57" s="6">
        <v>13.2</v>
      </c>
      <c r="D57" s="6">
        <v>5.2</v>
      </c>
      <c r="E57" s="6">
        <f t="shared" si="8"/>
        <v>3.8</v>
      </c>
      <c r="F57" s="6">
        <f t="shared" si="9"/>
        <v>1.3</v>
      </c>
      <c r="O57" s="5" t="s">
        <v>78</v>
      </c>
      <c r="P57" s="6">
        <v>4.25</v>
      </c>
      <c r="Q57" s="6">
        <v>1.825</v>
      </c>
      <c r="R57" s="6"/>
      <c r="S57" s="6"/>
    </row>
    <row r="58" spans="1:19">
      <c r="A58" s="5" t="s">
        <v>53</v>
      </c>
      <c r="B58" t="s">
        <v>52</v>
      </c>
      <c r="C58" s="6">
        <v>14</v>
      </c>
      <c r="D58" s="6">
        <v>9.1999999999999993</v>
      </c>
      <c r="E58" s="6">
        <f t="shared" si="8"/>
        <v>4</v>
      </c>
      <c r="F58" s="6">
        <f t="shared" si="9"/>
        <v>2.2999999999999998</v>
      </c>
      <c r="R58" s="6"/>
      <c r="S58" s="6"/>
    </row>
    <row r="59" spans="1:19">
      <c r="A59" s="5" t="s">
        <v>53</v>
      </c>
      <c r="B59" t="s">
        <v>52</v>
      </c>
      <c r="C59" s="6">
        <v>15</v>
      </c>
      <c r="D59" s="6">
        <v>7.3</v>
      </c>
      <c r="E59" s="6">
        <f t="shared" si="8"/>
        <v>4.25</v>
      </c>
      <c r="F59" s="6">
        <f t="shared" si="9"/>
        <v>1.825</v>
      </c>
      <c r="R59" s="6"/>
      <c r="S59" s="6"/>
    </row>
  </sheetData>
  <mergeCells count="2">
    <mergeCell ref="C1:D1"/>
    <mergeCell ref="E1:F1"/>
  </mergeCells>
  <phoneticPr fontId="4" type="noConversion"/>
  <pageMargins left="0.75" right="0.75" top="1" bottom="1" header="0" footer="0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CJ2941"/>
  <sheetViews>
    <sheetView zoomScale="80" zoomScaleNormal="80" workbookViewId="0">
      <pane ySplit="1" topLeftCell="A144" activePane="bottomLeft" state="frozen"/>
      <selection activeCell="L1" sqref="L1"/>
      <selection pane="bottomLeft" activeCell="F2764" sqref="F2764"/>
    </sheetView>
  </sheetViews>
  <sheetFormatPr defaultColWidth="9.140625" defaultRowHeight="12.75"/>
  <cols>
    <col min="1" max="1" width="20.85546875" style="22" customWidth="1"/>
    <col min="2" max="2" width="25" style="23" bestFit="1" customWidth="1"/>
    <col min="3" max="3" width="39.5703125" style="23" bestFit="1" customWidth="1"/>
    <col min="4" max="4" width="9.42578125" style="26" bestFit="1" customWidth="1"/>
    <col min="5" max="5" width="10.7109375" style="23" bestFit="1" customWidth="1"/>
    <col min="6" max="6" width="8.5703125" style="23" bestFit="1" customWidth="1"/>
    <col min="7" max="7" width="13.28515625" style="23" bestFit="1" customWidth="1"/>
    <col min="8" max="8" width="18" style="26" bestFit="1" customWidth="1"/>
    <col min="9" max="9" width="16.42578125" style="26" bestFit="1" customWidth="1"/>
    <col min="10" max="10" width="17.42578125" style="23" bestFit="1" customWidth="1"/>
    <col min="11" max="11" width="12.5703125" style="23" bestFit="1" customWidth="1"/>
    <col min="12" max="12" width="17.42578125" style="23" bestFit="1" customWidth="1"/>
    <col min="13" max="13" width="18.5703125" style="23" bestFit="1" customWidth="1"/>
    <col min="14" max="14" width="17.42578125" style="23" bestFit="1" customWidth="1"/>
    <col min="15" max="15" width="15.5703125" style="23" bestFit="1" customWidth="1"/>
    <col min="16" max="16" width="14.7109375" style="23" bestFit="1" customWidth="1"/>
    <col min="17" max="17" width="15.7109375" style="23" bestFit="1" customWidth="1"/>
    <col min="18" max="18" width="11.7109375" style="26" customWidth="1"/>
    <col min="19" max="19" width="14.7109375" style="23" bestFit="1" customWidth="1"/>
    <col min="20" max="20" width="15.7109375" style="23" bestFit="1" customWidth="1"/>
    <col min="21" max="21" width="11.85546875" style="23" customWidth="1"/>
    <col min="22" max="22" width="10.28515625" style="23" bestFit="1" customWidth="1"/>
    <col min="23" max="26" width="11" style="23" customWidth="1"/>
    <col min="27" max="30" width="9.140625" style="23"/>
    <col min="31" max="32" width="15" style="23" bestFit="1" customWidth="1"/>
    <col min="33" max="33" width="12.5703125" style="23" bestFit="1" customWidth="1"/>
    <col min="34" max="34" width="11.7109375" style="23" bestFit="1" customWidth="1"/>
    <col min="35" max="35" width="11" style="23" bestFit="1" customWidth="1"/>
    <col min="36" max="36" width="10.5703125" style="23" bestFit="1" customWidth="1"/>
    <col min="37" max="37" width="12.140625" style="23" bestFit="1" customWidth="1"/>
    <col min="38" max="38" width="11.7109375" style="23" bestFit="1" customWidth="1"/>
    <col min="39" max="39" width="13.140625" style="23" bestFit="1" customWidth="1"/>
    <col min="40" max="40" width="13.85546875" style="23" bestFit="1" customWidth="1"/>
    <col min="41" max="41" width="17.7109375" style="23" bestFit="1" customWidth="1"/>
    <col min="42" max="42" width="16.7109375" style="23" bestFit="1" customWidth="1"/>
    <col min="43" max="43" width="13.140625" style="23" bestFit="1" customWidth="1"/>
    <col min="44" max="44" width="12.140625" style="23" bestFit="1" customWidth="1"/>
    <col min="45" max="45" width="15" style="23" bestFit="1" customWidth="1"/>
    <col min="46" max="46" width="9.140625" style="23"/>
    <col min="47" max="47" width="10.140625" style="23" customWidth="1"/>
    <col min="48" max="48" width="10.28515625" style="23" customWidth="1"/>
    <col min="49" max="16384" width="9.140625" style="23"/>
  </cols>
  <sheetData>
    <row r="1" spans="1:49" ht="15.75">
      <c r="B1" s="23" t="s">
        <v>108</v>
      </c>
      <c r="C1" s="23" t="s">
        <v>101</v>
      </c>
      <c r="D1" s="26" t="s">
        <v>125</v>
      </c>
      <c r="E1" s="23" t="s">
        <v>106</v>
      </c>
      <c r="F1" s="24" t="s">
        <v>137</v>
      </c>
      <c r="G1" s="23" t="s">
        <v>107</v>
      </c>
      <c r="H1" s="26" t="s">
        <v>102</v>
      </c>
      <c r="I1" s="26" t="s">
        <v>103</v>
      </c>
      <c r="J1" s="25" t="s">
        <v>121</v>
      </c>
      <c r="K1" s="23" t="s">
        <v>19</v>
      </c>
      <c r="L1" s="23" t="s">
        <v>120</v>
      </c>
      <c r="M1" s="25" t="s">
        <v>122</v>
      </c>
      <c r="N1" s="25" t="s">
        <v>141</v>
      </c>
      <c r="O1" s="23" t="s">
        <v>104</v>
      </c>
      <c r="P1" s="23" t="s">
        <v>115</v>
      </c>
      <c r="Q1" s="25" t="s">
        <v>123</v>
      </c>
      <c r="R1" s="26" t="s">
        <v>105</v>
      </c>
      <c r="S1" s="23" t="s">
        <v>114</v>
      </c>
      <c r="T1" s="25" t="s">
        <v>124</v>
      </c>
      <c r="U1" s="27" t="s">
        <v>207</v>
      </c>
      <c r="V1" s="27" t="s">
        <v>208</v>
      </c>
      <c r="W1" s="27" t="s">
        <v>281</v>
      </c>
      <c r="X1" s="28" t="s">
        <v>220</v>
      </c>
      <c r="Y1" s="28" t="s">
        <v>221</v>
      </c>
      <c r="Z1" s="28" t="s">
        <v>222</v>
      </c>
      <c r="AA1" s="28" t="s">
        <v>223</v>
      </c>
      <c r="AB1" s="29" t="s">
        <v>224</v>
      </c>
      <c r="AC1" s="29" t="s">
        <v>225</v>
      </c>
      <c r="AD1" s="29"/>
      <c r="AE1" s="24" t="s">
        <v>131</v>
      </c>
      <c r="AF1" s="24" t="s">
        <v>212</v>
      </c>
      <c r="AG1" s="24" t="s">
        <v>132</v>
      </c>
      <c r="AH1" s="24" t="s">
        <v>213</v>
      </c>
      <c r="AI1" s="24" t="s">
        <v>186</v>
      </c>
      <c r="AJ1" s="24" t="s">
        <v>187</v>
      </c>
      <c r="AK1" s="24" t="s">
        <v>188</v>
      </c>
      <c r="AL1" s="24" t="s">
        <v>189</v>
      </c>
      <c r="AM1" s="24" t="s">
        <v>147</v>
      </c>
      <c r="AN1" s="24" t="s">
        <v>214</v>
      </c>
      <c r="AO1" s="30" t="s">
        <v>153</v>
      </c>
      <c r="AP1" s="30" t="s">
        <v>154</v>
      </c>
      <c r="AQ1" s="30" t="s">
        <v>155</v>
      </c>
      <c r="AR1" s="30" t="s">
        <v>156</v>
      </c>
      <c r="AS1" s="31" t="s">
        <v>158</v>
      </c>
      <c r="AT1" s="31" t="s">
        <v>157</v>
      </c>
      <c r="AU1" s="30" t="s">
        <v>159</v>
      </c>
      <c r="AV1" s="30" t="s">
        <v>160</v>
      </c>
      <c r="AW1" s="30" t="s">
        <v>90</v>
      </c>
    </row>
    <row r="2" spans="1:49" ht="15" hidden="1" customHeight="1">
      <c r="A2" s="32" t="s">
        <v>138</v>
      </c>
      <c r="B2" s="32" t="s">
        <v>190</v>
      </c>
      <c r="C2" s="32" t="s">
        <v>191</v>
      </c>
      <c r="D2" s="33">
        <v>1988</v>
      </c>
      <c r="E2" s="33">
        <v>7</v>
      </c>
      <c r="G2" s="34">
        <f>30.47*(E2-1)+15</f>
        <v>197.82</v>
      </c>
      <c r="H2" s="35"/>
      <c r="I2" s="35"/>
      <c r="J2" s="36"/>
      <c r="K2" s="37">
        <v>145.65931420000001</v>
      </c>
      <c r="L2" s="38">
        <v>172.4139078</v>
      </c>
      <c r="M2" s="39">
        <f t="shared" ref="M2:M29" si="0">K2+3*(L2-K2)</f>
        <v>225.92309499999999</v>
      </c>
      <c r="N2" s="32"/>
      <c r="O2" s="35"/>
      <c r="P2" s="32"/>
      <c r="Q2" s="32"/>
      <c r="R2" s="37">
        <v>2.1633382609999998</v>
      </c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3">
        <v>26.55465521</v>
      </c>
      <c r="AF2" s="33">
        <f>AE2</f>
        <v>26.55465521</v>
      </c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0"/>
      <c r="AS2" s="31"/>
      <c r="AT2" s="31"/>
      <c r="AU2" s="30"/>
      <c r="AV2" s="30"/>
      <c r="AW2" s="30"/>
    </row>
    <row r="3" spans="1:49" ht="15" hidden="1" customHeight="1">
      <c r="A3" s="40" t="s">
        <v>138</v>
      </c>
      <c r="B3" s="32" t="s">
        <v>190</v>
      </c>
      <c r="C3" s="32" t="s">
        <v>191</v>
      </c>
      <c r="D3" s="33">
        <v>1988</v>
      </c>
      <c r="E3" s="33">
        <v>8</v>
      </c>
      <c r="G3" s="34">
        <f t="shared" ref="G3:G17" si="1">30.47*(E3-1)+15</f>
        <v>228.29</v>
      </c>
      <c r="H3" s="33">
        <v>1529.0116419999999</v>
      </c>
      <c r="I3" s="33">
        <v>1845.6097339999999</v>
      </c>
      <c r="J3" s="39">
        <f>H3+3*(I3-H3)</f>
        <v>2478.805918</v>
      </c>
      <c r="K3" s="37">
        <v>100.4752299</v>
      </c>
      <c r="L3" s="38">
        <v>155.65656190000001</v>
      </c>
      <c r="M3" s="39">
        <f t="shared" si="0"/>
        <v>266.01922590000004</v>
      </c>
      <c r="N3" s="32"/>
      <c r="O3" s="37">
        <v>3.184410792</v>
      </c>
      <c r="P3" s="37">
        <f>LOG10(I3)</f>
        <v>3.2661398720480062</v>
      </c>
      <c r="Q3" s="37">
        <f>LOG10(J3)</f>
        <v>3.3942425243308265</v>
      </c>
      <c r="R3" s="37">
        <v>2.0020590089999999</v>
      </c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3">
        <v>25.868632330000001</v>
      </c>
      <c r="AF3" s="33">
        <f>AVERAGE(AE3,AE2)</f>
        <v>26.211643770000002</v>
      </c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0"/>
      <c r="AS3" s="31"/>
      <c r="AT3" s="31"/>
      <c r="AU3" s="30"/>
      <c r="AV3" s="30"/>
      <c r="AW3" s="30"/>
    </row>
    <row r="4" spans="1:49" ht="15" hidden="1" customHeight="1">
      <c r="A4" s="40" t="s">
        <v>138</v>
      </c>
      <c r="B4" s="32" t="s">
        <v>190</v>
      </c>
      <c r="C4" s="32" t="s">
        <v>191</v>
      </c>
      <c r="D4" s="33">
        <v>1988</v>
      </c>
      <c r="E4" s="33">
        <v>9</v>
      </c>
      <c r="G4" s="34">
        <f t="shared" si="1"/>
        <v>258.76</v>
      </c>
      <c r="H4" s="33">
        <v>1624.925874</v>
      </c>
      <c r="I4" s="33">
        <v>2537.2655490000002</v>
      </c>
      <c r="J4" s="39">
        <f t="shared" ref="J4:J17" si="2">H4+3*(I4-H4)</f>
        <v>4361.9448990000001</v>
      </c>
      <c r="K4" s="37">
        <v>56.964250819999997</v>
      </c>
      <c r="L4" s="38">
        <v>77.028875429999999</v>
      </c>
      <c r="M4" s="39">
        <f t="shared" si="0"/>
        <v>117.15812465</v>
      </c>
      <c r="N4" s="32"/>
      <c r="O4" s="37">
        <v>3.2108335540000001</v>
      </c>
      <c r="P4" s="37">
        <f t="shared" ref="P4:Q18" si="3">LOG10(I4)</f>
        <v>3.4043659226534051</v>
      </c>
      <c r="Q4" s="37">
        <f t="shared" si="3"/>
        <v>3.6396801751786301</v>
      </c>
      <c r="R4" s="37">
        <v>1.75560239</v>
      </c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3">
        <v>24.0195115</v>
      </c>
      <c r="AF4" s="33">
        <f t="shared" ref="AF4:AF10" si="4">AVERAGE(AE4,AE3)</f>
        <v>24.944071915000002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0"/>
      <c r="AS4" s="31"/>
      <c r="AT4" s="31"/>
      <c r="AU4" s="30"/>
      <c r="AV4" s="30"/>
      <c r="AW4" s="30"/>
    </row>
    <row r="5" spans="1:49" ht="15" hidden="1" customHeight="1">
      <c r="A5" s="40" t="s">
        <v>138</v>
      </c>
      <c r="B5" s="32" t="s">
        <v>190</v>
      </c>
      <c r="C5" s="32" t="s">
        <v>191</v>
      </c>
      <c r="D5" s="33">
        <v>1988</v>
      </c>
      <c r="E5" s="33">
        <v>10</v>
      </c>
      <c r="G5" s="34">
        <f t="shared" si="1"/>
        <v>289.23</v>
      </c>
      <c r="H5" s="33">
        <v>1726.206811</v>
      </c>
      <c r="I5" s="33">
        <v>2273.6106159999999</v>
      </c>
      <c r="J5" s="39">
        <f t="shared" si="2"/>
        <v>3368.4182259999998</v>
      </c>
      <c r="K5" s="37">
        <v>33.516472469999997</v>
      </c>
      <c r="L5" s="38">
        <v>38.532856119999998</v>
      </c>
      <c r="M5" s="39">
        <f t="shared" si="0"/>
        <v>48.565623420000001</v>
      </c>
      <c r="N5" s="32"/>
      <c r="O5" s="37">
        <v>3.237092826</v>
      </c>
      <c r="P5" s="37">
        <f t="shared" si="3"/>
        <v>3.3567160884068712</v>
      </c>
      <c r="Q5" s="37">
        <f t="shared" si="3"/>
        <v>3.5274260085899765</v>
      </c>
      <c r="R5" s="37">
        <v>1.5252583040000001</v>
      </c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3">
        <v>22.033602640000002</v>
      </c>
      <c r="AF5" s="33">
        <f t="shared" si="4"/>
        <v>23.026557070000003</v>
      </c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0"/>
      <c r="AS5" s="31"/>
      <c r="AT5" s="31"/>
      <c r="AU5" s="30"/>
      <c r="AV5" s="30"/>
      <c r="AW5" s="30"/>
    </row>
    <row r="6" spans="1:49" ht="15" hidden="1" customHeight="1">
      <c r="A6" s="40" t="s">
        <v>138</v>
      </c>
      <c r="B6" s="32" t="s">
        <v>190</v>
      </c>
      <c r="C6" s="32" t="s">
        <v>191</v>
      </c>
      <c r="D6" s="33">
        <v>1988</v>
      </c>
      <c r="E6" s="33">
        <v>11</v>
      </c>
      <c r="G6" s="34">
        <f t="shared" si="1"/>
        <v>319.7</v>
      </c>
      <c r="H6" s="33">
        <v>1108.386857</v>
      </c>
      <c r="I6" s="33">
        <v>1253.3128260000001</v>
      </c>
      <c r="J6" s="39">
        <f t="shared" si="2"/>
        <v>1543.1647640000003</v>
      </c>
      <c r="K6" s="37">
        <v>35.151606459999996</v>
      </c>
      <c r="L6" s="38">
        <v>51.873896180000003</v>
      </c>
      <c r="M6" s="39">
        <f t="shared" si="0"/>
        <v>85.318475620000015</v>
      </c>
      <c r="N6" s="32"/>
      <c r="O6" s="37">
        <v>3.0446913680000001</v>
      </c>
      <c r="P6" s="37">
        <f t="shared" si="3"/>
        <v>3.0980594841219067</v>
      </c>
      <c r="Q6" s="37">
        <f t="shared" si="3"/>
        <v>3.1884122982445167</v>
      </c>
      <c r="R6" s="37">
        <v>1.5459451769999999</v>
      </c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3">
        <v>20.001999600000001</v>
      </c>
      <c r="AF6" s="33">
        <f t="shared" si="4"/>
        <v>21.017801120000001</v>
      </c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0"/>
      <c r="AS6" s="31"/>
      <c r="AT6" s="31"/>
      <c r="AU6" s="30"/>
      <c r="AV6" s="30"/>
      <c r="AW6" s="30"/>
    </row>
    <row r="7" spans="1:49" ht="15" hidden="1" customHeight="1">
      <c r="A7" s="40" t="s">
        <v>138</v>
      </c>
      <c r="B7" s="32" t="s">
        <v>190</v>
      </c>
      <c r="C7" s="32" t="s">
        <v>191</v>
      </c>
      <c r="D7" s="33">
        <v>1988</v>
      </c>
      <c r="E7" s="33">
        <v>12</v>
      </c>
      <c r="G7" s="34">
        <f t="shared" si="1"/>
        <v>350.16999999999996</v>
      </c>
      <c r="H7" s="33">
        <v>973.5453</v>
      </c>
      <c r="I7" s="33">
        <v>1274.0932029999999</v>
      </c>
      <c r="J7" s="39">
        <f t="shared" si="2"/>
        <v>1875.1890089999997</v>
      </c>
      <c r="K7" s="37">
        <v>8.3600525999999995</v>
      </c>
      <c r="L7" s="38">
        <v>13.37595599</v>
      </c>
      <c r="M7" s="39">
        <f t="shared" si="0"/>
        <v>23.407762769999998</v>
      </c>
      <c r="N7" s="32"/>
      <c r="O7" s="37">
        <v>2.9883561639999998</v>
      </c>
      <c r="P7" s="37">
        <f t="shared" si="3"/>
        <v>3.1052011988533703</v>
      </c>
      <c r="Q7" s="37">
        <f t="shared" si="3"/>
        <v>3.2730450488257103</v>
      </c>
      <c r="R7" s="37">
        <v>0.92220901</v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3">
        <v>16.96705996</v>
      </c>
      <c r="AF7" s="33">
        <f t="shared" si="4"/>
        <v>18.484529780000003</v>
      </c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0"/>
      <c r="AS7" s="31"/>
      <c r="AT7" s="31"/>
      <c r="AU7" s="30"/>
      <c r="AV7" s="30"/>
      <c r="AW7" s="30"/>
    </row>
    <row r="8" spans="1:49" ht="15" hidden="1" customHeight="1">
      <c r="A8" s="40" t="s">
        <v>138</v>
      </c>
      <c r="B8" s="32" t="s">
        <v>190</v>
      </c>
      <c r="C8" s="32" t="s">
        <v>191</v>
      </c>
      <c r="D8" s="33">
        <v>1989</v>
      </c>
      <c r="E8" s="33">
        <v>1</v>
      </c>
      <c r="G8" s="34">
        <f t="shared" si="1"/>
        <v>15</v>
      </c>
      <c r="H8" s="33">
        <v>929.9377101</v>
      </c>
      <c r="I8" s="33">
        <v>1246.5732439999999</v>
      </c>
      <c r="J8" s="39">
        <f t="shared" si="2"/>
        <v>1879.8443117999998</v>
      </c>
      <c r="K8" s="37">
        <v>18.356323020000001</v>
      </c>
      <c r="L8" s="38">
        <v>25.045348409999999</v>
      </c>
      <c r="M8" s="39">
        <f t="shared" si="0"/>
        <v>38.423399189999998</v>
      </c>
      <c r="N8" s="32"/>
      <c r="O8" s="37">
        <v>2.9684538589999998</v>
      </c>
      <c r="P8" s="37">
        <f t="shared" si="3"/>
        <v>3.0957178011153728</v>
      </c>
      <c r="Q8" s="37">
        <f t="shared" si="3"/>
        <v>3.27412188260092</v>
      </c>
      <c r="R8" s="37">
        <v>1.263785691</v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3">
        <v>14.023298309999999</v>
      </c>
      <c r="AF8" s="33">
        <f t="shared" si="4"/>
        <v>15.495179135000001</v>
      </c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0"/>
      <c r="AS8" s="31"/>
      <c r="AT8" s="31"/>
      <c r="AU8" s="30"/>
      <c r="AV8" s="30"/>
      <c r="AW8" s="30"/>
    </row>
    <row r="9" spans="1:49" ht="15" hidden="1" customHeight="1">
      <c r="A9" s="40" t="s">
        <v>138</v>
      </c>
      <c r="B9" s="32" t="s">
        <v>190</v>
      </c>
      <c r="C9" s="32" t="s">
        <v>191</v>
      </c>
      <c r="D9" s="33">
        <v>1989</v>
      </c>
      <c r="E9" s="33">
        <v>2</v>
      </c>
      <c r="G9" s="34">
        <f t="shared" si="1"/>
        <v>45.47</v>
      </c>
      <c r="H9" s="33">
        <v>1154.665319</v>
      </c>
      <c r="I9" s="33">
        <v>1557.155636</v>
      </c>
      <c r="J9" s="39">
        <f t="shared" si="2"/>
        <v>2362.13627</v>
      </c>
      <c r="K9" s="37">
        <v>21.664595769999998</v>
      </c>
      <c r="L9" s="38">
        <v>31.698837359999999</v>
      </c>
      <c r="M9" s="39">
        <f t="shared" si="0"/>
        <v>51.76732054</v>
      </c>
      <c r="N9" s="32"/>
      <c r="O9" s="37">
        <v>3.0624561219999999</v>
      </c>
      <c r="P9" s="37">
        <f t="shared" si="3"/>
        <v>3.1923320219952283</v>
      </c>
      <c r="Q9" s="37">
        <f t="shared" si="3"/>
        <v>3.3733049481470778</v>
      </c>
      <c r="R9" s="37">
        <v>1.33575059</v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3">
        <v>13.086378160000001</v>
      </c>
      <c r="AF9" s="33">
        <f t="shared" si="4"/>
        <v>13.554838235</v>
      </c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0"/>
      <c r="AS9" s="31"/>
      <c r="AT9" s="31"/>
      <c r="AU9" s="30"/>
      <c r="AV9" s="30"/>
      <c r="AW9" s="30"/>
    </row>
    <row r="10" spans="1:49" ht="15" hidden="1" customHeight="1">
      <c r="A10" s="40" t="s">
        <v>138</v>
      </c>
      <c r="B10" s="32" t="s">
        <v>190</v>
      </c>
      <c r="C10" s="32" t="s">
        <v>191</v>
      </c>
      <c r="D10" s="33">
        <v>1989</v>
      </c>
      <c r="E10" s="33">
        <v>3</v>
      </c>
      <c r="G10" s="34">
        <f t="shared" si="1"/>
        <v>75.94</v>
      </c>
      <c r="H10" s="33">
        <v>1041.303058</v>
      </c>
      <c r="I10" s="33">
        <v>1239.846143</v>
      </c>
      <c r="J10" s="39">
        <f t="shared" si="2"/>
        <v>1636.932313</v>
      </c>
      <c r="K10" s="37">
        <v>38.348931180000001</v>
      </c>
      <c r="L10" s="38">
        <v>43.364851379999998</v>
      </c>
      <c r="M10" s="39">
        <f t="shared" si="0"/>
        <v>53.396691779999991</v>
      </c>
      <c r="N10" s="32"/>
      <c r="O10" s="37">
        <v>3.0175771440000001</v>
      </c>
      <c r="P10" s="37">
        <f t="shared" si="3"/>
        <v>3.0933677953300966</v>
      </c>
      <c r="Q10" s="37">
        <f t="shared" si="3"/>
        <v>3.2140307217464859</v>
      </c>
      <c r="R10" s="37">
        <v>1.583753264</v>
      </c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3">
        <v>14.908907170000001</v>
      </c>
      <c r="AF10" s="33">
        <f t="shared" si="4"/>
        <v>13.997642665000001</v>
      </c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0"/>
      <c r="AS10" s="31"/>
      <c r="AT10" s="31"/>
      <c r="AU10" s="30"/>
      <c r="AV10" s="30"/>
      <c r="AW10" s="30"/>
    </row>
    <row r="11" spans="1:49" ht="15" hidden="1" customHeight="1">
      <c r="A11" s="40" t="s">
        <v>138</v>
      </c>
      <c r="B11" s="32" t="s">
        <v>190</v>
      </c>
      <c r="C11" s="32" t="s">
        <v>191</v>
      </c>
      <c r="D11" s="33">
        <v>1989</v>
      </c>
      <c r="E11" s="33">
        <v>3</v>
      </c>
      <c r="G11" s="34">
        <f t="shared" si="1"/>
        <v>75.94</v>
      </c>
      <c r="H11" s="33">
        <v>1072.8542849999999</v>
      </c>
      <c r="I11" s="33">
        <v>1228.463739</v>
      </c>
      <c r="J11" s="39">
        <f t="shared" si="2"/>
        <v>1539.6826470000003</v>
      </c>
      <c r="K11" s="41"/>
      <c r="L11" s="41"/>
      <c r="M11" s="39"/>
      <c r="N11" s="32"/>
      <c r="O11" s="37">
        <v>3.0305407400000002</v>
      </c>
      <c r="P11" s="37">
        <f t="shared" si="3"/>
        <v>3.0893623417809959</v>
      </c>
      <c r="Q11" s="37">
        <f t="shared" si="3"/>
        <v>3.1874312150834352</v>
      </c>
      <c r="R11" s="4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5"/>
      <c r="AF11" s="35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0"/>
      <c r="AS11" s="31"/>
      <c r="AT11" s="31"/>
      <c r="AU11" s="30"/>
      <c r="AV11" s="30"/>
      <c r="AW11" s="30"/>
    </row>
    <row r="12" spans="1:49" ht="15" hidden="1" customHeight="1">
      <c r="A12" s="40" t="s">
        <v>138</v>
      </c>
      <c r="B12" s="32" t="s">
        <v>190</v>
      </c>
      <c r="C12" s="32" t="s">
        <v>191</v>
      </c>
      <c r="D12" s="33">
        <v>1989</v>
      </c>
      <c r="E12" s="33">
        <v>4</v>
      </c>
      <c r="G12" s="34">
        <f t="shared" si="1"/>
        <v>106.41</v>
      </c>
      <c r="H12" s="33">
        <v>1013.09666</v>
      </c>
      <c r="I12" s="33">
        <v>1152.643444</v>
      </c>
      <c r="J12" s="39">
        <f t="shared" si="2"/>
        <v>1431.737012</v>
      </c>
      <c r="K12" s="37">
        <v>59.595150599999997</v>
      </c>
      <c r="L12" s="37">
        <v>76.770996289999999</v>
      </c>
      <c r="M12" s="39">
        <f t="shared" si="0"/>
        <v>111.12268767</v>
      </c>
      <c r="N12" s="32"/>
      <c r="O12" s="37">
        <v>3.005650884</v>
      </c>
      <c r="P12" s="37">
        <f t="shared" si="3"/>
        <v>3.0616949844401162</v>
      </c>
      <c r="Q12" s="37">
        <f t="shared" si="3"/>
        <v>3.1558632521015428</v>
      </c>
      <c r="R12" s="37">
        <v>1.7752109220000001</v>
      </c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3">
        <v>14.838577669999999</v>
      </c>
      <c r="AF12" s="33">
        <f>AVERAGE(AE10:AE12)</f>
        <v>14.873742419999999</v>
      </c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0"/>
      <c r="AS12" s="31"/>
      <c r="AT12" s="31"/>
      <c r="AU12" s="30"/>
      <c r="AV12" s="30"/>
      <c r="AW12" s="30"/>
    </row>
    <row r="13" spans="1:49" ht="15" hidden="1" customHeight="1">
      <c r="A13" s="40" t="s">
        <v>138</v>
      </c>
      <c r="B13" s="32" t="s">
        <v>190</v>
      </c>
      <c r="C13" s="32" t="s">
        <v>191</v>
      </c>
      <c r="D13" s="33">
        <v>1989</v>
      </c>
      <c r="E13" s="33">
        <v>5</v>
      </c>
      <c r="G13" s="34">
        <f t="shared" si="1"/>
        <v>136.88</v>
      </c>
      <c r="H13" s="33">
        <v>1168.0571170000001</v>
      </c>
      <c r="I13" s="33">
        <v>1377.3460909999999</v>
      </c>
      <c r="J13" s="39">
        <f t="shared" si="2"/>
        <v>1795.9240389999995</v>
      </c>
      <c r="K13" s="37">
        <v>49.390424340000003</v>
      </c>
      <c r="L13" s="37">
        <v>58.340081810000001</v>
      </c>
      <c r="M13" s="39">
        <f t="shared" si="0"/>
        <v>76.239396749999997</v>
      </c>
      <c r="N13" s="32"/>
      <c r="O13" s="42">
        <v>3.0674640800000001</v>
      </c>
      <c r="P13" s="42">
        <f t="shared" si="3"/>
        <v>3.1390430807987157</v>
      </c>
      <c r="Q13" s="43">
        <f>LOG10(J13)</f>
        <v>3.2542879636560094</v>
      </c>
      <c r="R13" s="37">
        <v>1.6936427570000001</v>
      </c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3">
        <v>18.166195720000001</v>
      </c>
      <c r="AF13" s="33">
        <f>AVERAGE(AE12:AE13)</f>
        <v>16.502386694999998</v>
      </c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0"/>
      <c r="AS13" s="31"/>
      <c r="AT13" s="31"/>
      <c r="AU13" s="30"/>
      <c r="AV13" s="30"/>
      <c r="AW13" s="30"/>
    </row>
    <row r="14" spans="1:49" ht="15" hidden="1" customHeight="1">
      <c r="A14" s="40" t="s">
        <v>138</v>
      </c>
      <c r="B14" s="32" t="s">
        <v>190</v>
      </c>
      <c r="C14" s="32" t="s">
        <v>191</v>
      </c>
      <c r="D14" s="33">
        <v>1989</v>
      </c>
      <c r="E14" s="33">
        <v>5</v>
      </c>
      <c r="G14" s="34">
        <f t="shared" si="1"/>
        <v>136.88</v>
      </c>
      <c r="H14" s="33">
        <v>1140.574601</v>
      </c>
      <c r="I14" s="33">
        <v>1371.31791</v>
      </c>
      <c r="J14" s="39">
        <f t="shared" si="2"/>
        <v>1832.8045279999999</v>
      </c>
      <c r="K14" s="41"/>
      <c r="L14" s="41"/>
      <c r="M14" s="39"/>
      <c r="N14" s="32"/>
      <c r="O14" s="42">
        <v>3.0571236960000001</v>
      </c>
      <c r="P14" s="42">
        <f t="shared" si="3"/>
        <v>3.1371381481182161</v>
      </c>
      <c r="Q14" s="43">
        <f t="shared" si="3"/>
        <v>3.2631161491205516</v>
      </c>
      <c r="R14" s="41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5"/>
      <c r="AF14" s="35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0"/>
      <c r="AS14" s="31"/>
      <c r="AT14" s="31"/>
      <c r="AU14" s="30"/>
      <c r="AV14" s="30"/>
      <c r="AW14" s="30"/>
    </row>
    <row r="15" spans="1:49" ht="15" hidden="1" customHeight="1">
      <c r="A15" s="40" t="s">
        <v>138</v>
      </c>
      <c r="B15" s="32" t="s">
        <v>190</v>
      </c>
      <c r="C15" s="32" t="s">
        <v>191</v>
      </c>
      <c r="D15" s="33">
        <v>1989</v>
      </c>
      <c r="E15" s="33">
        <v>6</v>
      </c>
      <c r="G15" s="34">
        <f t="shared" si="1"/>
        <v>167.35</v>
      </c>
      <c r="H15" s="33">
        <v>1424.335953</v>
      </c>
      <c r="I15" s="33">
        <v>1617.524815</v>
      </c>
      <c r="J15" s="39">
        <f t="shared" si="2"/>
        <v>2003.9025389999999</v>
      </c>
      <c r="K15" s="37">
        <v>63.31902496</v>
      </c>
      <c r="L15" s="37">
        <v>73.352786330000001</v>
      </c>
      <c r="M15" s="39">
        <f t="shared" si="0"/>
        <v>93.420309070000002</v>
      </c>
      <c r="N15" s="32"/>
      <c r="O15" s="37">
        <v>3.153612437</v>
      </c>
      <c r="P15" s="37">
        <f t="shared" si="3"/>
        <v>3.2088509520516504</v>
      </c>
      <c r="Q15" s="37">
        <f t="shared" si="3"/>
        <v>3.301876595536636</v>
      </c>
      <c r="R15" s="37">
        <v>1.8015342190000001</v>
      </c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3">
        <v>22.862135840000001</v>
      </c>
      <c r="AF15" s="33">
        <f>AVERAGE(AE13:AE15)</f>
        <v>20.514165779999999</v>
      </c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0"/>
      <c r="AS15" s="31"/>
      <c r="AT15" s="31"/>
      <c r="AU15" s="30"/>
      <c r="AV15" s="30"/>
      <c r="AW15" s="30"/>
    </row>
    <row r="16" spans="1:49" ht="15" hidden="1" customHeight="1">
      <c r="A16" s="40" t="s">
        <v>138</v>
      </c>
      <c r="B16" s="32" t="s">
        <v>190</v>
      </c>
      <c r="C16" s="32" t="s">
        <v>191</v>
      </c>
      <c r="D16" s="33">
        <v>1989</v>
      </c>
      <c r="E16" s="33">
        <v>7</v>
      </c>
      <c r="G16" s="34">
        <f t="shared" si="1"/>
        <v>197.82</v>
      </c>
      <c r="H16" s="33">
        <v>1691.9971929999999</v>
      </c>
      <c r="I16" s="33">
        <v>1901.2736870000001</v>
      </c>
      <c r="J16" s="39">
        <f t="shared" si="2"/>
        <v>2319.8266750000003</v>
      </c>
      <c r="K16" s="37">
        <v>121.8062118</v>
      </c>
      <c r="L16" s="37">
        <v>140.2006294</v>
      </c>
      <c r="M16" s="39">
        <f t="shared" si="0"/>
        <v>176.98946459999999</v>
      </c>
      <c r="N16" s="32"/>
      <c r="O16" s="37">
        <v>3.228399638</v>
      </c>
      <c r="P16" s="37">
        <f t="shared" si="3"/>
        <v>3.2790446377483984</v>
      </c>
      <c r="Q16" s="37">
        <f t="shared" si="3"/>
        <v>3.3654555379499325</v>
      </c>
      <c r="R16" s="37">
        <v>2.085669437</v>
      </c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3">
        <v>24.441916249999998</v>
      </c>
      <c r="AF16" s="33">
        <f>AVERAGE(AE15:AE16)</f>
        <v>23.652026044999999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0"/>
      <c r="AS16" s="30"/>
      <c r="AT16" s="30"/>
      <c r="AU16" s="30"/>
      <c r="AV16" s="30"/>
      <c r="AW16" s="30"/>
    </row>
    <row r="17" spans="1:49" ht="15" hidden="1" customHeight="1">
      <c r="A17" s="40" t="s">
        <v>138</v>
      </c>
      <c r="B17" s="32" t="s">
        <v>190</v>
      </c>
      <c r="C17" s="32" t="s">
        <v>191</v>
      </c>
      <c r="D17" s="33">
        <v>1989</v>
      </c>
      <c r="E17" s="33">
        <v>8</v>
      </c>
      <c r="G17" s="34">
        <f t="shared" si="1"/>
        <v>228.29</v>
      </c>
      <c r="H17" s="33">
        <v>1916.6873599999999</v>
      </c>
      <c r="I17" s="33">
        <v>2179.680816</v>
      </c>
      <c r="J17" s="39">
        <f t="shared" si="2"/>
        <v>2705.6677280000004</v>
      </c>
      <c r="K17" s="37">
        <v>56.560384220000003</v>
      </c>
      <c r="L17" s="37">
        <v>68.263392190000005</v>
      </c>
      <c r="M17" s="39">
        <f t="shared" si="0"/>
        <v>91.669408130000008</v>
      </c>
      <c r="O17" s="37">
        <v>3.2825512790000002</v>
      </c>
      <c r="P17" s="37">
        <f t="shared" si="3"/>
        <v>3.3383929018619933</v>
      </c>
      <c r="Q17" s="37">
        <f t="shared" si="3"/>
        <v>3.4322744616051319</v>
      </c>
      <c r="R17" s="37">
        <v>1.752512351</v>
      </c>
    </row>
    <row r="18" spans="1:49" ht="15" hidden="1" customHeight="1">
      <c r="A18" s="44" t="s">
        <v>138</v>
      </c>
      <c r="B18" s="45" t="s">
        <v>139</v>
      </c>
      <c r="C18" s="23" t="s">
        <v>140</v>
      </c>
      <c r="D18" s="45">
        <v>1998</v>
      </c>
      <c r="E18" s="45">
        <v>7</v>
      </c>
      <c r="F18" s="45">
        <v>15</v>
      </c>
      <c r="G18" s="46">
        <f>30.47*(E18-1)+F18</f>
        <v>197.82</v>
      </c>
      <c r="H18" s="47">
        <v>1467</v>
      </c>
      <c r="I18" s="37">
        <v>1697.744443</v>
      </c>
      <c r="J18" s="39">
        <f t="shared" ref="J18:J29" si="5">H18+3*(I18-H18)</f>
        <v>2159.2333290000001</v>
      </c>
      <c r="K18" s="37">
        <v>365.21739129999997</v>
      </c>
      <c r="L18" s="37">
        <v>575.36693270000001</v>
      </c>
      <c r="M18" s="39">
        <f t="shared" si="0"/>
        <v>995.66601549999996</v>
      </c>
      <c r="N18" s="37">
        <v>855.19848769999999</v>
      </c>
      <c r="O18" s="48">
        <f t="shared" ref="O18" si="6">LOG10(H18)</f>
        <v>3.1664301138432829</v>
      </c>
      <c r="P18" s="48">
        <f t="shared" si="3"/>
        <v>3.2298723176230206</v>
      </c>
      <c r="Q18" s="48">
        <f t="shared" si="3"/>
        <v>3.3342995751836377</v>
      </c>
      <c r="R18" s="48">
        <f t="shared" ref="R18" si="7">LOG10(K18)</f>
        <v>2.5625514500391184</v>
      </c>
      <c r="S18" s="48">
        <f t="shared" ref="S18" si="8">LOG10(L18)</f>
        <v>2.7599448986412254</v>
      </c>
      <c r="T18" s="48">
        <f t="shared" ref="T18" si="9">LOG10(M18)</f>
        <v>2.9981136838554909</v>
      </c>
      <c r="U18" s="48">
        <v>3.3342995751836377</v>
      </c>
      <c r="V18" s="48">
        <v>2.9981136838554909</v>
      </c>
      <c r="W18" s="49">
        <f>0.9539*(4.064-0.314*U18-V18)</f>
        <v>1.8044210433198041E-2</v>
      </c>
      <c r="X18" s="49"/>
      <c r="Y18" s="49"/>
      <c r="Z18" s="49"/>
      <c r="AA18" s="48"/>
      <c r="AB18" s="48"/>
      <c r="AC18" s="48"/>
      <c r="AD18" s="48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30"/>
      <c r="AP18" s="30"/>
      <c r="AQ18" s="30"/>
      <c r="AR18" s="30"/>
      <c r="AS18" s="30"/>
      <c r="AT18" s="30"/>
      <c r="AU18" s="30"/>
      <c r="AV18" s="30"/>
      <c r="AW18" s="30"/>
    </row>
    <row r="19" spans="1:49" ht="15" hidden="1" customHeight="1">
      <c r="A19" s="44" t="s">
        <v>138</v>
      </c>
      <c r="B19" s="45" t="s">
        <v>139</v>
      </c>
      <c r="C19" s="23" t="s">
        <v>140</v>
      </c>
      <c r="D19" s="45">
        <v>1998</v>
      </c>
      <c r="E19" s="45">
        <v>8</v>
      </c>
      <c r="F19" s="45">
        <v>14</v>
      </c>
      <c r="G19" s="46">
        <f t="shared" ref="G19:G28" si="10">30.47*(E19-1)+F19</f>
        <v>227.29</v>
      </c>
      <c r="H19" s="47">
        <v>1367.2</v>
      </c>
      <c r="I19" s="37">
        <v>1595.2595690000001</v>
      </c>
      <c r="J19" s="39">
        <f t="shared" si="5"/>
        <v>2051.3787069999998</v>
      </c>
      <c r="K19" s="37">
        <v>362.94896030000001</v>
      </c>
      <c r="L19" s="37">
        <v>374.50007490000002</v>
      </c>
      <c r="M19" s="39">
        <f t="shared" si="0"/>
        <v>397.60230410000003</v>
      </c>
      <c r="N19" s="37">
        <v>846.12476370000002</v>
      </c>
      <c r="O19" s="48">
        <f t="shared" ref="O19:O29" si="11">LOG10(H19)</f>
        <v>3.1358320497126804</v>
      </c>
      <c r="P19" s="48">
        <f t="shared" ref="P19:P29" si="12">LOG10(I19)</f>
        <v>3.2028313583729018</v>
      </c>
      <c r="Q19" s="48">
        <f t="shared" ref="Q19:Q29" si="13">LOG10(J19)</f>
        <v>3.3120458432927484</v>
      </c>
      <c r="R19" s="48">
        <f t="shared" ref="R19:R28" si="14">LOG10(K19)</f>
        <v>2.5598455566654232</v>
      </c>
      <c r="S19" s="48">
        <f t="shared" ref="S19:S28" si="15">LOG10(L19)</f>
        <v>2.573451908894373</v>
      </c>
      <c r="T19" s="48">
        <f t="shared" ref="T19:T28" si="16">LOG10(M19)</f>
        <v>2.5994488924632444</v>
      </c>
      <c r="U19" s="48">
        <v>3.3120458432927484</v>
      </c>
      <c r="V19" s="48">
        <v>2.5994488924632444</v>
      </c>
      <c r="W19" s="49">
        <f t="shared" ref="W19:W76" si="17">0.9539*(4.064-0.314*U19-V19)</f>
        <v>0.40499609508538797</v>
      </c>
      <c r="X19" s="49"/>
      <c r="Y19" s="49"/>
      <c r="Z19" s="49"/>
      <c r="AA19" s="48"/>
      <c r="AB19" s="48"/>
      <c r="AC19" s="48"/>
      <c r="AD19" s="48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30"/>
      <c r="AP19" s="30"/>
      <c r="AQ19" s="30"/>
      <c r="AR19" s="30"/>
      <c r="AS19" s="30"/>
      <c r="AT19" s="30"/>
      <c r="AU19" s="30"/>
      <c r="AV19" s="30"/>
      <c r="AW19" s="30"/>
    </row>
    <row r="20" spans="1:49" ht="15" hidden="1" customHeight="1">
      <c r="A20" s="44" t="s">
        <v>138</v>
      </c>
      <c r="B20" s="45" t="s">
        <v>139</v>
      </c>
      <c r="C20" s="23" t="s">
        <v>140</v>
      </c>
      <c r="D20" s="45">
        <v>1998</v>
      </c>
      <c r="E20" s="45">
        <v>9</v>
      </c>
      <c r="F20" s="45">
        <v>14</v>
      </c>
      <c r="G20" s="46">
        <f t="shared" si="10"/>
        <v>257.76</v>
      </c>
      <c r="H20" s="47">
        <v>1523.2</v>
      </c>
      <c r="I20" s="37">
        <v>1664.149707</v>
      </c>
      <c r="J20" s="39">
        <f t="shared" si="5"/>
        <v>1946.049121</v>
      </c>
      <c r="K20" s="37">
        <v>328.92249529999998</v>
      </c>
      <c r="L20" s="37">
        <v>382.94981139999999</v>
      </c>
      <c r="M20" s="39">
        <f t="shared" si="0"/>
        <v>491.0044436</v>
      </c>
      <c r="N20" s="37">
        <v>979.96219280000003</v>
      </c>
      <c r="O20" s="48">
        <f t="shared" si="11"/>
        <v>3.1827569310403989</v>
      </c>
      <c r="P20" s="48">
        <f t="shared" si="12"/>
        <v>3.2211923928678372</v>
      </c>
      <c r="Q20" s="48">
        <f t="shared" si="13"/>
        <v>3.2891537982704659</v>
      </c>
      <c r="R20" s="48">
        <f t="shared" si="14"/>
        <v>2.5170935762816082</v>
      </c>
      <c r="S20" s="48">
        <f t="shared" si="15"/>
        <v>2.5831418599731069</v>
      </c>
      <c r="T20" s="48">
        <f t="shared" si="16"/>
        <v>2.6910854225144698</v>
      </c>
      <c r="U20" s="48">
        <v>3.2891537982704659</v>
      </c>
      <c r="V20" s="48">
        <v>2.6910854225144698</v>
      </c>
      <c r="W20" s="49">
        <f t="shared" si="17"/>
        <v>0.32444073969800535</v>
      </c>
      <c r="X20" s="49"/>
      <c r="Y20" s="49"/>
      <c r="Z20" s="49"/>
      <c r="AA20" s="48"/>
      <c r="AB20" s="48"/>
      <c r="AC20" s="48"/>
      <c r="AD20" s="48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30"/>
      <c r="AP20" s="30"/>
      <c r="AQ20" s="30"/>
      <c r="AR20" s="30"/>
      <c r="AS20" s="30"/>
      <c r="AT20" s="30"/>
      <c r="AU20" s="30"/>
      <c r="AV20" s="30"/>
      <c r="AW20" s="30"/>
    </row>
    <row r="21" spans="1:49" ht="15" hidden="1" customHeight="1">
      <c r="A21" s="44" t="s">
        <v>138</v>
      </c>
      <c r="B21" s="45" t="s">
        <v>139</v>
      </c>
      <c r="C21" s="23" t="s">
        <v>140</v>
      </c>
      <c r="D21" s="45">
        <v>1998</v>
      </c>
      <c r="E21" s="45">
        <v>10</v>
      </c>
      <c r="F21" s="45">
        <v>14</v>
      </c>
      <c r="G21" s="46">
        <f t="shared" si="10"/>
        <v>288.23</v>
      </c>
      <c r="H21" s="47">
        <v>1267.2</v>
      </c>
      <c r="I21" s="37">
        <v>1339.8865949999999</v>
      </c>
      <c r="J21" s="39">
        <f t="shared" si="5"/>
        <v>1485.2597849999997</v>
      </c>
      <c r="K21" s="37">
        <v>337.99621930000001</v>
      </c>
      <c r="L21" s="37">
        <v>451.7430592</v>
      </c>
      <c r="M21" s="39">
        <f t="shared" si="0"/>
        <v>679.23673899999994</v>
      </c>
      <c r="N21" s="37">
        <v>920.98298680000005</v>
      </c>
      <c r="O21" s="48">
        <f t="shared" si="11"/>
        <v>3.1028451642454185</v>
      </c>
      <c r="P21" s="48">
        <f t="shared" si="12"/>
        <v>3.1270680422081543</v>
      </c>
      <c r="Q21" s="48">
        <f t="shared" si="13"/>
        <v>3.1718024222219325</v>
      </c>
      <c r="R21" s="48">
        <f t="shared" si="14"/>
        <v>2.5289118424482737</v>
      </c>
      <c r="S21" s="48">
        <f t="shared" si="15"/>
        <v>2.6548914885726553</v>
      </c>
      <c r="T21" s="48">
        <f t="shared" si="16"/>
        <v>2.8320211682745535</v>
      </c>
      <c r="U21" s="48">
        <v>3.1718024222219325</v>
      </c>
      <c r="V21" s="48">
        <v>2.8320211682745535</v>
      </c>
      <c r="W21" s="49">
        <f t="shared" si="17"/>
        <v>0.22515175578784821</v>
      </c>
      <c r="X21" s="49"/>
      <c r="Y21" s="49"/>
      <c r="Z21" s="49"/>
      <c r="AA21" s="48"/>
      <c r="AB21" s="48"/>
      <c r="AC21" s="48"/>
      <c r="AD21" s="48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30"/>
      <c r="AP21" s="30"/>
      <c r="AQ21" s="30"/>
      <c r="AR21" s="30"/>
      <c r="AS21" s="30"/>
      <c r="AT21" s="30"/>
      <c r="AU21" s="30"/>
      <c r="AV21" s="30"/>
      <c r="AW21" s="30"/>
    </row>
    <row r="22" spans="1:49" ht="15" hidden="1" customHeight="1">
      <c r="A22" s="44" t="s">
        <v>138</v>
      </c>
      <c r="B22" s="45" t="s">
        <v>139</v>
      </c>
      <c r="C22" s="23" t="s">
        <v>140</v>
      </c>
      <c r="D22" s="45">
        <v>1998</v>
      </c>
      <c r="E22" s="45">
        <v>11</v>
      </c>
      <c r="F22" s="45">
        <v>14</v>
      </c>
      <c r="G22" s="46">
        <f t="shared" si="10"/>
        <v>318.7</v>
      </c>
      <c r="H22" s="47">
        <v>1067.9000000000001</v>
      </c>
      <c r="I22" s="37">
        <v>1084.1718699999999</v>
      </c>
      <c r="J22" s="39">
        <f t="shared" si="5"/>
        <v>1116.7156099999995</v>
      </c>
      <c r="K22" s="37">
        <v>303.96975429999998</v>
      </c>
      <c r="L22" s="37">
        <v>418.82000749999997</v>
      </c>
      <c r="M22" s="39">
        <f t="shared" si="0"/>
        <v>648.52051389999997</v>
      </c>
      <c r="N22" s="37">
        <v>825.7088847</v>
      </c>
      <c r="O22" s="48">
        <f t="shared" si="11"/>
        <v>3.0285305865113288</v>
      </c>
      <c r="P22" s="48">
        <f t="shared" si="12"/>
        <v>3.0350981348554202</v>
      </c>
      <c r="Q22" s="48">
        <f t="shared" si="13"/>
        <v>3.0479425869623644</v>
      </c>
      <c r="R22" s="48">
        <f t="shared" si="14"/>
        <v>2.4828303724439573</v>
      </c>
      <c r="S22" s="48">
        <f t="shared" si="15"/>
        <v>2.6220274202353107</v>
      </c>
      <c r="T22" s="48">
        <f t="shared" si="16"/>
        <v>2.81192371817286</v>
      </c>
      <c r="U22" s="48">
        <v>3.0479425869623644</v>
      </c>
      <c r="V22" s="48">
        <v>2.81192371817286</v>
      </c>
      <c r="W22" s="49">
        <f t="shared" si="17"/>
        <v>0.28142178105204152</v>
      </c>
      <c r="X22" s="49"/>
      <c r="Y22" s="49"/>
      <c r="Z22" s="49"/>
      <c r="AA22" s="48"/>
      <c r="AB22" s="48"/>
      <c r="AC22" s="48"/>
      <c r="AD22" s="48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30"/>
      <c r="AP22" s="30"/>
      <c r="AQ22" s="30"/>
      <c r="AR22" s="30"/>
      <c r="AS22" s="30"/>
      <c r="AT22" s="30"/>
      <c r="AU22" s="30"/>
      <c r="AV22" s="30"/>
      <c r="AW22" s="30"/>
    </row>
    <row r="23" spans="1:49" ht="15" hidden="1" customHeight="1">
      <c r="A23" s="44" t="s">
        <v>138</v>
      </c>
      <c r="B23" s="45" t="s">
        <v>139</v>
      </c>
      <c r="C23" s="23" t="s">
        <v>140</v>
      </c>
      <c r="D23" s="45">
        <v>1998</v>
      </c>
      <c r="E23" s="45">
        <v>12</v>
      </c>
      <c r="F23" s="45">
        <v>15</v>
      </c>
      <c r="G23" s="46">
        <f t="shared" si="10"/>
        <v>350.16999999999996</v>
      </c>
      <c r="H23" s="47">
        <v>886.5</v>
      </c>
      <c r="I23" s="37">
        <v>886.46981340000002</v>
      </c>
      <c r="J23" s="39">
        <f t="shared" si="5"/>
        <v>886.40944020000006</v>
      </c>
      <c r="K23" s="37">
        <v>344.80151230000001</v>
      </c>
      <c r="L23" s="37">
        <v>426.99294520000001</v>
      </c>
      <c r="M23" s="39">
        <f t="shared" si="0"/>
        <v>591.375811</v>
      </c>
      <c r="N23" s="37">
        <v>846.12476370000002</v>
      </c>
      <c r="O23" s="48">
        <f t="shared" si="11"/>
        <v>2.9476787399369364</v>
      </c>
      <c r="P23" s="48">
        <f t="shared" si="12"/>
        <v>2.94766395133342</v>
      </c>
      <c r="Q23" s="48">
        <f t="shared" si="13"/>
        <v>2.9476343726155556</v>
      </c>
      <c r="R23" s="48">
        <f t="shared" si="14"/>
        <v>2.5375691619731642</v>
      </c>
      <c r="S23" s="48">
        <f t="shared" si="15"/>
        <v>2.6304206996479245</v>
      </c>
      <c r="T23" s="48">
        <f t="shared" si="16"/>
        <v>2.7718635566390919</v>
      </c>
      <c r="U23" s="48">
        <v>2.9476343726155556</v>
      </c>
      <c r="V23" s="48">
        <v>2.7718635566390919</v>
      </c>
      <c r="W23" s="49">
        <f t="shared" si="17"/>
        <v>0.34967994691804483</v>
      </c>
      <c r="X23" s="49"/>
      <c r="Y23" s="49"/>
      <c r="Z23" s="49"/>
      <c r="AA23" s="48"/>
      <c r="AB23" s="48"/>
      <c r="AC23" s="48"/>
      <c r="AD23" s="48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30"/>
      <c r="AP23" s="30"/>
      <c r="AQ23" s="30"/>
      <c r="AR23" s="30"/>
      <c r="AS23" s="30"/>
      <c r="AT23" s="30"/>
      <c r="AU23" s="30"/>
      <c r="AV23" s="30"/>
      <c r="AW23" s="30"/>
    </row>
    <row r="24" spans="1:49" ht="15" hidden="1" customHeight="1">
      <c r="A24" s="44" t="s">
        <v>138</v>
      </c>
      <c r="B24" s="45" t="s">
        <v>139</v>
      </c>
      <c r="C24" s="23" t="s">
        <v>140</v>
      </c>
      <c r="D24" s="45">
        <v>1999</v>
      </c>
      <c r="E24" s="45">
        <v>1</v>
      </c>
      <c r="F24" s="45">
        <v>14</v>
      </c>
      <c r="G24" s="46">
        <f t="shared" si="10"/>
        <v>14</v>
      </c>
      <c r="H24" s="47">
        <v>715.7</v>
      </c>
      <c r="I24" s="37">
        <v>715.65763460000005</v>
      </c>
      <c r="J24" s="39">
        <f t="shared" si="5"/>
        <v>715.57290380000006</v>
      </c>
      <c r="K24" s="37">
        <v>263.13799619999998</v>
      </c>
      <c r="L24" s="37">
        <v>294.91906269999998</v>
      </c>
      <c r="M24" s="39">
        <f t="shared" si="0"/>
        <v>358.4811957</v>
      </c>
      <c r="N24" s="37">
        <v>710.01890360000004</v>
      </c>
      <c r="O24" s="48">
        <f t="shared" si="11"/>
        <v>2.8547310172139424</v>
      </c>
      <c r="P24" s="48">
        <f t="shared" si="12"/>
        <v>2.8547053086712215</v>
      </c>
      <c r="Q24" s="48">
        <f t="shared" si="13"/>
        <v>2.8546538870197922</v>
      </c>
      <c r="R24" s="48">
        <f t="shared" si="14"/>
        <v>2.4201835632075341</v>
      </c>
      <c r="S24" s="48">
        <f t="shared" si="15"/>
        <v>2.4697028449758571</v>
      </c>
      <c r="T24" s="48">
        <f t="shared" si="16"/>
        <v>2.5544663794796518</v>
      </c>
      <c r="U24" s="48">
        <v>2.8546538870197922</v>
      </c>
      <c r="V24" s="48">
        <v>2.5544663794796518</v>
      </c>
      <c r="W24" s="49">
        <f t="shared" si="17"/>
        <v>0.58490505696631157</v>
      </c>
      <c r="X24" s="49"/>
      <c r="Y24" s="49"/>
      <c r="Z24" s="49"/>
      <c r="AA24" s="48"/>
      <c r="AB24" s="48"/>
      <c r="AC24" s="48"/>
      <c r="AD24" s="48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30"/>
      <c r="AP24" s="30"/>
      <c r="AQ24" s="30"/>
      <c r="AR24" s="30"/>
      <c r="AS24" s="30"/>
      <c r="AT24" s="30"/>
      <c r="AU24" s="30"/>
      <c r="AV24" s="30"/>
      <c r="AW24" s="30"/>
    </row>
    <row r="25" spans="1:49" ht="15" hidden="1" customHeight="1">
      <c r="A25" s="44" t="s">
        <v>138</v>
      </c>
      <c r="B25" s="45" t="s">
        <v>139</v>
      </c>
      <c r="C25" s="23" t="s">
        <v>140</v>
      </c>
      <c r="D25" s="45">
        <v>1999</v>
      </c>
      <c r="E25" s="45">
        <v>2</v>
      </c>
      <c r="F25" s="45">
        <v>14</v>
      </c>
      <c r="G25" s="46">
        <f t="shared" si="10"/>
        <v>44.47</v>
      </c>
      <c r="H25" s="47">
        <v>740.2</v>
      </c>
      <c r="I25" s="37">
        <v>740.41883719999998</v>
      </c>
      <c r="J25" s="39">
        <f t="shared" si="5"/>
        <v>740.85651159999986</v>
      </c>
      <c r="K25" s="37">
        <v>167.86389410000001</v>
      </c>
      <c r="L25" s="37">
        <v>186.04978790000001</v>
      </c>
      <c r="M25" s="39">
        <f t="shared" si="0"/>
        <v>222.42157550000002</v>
      </c>
      <c r="N25" s="37">
        <v>546.69187150000005</v>
      </c>
      <c r="O25" s="48">
        <f t="shared" si="11"/>
        <v>2.8693490807590929</v>
      </c>
      <c r="P25" s="48">
        <f t="shared" si="12"/>
        <v>2.8694774592272028</v>
      </c>
      <c r="Q25" s="48">
        <f t="shared" si="13"/>
        <v>2.8697341023725516</v>
      </c>
      <c r="R25" s="48">
        <f t="shared" si="14"/>
        <v>2.2249572936402213</v>
      </c>
      <c r="S25" s="48">
        <f t="shared" si="15"/>
        <v>2.2696291792545584</v>
      </c>
      <c r="T25" s="48">
        <f t="shared" si="16"/>
        <v>2.347176912703707</v>
      </c>
      <c r="U25" s="48">
        <v>2.8697341023725516</v>
      </c>
      <c r="V25" s="48">
        <v>2.347176912703707</v>
      </c>
      <c r="W25" s="49">
        <f t="shared" si="17"/>
        <v>0.77812158385243646</v>
      </c>
      <c r="X25" s="49"/>
      <c r="Y25" s="49"/>
      <c r="Z25" s="49"/>
      <c r="AA25" s="48"/>
      <c r="AB25" s="48"/>
      <c r="AC25" s="48"/>
      <c r="AD25" s="48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30"/>
      <c r="AP25" s="30"/>
      <c r="AQ25" s="30"/>
      <c r="AR25" s="30"/>
      <c r="AS25" s="30"/>
      <c r="AT25" s="30"/>
      <c r="AU25" s="30"/>
      <c r="AV25" s="30"/>
      <c r="AW25" s="30"/>
    </row>
    <row r="26" spans="1:49" ht="15" hidden="1" customHeight="1">
      <c r="A26" s="44" t="s">
        <v>138</v>
      </c>
      <c r="B26" s="45" t="s">
        <v>139</v>
      </c>
      <c r="C26" s="23" t="s">
        <v>140</v>
      </c>
      <c r="D26" s="45">
        <v>1999</v>
      </c>
      <c r="E26" s="45">
        <v>3</v>
      </c>
      <c r="F26" s="45">
        <v>16</v>
      </c>
      <c r="G26" s="46">
        <f t="shared" si="10"/>
        <v>76.94</v>
      </c>
      <c r="H26" s="47">
        <v>832.3</v>
      </c>
      <c r="I26" s="37">
        <v>832.30269109999995</v>
      </c>
      <c r="J26" s="39">
        <f t="shared" si="5"/>
        <v>832.30807329999993</v>
      </c>
      <c r="K26" s="37">
        <v>167.86389410000001</v>
      </c>
      <c r="L26" s="37">
        <v>175.92371589999999</v>
      </c>
      <c r="M26" s="39">
        <f t="shared" si="0"/>
        <v>192.04335949999995</v>
      </c>
      <c r="N26" s="37">
        <v>489.98109640000001</v>
      </c>
      <c r="O26" s="48">
        <f t="shared" si="11"/>
        <v>2.9202798946329485</v>
      </c>
      <c r="P26" s="48">
        <f t="shared" si="12"/>
        <v>2.9202812988477636</v>
      </c>
      <c r="Q26" s="48">
        <f t="shared" si="13"/>
        <v>2.9202841072637735</v>
      </c>
      <c r="R26" s="48">
        <f t="shared" si="14"/>
        <v>2.2249572936402213</v>
      </c>
      <c r="S26" s="48">
        <f t="shared" si="15"/>
        <v>2.2453243897146127</v>
      </c>
      <c r="T26" s="48">
        <f t="shared" si="16"/>
        <v>2.2833992946703332</v>
      </c>
      <c r="U26" s="48">
        <v>2.9202841072637735</v>
      </c>
      <c r="V26" s="48">
        <v>2.2833992946703332</v>
      </c>
      <c r="W26" s="49">
        <f t="shared" si="17"/>
        <v>0.82381808369943055</v>
      </c>
      <c r="X26" s="49"/>
      <c r="Y26" s="49"/>
      <c r="Z26" s="49"/>
      <c r="AA26" s="48"/>
      <c r="AB26" s="48"/>
      <c r="AC26" s="48"/>
      <c r="AD26" s="48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30"/>
      <c r="AP26" s="30"/>
      <c r="AQ26" s="30"/>
      <c r="AR26" s="30"/>
      <c r="AS26" s="30"/>
      <c r="AT26" s="30"/>
      <c r="AU26" s="30"/>
      <c r="AV26" s="30"/>
      <c r="AW26" s="30"/>
    </row>
    <row r="27" spans="1:49" ht="15" hidden="1" customHeight="1">
      <c r="A27" s="44" t="s">
        <v>138</v>
      </c>
      <c r="B27" s="45" t="s">
        <v>139</v>
      </c>
      <c r="C27" s="23" t="s">
        <v>140</v>
      </c>
      <c r="D27" s="45">
        <v>1999</v>
      </c>
      <c r="E27" s="45">
        <v>4</v>
      </c>
      <c r="F27" s="45">
        <v>15</v>
      </c>
      <c r="G27" s="46">
        <f t="shared" si="10"/>
        <v>106.41</v>
      </c>
      <c r="H27" s="47">
        <v>515.79999999999995</v>
      </c>
      <c r="I27" s="37">
        <v>593.91885330000002</v>
      </c>
      <c r="J27" s="39">
        <f t="shared" si="5"/>
        <v>750.15655990000016</v>
      </c>
      <c r="K27" s="37">
        <v>297.16446130000003</v>
      </c>
      <c r="L27" s="37">
        <v>340.34208760000001</v>
      </c>
      <c r="M27" s="39">
        <f t="shared" si="0"/>
        <v>426.69734019999999</v>
      </c>
      <c r="N27" s="37">
        <v>619.28166350000004</v>
      </c>
      <c r="O27" s="48">
        <f t="shared" si="11"/>
        <v>2.7124813378019188</v>
      </c>
      <c r="P27" s="48">
        <f t="shared" si="12"/>
        <v>2.7737271116959419</v>
      </c>
      <c r="Q27" s="48">
        <f t="shared" si="13"/>
        <v>2.8751519113983437</v>
      </c>
      <c r="R27" s="48">
        <f t="shared" si="14"/>
        <v>2.4729968697447298</v>
      </c>
      <c r="S27" s="48">
        <f t="shared" si="15"/>
        <v>2.5319156584176183</v>
      </c>
      <c r="T27" s="48">
        <f t="shared" si="16"/>
        <v>2.630119935711285</v>
      </c>
      <c r="U27" s="48">
        <v>2.8751519113983437</v>
      </c>
      <c r="V27" s="48">
        <v>2.630119935711285</v>
      </c>
      <c r="W27" s="49">
        <f t="shared" si="17"/>
        <v>0.50659946712418114</v>
      </c>
      <c r="X27" s="49"/>
      <c r="Y27" s="49"/>
      <c r="Z27" s="49"/>
      <c r="AA27" s="48"/>
      <c r="AB27" s="48"/>
      <c r="AC27" s="48"/>
      <c r="AD27" s="48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30"/>
      <c r="AP27" s="30"/>
      <c r="AQ27" s="30"/>
      <c r="AR27" s="30"/>
      <c r="AS27" s="30"/>
      <c r="AT27" s="30"/>
      <c r="AU27" s="30"/>
      <c r="AV27" s="30"/>
      <c r="AW27" s="30"/>
    </row>
    <row r="28" spans="1:49" ht="15" hidden="1" customHeight="1">
      <c r="A28" s="44" t="s">
        <v>138</v>
      </c>
      <c r="B28" s="45" t="s">
        <v>139</v>
      </c>
      <c r="C28" s="23" t="s">
        <v>140</v>
      </c>
      <c r="D28" s="45">
        <v>1999</v>
      </c>
      <c r="E28" s="45">
        <v>5</v>
      </c>
      <c r="F28" s="45">
        <v>15</v>
      </c>
      <c r="G28" s="46">
        <f t="shared" si="10"/>
        <v>136.88</v>
      </c>
      <c r="H28" s="47">
        <v>718</v>
      </c>
      <c r="I28" s="37">
        <v>797.88559229999998</v>
      </c>
      <c r="J28" s="39">
        <f t="shared" si="5"/>
        <v>957.65677689999995</v>
      </c>
      <c r="K28" s="37">
        <v>417.39130440000002</v>
      </c>
      <c r="L28" s="37">
        <v>474.97253189999998</v>
      </c>
      <c r="M28" s="39">
        <f t="shared" si="0"/>
        <v>590.13498689999983</v>
      </c>
      <c r="N28" s="37">
        <v>741.7769376</v>
      </c>
      <c r="O28" s="48">
        <f t="shared" si="11"/>
        <v>2.8561244442423002</v>
      </c>
      <c r="P28" s="48">
        <f t="shared" si="12"/>
        <v>2.9019406229360984</v>
      </c>
      <c r="Q28" s="48">
        <f t="shared" si="13"/>
        <v>2.9812098863158614</v>
      </c>
      <c r="R28" s="48">
        <f t="shared" si="14"/>
        <v>2.6205433970762622</v>
      </c>
      <c r="S28" s="48">
        <f t="shared" si="15"/>
        <v>2.676668494700253</v>
      </c>
      <c r="T28" s="48">
        <f t="shared" si="16"/>
        <v>2.7709513631005884</v>
      </c>
      <c r="U28" s="48">
        <v>2.9812098863158614</v>
      </c>
      <c r="V28" s="48">
        <v>2.7709513631005884</v>
      </c>
      <c r="W28" s="49">
        <f t="shared" si="17"/>
        <v>0.340493396023545</v>
      </c>
      <c r="X28" s="49"/>
      <c r="Y28" s="49"/>
      <c r="Z28" s="49"/>
      <c r="AA28" s="48"/>
      <c r="AB28" s="48"/>
      <c r="AC28" s="48"/>
      <c r="AD28" s="48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30"/>
      <c r="AP28" s="30"/>
      <c r="AQ28" s="30"/>
      <c r="AR28" s="30"/>
      <c r="AS28" s="30"/>
      <c r="AT28" s="30"/>
      <c r="AU28" s="30"/>
      <c r="AV28" s="30"/>
      <c r="AW28" s="30"/>
    </row>
    <row r="29" spans="1:49" ht="15" hidden="1" customHeight="1">
      <c r="A29" s="44" t="s">
        <v>138</v>
      </c>
      <c r="B29" s="45" t="s">
        <v>139</v>
      </c>
      <c r="C29" s="23" t="s">
        <v>140</v>
      </c>
      <c r="D29" s="45">
        <v>1999</v>
      </c>
      <c r="E29" s="45"/>
      <c r="F29" s="45"/>
      <c r="H29" s="47">
        <v>895.4</v>
      </c>
      <c r="I29" s="37">
        <v>923.22329890000003</v>
      </c>
      <c r="J29" s="39">
        <f t="shared" si="5"/>
        <v>978.86989670000014</v>
      </c>
      <c r="K29" s="37">
        <v>424.19659739999997</v>
      </c>
      <c r="L29" s="37">
        <v>512.08023690000005</v>
      </c>
      <c r="M29" s="39">
        <f t="shared" si="0"/>
        <v>687.84751590000019</v>
      </c>
      <c r="N29" s="37">
        <v>905.10396979999996</v>
      </c>
      <c r="O29" s="48">
        <f t="shared" si="11"/>
        <v>2.9520170900474261</v>
      </c>
      <c r="P29" s="48">
        <f t="shared" si="12"/>
        <v>2.9653067560109898</v>
      </c>
      <c r="Q29" s="48">
        <f t="shared" si="13"/>
        <v>2.9907249728040912</v>
      </c>
      <c r="R29" s="48"/>
      <c r="S29" s="50"/>
      <c r="T29" s="25"/>
      <c r="U29" s="48">
        <v>2.9907249728040912</v>
      </c>
      <c r="V29" s="25"/>
      <c r="W29" s="25"/>
      <c r="X29" s="25"/>
      <c r="Y29" s="25"/>
      <c r="Z29" s="25"/>
      <c r="AA29" s="25"/>
      <c r="AB29" s="25"/>
      <c r="AC29" s="25"/>
      <c r="AD29" s="25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30"/>
      <c r="AP29" s="30"/>
      <c r="AQ29" s="30"/>
      <c r="AR29" s="30"/>
      <c r="AS29" s="30"/>
      <c r="AT29" s="30"/>
      <c r="AU29" s="30"/>
      <c r="AV29" s="30"/>
      <c r="AW29" s="30"/>
    </row>
    <row r="30" spans="1:49" ht="15" hidden="1" customHeight="1">
      <c r="A30" s="51" t="s">
        <v>138</v>
      </c>
      <c r="B30" s="28" t="s">
        <v>142</v>
      </c>
      <c r="C30" s="52"/>
      <c r="D30" s="28">
        <v>1989</v>
      </c>
      <c r="E30" s="28"/>
      <c r="F30" s="28"/>
      <c r="G30" s="28"/>
      <c r="H30" s="23"/>
      <c r="I30" s="28"/>
      <c r="N30" s="53"/>
      <c r="O30" s="54">
        <v>1.8561937799999999</v>
      </c>
      <c r="Q30" s="25"/>
      <c r="R30" s="55">
        <v>0.84593512171160601</v>
      </c>
      <c r="S30" s="56"/>
      <c r="T30" s="25"/>
      <c r="U30" s="57">
        <v>1.8561937799999999</v>
      </c>
      <c r="V30" s="58">
        <v>0.84593512171160601</v>
      </c>
      <c r="W30" s="49">
        <f t="shared" si="17"/>
        <v>2.5137363879223109</v>
      </c>
      <c r="X30" s="49"/>
      <c r="Y30" s="49"/>
      <c r="Z30" s="49"/>
      <c r="AA30" s="58"/>
      <c r="AB30" s="58"/>
      <c r="AC30" s="58"/>
      <c r="AD30" s="58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30"/>
      <c r="AP30" s="30"/>
      <c r="AQ30" s="30"/>
      <c r="AR30" s="30"/>
      <c r="AS30" s="30"/>
      <c r="AT30" s="30"/>
      <c r="AU30" s="30"/>
      <c r="AV30" s="30"/>
      <c r="AW30" s="30"/>
    </row>
    <row r="31" spans="1:49" ht="15" hidden="1" customHeight="1">
      <c r="A31" s="51" t="s">
        <v>138</v>
      </c>
      <c r="B31" s="28" t="s">
        <v>142</v>
      </c>
      <c r="C31" s="52"/>
      <c r="D31" s="28">
        <v>1989</v>
      </c>
      <c r="E31" s="28"/>
      <c r="F31" s="28"/>
      <c r="G31" s="28"/>
      <c r="H31" s="23"/>
      <c r="I31" s="28"/>
      <c r="K31" s="53"/>
      <c r="L31" s="45"/>
      <c r="N31" s="53"/>
      <c r="O31" s="54">
        <v>1.94565279</v>
      </c>
      <c r="Q31" s="25"/>
      <c r="R31" s="48">
        <v>0.47810649171160619</v>
      </c>
      <c r="S31" s="56"/>
      <c r="T31" s="25"/>
      <c r="U31" s="57">
        <v>1.94565279</v>
      </c>
      <c r="V31" s="58">
        <v>0.47810649171160619</v>
      </c>
      <c r="W31" s="49">
        <f t="shared" si="17"/>
        <v>2.8378129438926649</v>
      </c>
      <c r="X31" s="49"/>
      <c r="Y31" s="49"/>
      <c r="Z31" s="49"/>
      <c r="AA31" s="58"/>
      <c r="AB31" s="58"/>
      <c r="AC31" s="58"/>
      <c r="AD31" s="58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30"/>
      <c r="AP31" s="30"/>
      <c r="AQ31" s="30"/>
      <c r="AR31" s="30"/>
      <c r="AS31" s="30"/>
      <c r="AT31" s="30"/>
      <c r="AU31" s="30"/>
      <c r="AV31" s="30"/>
      <c r="AW31" s="30"/>
    </row>
    <row r="32" spans="1:49" ht="15" hidden="1" customHeight="1">
      <c r="A32" s="51" t="s">
        <v>138</v>
      </c>
      <c r="B32" s="28" t="s">
        <v>142</v>
      </c>
      <c r="C32" s="52"/>
      <c r="D32" s="28">
        <v>1989</v>
      </c>
      <c r="E32" s="28"/>
      <c r="F32" s="28"/>
      <c r="G32" s="28"/>
      <c r="H32" s="23"/>
      <c r="I32" s="28"/>
      <c r="K32" s="53"/>
      <c r="L32" s="45"/>
      <c r="N32" s="53"/>
      <c r="O32" s="54">
        <v>2.1331208099999999</v>
      </c>
      <c r="Q32" s="25"/>
      <c r="R32" s="48">
        <v>0.78578921171160598</v>
      </c>
      <c r="S32" s="56"/>
      <c r="T32" s="25"/>
      <c r="U32" s="57">
        <v>2.1331208099999999</v>
      </c>
      <c r="V32" s="58">
        <v>0.78578921171160598</v>
      </c>
      <c r="W32" s="49">
        <f t="shared" si="17"/>
        <v>2.4881631135813733</v>
      </c>
      <c r="X32" s="49"/>
      <c r="Y32" s="49"/>
      <c r="Z32" s="49"/>
      <c r="AA32" s="58"/>
      <c r="AB32" s="58"/>
      <c r="AC32" s="58"/>
      <c r="AD32" s="58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30"/>
      <c r="AP32" s="30"/>
      <c r="AQ32" s="30"/>
      <c r="AR32" s="30"/>
      <c r="AS32" s="30"/>
      <c r="AT32" s="30"/>
      <c r="AU32" s="30"/>
      <c r="AV32" s="30"/>
      <c r="AW32" s="30"/>
    </row>
    <row r="33" spans="1:49" ht="15" hidden="1" customHeight="1">
      <c r="A33" s="51" t="s">
        <v>138</v>
      </c>
      <c r="B33" s="28" t="s">
        <v>142</v>
      </c>
      <c r="C33" s="52"/>
      <c r="D33" s="28">
        <v>1989</v>
      </c>
      <c r="E33" s="28"/>
      <c r="F33" s="28"/>
      <c r="G33" s="28"/>
      <c r="H33" s="23"/>
      <c r="I33" s="28"/>
      <c r="K33" s="53"/>
      <c r="L33" s="45"/>
      <c r="N33" s="53"/>
      <c r="O33" s="54">
        <v>2.1345418700000001</v>
      </c>
      <c r="Q33" s="25"/>
      <c r="R33" s="48">
        <v>0.91706358171160618</v>
      </c>
      <c r="S33" s="56"/>
      <c r="T33" s="25"/>
      <c r="U33" s="57">
        <v>2.1345418700000001</v>
      </c>
      <c r="V33" s="58">
        <v>0.91706358171160618</v>
      </c>
      <c r="W33" s="49">
        <f t="shared" si="17"/>
        <v>2.3625148496102968</v>
      </c>
      <c r="X33" s="49"/>
      <c r="Y33" s="49"/>
      <c r="Z33" s="49"/>
      <c r="AA33" s="58"/>
      <c r="AB33" s="58"/>
      <c r="AC33" s="58"/>
      <c r="AD33" s="58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30"/>
      <c r="AP33" s="30"/>
      <c r="AQ33" s="30"/>
      <c r="AR33" s="30"/>
      <c r="AS33" s="30"/>
      <c r="AT33" s="30"/>
      <c r="AU33" s="30"/>
      <c r="AV33" s="30"/>
      <c r="AW33" s="30"/>
    </row>
    <row r="34" spans="1:49" ht="15" hidden="1" customHeight="1">
      <c r="A34" s="51" t="s">
        <v>138</v>
      </c>
      <c r="B34" s="28" t="s">
        <v>142</v>
      </c>
      <c r="C34" s="52"/>
      <c r="D34" s="28">
        <v>1989</v>
      </c>
      <c r="E34" s="28"/>
      <c r="F34" s="28"/>
      <c r="G34" s="28"/>
      <c r="H34" s="23"/>
      <c r="I34" s="28"/>
      <c r="K34" s="53"/>
      <c r="L34" s="45"/>
      <c r="N34" s="53"/>
      <c r="O34" s="54">
        <v>2.2637445</v>
      </c>
      <c r="Q34" s="25"/>
      <c r="R34" s="48">
        <v>1.3194131517116063</v>
      </c>
      <c r="S34" s="56"/>
      <c r="T34" s="25"/>
      <c r="U34" s="57">
        <v>2.2637445</v>
      </c>
      <c r="V34" s="58">
        <v>1.3194131517116063</v>
      </c>
      <c r="W34" s="49">
        <f t="shared" si="17"/>
        <v>1.9400142287175985</v>
      </c>
      <c r="X34" s="49"/>
      <c r="Y34" s="49"/>
      <c r="Z34" s="49"/>
      <c r="AA34" s="58"/>
      <c r="AB34" s="58"/>
      <c r="AC34" s="58"/>
      <c r="AD34" s="58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30"/>
      <c r="AP34" s="30"/>
      <c r="AQ34" s="30"/>
      <c r="AR34" s="30"/>
      <c r="AS34" s="30"/>
      <c r="AT34" s="30"/>
      <c r="AU34" s="30"/>
      <c r="AV34" s="30"/>
      <c r="AW34" s="30"/>
    </row>
    <row r="35" spans="1:49" ht="15" hidden="1" customHeight="1">
      <c r="A35" s="51" t="s">
        <v>138</v>
      </c>
      <c r="B35" s="28" t="s">
        <v>142</v>
      </c>
      <c r="C35" s="52"/>
      <c r="D35" s="28">
        <v>1989</v>
      </c>
      <c r="E35" s="28"/>
      <c r="F35" s="28"/>
      <c r="G35" s="28"/>
      <c r="H35" s="23"/>
      <c r="I35" s="28"/>
      <c r="K35" s="53"/>
      <c r="L35" s="45"/>
      <c r="N35" s="53"/>
      <c r="O35" s="54">
        <v>2.3311945000000001</v>
      </c>
      <c r="Q35" s="25"/>
      <c r="R35" s="48">
        <v>1.0026197017116061</v>
      </c>
      <c r="S35" s="56"/>
      <c r="T35" s="25"/>
      <c r="U35" s="57">
        <v>2.3311945000000001</v>
      </c>
      <c r="V35" s="58">
        <v>1.0026197017116061</v>
      </c>
      <c r="W35" s="49">
        <f t="shared" si="17"/>
        <v>2.2220005664025986</v>
      </c>
      <c r="X35" s="49"/>
      <c r="Y35" s="49"/>
      <c r="Z35" s="49"/>
      <c r="AA35" s="58"/>
      <c r="AB35" s="58"/>
      <c r="AC35" s="58"/>
      <c r="AD35" s="58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30"/>
      <c r="AP35" s="30"/>
      <c r="AQ35" s="30"/>
      <c r="AR35" s="30"/>
      <c r="AS35" s="30"/>
      <c r="AT35" s="30"/>
      <c r="AU35" s="30"/>
      <c r="AV35" s="30"/>
      <c r="AW35" s="30"/>
    </row>
    <row r="36" spans="1:49" ht="15" hidden="1" customHeight="1">
      <c r="A36" s="51" t="s">
        <v>138</v>
      </c>
      <c r="B36" s="28" t="s">
        <v>142</v>
      </c>
      <c r="C36" s="52"/>
      <c r="D36" s="28">
        <v>1989</v>
      </c>
      <c r="E36" s="28"/>
      <c r="F36" s="28"/>
      <c r="G36" s="28"/>
      <c r="H36" s="23"/>
      <c r="I36" s="28"/>
      <c r="K36" s="53"/>
      <c r="L36" s="45"/>
      <c r="N36" s="53"/>
      <c r="O36" s="54">
        <v>2.3323451300000002</v>
      </c>
      <c r="Q36" s="25"/>
      <c r="R36" s="48">
        <v>0.95130679171160604</v>
      </c>
      <c r="S36" s="56"/>
      <c r="T36" s="25"/>
      <c r="U36" s="57">
        <v>2.3323451300000002</v>
      </c>
      <c r="V36" s="58">
        <v>0.95130679171160604</v>
      </c>
      <c r="W36" s="49">
        <f t="shared" si="17"/>
        <v>2.2706033092611011</v>
      </c>
      <c r="X36" s="49"/>
      <c r="Y36" s="49"/>
      <c r="Z36" s="49"/>
      <c r="AA36" s="58"/>
      <c r="AB36" s="58"/>
      <c r="AC36" s="58"/>
      <c r="AD36" s="58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30"/>
      <c r="AP36" s="30"/>
      <c r="AQ36" s="30"/>
      <c r="AR36" s="30"/>
      <c r="AS36" s="30"/>
      <c r="AT36" s="30"/>
      <c r="AU36" s="30"/>
      <c r="AV36" s="30"/>
      <c r="AW36" s="30"/>
    </row>
    <row r="37" spans="1:49" ht="15" hidden="1" customHeight="1">
      <c r="A37" s="51" t="s">
        <v>138</v>
      </c>
      <c r="B37" s="28" t="s">
        <v>142</v>
      </c>
      <c r="C37" s="52"/>
      <c r="D37" s="28">
        <v>1989</v>
      </c>
      <c r="E37" s="28"/>
      <c r="F37" s="28"/>
      <c r="G37" s="28"/>
      <c r="H37" s="23"/>
      <c r="I37" s="28"/>
      <c r="K37" s="53"/>
      <c r="L37" s="45"/>
      <c r="N37" s="53"/>
      <c r="O37" s="54">
        <v>2.3941068900000002</v>
      </c>
      <c r="Q37" s="25"/>
      <c r="R37" s="48">
        <v>1.1885796417116061</v>
      </c>
      <c r="S37" s="56"/>
      <c r="T37" s="25"/>
      <c r="U37" s="57">
        <v>2.3941068900000002</v>
      </c>
      <c r="V37" s="58">
        <v>1.1885796417116061</v>
      </c>
      <c r="W37" s="49">
        <f t="shared" si="17"/>
        <v>2.0257695711868049</v>
      </c>
      <c r="X37" s="49"/>
      <c r="Y37" s="49"/>
      <c r="Z37" s="49"/>
      <c r="AA37" s="58"/>
      <c r="AB37" s="58"/>
      <c r="AC37" s="58"/>
      <c r="AD37" s="58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30"/>
      <c r="AP37" s="30"/>
      <c r="AQ37" s="30"/>
      <c r="AR37" s="30"/>
      <c r="AS37" s="30"/>
      <c r="AT37" s="30"/>
      <c r="AU37" s="30"/>
      <c r="AV37" s="30"/>
      <c r="AW37" s="30"/>
    </row>
    <row r="38" spans="1:49" ht="15" hidden="1" customHeight="1">
      <c r="A38" s="51" t="s">
        <v>138</v>
      </c>
      <c r="B38" s="28" t="s">
        <v>142</v>
      </c>
      <c r="C38" s="52"/>
      <c r="D38" s="28">
        <v>1989</v>
      </c>
      <c r="E38" s="28"/>
      <c r="F38" s="28"/>
      <c r="G38" s="28"/>
      <c r="H38" s="23"/>
      <c r="I38" s="28"/>
      <c r="K38" s="53"/>
      <c r="L38" s="45"/>
      <c r="N38" s="53"/>
      <c r="O38" s="54">
        <v>2.4227636100000001</v>
      </c>
      <c r="Q38" s="25"/>
      <c r="R38" s="48">
        <v>1.221311551711606</v>
      </c>
      <c r="S38" s="56"/>
      <c r="T38" s="25"/>
      <c r="U38" s="57">
        <v>2.4227636100000001</v>
      </c>
      <c r="V38" s="58">
        <v>1.221311551711606</v>
      </c>
      <c r="W38" s="49">
        <f t="shared" si="17"/>
        <v>1.9859632096424933</v>
      </c>
      <c r="X38" s="49"/>
      <c r="Y38" s="49"/>
      <c r="Z38" s="49"/>
      <c r="AA38" s="58"/>
      <c r="AB38" s="58"/>
      <c r="AC38" s="58"/>
      <c r="AD38" s="58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30"/>
      <c r="AP38" s="30"/>
      <c r="AQ38" s="30"/>
      <c r="AR38" s="30"/>
      <c r="AS38" s="30"/>
      <c r="AT38" s="30"/>
      <c r="AU38" s="30"/>
      <c r="AV38" s="30"/>
      <c r="AW38" s="30"/>
    </row>
    <row r="39" spans="1:49" ht="15" hidden="1" customHeight="1">
      <c r="A39" s="51" t="s">
        <v>138</v>
      </c>
      <c r="B39" s="28" t="s">
        <v>142</v>
      </c>
      <c r="C39" s="52"/>
      <c r="D39" s="28">
        <v>1989</v>
      </c>
      <c r="E39" s="28"/>
      <c r="F39" s="28"/>
      <c r="G39" s="28"/>
      <c r="H39" s="23"/>
      <c r="I39" s="28"/>
      <c r="K39" s="53"/>
      <c r="L39" s="45"/>
      <c r="N39" s="53"/>
      <c r="O39" s="54">
        <v>2.4489771999999999</v>
      </c>
      <c r="Q39" s="25"/>
      <c r="R39" s="48">
        <v>1.1316519517116064</v>
      </c>
      <c r="S39" s="56"/>
      <c r="T39" s="25"/>
      <c r="U39" s="57">
        <v>2.4489771999999999</v>
      </c>
      <c r="V39" s="58">
        <v>1.1316519517116064</v>
      </c>
      <c r="W39" s="49">
        <f t="shared" si="17"/>
        <v>2.0636378870231789</v>
      </c>
      <c r="X39" s="49"/>
      <c r="Y39" s="49"/>
      <c r="Z39" s="49"/>
      <c r="AA39" s="58"/>
      <c r="AB39" s="58"/>
      <c r="AC39" s="58"/>
      <c r="AD39" s="58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30"/>
      <c r="AP39" s="30"/>
      <c r="AQ39" s="30"/>
      <c r="AR39" s="30"/>
      <c r="AS39" s="30"/>
      <c r="AT39" s="30"/>
      <c r="AU39" s="30"/>
      <c r="AV39" s="30"/>
      <c r="AW39" s="30"/>
    </row>
    <row r="40" spans="1:49" ht="15" hidden="1" customHeight="1">
      <c r="A40" s="51" t="s">
        <v>138</v>
      </c>
      <c r="B40" s="28" t="s">
        <v>142</v>
      </c>
      <c r="C40" s="52"/>
      <c r="D40" s="28">
        <v>1989</v>
      </c>
      <c r="E40" s="28"/>
      <c r="F40" s="28"/>
      <c r="G40" s="28"/>
      <c r="H40" s="23"/>
      <c r="I40" s="28"/>
      <c r="K40" s="53"/>
      <c r="L40" s="45"/>
      <c r="N40" s="53"/>
      <c r="O40" s="54">
        <v>2.49659517</v>
      </c>
      <c r="Q40" s="25"/>
      <c r="R40" s="48">
        <v>1.0704295817116061</v>
      </c>
      <c r="S40" s="56"/>
      <c r="T40" s="25"/>
      <c r="U40" s="57">
        <v>2.49659517</v>
      </c>
      <c r="V40" s="58">
        <v>1.0704295817116061</v>
      </c>
      <c r="W40" s="49">
        <f t="shared" si="17"/>
        <v>2.1077751523491171</v>
      </c>
      <c r="X40" s="49"/>
      <c r="Y40" s="49"/>
      <c r="Z40" s="49"/>
      <c r="AA40" s="58"/>
      <c r="AB40" s="58"/>
      <c r="AC40" s="58"/>
      <c r="AD40" s="58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30"/>
      <c r="AP40" s="30"/>
      <c r="AQ40" s="30"/>
      <c r="AR40" s="30"/>
      <c r="AS40" s="30"/>
      <c r="AT40" s="30"/>
      <c r="AU40" s="30"/>
      <c r="AV40" s="30"/>
      <c r="AW40" s="30"/>
    </row>
    <row r="41" spans="1:49" ht="15" hidden="1" customHeight="1">
      <c r="A41" s="51" t="s">
        <v>138</v>
      </c>
      <c r="B41" s="28" t="s">
        <v>142</v>
      </c>
      <c r="C41" s="52"/>
      <c r="D41" s="28">
        <v>1989</v>
      </c>
      <c r="E41" s="28"/>
      <c r="F41" s="28"/>
      <c r="G41" s="28"/>
      <c r="H41" s="23"/>
      <c r="I41" s="28"/>
      <c r="K41" s="53"/>
      <c r="L41" s="45"/>
      <c r="N41" s="53"/>
      <c r="O41" s="54">
        <v>2.5189843299999999</v>
      </c>
      <c r="Q41" s="25"/>
      <c r="R41" s="48">
        <v>1.4769627317116063</v>
      </c>
      <c r="S41" s="56"/>
      <c r="T41" s="25"/>
      <c r="U41" s="57">
        <v>2.5189843299999999</v>
      </c>
      <c r="V41" s="58">
        <v>1.4769627317116063</v>
      </c>
      <c r="W41" s="49">
        <f t="shared" si="17"/>
        <v>1.713277076370781</v>
      </c>
      <c r="X41" s="49"/>
      <c r="Y41" s="49"/>
      <c r="Z41" s="49"/>
      <c r="AA41" s="58"/>
      <c r="AB41" s="58"/>
      <c r="AC41" s="58"/>
      <c r="AD41" s="58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30"/>
      <c r="AP41" s="30"/>
      <c r="AQ41" s="30"/>
      <c r="AR41" s="30"/>
      <c r="AS41" s="30"/>
      <c r="AT41" s="30"/>
      <c r="AU41" s="30"/>
      <c r="AV41" s="30"/>
      <c r="AW41" s="30"/>
    </row>
    <row r="42" spans="1:49" ht="15" hidden="1" customHeight="1">
      <c r="A42" s="51" t="s">
        <v>138</v>
      </c>
      <c r="B42" s="28" t="s">
        <v>142</v>
      </c>
      <c r="C42" s="52"/>
      <c r="D42" s="28">
        <v>1989</v>
      </c>
      <c r="E42" s="28"/>
      <c r="F42" s="28"/>
      <c r="G42" s="28"/>
      <c r="H42" s="23"/>
      <c r="I42" s="28"/>
      <c r="K42" s="53"/>
      <c r="L42" s="45"/>
      <c r="N42" s="53"/>
      <c r="O42" s="54">
        <v>2.60065678</v>
      </c>
      <c r="Q42" s="25"/>
      <c r="R42" s="48">
        <v>1.1428355017116063</v>
      </c>
      <c r="S42" s="56"/>
      <c r="T42" s="25"/>
      <c r="U42" s="57">
        <v>2.60065678</v>
      </c>
      <c r="V42" s="58">
        <v>1.1428355017116063</v>
      </c>
      <c r="W42" s="49">
        <f t="shared" si="17"/>
        <v>2.0075381331505109</v>
      </c>
      <c r="X42" s="49"/>
      <c r="Y42" s="49"/>
      <c r="Z42" s="49"/>
      <c r="AA42" s="58"/>
      <c r="AB42" s="58"/>
      <c r="AC42" s="58"/>
      <c r="AD42" s="58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30"/>
      <c r="AP42" s="30"/>
      <c r="AQ42" s="30"/>
      <c r="AR42" s="30"/>
      <c r="AS42" s="30"/>
      <c r="AT42" s="30"/>
      <c r="AU42" s="30"/>
      <c r="AV42" s="30"/>
      <c r="AW42" s="30"/>
    </row>
    <row r="43" spans="1:49" ht="15" hidden="1" customHeight="1">
      <c r="A43" s="51" t="s">
        <v>138</v>
      </c>
      <c r="B43" s="28" t="s">
        <v>142</v>
      </c>
      <c r="C43" s="52"/>
      <c r="D43" s="28">
        <v>1989</v>
      </c>
      <c r="E43" s="28"/>
      <c r="F43" s="28"/>
      <c r="G43" s="28"/>
      <c r="H43" s="23"/>
      <c r="I43" s="28"/>
      <c r="K43" s="53"/>
      <c r="L43" s="45"/>
      <c r="N43" s="53"/>
      <c r="O43" s="54">
        <v>2.7104132000000001</v>
      </c>
      <c r="Q43" s="25"/>
      <c r="R43" s="48">
        <v>1.1538619117116062</v>
      </c>
      <c r="S43" s="56"/>
      <c r="T43" s="25"/>
      <c r="U43" s="57">
        <v>2.7104132000000001</v>
      </c>
      <c r="V43" s="58">
        <v>1.1538619117116062</v>
      </c>
      <c r="W43" s="49">
        <f t="shared" si="17"/>
        <v>1.9641452928535785</v>
      </c>
      <c r="X43" s="49"/>
      <c r="Y43" s="49"/>
      <c r="Z43" s="49"/>
      <c r="AA43" s="58"/>
      <c r="AB43" s="58"/>
      <c r="AC43" s="58"/>
      <c r="AD43" s="58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30"/>
      <c r="AP43" s="30"/>
      <c r="AQ43" s="30"/>
      <c r="AR43" s="30"/>
      <c r="AS43" s="30"/>
      <c r="AT43" s="30"/>
      <c r="AU43" s="30"/>
      <c r="AV43" s="30"/>
      <c r="AW43" s="30"/>
    </row>
    <row r="44" spans="1:49" ht="15" hidden="1" customHeight="1">
      <c r="A44" s="51" t="s">
        <v>138</v>
      </c>
      <c r="B44" s="28" t="s">
        <v>142</v>
      </c>
      <c r="C44" s="52"/>
      <c r="D44" s="28">
        <v>1989</v>
      </c>
      <c r="E44" s="28"/>
      <c r="F44" s="28"/>
      <c r="G44" s="28"/>
      <c r="H44" s="23"/>
      <c r="I44" s="28"/>
      <c r="K44" s="53"/>
      <c r="L44" s="45"/>
      <c r="N44" s="53"/>
      <c r="O44" s="54">
        <v>2.7419985599999999</v>
      </c>
      <c r="Q44" s="25"/>
      <c r="R44" s="48">
        <v>1.9518356517116064</v>
      </c>
      <c r="S44" s="56"/>
      <c r="T44" s="25"/>
      <c r="U44" s="57">
        <v>2.7419985599999999</v>
      </c>
      <c r="V44" s="58">
        <v>1.9518356517116064</v>
      </c>
      <c r="W44" s="49">
        <f t="shared" si="17"/>
        <v>1.1934975499477229</v>
      </c>
      <c r="X44" s="49"/>
      <c r="Y44" s="49"/>
      <c r="Z44" s="49"/>
      <c r="AA44" s="58"/>
      <c r="AB44" s="58"/>
      <c r="AC44" s="58"/>
      <c r="AD44" s="58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30"/>
      <c r="AP44" s="30"/>
      <c r="AQ44" s="30"/>
      <c r="AR44" s="30"/>
      <c r="AS44" s="30"/>
      <c r="AT44" s="30"/>
      <c r="AU44" s="30"/>
      <c r="AV44" s="30"/>
      <c r="AW44" s="30"/>
    </row>
    <row r="45" spans="1:49" ht="15" hidden="1" customHeight="1">
      <c r="A45" s="51" t="s">
        <v>138</v>
      </c>
      <c r="B45" s="28" t="s">
        <v>142</v>
      </c>
      <c r="C45" s="52"/>
      <c r="D45" s="28">
        <v>1989</v>
      </c>
      <c r="E45" s="28"/>
      <c r="F45" s="28"/>
      <c r="G45" s="28"/>
      <c r="H45" s="23"/>
      <c r="I45" s="28"/>
      <c r="K45" s="53"/>
      <c r="L45" s="45"/>
      <c r="N45" s="53"/>
      <c r="O45" s="54">
        <v>2.8471645099999998</v>
      </c>
      <c r="Q45" s="25"/>
      <c r="R45" s="48">
        <v>1.3574640517116061</v>
      </c>
      <c r="S45" s="56"/>
      <c r="T45" s="25"/>
      <c r="U45" s="57">
        <v>2.8471645099999998</v>
      </c>
      <c r="V45" s="58">
        <v>1.3574640517116061</v>
      </c>
      <c r="W45" s="49">
        <f t="shared" si="17"/>
        <v>1.7289688300803532</v>
      </c>
      <c r="X45" s="49"/>
      <c r="Y45" s="49"/>
      <c r="Z45" s="49"/>
      <c r="AA45" s="58"/>
      <c r="AB45" s="58"/>
      <c r="AC45" s="58"/>
      <c r="AD45" s="58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30"/>
      <c r="AP45" s="30"/>
      <c r="AQ45" s="30"/>
      <c r="AR45" s="30"/>
      <c r="AS45" s="30"/>
      <c r="AT45" s="30"/>
      <c r="AU45" s="30"/>
      <c r="AV45" s="30"/>
      <c r="AW45" s="30"/>
    </row>
    <row r="46" spans="1:49" ht="15" hidden="1" customHeight="1">
      <c r="A46" s="51" t="s">
        <v>138</v>
      </c>
      <c r="B46" s="28" t="s">
        <v>142</v>
      </c>
      <c r="C46" s="52"/>
      <c r="D46" s="28">
        <v>1989</v>
      </c>
      <c r="E46" s="28"/>
      <c r="F46" s="28"/>
      <c r="G46" s="28"/>
      <c r="H46" s="23"/>
      <c r="I46" s="28"/>
      <c r="K46" s="53"/>
      <c r="L46" s="45"/>
      <c r="N46" s="53"/>
      <c r="O46" s="54">
        <v>2.8581395999999999</v>
      </c>
      <c r="Q46" s="25"/>
      <c r="R46" s="48">
        <v>1.7924103617116063</v>
      </c>
      <c r="S46" s="56"/>
      <c r="T46" s="25"/>
      <c r="U46" s="57">
        <v>2.8581395999999999</v>
      </c>
      <c r="V46" s="58">
        <v>1.7924103617116063</v>
      </c>
      <c r="W46" s="49">
        <f t="shared" si="17"/>
        <v>1.3107862355291386</v>
      </c>
      <c r="X46" s="49"/>
      <c r="Y46" s="49"/>
      <c r="Z46" s="49"/>
      <c r="AA46" s="58"/>
      <c r="AB46" s="58"/>
      <c r="AC46" s="58"/>
      <c r="AD46" s="58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30"/>
      <c r="AP46" s="30"/>
      <c r="AQ46" s="30"/>
      <c r="AR46" s="30"/>
      <c r="AS46" s="30"/>
      <c r="AT46" s="30"/>
      <c r="AU46" s="30"/>
      <c r="AV46" s="30"/>
      <c r="AW46" s="30"/>
    </row>
    <row r="47" spans="1:49" ht="15" hidden="1" customHeight="1">
      <c r="A47" s="51" t="s">
        <v>138</v>
      </c>
      <c r="B47" s="28" t="s">
        <v>142</v>
      </c>
      <c r="C47" s="52"/>
      <c r="D47" s="28">
        <v>1989</v>
      </c>
      <c r="E47" s="28"/>
      <c r="F47" s="28"/>
      <c r="G47" s="28"/>
      <c r="H47" s="23"/>
      <c r="I47" s="28"/>
      <c r="K47" s="53"/>
      <c r="L47" s="45"/>
      <c r="N47" s="53"/>
      <c r="O47" s="54">
        <v>2.9503018700000001</v>
      </c>
      <c r="Q47" s="25"/>
      <c r="R47" s="48">
        <v>1.5816095117116062</v>
      </c>
      <c r="S47" s="56"/>
      <c r="T47" s="25"/>
      <c r="U47" s="57">
        <v>2.9503018700000001</v>
      </c>
      <c r="V47" s="58">
        <v>1.5816095117116062</v>
      </c>
      <c r="W47" s="49">
        <f t="shared" si="17"/>
        <v>1.4842642992872968</v>
      </c>
      <c r="X47" s="49"/>
      <c r="Y47" s="49"/>
      <c r="Z47" s="49"/>
      <c r="AA47" s="58"/>
      <c r="AB47" s="58"/>
      <c r="AC47" s="58"/>
      <c r="AD47" s="58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30"/>
      <c r="AP47" s="30"/>
      <c r="AQ47" s="30"/>
      <c r="AR47" s="30"/>
      <c r="AS47" s="30"/>
      <c r="AT47" s="30"/>
      <c r="AU47" s="30"/>
      <c r="AV47" s="30"/>
      <c r="AW47" s="30"/>
    </row>
    <row r="48" spans="1:49" ht="15" hidden="1" customHeight="1">
      <c r="A48" s="51" t="s">
        <v>138</v>
      </c>
      <c r="B48" s="28" t="s">
        <v>142</v>
      </c>
      <c r="C48" s="52"/>
      <c r="D48" s="28">
        <v>1989</v>
      </c>
      <c r="E48" s="28"/>
      <c r="F48" s="28"/>
      <c r="G48" s="28"/>
      <c r="H48" s="23"/>
      <c r="I48" s="28"/>
      <c r="K48" s="53"/>
      <c r="L48" s="45"/>
      <c r="N48" s="53"/>
      <c r="O48" s="54">
        <v>2.9479880899999999</v>
      </c>
      <c r="Q48" s="25"/>
      <c r="R48" s="48">
        <v>1.9932430117116062</v>
      </c>
      <c r="S48" s="56"/>
      <c r="T48" s="25"/>
      <c r="U48" s="57">
        <v>2.9479880899999999</v>
      </c>
      <c r="V48" s="58">
        <v>1.9932430117116062</v>
      </c>
      <c r="W48" s="49">
        <f t="shared" si="17"/>
        <v>1.0923001376662846</v>
      </c>
      <c r="X48" s="49"/>
      <c r="Y48" s="49"/>
      <c r="Z48" s="49"/>
      <c r="AA48" s="58"/>
      <c r="AB48" s="58"/>
      <c r="AC48" s="58"/>
      <c r="AD48" s="58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30"/>
      <c r="AP48" s="30"/>
      <c r="AQ48" s="30"/>
      <c r="AR48" s="30"/>
      <c r="AS48" s="30"/>
      <c r="AT48" s="30"/>
      <c r="AU48" s="30"/>
      <c r="AV48" s="30"/>
      <c r="AW48" s="30"/>
    </row>
    <row r="49" spans="1:49" ht="15" hidden="1" customHeight="1">
      <c r="A49" s="51" t="s">
        <v>138</v>
      </c>
      <c r="B49" s="28" t="s">
        <v>142</v>
      </c>
      <c r="C49" s="52"/>
      <c r="D49" s="28">
        <v>1989</v>
      </c>
      <c r="E49" s="28"/>
      <c r="F49" s="28"/>
      <c r="G49" s="28"/>
      <c r="H49" s="23"/>
      <c r="I49" s="28"/>
      <c r="K49" s="53"/>
      <c r="L49" s="45"/>
      <c r="N49" s="53"/>
      <c r="O49" s="54">
        <v>2.9760118800000002</v>
      </c>
      <c r="Q49" s="25"/>
      <c r="R49" s="48">
        <v>2.4599885117116065</v>
      </c>
      <c r="S49" s="56"/>
      <c r="T49" s="25"/>
      <c r="U49" s="57">
        <v>2.9760118800000002</v>
      </c>
      <c r="V49" s="58">
        <v>2.4599885117116065</v>
      </c>
      <c r="W49" s="49">
        <f t="shared" si="17"/>
        <v>0.63867779072605046</v>
      </c>
      <c r="X49" s="49"/>
      <c r="Y49" s="49"/>
      <c r="Z49" s="49"/>
      <c r="AA49" s="58"/>
      <c r="AB49" s="58"/>
      <c r="AC49" s="58"/>
      <c r="AD49" s="58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30"/>
      <c r="AP49" s="30"/>
      <c r="AQ49" s="30"/>
      <c r="AR49" s="30"/>
      <c r="AS49" s="30"/>
      <c r="AT49" s="30"/>
      <c r="AU49" s="30"/>
      <c r="AV49" s="30"/>
      <c r="AW49" s="30"/>
    </row>
    <row r="50" spans="1:49" ht="15" hidden="1" customHeight="1">
      <c r="A50" s="51" t="s">
        <v>138</v>
      </c>
      <c r="B50" s="28" t="s">
        <v>142</v>
      </c>
      <c r="C50" s="52"/>
      <c r="D50" s="28">
        <v>1989</v>
      </c>
      <c r="E50" s="28"/>
      <c r="F50" s="28"/>
      <c r="G50" s="28"/>
      <c r="H50" s="23"/>
      <c r="I50" s="28"/>
      <c r="K50" s="53"/>
      <c r="L50" s="45"/>
      <c r="N50" s="53"/>
      <c r="O50" s="54">
        <v>3.0064331399999999</v>
      </c>
      <c r="Q50" s="25"/>
      <c r="R50" s="48">
        <v>1.9657451317116061</v>
      </c>
      <c r="S50" s="56"/>
      <c r="T50" s="25"/>
      <c r="U50" s="57">
        <v>3.0064331399999999</v>
      </c>
      <c r="V50" s="58">
        <v>1.9657451317116061</v>
      </c>
      <c r="W50" s="49">
        <f t="shared" si="17"/>
        <v>1.1010246351750548</v>
      </c>
      <c r="X50" s="49"/>
      <c r="Y50" s="49"/>
      <c r="Z50" s="49"/>
      <c r="AA50" s="58"/>
      <c r="AB50" s="58"/>
      <c r="AC50" s="58"/>
      <c r="AD50" s="58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30"/>
      <c r="AP50" s="30"/>
      <c r="AQ50" s="30"/>
      <c r="AR50" s="30"/>
      <c r="AS50" s="30"/>
      <c r="AT50" s="30"/>
      <c r="AU50" s="30"/>
      <c r="AV50" s="30"/>
      <c r="AW50" s="30"/>
    </row>
    <row r="51" spans="1:49" ht="15" hidden="1" customHeight="1">
      <c r="A51" s="51" t="s">
        <v>138</v>
      </c>
      <c r="B51" s="28" t="s">
        <v>142</v>
      </c>
      <c r="C51" s="52"/>
      <c r="D51" s="28">
        <v>1989</v>
      </c>
      <c r="E51" s="28"/>
      <c r="F51" s="28"/>
      <c r="G51" s="28"/>
      <c r="H51" s="23"/>
      <c r="I51" s="28"/>
      <c r="K51" s="53"/>
      <c r="L51" s="45"/>
      <c r="N51" s="53"/>
      <c r="O51" s="54">
        <v>3.1337746700000002</v>
      </c>
      <c r="Q51" s="25"/>
      <c r="R51" s="48">
        <v>1.8054575317116062</v>
      </c>
      <c r="S51" s="56"/>
      <c r="T51" s="25"/>
      <c r="U51" s="57">
        <v>3.1337746700000002</v>
      </c>
      <c r="V51" s="58">
        <v>1.8054575317116062</v>
      </c>
      <c r="W51" s="49">
        <f t="shared" si="17"/>
        <v>1.2157810559784168</v>
      </c>
      <c r="X51" s="49"/>
      <c r="Y51" s="49"/>
      <c r="Z51" s="49"/>
      <c r="AA51" s="58"/>
      <c r="AB51" s="58"/>
      <c r="AC51" s="58"/>
      <c r="AD51" s="58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30"/>
      <c r="AP51" s="30"/>
      <c r="AQ51" s="30"/>
      <c r="AR51" s="30"/>
      <c r="AS51" s="30"/>
      <c r="AT51" s="30"/>
      <c r="AU51" s="30"/>
      <c r="AV51" s="30"/>
      <c r="AW51" s="30"/>
    </row>
    <row r="52" spans="1:49" ht="15" hidden="1" customHeight="1">
      <c r="A52" s="51" t="s">
        <v>138</v>
      </c>
      <c r="B52" s="28" t="s">
        <v>142</v>
      </c>
      <c r="C52" s="52"/>
      <c r="D52" s="28">
        <v>1989</v>
      </c>
      <c r="E52" s="28"/>
      <c r="F52" s="28"/>
      <c r="G52" s="28"/>
      <c r="H52" s="23"/>
      <c r="I52" s="28"/>
      <c r="K52" s="53"/>
      <c r="L52" s="45"/>
      <c r="N52" s="53"/>
      <c r="O52" s="54">
        <v>3.1693261700000002</v>
      </c>
      <c r="Q52" s="25"/>
      <c r="R52" s="48">
        <v>2.0863730817116064</v>
      </c>
      <c r="S52" s="56"/>
      <c r="T52" s="25"/>
      <c r="U52" s="57">
        <v>3.1693261700000002</v>
      </c>
      <c r="V52" s="58">
        <v>2.0863730817116064</v>
      </c>
      <c r="W52" s="49">
        <f t="shared" si="17"/>
        <v>0.93716716401651667</v>
      </c>
      <c r="X52" s="49"/>
      <c r="Y52" s="49"/>
      <c r="Z52" s="49"/>
      <c r="AA52" s="58"/>
      <c r="AB52" s="58"/>
      <c r="AC52" s="58"/>
      <c r="AD52" s="58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30"/>
      <c r="AP52" s="30"/>
      <c r="AQ52" s="30"/>
      <c r="AR52" s="30"/>
      <c r="AS52" s="30"/>
      <c r="AT52" s="30"/>
      <c r="AU52" s="30"/>
      <c r="AV52" s="30"/>
      <c r="AW52" s="30"/>
    </row>
    <row r="53" spans="1:49" ht="15" hidden="1" customHeight="1">
      <c r="A53" s="51" t="s">
        <v>138</v>
      </c>
      <c r="B53" s="28" t="s">
        <v>142</v>
      </c>
      <c r="C53" s="52"/>
      <c r="D53" s="28">
        <v>1989</v>
      </c>
      <c r="E53" s="28"/>
      <c r="F53" s="28"/>
      <c r="G53" s="28"/>
      <c r="H53" s="23"/>
      <c r="I53" s="28"/>
      <c r="K53" s="53"/>
      <c r="L53" s="45"/>
      <c r="N53" s="53"/>
      <c r="O53" s="54">
        <v>3.1310365400000002</v>
      </c>
      <c r="Q53" s="25"/>
      <c r="R53" s="48">
        <v>2.3849986617116063</v>
      </c>
      <c r="S53" s="56"/>
      <c r="T53" s="25"/>
      <c r="U53" s="57">
        <v>3.1310365400000002</v>
      </c>
      <c r="V53" s="58">
        <v>2.3849986617116063</v>
      </c>
      <c r="W53" s="49">
        <f t="shared" si="17"/>
        <v>0.66377690936441469</v>
      </c>
      <c r="X53" s="49"/>
      <c r="Y53" s="49"/>
      <c r="Z53" s="49"/>
      <c r="AA53" s="58"/>
      <c r="AB53" s="58"/>
      <c r="AC53" s="58"/>
      <c r="AD53" s="58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30"/>
      <c r="AP53" s="30"/>
      <c r="AQ53" s="30"/>
      <c r="AR53" s="30"/>
      <c r="AS53" s="30"/>
      <c r="AT53" s="30"/>
      <c r="AU53" s="30"/>
      <c r="AV53" s="30"/>
      <c r="AW53" s="30"/>
    </row>
    <row r="54" spans="1:49" ht="15" hidden="1" customHeight="1">
      <c r="A54" s="51" t="s">
        <v>138</v>
      </c>
      <c r="B54" s="28" t="s">
        <v>142</v>
      </c>
      <c r="C54" s="52"/>
      <c r="D54" s="28">
        <v>1989</v>
      </c>
      <c r="E54" s="28"/>
      <c r="F54" s="28"/>
      <c r="G54" s="28"/>
      <c r="H54" s="23"/>
      <c r="I54" s="28"/>
      <c r="K54" s="53"/>
      <c r="L54" s="45"/>
      <c r="N54" s="53"/>
      <c r="O54" s="54">
        <v>3.1282670700000001</v>
      </c>
      <c r="Q54" s="25"/>
      <c r="R54" s="48">
        <v>2.4318431617116065</v>
      </c>
      <c r="S54" s="56"/>
      <c r="T54" s="25"/>
      <c r="U54" s="57">
        <v>3.1282670700000001</v>
      </c>
      <c r="V54" s="58">
        <v>2.4318431617116065</v>
      </c>
      <c r="W54" s="49">
        <f t="shared" si="17"/>
        <v>0.61992146520837643</v>
      </c>
      <c r="X54" s="49"/>
      <c r="Y54" s="49"/>
      <c r="Z54" s="49"/>
      <c r="AA54" s="58"/>
      <c r="AB54" s="58"/>
      <c r="AC54" s="58"/>
      <c r="AD54" s="58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30"/>
      <c r="AP54" s="30"/>
      <c r="AQ54" s="30"/>
      <c r="AR54" s="30"/>
      <c r="AS54" s="30"/>
      <c r="AT54" s="30"/>
      <c r="AU54" s="30"/>
      <c r="AV54" s="30"/>
      <c r="AW54" s="30"/>
    </row>
    <row r="55" spans="1:49" ht="15" hidden="1" customHeight="1">
      <c r="A55" s="51" t="s">
        <v>138</v>
      </c>
      <c r="B55" s="28" t="s">
        <v>142</v>
      </c>
      <c r="C55" s="52"/>
      <c r="D55" s="28">
        <v>1989</v>
      </c>
      <c r="E55" s="28"/>
      <c r="F55" s="28"/>
      <c r="G55" s="28"/>
      <c r="H55" s="23"/>
      <c r="I55" s="28"/>
      <c r="K55" s="53"/>
      <c r="L55" s="45"/>
      <c r="N55" s="53"/>
      <c r="O55" s="54">
        <v>3.1242301800000001</v>
      </c>
      <c r="Q55" s="25"/>
      <c r="R55" s="48">
        <v>2.4500340617116065</v>
      </c>
      <c r="S55" s="56"/>
      <c r="T55" s="25"/>
      <c r="U55" s="57">
        <v>3.1242301800000001</v>
      </c>
      <c r="V55" s="58">
        <v>2.4500340617116065</v>
      </c>
      <c r="W55" s="49">
        <f t="shared" si="17"/>
        <v>0.60377831356087064</v>
      </c>
      <c r="X55" s="49"/>
      <c r="Y55" s="49"/>
      <c r="Z55" s="49"/>
      <c r="AA55" s="58"/>
      <c r="AB55" s="58"/>
      <c r="AC55" s="58"/>
      <c r="AD55" s="58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30"/>
      <c r="AP55" s="30"/>
      <c r="AQ55" s="30"/>
      <c r="AR55" s="30"/>
      <c r="AS55" s="30"/>
      <c r="AT55" s="30"/>
      <c r="AU55" s="30"/>
      <c r="AV55" s="30"/>
      <c r="AW55" s="30"/>
    </row>
    <row r="56" spans="1:49" ht="15" hidden="1" customHeight="1">
      <c r="A56" s="51" t="s">
        <v>138</v>
      </c>
      <c r="B56" s="28" t="s">
        <v>142</v>
      </c>
      <c r="C56" s="52"/>
      <c r="D56" s="28">
        <v>1989</v>
      </c>
      <c r="E56" s="28"/>
      <c r="F56" s="28"/>
      <c r="G56" s="28"/>
      <c r="H56" s="23"/>
      <c r="I56" s="28"/>
      <c r="K56" s="53"/>
      <c r="L56" s="45"/>
      <c r="N56" s="53"/>
      <c r="O56" s="54">
        <v>3.1972683200000001</v>
      </c>
      <c r="Q56" s="25"/>
      <c r="R56" s="48">
        <v>2.3217200517116066</v>
      </c>
      <c r="S56" s="56"/>
      <c r="T56" s="25"/>
      <c r="U56" s="57">
        <v>3.1972683200000001</v>
      </c>
      <c r="V56" s="58">
        <v>2.3217200517116066</v>
      </c>
      <c r="W56" s="49">
        <f t="shared" si="17"/>
        <v>0.70430032803162668</v>
      </c>
      <c r="X56" s="49"/>
      <c r="Y56" s="49"/>
      <c r="Z56" s="49"/>
      <c r="AA56" s="58"/>
      <c r="AB56" s="58"/>
      <c r="AC56" s="58"/>
      <c r="AD56" s="58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30"/>
      <c r="AP56" s="30"/>
      <c r="AQ56" s="30"/>
      <c r="AR56" s="30"/>
      <c r="AS56" s="30"/>
      <c r="AT56" s="30"/>
      <c r="AU56" s="30"/>
      <c r="AV56" s="30"/>
      <c r="AW56" s="30"/>
    </row>
    <row r="57" spans="1:49" ht="15" hidden="1" customHeight="1">
      <c r="A57" s="51" t="s">
        <v>138</v>
      </c>
      <c r="B57" s="28" t="s">
        <v>142</v>
      </c>
      <c r="C57" s="52"/>
      <c r="D57" s="28">
        <v>1989</v>
      </c>
      <c r="E57" s="28"/>
      <c r="F57" s="28"/>
      <c r="G57" s="28"/>
      <c r="H57" s="23"/>
      <c r="I57" s="28"/>
      <c r="K57" s="53"/>
      <c r="L57" s="45"/>
      <c r="N57" s="53"/>
      <c r="O57" s="54">
        <v>3.1999635199999998</v>
      </c>
      <c r="Q57" s="25"/>
      <c r="R57" s="48">
        <v>2.3357773617116062</v>
      </c>
      <c r="S57" s="56"/>
      <c r="T57" s="25"/>
      <c r="U57" s="57">
        <v>3.1999635199999998</v>
      </c>
      <c r="V57" s="58">
        <v>2.3357773617116062</v>
      </c>
      <c r="W57" s="49">
        <f t="shared" si="17"/>
        <v>0.69008378132070658</v>
      </c>
      <c r="X57" s="49"/>
      <c r="Y57" s="49"/>
      <c r="Z57" s="49"/>
      <c r="AA57" s="58"/>
      <c r="AB57" s="58"/>
      <c r="AC57" s="58"/>
      <c r="AD57" s="58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30"/>
      <c r="AP57" s="30"/>
      <c r="AQ57" s="30"/>
      <c r="AR57" s="30"/>
      <c r="AS57" s="30"/>
      <c r="AT57" s="30"/>
      <c r="AU57" s="30"/>
      <c r="AV57" s="30"/>
      <c r="AW57" s="30"/>
    </row>
    <row r="58" spans="1:49" ht="15" hidden="1" customHeight="1">
      <c r="A58" s="51" t="s">
        <v>138</v>
      </c>
      <c r="B58" s="28" t="s">
        <v>142</v>
      </c>
      <c r="C58" s="52"/>
      <c r="D58" s="28">
        <v>1989</v>
      </c>
      <c r="E58" s="28"/>
      <c r="F58" s="28"/>
      <c r="G58" s="28"/>
      <c r="H58" s="23"/>
      <c r="I58" s="28"/>
      <c r="K58" s="53"/>
      <c r="L58" s="45"/>
      <c r="N58" s="53"/>
      <c r="O58" s="54">
        <v>3.2067513700000001</v>
      </c>
      <c r="Q58" s="25"/>
      <c r="R58" s="48">
        <v>2.3534652617116065</v>
      </c>
      <c r="S58" s="56"/>
      <c r="T58" s="25"/>
      <c r="U58" s="57">
        <v>3.2067513700000001</v>
      </c>
      <c r="V58" s="58">
        <v>2.3534652617116065</v>
      </c>
      <c r="W58" s="49">
        <f t="shared" si="17"/>
        <v>0.67117816545459652</v>
      </c>
      <c r="X58" s="49"/>
      <c r="Y58" s="49"/>
      <c r="Z58" s="49"/>
      <c r="AA58" s="58"/>
      <c r="AB58" s="58"/>
      <c r="AC58" s="58"/>
      <c r="AD58" s="58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30"/>
      <c r="AP58" s="30"/>
      <c r="AQ58" s="30"/>
      <c r="AR58" s="30"/>
      <c r="AS58" s="30"/>
      <c r="AT58" s="30"/>
      <c r="AU58" s="30"/>
      <c r="AV58" s="30"/>
      <c r="AW58" s="30"/>
    </row>
    <row r="59" spans="1:49" ht="15" hidden="1" customHeight="1">
      <c r="A59" s="51" t="s">
        <v>138</v>
      </c>
      <c r="B59" s="28" t="s">
        <v>142</v>
      </c>
      <c r="C59" s="52"/>
      <c r="D59" s="28">
        <v>1989</v>
      </c>
      <c r="E59" s="28"/>
      <c r="F59" s="28"/>
      <c r="G59" s="28"/>
      <c r="H59" s="23"/>
      <c r="I59" s="28"/>
      <c r="K59" s="53"/>
      <c r="L59" s="45"/>
      <c r="N59" s="53"/>
      <c r="O59" s="54">
        <v>3.1386411399999998</v>
      </c>
      <c r="Q59" s="25"/>
      <c r="R59" s="48">
        <v>2.5807429917116065</v>
      </c>
      <c r="S59" s="56"/>
      <c r="T59" s="25"/>
      <c r="U59" s="57">
        <v>3.1386411399999998</v>
      </c>
      <c r="V59" s="58">
        <v>2.5807429917116065</v>
      </c>
      <c r="W59" s="49">
        <f t="shared" si="17"/>
        <v>0.47477862820425476</v>
      </c>
      <c r="X59" s="49"/>
      <c r="Y59" s="49"/>
      <c r="Z59" s="49"/>
      <c r="AA59" s="58"/>
      <c r="AB59" s="58"/>
      <c r="AC59" s="58"/>
      <c r="AD59" s="58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30"/>
      <c r="AP59" s="30"/>
      <c r="AQ59" s="30"/>
      <c r="AR59" s="30"/>
      <c r="AS59" s="30"/>
      <c r="AT59" s="30"/>
      <c r="AU59" s="30"/>
      <c r="AV59" s="30"/>
      <c r="AW59" s="30"/>
    </row>
    <row r="60" spans="1:49" ht="15" hidden="1" customHeight="1">
      <c r="A60" s="51" t="s">
        <v>138</v>
      </c>
      <c r="B60" s="28" t="s">
        <v>142</v>
      </c>
      <c r="C60" s="52"/>
      <c r="D60" s="28">
        <v>1989</v>
      </c>
      <c r="E60" s="28"/>
      <c r="F60" s="28"/>
      <c r="G60" s="28"/>
      <c r="H60" s="23"/>
      <c r="I60" s="28"/>
      <c r="K60" s="53"/>
      <c r="L60" s="45"/>
      <c r="N60" s="53"/>
      <c r="O60" s="54">
        <v>3.1399793800000002</v>
      </c>
      <c r="Q60" s="25"/>
      <c r="R60" s="48">
        <v>2.5807523617116064</v>
      </c>
      <c r="S60" s="56"/>
      <c r="T60" s="25"/>
      <c r="U60" s="57">
        <v>3.1399793800000002</v>
      </c>
      <c r="V60" s="58">
        <v>2.5807523617116064</v>
      </c>
      <c r="W60" s="49">
        <f t="shared" si="17"/>
        <v>0.47436885436055048</v>
      </c>
      <c r="X60" s="49"/>
      <c r="Y60" s="49"/>
      <c r="Z60" s="49"/>
      <c r="AA60" s="58"/>
      <c r="AB60" s="58"/>
      <c r="AC60" s="58"/>
      <c r="AD60" s="58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30"/>
      <c r="AP60" s="30"/>
      <c r="AQ60" s="30"/>
      <c r="AR60" s="30"/>
      <c r="AS60" s="30"/>
      <c r="AT60" s="30"/>
      <c r="AU60" s="30"/>
      <c r="AV60" s="30"/>
      <c r="AW60" s="30"/>
    </row>
    <row r="61" spans="1:49" ht="15" hidden="1" customHeight="1">
      <c r="A61" s="51" t="s">
        <v>138</v>
      </c>
      <c r="B61" s="28" t="s">
        <v>142</v>
      </c>
      <c r="C61" s="52"/>
      <c r="D61" s="28">
        <v>1989</v>
      </c>
      <c r="E61" s="28"/>
      <c r="F61" s="28"/>
      <c r="G61" s="28"/>
      <c r="H61" s="23"/>
      <c r="I61" s="28"/>
      <c r="K61" s="53"/>
      <c r="L61" s="45"/>
      <c r="N61" s="53"/>
      <c r="O61" s="54">
        <v>3.1507215099999999</v>
      </c>
      <c r="Q61" s="25"/>
      <c r="R61" s="48">
        <v>2.5732162217116064</v>
      </c>
      <c r="S61" s="56"/>
      <c r="T61" s="25"/>
      <c r="U61" s="57">
        <v>3.1507215099999999</v>
      </c>
      <c r="V61" s="58">
        <v>2.5732162217116064</v>
      </c>
      <c r="W61" s="49">
        <f t="shared" si="17"/>
        <v>0.47834004611515291</v>
      </c>
      <c r="X61" s="49"/>
      <c r="Y61" s="49"/>
      <c r="Z61" s="49"/>
      <c r="AA61" s="58"/>
      <c r="AB61" s="58"/>
      <c r="AC61" s="58"/>
      <c r="AD61" s="58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30"/>
      <c r="AP61" s="30"/>
      <c r="AQ61" s="30"/>
      <c r="AR61" s="30"/>
      <c r="AS61" s="30"/>
      <c r="AT61" s="30"/>
      <c r="AU61" s="30"/>
      <c r="AV61" s="30"/>
      <c r="AW61" s="30"/>
    </row>
    <row r="62" spans="1:49" ht="15" hidden="1" customHeight="1">
      <c r="A62" s="51" t="s">
        <v>138</v>
      </c>
      <c r="B62" s="28" t="s">
        <v>142</v>
      </c>
      <c r="C62" s="52"/>
      <c r="D62" s="28">
        <v>1989</v>
      </c>
      <c r="E62" s="28"/>
      <c r="F62" s="28"/>
      <c r="G62" s="28"/>
      <c r="H62" s="23"/>
      <c r="I62" s="28"/>
      <c r="K62" s="53"/>
      <c r="L62" s="45"/>
      <c r="N62" s="53"/>
      <c r="O62" s="54">
        <v>3.1561299100000002</v>
      </c>
      <c r="Q62" s="25"/>
      <c r="R62" s="48">
        <v>2.5580854417116066</v>
      </c>
      <c r="S62" s="56"/>
      <c r="T62" s="25"/>
      <c r="U62" s="57">
        <v>3.1561299100000002</v>
      </c>
      <c r="V62" s="58">
        <v>2.5580854417116066</v>
      </c>
      <c r="W62" s="49">
        <f t="shared" si="17"/>
        <v>0.49115334831051238</v>
      </c>
      <c r="X62" s="49"/>
      <c r="Y62" s="49"/>
      <c r="Z62" s="49"/>
      <c r="AA62" s="58"/>
      <c r="AB62" s="58"/>
      <c r="AC62" s="58"/>
      <c r="AD62" s="58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30"/>
      <c r="AP62" s="30"/>
      <c r="AQ62" s="30"/>
      <c r="AR62" s="30"/>
      <c r="AS62" s="30"/>
      <c r="AT62" s="30"/>
      <c r="AU62" s="30"/>
      <c r="AV62" s="30"/>
      <c r="AW62" s="30"/>
    </row>
    <row r="63" spans="1:49" ht="15" hidden="1" customHeight="1">
      <c r="A63" s="51" t="s">
        <v>138</v>
      </c>
      <c r="B63" s="28" t="s">
        <v>142</v>
      </c>
      <c r="C63" s="52"/>
      <c r="D63" s="28">
        <v>1989</v>
      </c>
      <c r="E63" s="28"/>
      <c r="F63" s="28"/>
      <c r="G63" s="28"/>
      <c r="H63" s="23"/>
      <c r="I63" s="28"/>
      <c r="K63" s="53"/>
      <c r="L63" s="45"/>
      <c r="N63" s="53"/>
      <c r="O63" s="54">
        <v>3.1615397199999999</v>
      </c>
      <c r="Q63" s="25"/>
      <c r="R63" s="48">
        <v>2.5467937017116062</v>
      </c>
      <c r="S63" s="56"/>
      <c r="T63" s="25"/>
      <c r="U63" s="57">
        <v>3.1615397199999999</v>
      </c>
      <c r="V63" s="58">
        <v>2.5467937017116062</v>
      </c>
      <c r="W63" s="49">
        <f t="shared" si="17"/>
        <v>0.50030416792018706</v>
      </c>
      <c r="X63" s="49"/>
      <c r="Y63" s="49"/>
      <c r="Z63" s="49"/>
      <c r="AA63" s="58"/>
      <c r="AB63" s="58"/>
      <c r="AC63" s="58"/>
      <c r="AD63" s="58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30"/>
      <c r="AP63" s="30"/>
      <c r="AQ63" s="30"/>
      <c r="AR63" s="30"/>
      <c r="AS63" s="30"/>
      <c r="AT63" s="30"/>
      <c r="AU63" s="30"/>
      <c r="AV63" s="30"/>
      <c r="AW63" s="30"/>
    </row>
    <row r="64" spans="1:49" ht="15" hidden="1" customHeight="1">
      <c r="A64" s="51" t="s">
        <v>138</v>
      </c>
      <c r="B64" s="28" t="s">
        <v>142</v>
      </c>
      <c r="C64" s="52"/>
      <c r="D64" s="28">
        <v>1989</v>
      </c>
      <c r="E64" s="28"/>
      <c r="F64" s="28"/>
      <c r="G64" s="28"/>
      <c r="H64" s="23"/>
      <c r="I64" s="28"/>
      <c r="K64" s="53"/>
      <c r="L64" s="45"/>
      <c r="N64" s="53"/>
      <c r="O64" s="54">
        <v>3.16830912</v>
      </c>
      <c r="Q64" s="25"/>
      <c r="R64" s="48">
        <v>2.5355513317116065</v>
      </c>
      <c r="S64" s="56"/>
      <c r="T64" s="25"/>
      <c r="U64" s="57">
        <v>3.16830912</v>
      </c>
      <c r="V64" s="58">
        <v>2.5355513317116065</v>
      </c>
      <c r="W64" s="49">
        <f t="shared" si="17"/>
        <v>0.50900066283594636</v>
      </c>
      <c r="X64" s="49"/>
      <c r="Y64" s="49"/>
      <c r="Z64" s="49"/>
      <c r="AA64" s="58"/>
      <c r="AB64" s="58"/>
      <c r="AC64" s="58"/>
      <c r="AD64" s="58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30"/>
      <c r="AP64" s="30"/>
      <c r="AQ64" s="30"/>
      <c r="AR64" s="30"/>
      <c r="AS64" s="30"/>
      <c r="AT64" s="30"/>
      <c r="AU64" s="30"/>
      <c r="AV64" s="30"/>
      <c r="AW64" s="30"/>
    </row>
    <row r="65" spans="1:49" ht="15" hidden="1" customHeight="1">
      <c r="A65" s="51" t="s">
        <v>138</v>
      </c>
      <c r="B65" s="28" t="s">
        <v>142</v>
      </c>
      <c r="C65" s="52"/>
      <c r="D65" s="28">
        <v>1989</v>
      </c>
      <c r="E65" s="28"/>
      <c r="F65" s="28"/>
      <c r="G65" s="28"/>
      <c r="H65" s="23"/>
      <c r="I65" s="28"/>
      <c r="K65" s="53"/>
      <c r="L65" s="45"/>
      <c r="N65" s="53"/>
      <c r="O65" s="54">
        <v>3.1805274200000002</v>
      </c>
      <c r="Q65" s="25"/>
      <c r="R65" s="48">
        <v>2.5169087917116064</v>
      </c>
      <c r="S65" s="56"/>
      <c r="T65" s="25"/>
      <c r="U65" s="57">
        <v>3.1805274200000002</v>
      </c>
      <c r="V65" s="58">
        <v>2.5169087917116064</v>
      </c>
      <c r="W65" s="49">
        <f t="shared" si="17"/>
        <v>0.52312410032176682</v>
      </c>
      <c r="X65" s="49"/>
      <c r="Y65" s="49"/>
      <c r="Z65" s="49"/>
      <c r="AA65" s="58"/>
      <c r="AB65" s="58"/>
      <c r="AC65" s="58"/>
      <c r="AD65" s="58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30"/>
      <c r="AP65" s="30"/>
      <c r="AQ65" s="30"/>
      <c r="AR65" s="30"/>
      <c r="AS65" s="30"/>
      <c r="AT65" s="30"/>
      <c r="AU65" s="30"/>
      <c r="AV65" s="30"/>
      <c r="AW65" s="30"/>
    </row>
    <row r="66" spans="1:49" ht="15" hidden="1" customHeight="1">
      <c r="A66" s="51" t="s">
        <v>138</v>
      </c>
      <c r="B66" s="28" t="s">
        <v>142</v>
      </c>
      <c r="C66" s="52"/>
      <c r="D66" s="28">
        <v>1989</v>
      </c>
      <c r="E66" s="28"/>
      <c r="F66" s="28"/>
      <c r="G66" s="28"/>
      <c r="H66" s="23"/>
      <c r="I66" s="28"/>
      <c r="K66" s="53"/>
      <c r="L66" s="45"/>
      <c r="N66" s="53"/>
      <c r="O66" s="54">
        <v>3.22928704</v>
      </c>
      <c r="Q66" s="25"/>
      <c r="R66" s="48">
        <v>2.7215398317116062</v>
      </c>
      <c r="S66" s="56"/>
      <c r="T66" s="25"/>
      <c r="U66" s="57">
        <v>3.22928704</v>
      </c>
      <c r="V66" s="58">
        <v>2.7215398317116062</v>
      </c>
      <c r="W66" s="49">
        <f t="shared" si="17"/>
        <v>0.31332184558911508</v>
      </c>
      <c r="X66" s="49"/>
      <c r="Y66" s="49"/>
      <c r="Z66" s="49"/>
      <c r="AA66" s="58"/>
      <c r="AB66" s="58"/>
      <c r="AC66" s="58"/>
      <c r="AD66" s="58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30"/>
      <c r="AP66" s="30"/>
      <c r="AQ66" s="30"/>
      <c r="AR66" s="30"/>
      <c r="AS66" s="30"/>
      <c r="AT66" s="30"/>
      <c r="AU66" s="30"/>
      <c r="AV66" s="30"/>
      <c r="AW66" s="30"/>
    </row>
    <row r="67" spans="1:49" ht="15" hidden="1" customHeight="1">
      <c r="A67" s="51" t="s">
        <v>138</v>
      </c>
      <c r="B67" s="28" t="s">
        <v>142</v>
      </c>
      <c r="C67" s="52"/>
      <c r="D67" s="28">
        <v>1989</v>
      </c>
      <c r="E67" s="28"/>
      <c r="F67" s="28"/>
      <c r="G67" s="28"/>
      <c r="H67" s="23"/>
      <c r="I67" s="28"/>
      <c r="K67" s="53"/>
      <c r="L67" s="45"/>
      <c r="N67" s="53"/>
      <c r="O67" s="54">
        <v>3.3183540699999998</v>
      </c>
      <c r="Q67" s="25"/>
      <c r="R67" s="48">
        <v>2.8436733917116062</v>
      </c>
      <c r="S67" s="56"/>
      <c r="T67" s="25"/>
      <c r="U67" s="57">
        <v>3.3183540699999998</v>
      </c>
      <c r="V67" s="58">
        <v>2.8436733917116062</v>
      </c>
      <c r="W67" s="49">
        <f t="shared" si="17"/>
        <v>0.1701408761711769</v>
      </c>
      <c r="X67" s="49"/>
      <c r="Y67" s="49"/>
      <c r="Z67" s="49"/>
      <c r="AA67" s="58"/>
      <c r="AB67" s="58"/>
      <c r="AC67" s="58"/>
      <c r="AD67" s="58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30"/>
      <c r="AP67" s="30"/>
      <c r="AQ67" s="30"/>
      <c r="AR67" s="30"/>
      <c r="AS67" s="30"/>
      <c r="AT67" s="30"/>
      <c r="AU67" s="30"/>
      <c r="AV67" s="30"/>
      <c r="AW67" s="30"/>
    </row>
    <row r="68" spans="1:49" ht="15" hidden="1" customHeight="1">
      <c r="A68" s="51" t="s">
        <v>138</v>
      </c>
      <c r="B68" s="28" t="s">
        <v>142</v>
      </c>
      <c r="C68" s="52"/>
      <c r="D68" s="28">
        <v>1989</v>
      </c>
      <c r="E68" s="28"/>
      <c r="F68" s="28"/>
      <c r="G68" s="28"/>
      <c r="H68" s="23"/>
      <c r="I68" s="28"/>
      <c r="K68" s="53"/>
      <c r="L68" s="45"/>
      <c r="N68" s="53"/>
      <c r="O68" s="54">
        <v>3.3093477999999998</v>
      </c>
      <c r="Q68" s="25"/>
      <c r="R68" s="48">
        <v>2.4293910417116065</v>
      </c>
      <c r="S68" s="56"/>
      <c r="T68" s="25"/>
      <c r="U68" s="57">
        <v>3.3093477999999998</v>
      </c>
      <c r="V68" s="58">
        <v>2.4293910417116065</v>
      </c>
      <c r="W68" s="49">
        <f t="shared" si="17"/>
        <v>0.56802240925541869</v>
      </c>
      <c r="X68" s="49"/>
      <c r="Y68" s="49"/>
      <c r="Z68" s="49"/>
      <c r="AA68" s="58"/>
      <c r="AB68" s="58"/>
      <c r="AC68" s="58"/>
      <c r="AD68" s="58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30"/>
      <c r="AP68" s="30"/>
      <c r="AQ68" s="30"/>
      <c r="AR68" s="30"/>
      <c r="AS68" s="30"/>
      <c r="AT68" s="30"/>
      <c r="AU68" s="30"/>
      <c r="AV68" s="30"/>
      <c r="AW68" s="30"/>
    </row>
    <row r="69" spans="1:49" ht="15" hidden="1" customHeight="1">
      <c r="A69" s="51" t="s">
        <v>138</v>
      </c>
      <c r="B69" s="28" t="s">
        <v>142</v>
      </c>
      <c r="C69" s="52"/>
      <c r="D69" s="28">
        <v>1989</v>
      </c>
      <c r="E69" s="28"/>
      <c r="F69" s="28"/>
      <c r="G69" s="28"/>
      <c r="H69" s="23"/>
      <c r="I69" s="28"/>
      <c r="K69" s="53"/>
      <c r="L69" s="45"/>
      <c r="N69" s="53"/>
      <c r="O69" s="54">
        <v>3.3809269199999998</v>
      </c>
      <c r="Q69" s="25"/>
      <c r="R69" s="48">
        <v>2.3088700617116062</v>
      </c>
      <c r="S69" s="56"/>
      <c r="T69" s="25"/>
      <c r="U69" s="57">
        <v>3.3809269199999998</v>
      </c>
      <c r="V69" s="58">
        <v>2.3088700617116062</v>
      </c>
      <c r="W69" s="49">
        <f t="shared" si="17"/>
        <v>0.66154766479106686</v>
      </c>
      <c r="X69" s="49"/>
      <c r="Y69" s="49"/>
      <c r="Z69" s="49"/>
      <c r="AA69" s="58"/>
      <c r="AB69" s="58"/>
      <c r="AC69" s="58"/>
      <c r="AD69" s="58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30"/>
      <c r="AP69" s="30"/>
      <c r="AQ69" s="30"/>
      <c r="AR69" s="30"/>
      <c r="AS69" s="30"/>
      <c r="AT69" s="30"/>
      <c r="AU69" s="30"/>
      <c r="AV69" s="30"/>
      <c r="AW69" s="30"/>
    </row>
    <row r="70" spans="1:49" ht="15" hidden="1" customHeight="1">
      <c r="A70" s="51" t="s">
        <v>138</v>
      </c>
      <c r="B70" s="28" t="s">
        <v>142</v>
      </c>
      <c r="C70" s="52"/>
      <c r="D70" s="28">
        <v>1989</v>
      </c>
      <c r="E70" s="28"/>
      <c r="F70" s="28"/>
      <c r="G70" s="28"/>
      <c r="H70" s="23"/>
      <c r="I70" s="28"/>
      <c r="K70" s="53"/>
      <c r="L70" s="45"/>
      <c r="N70" s="53"/>
      <c r="O70" s="54">
        <v>3.46062329</v>
      </c>
      <c r="Q70" s="25"/>
      <c r="R70" s="48">
        <v>2.5224664917116062</v>
      </c>
      <c r="S70" s="56"/>
      <c r="T70" s="25"/>
      <c r="U70" s="57">
        <v>3.46062329</v>
      </c>
      <c r="V70" s="58">
        <v>2.5224664917116062</v>
      </c>
      <c r="W70" s="49">
        <f t="shared" si="17"/>
        <v>0.43392700686836516</v>
      </c>
      <c r="X70" s="49"/>
      <c r="Y70" s="49"/>
      <c r="Z70" s="49"/>
      <c r="AA70" s="58"/>
      <c r="AB70" s="58"/>
      <c r="AC70" s="58"/>
      <c r="AD70" s="58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30"/>
      <c r="AP70" s="30"/>
      <c r="AQ70" s="30"/>
      <c r="AR70" s="30"/>
      <c r="AS70" s="30"/>
      <c r="AT70" s="30"/>
      <c r="AU70" s="30"/>
      <c r="AV70" s="30"/>
      <c r="AW70" s="30"/>
    </row>
    <row r="71" spans="1:49" ht="15" hidden="1" customHeight="1">
      <c r="A71" s="51" t="s">
        <v>138</v>
      </c>
      <c r="B71" s="28" t="s">
        <v>142</v>
      </c>
      <c r="C71" s="52"/>
      <c r="D71" s="28">
        <v>1989</v>
      </c>
      <c r="E71" s="28"/>
      <c r="F71" s="28"/>
      <c r="G71" s="28"/>
      <c r="H71" s="23"/>
      <c r="I71" s="28"/>
      <c r="K71" s="53"/>
      <c r="L71" s="45"/>
      <c r="N71" s="53"/>
      <c r="O71" s="54">
        <v>3.46691729</v>
      </c>
      <c r="Q71" s="25"/>
      <c r="R71" s="48">
        <v>2.3586025317116062</v>
      </c>
      <c r="S71" s="56"/>
      <c r="T71" s="25"/>
      <c r="U71" s="57">
        <v>3.46691729</v>
      </c>
      <c r="V71" s="58">
        <v>2.3586025317116062</v>
      </c>
      <c r="W71" s="49">
        <f t="shared" si="17"/>
        <v>0.58835163047996486</v>
      </c>
      <c r="X71" s="49"/>
      <c r="Y71" s="49"/>
      <c r="Z71" s="49"/>
      <c r="AA71" s="58"/>
      <c r="AB71" s="58"/>
      <c r="AC71" s="58"/>
      <c r="AD71" s="58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30"/>
      <c r="AP71" s="30"/>
      <c r="AQ71" s="30"/>
      <c r="AR71" s="30"/>
      <c r="AS71" s="30"/>
      <c r="AT71" s="30"/>
      <c r="AU71" s="30"/>
      <c r="AV71" s="30"/>
      <c r="AW71" s="30"/>
    </row>
    <row r="72" spans="1:49" ht="15" hidden="1" customHeight="1">
      <c r="A72" s="51" t="s">
        <v>138</v>
      </c>
      <c r="B72" s="28" t="s">
        <v>142</v>
      </c>
      <c r="C72" s="52"/>
      <c r="D72" s="28">
        <v>1989</v>
      </c>
      <c r="E72" s="28"/>
      <c r="F72" s="28"/>
      <c r="G72" s="28"/>
      <c r="H72" s="23"/>
      <c r="I72" s="28"/>
      <c r="K72" s="53"/>
      <c r="L72" s="45"/>
      <c r="N72" s="53"/>
      <c r="O72" s="54">
        <v>3.5481550899999998</v>
      </c>
      <c r="Q72" s="25"/>
      <c r="R72" s="48">
        <v>2.7920553617116064</v>
      </c>
      <c r="S72" s="56"/>
      <c r="T72" s="25"/>
      <c r="U72" s="57">
        <v>3.5481550899999998</v>
      </c>
      <c r="V72" s="58">
        <v>2.7920553617116064</v>
      </c>
      <c r="W72" s="49">
        <f t="shared" si="17"/>
        <v>0.15054825639308489</v>
      </c>
      <c r="X72" s="49"/>
      <c r="Y72" s="49"/>
      <c r="Z72" s="49"/>
      <c r="AA72" s="58"/>
      <c r="AB72" s="58"/>
      <c r="AC72" s="58"/>
      <c r="AD72" s="58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30"/>
      <c r="AP72" s="30"/>
      <c r="AQ72" s="30"/>
      <c r="AR72" s="30"/>
      <c r="AS72" s="30"/>
      <c r="AT72" s="30"/>
      <c r="AU72" s="30"/>
      <c r="AV72" s="30"/>
      <c r="AW72" s="30"/>
    </row>
    <row r="73" spans="1:49" ht="15" hidden="1" customHeight="1">
      <c r="A73" s="51" t="s">
        <v>138</v>
      </c>
      <c r="B73" s="28" t="s">
        <v>142</v>
      </c>
      <c r="C73" s="52"/>
      <c r="D73" s="28">
        <v>1989</v>
      </c>
      <c r="E73" s="28"/>
      <c r="F73" s="28"/>
      <c r="G73" s="28"/>
      <c r="H73" s="23"/>
      <c r="I73" s="28"/>
      <c r="K73" s="53"/>
      <c r="L73" s="45"/>
      <c r="N73" s="53"/>
      <c r="O73" s="54">
        <v>3.45469311</v>
      </c>
      <c r="Q73" s="25"/>
      <c r="R73" s="48">
        <v>2.5374276717116064</v>
      </c>
      <c r="S73" s="56"/>
      <c r="T73" s="25"/>
      <c r="U73" s="57">
        <v>3.45469311</v>
      </c>
      <c r="V73" s="58">
        <v>2.5374276717116064</v>
      </c>
      <c r="W73" s="49">
        <f t="shared" si="17"/>
        <v>0.42143177205879262</v>
      </c>
      <c r="X73" s="49"/>
      <c r="Y73" s="49"/>
      <c r="Z73" s="49"/>
      <c r="AA73" s="58"/>
      <c r="AB73" s="58"/>
      <c r="AC73" s="58"/>
      <c r="AD73" s="58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30"/>
      <c r="AP73" s="30"/>
      <c r="AQ73" s="30"/>
      <c r="AR73" s="30"/>
      <c r="AS73" s="30"/>
      <c r="AT73" s="30"/>
      <c r="AU73" s="30"/>
      <c r="AV73" s="30"/>
      <c r="AW73" s="30"/>
    </row>
    <row r="74" spans="1:49" ht="15" hidden="1" customHeight="1">
      <c r="A74" s="51" t="s">
        <v>138</v>
      </c>
      <c r="B74" s="28" t="s">
        <v>142</v>
      </c>
      <c r="C74" s="52"/>
      <c r="D74" s="28">
        <v>1989</v>
      </c>
      <c r="E74" s="28"/>
      <c r="F74" s="28"/>
      <c r="G74" s="28"/>
      <c r="H74" s="23"/>
      <c r="I74" s="28"/>
      <c r="K74" s="53"/>
      <c r="L74" s="45"/>
      <c r="N74" s="53"/>
      <c r="O74" s="54">
        <v>3.3225921899999999</v>
      </c>
      <c r="Q74" s="25"/>
      <c r="R74" s="48">
        <v>2.8478293017116063</v>
      </c>
      <c r="S74" s="56"/>
      <c r="T74" s="25"/>
      <c r="U74" s="57">
        <v>3.3225921899999999</v>
      </c>
      <c r="V74" s="58">
        <v>2.8478293017116063</v>
      </c>
      <c r="W74" s="49">
        <f t="shared" si="17"/>
        <v>0.16490713242442473</v>
      </c>
      <c r="X74" s="49"/>
      <c r="Y74" s="49"/>
      <c r="Z74" s="49"/>
      <c r="AA74" s="58"/>
      <c r="AB74" s="58"/>
      <c r="AC74" s="58"/>
      <c r="AD74" s="58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30"/>
      <c r="AP74" s="30"/>
      <c r="AQ74" s="30"/>
      <c r="AR74" s="30"/>
      <c r="AS74" s="30"/>
      <c r="AT74" s="30"/>
      <c r="AU74" s="30"/>
      <c r="AV74" s="30"/>
      <c r="AW74" s="30"/>
    </row>
    <row r="75" spans="1:49" ht="15" hidden="1" customHeight="1">
      <c r="A75" s="51" t="s">
        <v>138</v>
      </c>
      <c r="B75" s="28" t="s">
        <v>142</v>
      </c>
      <c r="C75" s="52"/>
      <c r="D75" s="28">
        <v>1989</v>
      </c>
      <c r="E75" s="28"/>
      <c r="F75" s="28"/>
      <c r="G75" s="28"/>
      <c r="H75" s="23"/>
      <c r="I75" s="28"/>
      <c r="K75" s="53"/>
      <c r="L75" s="45"/>
      <c r="N75" s="53"/>
      <c r="O75" s="54">
        <v>3.30370973</v>
      </c>
      <c r="Q75" s="25"/>
      <c r="R75" s="48">
        <v>2.429355321711606</v>
      </c>
      <c r="S75" s="56"/>
      <c r="T75" s="25"/>
      <c r="U75" s="57">
        <v>3.30370973</v>
      </c>
      <c r="V75" s="58">
        <v>2.429355321711606</v>
      </c>
      <c r="W75" s="49">
        <f t="shared" si="17"/>
        <v>0.56974522322494126</v>
      </c>
      <c r="X75" s="49"/>
      <c r="Y75" s="49"/>
      <c r="Z75" s="49"/>
      <c r="AA75" s="58"/>
      <c r="AB75" s="58"/>
      <c r="AC75" s="58"/>
      <c r="AD75" s="58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30"/>
      <c r="AP75" s="30"/>
      <c r="AQ75" s="30"/>
      <c r="AR75" s="30"/>
      <c r="AS75" s="30"/>
      <c r="AT75" s="30"/>
      <c r="AU75" s="30"/>
      <c r="AV75" s="30"/>
      <c r="AW75" s="30"/>
    </row>
    <row r="76" spans="1:49" ht="15" hidden="1" customHeight="1">
      <c r="A76" s="51" t="s">
        <v>138</v>
      </c>
      <c r="B76" s="28" t="s">
        <v>142</v>
      </c>
      <c r="C76" s="52"/>
      <c r="D76" s="28">
        <v>1989</v>
      </c>
      <c r="E76" s="28"/>
      <c r="F76" s="28"/>
      <c r="G76" s="28"/>
      <c r="H76" s="23"/>
      <c r="I76" s="28"/>
      <c r="K76" s="53"/>
      <c r="L76" s="45"/>
      <c r="N76" s="53"/>
      <c r="O76" s="54">
        <v>2.7104199499999999</v>
      </c>
      <c r="Q76" s="25"/>
      <c r="R76" s="48">
        <v>1.1517517717116059</v>
      </c>
      <c r="S76" s="56"/>
      <c r="T76" s="25"/>
      <c r="U76" s="57">
        <v>2.7104199499999999</v>
      </c>
      <c r="V76" s="58">
        <v>1.1517517717116059</v>
      </c>
      <c r="W76" s="49">
        <f t="shared" si="17"/>
        <v>1.9661561336085296</v>
      </c>
      <c r="X76" s="49"/>
      <c r="Y76" s="49"/>
      <c r="Z76" s="49"/>
      <c r="AA76" s="58"/>
      <c r="AB76" s="58"/>
      <c r="AC76" s="58"/>
      <c r="AD76" s="58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30"/>
      <c r="AP76" s="30"/>
      <c r="AQ76" s="30"/>
      <c r="AR76" s="30"/>
      <c r="AS76" s="30"/>
      <c r="AT76" s="30"/>
      <c r="AU76" s="30"/>
      <c r="AV76" s="30"/>
      <c r="AW76" s="30"/>
    </row>
    <row r="77" spans="1:49" ht="15" hidden="1" customHeight="1">
      <c r="A77" s="51" t="s">
        <v>138</v>
      </c>
      <c r="B77" s="28" t="s">
        <v>143</v>
      </c>
      <c r="C77" s="52" t="s">
        <v>144</v>
      </c>
      <c r="D77" s="28">
        <v>2006</v>
      </c>
      <c r="E77" s="28">
        <v>10</v>
      </c>
      <c r="F77" s="28">
        <v>15</v>
      </c>
      <c r="G77" s="46">
        <f t="shared" ref="G77:G128" si="18">30.47*(E77-1)+F77</f>
        <v>289.23</v>
      </c>
      <c r="H77" s="54">
        <v>429.20687680999998</v>
      </c>
      <c r="I77" s="59">
        <v>520.84688274999996</v>
      </c>
      <c r="J77" s="54"/>
      <c r="K77" s="54">
        <v>65.846827939999997</v>
      </c>
      <c r="L77" s="59">
        <v>81.164508010000006</v>
      </c>
      <c r="N77" s="28">
        <v>668</v>
      </c>
      <c r="O77" s="54">
        <f>LOG10(H77)</f>
        <v>2.6326666716739471</v>
      </c>
      <c r="Q77" s="25"/>
      <c r="R77" s="48">
        <f>LOG10(K77)</f>
        <v>1.8185348583967289</v>
      </c>
      <c r="T77" s="25"/>
      <c r="U77" s="57">
        <v>2.6326666716739471</v>
      </c>
      <c r="V77" s="58">
        <v>1.8185348583967289</v>
      </c>
      <c r="W77" s="49">
        <f t="shared" ref="W77:W134" si="19">0.9539*(4.064-0.314*U77-V77)</f>
        <v>1.3534007668088897</v>
      </c>
      <c r="X77" s="49"/>
      <c r="Y77" s="49"/>
      <c r="Z77" s="49"/>
      <c r="AA77" s="58"/>
      <c r="AB77" s="58"/>
      <c r="AC77" s="58"/>
      <c r="AD77" s="58"/>
      <c r="AE77" s="54">
        <v>25.518963289999999</v>
      </c>
      <c r="AF77" s="54">
        <f>AE77</f>
        <v>25.518963289999999</v>
      </c>
      <c r="AG77" s="54">
        <v>37.951456309999998</v>
      </c>
      <c r="AH77" s="54">
        <f>AG77</f>
        <v>37.951456309999998</v>
      </c>
      <c r="AI77" s="54"/>
      <c r="AJ77" s="24"/>
      <c r="AK77" s="24"/>
      <c r="AL77" s="24"/>
      <c r="AM77" s="54">
        <v>243.98203095</v>
      </c>
      <c r="AN77" s="54">
        <f>AM77</f>
        <v>243.98203095</v>
      </c>
      <c r="AO77" s="30"/>
      <c r="AP77" s="30"/>
      <c r="AQ77" s="30"/>
      <c r="AR77" s="30"/>
      <c r="AS77" s="30"/>
      <c r="AT77" s="30"/>
      <c r="AU77" s="30"/>
      <c r="AV77" s="30"/>
      <c r="AW77" s="30"/>
    </row>
    <row r="78" spans="1:49" ht="15" hidden="1" customHeight="1">
      <c r="A78" s="51" t="s">
        <v>138</v>
      </c>
      <c r="B78" s="28" t="s">
        <v>143</v>
      </c>
      <c r="C78" s="52" t="s">
        <v>144</v>
      </c>
      <c r="D78" s="28">
        <v>2006</v>
      </c>
      <c r="E78" s="28">
        <v>11</v>
      </c>
      <c r="F78" s="28">
        <v>15</v>
      </c>
      <c r="G78" s="46">
        <f t="shared" si="18"/>
        <v>319.7</v>
      </c>
      <c r="H78" s="54">
        <v>552.50068555999997</v>
      </c>
      <c r="I78" s="59">
        <v>617.82153856000002</v>
      </c>
      <c r="J78" s="54"/>
      <c r="K78" s="54">
        <v>45.844619819999998</v>
      </c>
      <c r="L78" s="59">
        <v>62.557369379999997</v>
      </c>
      <c r="N78" s="28">
        <v>832</v>
      </c>
      <c r="O78" s="54">
        <f t="shared" ref="O78:O113" si="20">LOG10(H78)</f>
        <v>2.742332821243556</v>
      </c>
      <c r="Q78" s="25"/>
      <c r="R78" s="48">
        <f t="shared" ref="R78:R135" si="21">LOG10(K78)</f>
        <v>1.6612883755657506</v>
      </c>
      <c r="T78" s="25"/>
      <c r="U78" s="57">
        <v>2.742332821243556</v>
      </c>
      <c r="V78" s="58">
        <v>1.6612883755657506</v>
      </c>
      <c r="W78" s="49">
        <f t="shared" si="19"/>
        <v>1.4705504771979832</v>
      </c>
      <c r="X78" s="49"/>
      <c r="Y78" s="49"/>
      <c r="Z78" s="49"/>
      <c r="AA78" s="58"/>
      <c r="AB78" s="58"/>
      <c r="AC78" s="58"/>
      <c r="AD78" s="58"/>
      <c r="AE78" s="54">
        <v>19.231538140000001</v>
      </c>
      <c r="AF78" s="54">
        <f>AVERAGE(AE77:AE78)</f>
        <v>22.375250715</v>
      </c>
      <c r="AG78" s="54">
        <v>38.766990290000003</v>
      </c>
      <c r="AH78" s="54">
        <f>AVERAGE(AG77:AG78)</f>
        <v>38.359223299999996</v>
      </c>
      <c r="AI78" s="54"/>
      <c r="AJ78" s="24"/>
      <c r="AK78" s="24"/>
      <c r="AL78" s="24"/>
      <c r="AM78" s="54">
        <v>204.05680544000001</v>
      </c>
      <c r="AN78" s="54">
        <f>AVERAGE(AM77:AM78)</f>
        <v>224.01941819500001</v>
      </c>
      <c r="AO78" s="30"/>
      <c r="AP78" s="30"/>
      <c r="AQ78" s="30"/>
      <c r="AR78" s="30"/>
      <c r="AS78" s="30"/>
      <c r="AT78" s="30"/>
      <c r="AU78" s="30"/>
      <c r="AV78" s="30"/>
      <c r="AW78" s="30"/>
    </row>
    <row r="79" spans="1:49" ht="15" hidden="1" customHeight="1">
      <c r="A79" s="51" t="s">
        <v>138</v>
      </c>
      <c r="B79" s="28" t="s">
        <v>143</v>
      </c>
      <c r="C79" s="52" t="s">
        <v>144</v>
      </c>
      <c r="D79" s="28">
        <v>2006</v>
      </c>
      <c r="E79" s="28">
        <v>12</v>
      </c>
      <c r="F79" s="28">
        <v>14</v>
      </c>
      <c r="G79" s="46">
        <f t="shared" si="18"/>
        <v>349.16999999999996</v>
      </c>
      <c r="H79" s="54">
        <v>512.09034801999996</v>
      </c>
      <c r="I79" s="59">
        <v>584.57817317000001</v>
      </c>
      <c r="J79" s="54"/>
      <c r="K79" s="54">
        <v>47.300329560000002</v>
      </c>
      <c r="L79" s="59">
        <v>62.124639899999998</v>
      </c>
      <c r="N79" s="28">
        <v>742</v>
      </c>
      <c r="O79" s="54">
        <f t="shared" si="20"/>
        <v>2.7093465902433844</v>
      </c>
      <c r="Q79" s="25"/>
      <c r="R79" s="48">
        <f t="shared" si="21"/>
        <v>1.6748641666488231</v>
      </c>
      <c r="T79" s="25"/>
      <c r="U79" s="57">
        <v>2.7093465902433844</v>
      </c>
      <c r="V79" s="58">
        <v>1.6748641666488231</v>
      </c>
      <c r="W79" s="49">
        <f t="shared" si="19"/>
        <v>1.467480717729674</v>
      </c>
      <c r="X79" s="49"/>
      <c r="Y79" s="49"/>
      <c r="Z79" s="49"/>
      <c r="AA79" s="58"/>
      <c r="AB79" s="58"/>
      <c r="AC79" s="58"/>
      <c r="AD79" s="58"/>
      <c r="AE79" s="54">
        <v>16.437126970000001</v>
      </c>
      <c r="AF79" s="54">
        <f t="shared" ref="AF79:AH112" si="22">AVERAGE(AE78:AE79)</f>
        <v>17.834332555000003</v>
      </c>
      <c r="AG79" s="54">
        <v>38.359223299999996</v>
      </c>
      <c r="AH79" s="54">
        <f t="shared" si="22"/>
        <v>38.563106794999996</v>
      </c>
      <c r="AI79" s="54"/>
      <c r="AJ79" s="24"/>
      <c r="AK79" s="24"/>
      <c r="AL79" s="24"/>
      <c r="AM79" s="54">
        <v>165.13018568000001</v>
      </c>
      <c r="AN79" s="54">
        <f t="shared" ref="AN79" si="23">AVERAGE(AM78:AM79)</f>
        <v>184.59349556000001</v>
      </c>
      <c r="AO79" s="30"/>
      <c r="AP79" s="30"/>
      <c r="AQ79" s="30"/>
      <c r="AR79" s="30"/>
      <c r="AS79" s="30"/>
      <c r="AT79" s="30"/>
      <c r="AU79" s="30"/>
      <c r="AV79" s="30"/>
      <c r="AW79" s="30"/>
    </row>
    <row r="80" spans="1:49" ht="15" hidden="1" customHeight="1">
      <c r="A80" s="51" t="s">
        <v>138</v>
      </c>
      <c r="B80" s="28" t="s">
        <v>143</v>
      </c>
      <c r="C80" s="52" t="s">
        <v>144</v>
      </c>
      <c r="D80" s="28">
        <v>2007</v>
      </c>
      <c r="E80" s="28">
        <v>1</v>
      </c>
      <c r="F80" s="28">
        <v>14</v>
      </c>
      <c r="G80" s="46">
        <f>365+30.47*(E80-1)+F80</f>
        <v>379</v>
      </c>
      <c r="H80" s="54">
        <v>496.38778382999999</v>
      </c>
      <c r="I80" s="59">
        <v>497.57724891999999</v>
      </c>
      <c r="J80" s="54"/>
      <c r="K80" s="54">
        <v>45.761597850000001</v>
      </c>
      <c r="L80" s="59">
        <v>65.586429940000002</v>
      </c>
      <c r="N80" s="28">
        <v>576</v>
      </c>
      <c r="O80" s="54">
        <f t="shared" si="20"/>
        <v>2.6958210849127036</v>
      </c>
      <c r="Q80" s="25"/>
      <c r="R80" s="48">
        <f t="shared" si="21"/>
        <v>1.6605011802369503</v>
      </c>
      <c r="T80" s="25"/>
      <c r="U80" s="57">
        <v>2.6958210849127036</v>
      </c>
      <c r="V80" s="58">
        <v>1.6605011802369503</v>
      </c>
      <c r="W80" s="49">
        <f t="shared" si="19"/>
        <v>1.4852327920419297</v>
      </c>
      <c r="X80" s="49"/>
      <c r="Y80" s="49"/>
      <c r="Z80" s="49"/>
      <c r="AA80" s="58"/>
      <c r="AB80" s="58"/>
      <c r="AC80" s="58"/>
      <c r="AD80" s="58"/>
      <c r="AE80" s="54">
        <v>15.68862397</v>
      </c>
      <c r="AF80" s="54">
        <f t="shared" si="22"/>
        <v>16.062875470000002</v>
      </c>
      <c r="AG80" s="54">
        <v>37.631067960000003</v>
      </c>
      <c r="AH80" s="54">
        <f t="shared" si="22"/>
        <v>37.995145629999996</v>
      </c>
      <c r="AI80" s="54"/>
      <c r="AJ80" s="24"/>
      <c r="AK80" s="24"/>
      <c r="AL80" s="24"/>
      <c r="AM80" s="54">
        <v>218.83116027</v>
      </c>
      <c r="AN80" s="54">
        <f t="shared" ref="AN80" si="24">AVERAGE(AM79:AM80)</f>
        <v>191.980672975</v>
      </c>
      <c r="AO80" s="30"/>
      <c r="AP80" s="30"/>
      <c r="AQ80" s="30"/>
      <c r="AR80" s="30"/>
      <c r="AS80" s="30"/>
      <c r="AT80" s="30"/>
      <c r="AU80" s="30"/>
      <c r="AV80" s="30"/>
      <c r="AW80" s="30"/>
    </row>
    <row r="81" spans="1:49" ht="15" hidden="1" customHeight="1">
      <c r="A81" s="51" t="s">
        <v>138</v>
      </c>
      <c r="B81" s="28" t="s">
        <v>143</v>
      </c>
      <c r="C81" s="52" t="s">
        <v>144</v>
      </c>
      <c r="D81" s="28">
        <v>2007</v>
      </c>
      <c r="E81" s="28">
        <v>2</v>
      </c>
      <c r="F81" s="28">
        <v>14</v>
      </c>
      <c r="G81" s="46">
        <f t="shared" ref="G81:G88" si="25">365+30.47*(E81-1)+F81</f>
        <v>409.47</v>
      </c>
      <c r="H81" s="54">
        <v>511.57599546</v>
      </c>
      <c r="I81" s="59">
        <v>555.29109072000006</v>
      </c>
      <c r="J81" s="54"/>
      <c r="K81" s="54">
        <v>42.226426969999999</v>
      </c>
      <c r="L81" s="59">
        <v>53.902871380000001</v>
      </c>
      <c r="N81" s="28">
        <v>558</v>
      </c>
      <c r="O81" s="54">
        <f t="shared" si="20"/>
        <v>2.7089101580039494</v>
      </c>
      <c r="Q81" s="25"/>
      <c r="R81" s="48">
        <f t="shared" si="21"/>
        <v>1.6255843347315115</v>
      </c>
      <c r="T81" s="25"/>
      <c r="U81" s="57">
        <v>2.7089101580039494</v>
      </c>
      <c r="V81" s="58">
        <v>1.6255843347315115</v>
      </c>
      <c r="W81" s="49">
        <f t="shared" si="19"/>
        <v>1.5146194715875414</v>
      </c>
      <c r="X81" s="49"/>
      <c r="Y81" s="49"/>
      <c r="Z81" s="49"/>
      <c r="AA81" s="58"/>
      <c r="AB81" s="58"/>
      <c r="AC81" s="58"/>
      <c r="AD81" s="58"/>
      <c r="AE81" s="54">
        <v>17.035929360000001</v>
      </c>
      <c r="AF81" s="54">
        <f t="shared" si="22"/>
        <v>16.362276665</v>
      </c>
      <c r="AG81" s="54">
        <v>37.689320389999999</v>
      </c>
      <c r="AH81" s="54">
        <f t="shared" si="22"/>
        <v>37.660194175000001</v>
      </c>
      <c r="AI81" s="54"/>
      <c r="AJ81" s="24"/>
      <c r="AK81" s="24"/>
      <c r="AL81" s="24"/>
      <c r="AM81" s="54">
        <v>163.96658538</v>
      </c>
      <c r="AN81" s="54">
        <f t="shared" ref="AN81" si="26">AVERAGE(AM80:AM81)</f>
        <v>191.39887282500001</v>
      </c>
      <c r="AO81" s="30"/>
      <c r="AP81" s="30"/>
      <c r="AQ81" s="30"/>
      <c r="AR81" s="30"/>
      <c r="AS81" s="30"/>
      <c r="AT81" s="30"/>
      <c r="AU81" s="30"/>
      <c r="AV81" s="30"/>
      <c r="AW81" s="30"/>
    </row>
    <row r="82" spans="1:49" ht="15" hidden="1" customHeight="1">
      <c r="A82" s="51" t="s">
        <v>138</v>
      </c>
      <c r="B82" s="28" t="s">
        <v>143</v>
      </c>
      <c r="C82" s="52" t="s">
        <v>144</v>
      </c>
      <c r="D82" s="28">
        <v>2007</v>
      </c>
      <c r="E82" s="28">
        <v>3</v>
      </c>
      <c r="F82" s="28">
        <v>16</v>
      </c>
      <c r="G82" s="46">
        <f t="shared" si="25"/>
        <v>441.94</v>
      </c>
      <c r="H82" s="54">
        <v>415.55902990999999</v>
      </c>
      <c r="I82" s="59">
        <v>538.58277409000004</v>
      </c>
      <c r="J82" s="54"/>
      <c r="K82" s="54">
        <v>37.693253820000002</v>
      </c>
      <c r="L82" s="59">
        <v>57.797390900000003</v>
      </c>
      <c r="N82" s="28">
        <v>546</v>
      </c>
      <c r="O82" s="54">
        <f t="shared" si="20"/>
        <v>2.6186327237718241</v>
      </c>
      <c r="Q82" s="25"/>
      <c r="R82" s="48">
        <f t="shared" si="21"/>
        <v>1.5762636289613234</v>
      </c>
      <c r="T82" s="25"/>
      <c r="U82" s="57">
        <v>2.6186327237718241</v>
      </c>
      <c r="V82" s="58">
        <v>1.5762636289613234</v>
      </c>
      <c r="W82" s="49">
        <f t="shared" si="19"/>
        <v>1.5887068051991275</v>
      </c>
      <c r="X82" s="49"/>
      <c r="Y82" s="49"/>
      <c r="Z82" s="49"/>
      <c r="AA82" s="58"/>
      <c r="AB82" s="58"/>
      <c r="AC82" s="58"/>
      <c r="AD82" s="58"/>
      <c r="AE82" s="54">
        <v>20.67864393</v>
      </c>
      <c r="AF82" s="54">
        <f t="shared" si="22"/>
        <v>18.857286645000002</v>
      </c>
      <c r="AG82" s="54">
        <v>37.631067960000003</v>
      </c>
      <c r="AH82" s="54">
        <f t="shared" si="22"/>
        <v>37.660194175000001</v>
      </c>
      <c r="AI82" s="54"/>
      <c r="AJ82" s="24"/>
      <c r="AK82" s="24"/>
      <c r="AL82" s="24"/>
      <c r="AM82" s="54">
        <v>229.62145824999999</v>
      </c>
      <c r="AN82" s="54">
        <f t="shared" ref="AN82" si="27">AVERAGE(AM81:AM82)</f>
        <v>196.79402181500001</v>
      </c>
      <c r="AO82" s="30"/>
      <c r="AP82" s="30"/>
      <c r="AQ82" s="30"/>
      <c r="AR82" s="30"/>
      <c r="AS82" s="30"/>
      <c r="AT82" s="30"/>
      <c r="AU82" s="30"/>
      <c r="AV82" s="30"/>
      <c r="AW82" s="30"/>
    </row>
    <row r="83" spans="1:49" ht="15" hidden="1" customHeight="1">
      <c r="A83" s="51" t="s">
        <v>138</v>
      </c>
      <c r="B83" s="28" t="s">
        <v>143</v>
      </c>
      <c r="C83" s="52" t="s">
        <v>144</v>
      </c>
      <c r="D83" s="28">
        <v>2007</v>
      </c>
      <c r="E83" s="28">
        <v>4</v>
      </c>
      <c r="F83" s="28">
        <v>15</v>
      </c>
      <c r="G83" s="46">
        <f t="shared" si="25"/>
        <v>471.40999999999997</v>
      </c>
      <c r="H83" s="54">
        <v>724.18402886000001</v>
      </c>
      <c r="I83" s="59">
        <v>865.03387367000005</v>
      </c>
      <c r="J83" s="54"/>
      <c r="K83" s="54">
        <v>69.588032389999995</v>
      </c>
      <c r="L83" s="59">
        <v>95.444412920000005</v>
      </c>
      <c r="N83" s="28">
        <v>830</v>
      </c>
      <c r="O83" s="54">
        <f t="shared" si="20"/>
        <v>2.8598489426648421</v>
      </c>
      <c r="Q83" s="25"/>
      <c r="R83" s="48">
        <f t="shared" si="21"/>
        <v>1.8425345569398162</v>
      </c>
      <c r="T83" s="25"/>
      <c r="U83" s="57">
        <v>2.8598489426648421</v>
      </c>
      <c r="V83" s="58">
        <v>1.8425345569398162</v>
      </c>
      <c r="W83" s="49">
        <f t="shared" si="19"/>
        <v>1.2624607755229997</v>
      </c>
      <c r="X83" s="49"/>
      <c r="Y83" s="49"/>
      <c r="Z83" s="49"/>
      <c r="AA83" s="58"/>
      <c r="AB83" s="58"/>
      <c r="AC83" s="58"/>
      <c r="AD83" s="58"/>
      <c r="AE83" s="54">
        <v>26.716568079999998</v>
      </c>
      <c r="AF83" s="54">
        <f>AVERAGE(AE82:AE83)</f>
        <v>23.697606004999997</v>
      </c>
      <c r="AG83" s="54">
        <v>37.951456309999998</v>
      </c>
      <c r="AH83" s="54">
        <f>AVERAGE(AG82:AG83)</f>
        <v>37.791262134999997</v>
      </c>
      <c r="AI83" s="54"/>
      <c r="AJ83" s="24"/>
      <c r="AK83" s="24"/>
      <c r="AL83" s="24"/>
      <c r="AM83" s="54">
        <v>192.68600308000001</v>
      </c>
      <c r="AN83" s="54">
        <f>AVERAGE(AM82:AM83)</f>
        <v>211.15373066500001</v>
      </c>
      <c r="AO83" s="30"/>
      <c r="AP83" s="30"/>
      <c r="AQ83" s="30"/>
      <c r="AR83" s="30"/>
      <c r="AS83" s="30"/>
      <c r="AT83" s="30"/>
      <c r="AU83" s="30"/>
      <c r="AV83" s="30"/>
      <c r="AW83" s="30"/>
    </row>
    <row r="84" spans="1:49" ht="15" hidden="1" customHeight="1">
      <c r="A84" s="51" t="s">
        <v>138</v>
      </c>
      <c r="B84" s="28" t="s">
        <v>143</v>
      </c>
      <c r="C84" s="52" t="s">
        <v>144</v>
      </c>
      <c r="D84" s="28">
        <v>2007</v>
      </c>
      <c r="E84" s="28">
        <v>5</v>
      </c>
      <c r="F84" s="28">
        <v>16</v>
      </c>
      <c r="G84" s="46">
        <f t="shared" si="25"/>
        <v>502.88</v>
      </c>
      <c r="H84" s="54">
        <v>696.12892446000001</v>
      </c>
      <c r="I84" s="59">
        <v>835.90922984999997</v>
      </c>
      <c r="J84" s="54"/>
      <c r="K84" s="54">
        <v>74.038618240000005</v>
      </c>
      <c r="L84" s="59">
        <v>93.280796050000006</v>
      </c>
      <c r="N84" s="28">
        <v>550</v>
      </c>
      <c r="O84" s="54">
        <f t="shared" si="20"/>
        <v>2.8426896792605638</v>
      </c>
      <c r="Q84" s="25"/>
      <c r="R84" s="48">
        <f t="shared" si="21"/>
        <v>1.8694583050519236</v>
      </c>
      <c r="T84" s="25"/>
      <c r="U84" s="57">
        <v>2.8426896792605638</v>
      </c>
      <c r="V84" s="58">
        <v>1.8694583050519236</v>
      </c>
      <c r="W84" s="49">
        <f t="shared" si="19"/>
        <v>1.2419178337063217</v>
      </c>
      <c r="X84" s="49"/>
      <c r="Y84" s="49"/>
      <c r="Z84" s="49"/>
      <c r="AA84" s="58"/>
      <c r="AB84" s="58"/>
      <c r="AC84" s="58"/>
      <c r="AD84" s="58"/>
      <c r="AE84" s="54">
        <v>27.265470279999999</v>
      </c>
      <c r="AF84" s="54">
        <f t="shared" si="22"/>
        <v>26.991019179999999</v>
      </c>
      <c r="AG84" s="54">
        <v>38.30097087</v>
      </c>
      <c r="AH84" s="54">
        <f t="shared" si="22"/>
        <v>38.126213589999999</v>
      </c>
      <c r="AI84" s="54"/>
      <c r="AJ84" s="24"/>
      <c r="AK84" s="24"/>
      <c r="AL84" s="24"/>
      <c r="AM84" s="54">
        <v>312.12305205000001</v>
      </c>
      <c r="AN84" s="54">
        <f t="shared" ref="AN84" si="28">AVERAGE(AM83:AM84)</f>
        <v>252.40452756500002</v>
      </c>
      <c r="AO84" s="30"/>
      <c r="AP84" s="30"/>
      <c r="AQ84" s="30"/>
      <c r="AR84" s="30"/>
      <c r="AS84" s="30"/>
      <c r="AT84" s="30"/>
      <c r="AU84" s="30"/>
      <c r="AV84" s="30"/>
      <c r="AW84" s="30"/>
    </row>
    <row r="85" spans="1:49" ht="15" hidden="1" customHeight="1">
      <c r="A85" s="51" t="s">
        <v>138</v>
      </c>
      <c r="B85" s="28" t="s">
        <v>143</v>
      </c>
      <c r="C85" s="52" t="s">
        <v>144</v>
      </c>
      <c r="D85" s="28">
        <v>2007</v>
      </c>
      <c r="E85" s="28">
        <v>6</v>
      </c>
      <c r="F85" s="28">
        <v>16</v>
      </c>
      <c r="G85" s="46">
        <f t="shared" si="25"/>
        <v>533.35</v>
      </c>
      <c r="H85" s="54">
        <v>739.11371773999997</v>
      </c>
      <c r="I85" s="59">
        <v>810.93459209000002</v>
      </c>
      <c r="J85" s="54"/>
      <c r="K85" s="54">
        <v>122.89900050999999</v>
      </c>
      <c r="L85" s="59">
        <v>155.16037888</v>
      </c>
      <c r="N85" s="28">
        <v>526</v>
      </c>
      <c r="O85" s="54">
        <f t="shared" si="20"/>
        <v>2.8687112627351743</v>
      </c>
      <c r="Q85" s="25"/>
      <c r="R85" s="48">
        <f t="shared" si="21"/>
        <v>2.0895483509518993</v>
      </c>
      <c r="T85" s="25"/>
      <c r="U85" s="57">
        <v>2.8687112627351743</v>
      </c>
      <c r="V85" s="58">
        <v>2.0895483509518993</v>
      </c>
      <c r="W85" s="49">
        <f t="shared" si="19"/>
        <v>1.0241798345407354</v>
      </c>
      <c r="X85" s="49"/>
      <c r="Y85" s="49"/>
      <c r="Z85" s="49"/>
      <c r="AA85" s="58"/>
      <c r="AB85" s="58"/>
      <c r="AC85" s="58"/>
      <c r="AD85" s="58"/>
      <c r="AE85" s="54">
        <v>28.11377367</v>
      </c>
      <c r="AF85" s="54">
        <f t="shared" si="22"/>
        <v>27.689621975000001</v>
      </c>
      <c r="AG85" s="54">
        <v>38.708737859999999</v>
      </c>
      <c r="AH85" s="54">
        <f t="shared" si="22"/>
        <v>38.504854365</v>
      </c>
      <c r="AI85" s="54"/>
      <c r="AJ85" s="24"/>
      <c r="AK85" s="24"/>
      <c r="AL85" s="24"/>
      <c r="AM85" s="54">
        <v>312.04012284999999</v>
      </c>
      <c r="AN85" s="54">
        <f t="shared" ref="AN85" si="29">AVERAGE(AM84:AM85)</f>
        <v>312.08158745000003</v>
      </c>
      <c r="AO85" s="30"/>
      <c r="AP85" s="30"/>
      <c r="AQ85" s="30"/>
      <c r="AR85" s="30"/>
      <c r="AS85" s="30"/>
      <c r="AT85" s="30"/>
      <c r="AU85" s="30"/>
      <c r="AV85" s="30"/>
      <c r="AW85" s="30"/>
    </row>
    <row r="86" spans="1:49" ht="15" hidden="1" customHeight="1">
      <c r="A86" s="51" t="s">
        <v>138</v>
      </c>
      <c r="B86" s="28" t="s">
        <v>143</v>
      </c>
      <c r="C86" s="52" t="s">
        <v>144</v>
      </c>
      <c r="D86" s="28">
        <v>2007</v>
      </c>
      <c r="E86" s="28">
        <v>7</v>
      </c>
      <c r="F86" s="28">
        <v>16</v>
      </c>
      <c r="G86" s="46">
        <f t="shared" si="25"/>
        <v>563.81999999999994</v>
      </c>
      <c r="H86" s="54">
        <v>1180.55747305</v>
      </c>
      <c r="I86" s="59">
        <v>1240.73155133</v>
      </c>
      <c r="J86" s="54"/>
      <c r="K86" s="54">
        <v>161.28035908000001</v>
      </c>
      <c r="L86" s="59">
        <v>212.71272035000001</v>
      </c>
      <c r="N86" s="28">
        <v>564</v>
      </c>
      <c r="O86" s="54">
        <f t="shared" si="20"/>
        <v>3.072087134676833</v>
      </c>
      <c r="Q86" s="25"/>
      <c r="R86" s="48">
        <f t="shared" si="21"/>
        <v>2.2075814816943065</v>
      </c>
      <c r="T86" s="25"/>
      <c r="U86" s="57">
        <v>3.072087134676833</v>
      </c>
      <c r="V86" s="58">
        <v>2.2075814816943065</v>
      </c>
      <c r="W86" s="49">
        <f t="shared" si="19"/>
        <v>0.85067195443257648</v>
      </c>
      <c r="X86" s="49"/>
      <c r="Y86" s="49"/>
      <c r="Z86" s="49"/>
      <c r="AA86" s="58"/>
      <c r="AB86" s="58"/>
      <c r="AC86" s="58"/>
      <c r="AD86" s="58"/>
      <c r="AE86" s="54">
        <v>31.457087049999998</v>
      </c>
      <c r="AF86" s="54">
        <f t="shared" si="22"/>
        <v>29.785430359999999</v>
      </c>
      <c r="AG86" s="54">
        <v>38.5631068</v>
      </c>
      <c r="AH86" s="54">
        <f t="shared" si="22"/>
        <v>38.63592233</v>
      </c>
      <c r="AI86" s="54"/>
      <c r="AJ86" s="24"/>
      <c r="AK86" s="24"/>
      <c r="AL86" s="24"/>
      <c r="AM86" s="54">
        <v>362.75391863999999</v>
      </c>
      <c r="AN86" s="54">
        <f t="shared" ref="AN86" si="30">AVERAGE(AM85:AM86)</f>
        <v>337.39702074499996</v>
      </c>
      <c r="AO86" s="30"/>
      <c r="AP86" s="30"/>
      <c r="AQ86" s="30"/>
      <c r="AR86" s="30"/>
      <c r="AS86" s="30"/>
      <c r="AT86" s="30"/>
      <c r="AU86" s="30"/>
      <c r="AV86" s="30"/>
      <c r="AW86" s="30"/>
    </row>
    <row r="87" spans="1:49" ht="15" hidden="1" customHeight="1">
      <c r="A87" s="51" t="s">
        <v>138</v>
      </c>
      <c r="B87" s="28" t="s">
        <v>143</v>
      </c>
      <c r="C87" s="52" t="s">
        <v>144</v>
      </c>
      <c r="D87" s="28">
        <v>2007</v>
      </c>
      <c r="E87" s="28">
        <v>8</v>
      </c>
      <c r="F87" s="28">
        <v>15</v>
      </c>
      <c r="G87" s="46">
        <f t="shared" si="25"/>
        <v>593.29</v>
      </c>
      <c r="H87" s="54">
        <v>1143.23594379</v>
      </c>
      <c r="I87" s="59">
        <v>1145.4655092</v>
      </c>
      <c r="J87" s="54"/>
      <c r="K87" s="54">
        <v>178.70280091999999</v>
      </c>
      <c r="L87" s="59">
        <v>218.77085672999999</v>
      </c>
      <c r="N87" s="28">
        <v>556</v>
      </c>
      <c r="O87" s="54">
        <f t="shared" si="20"/>
        <v>3.0581358703877579</v>
      </c>
      <c r="Q87" s="25"/>
      <c r="R87" s="48">
        <f t="shared" si="21"/>
        <v>2.2521313595261665</v>
      </c>
      <c r="T87" s="25"/>
      <c r="U87" s="57">
        <v>3.0581358703877579</v>
      </c>
      <c r="V87" s="58">
        <v>2.2521313595261665</v>
      </c>
      <c r="W87" s="49">
        <f t="shared" si="19"/>
        <v>0.81235457282444468</v>
      </c>
      <c r="X87" s="49"/>
      <c r="Y87" s="49"/>
      <c r="Z87" s="49"/>
      <c r="AA87" s="58"/>
      <c r="AB87" s="58"/>
      <c r="AC87" s="58"/>
      <c r="AD87" s="58"/>
      <c r="AE87" s="54">
        <v>31.556887450000001</v>
      </c>
      <c r="AF87" s="54">
        <f t="shared" si="22"/>
        <v>31.506987250000002</v>
      </c>
      <c r="AG87" s="54">
        <v>38.883495150000002</v>
      </c>
      <c r="AH87" s="54">
        <f t="shared" si="22"/>
        <v>38.723300975000001</v>
      </c>
      <c r="AI87" s="54"/>
      <c r="AJ87" s="24"/>
      <c r="AK87" s="24"/>
      <c r="AL87" s="24"/>
      <c r="AM87" s="54">
        <v>308.88449412</v>
      </c>
      <c r="AN87" s="54">
        <f t="shared" ref="AN87" si="31">AVERAGE(AM86:AM87)</f>
        <v>335.81920637999997</v>
      </c>
      <c r="AO87" s="30"/>
      <c r="AP87" s="30"/>
      <c r="AQ87" s="30"/>
      <c r="AR87" s="30"/>
      <c r="AS87" s="30"/>
      <c r="AT87" s="30"/>
      <c r="AU87" s="30"/>
      <c r="AV87" s="30"/>
      <c r="AW87" s="30"/>
    </row>
    <row r="88" spans="1:49" ht="15" hidden="1" customHeight="1">
      <c r="A88" s="51" t="s">
        <v>138</v>
      </c>
      <c r="B88" s="28" t="s">
        <v>143</v>
      </c>
      <c r="C88" s="52" t="s">
        <v>144</v>
      </c>
      <c r="D88" s="28">
        <v>2007</v>
      </c>
      <c r="E88" s="28">
        <v>9</v>
      </c>
      <c r="F88" s="28">
        <v>15</v>
      </c>
      <c r="G88" s="46">
        <f t="shared" si="25"/>
        <v>623.76</v>
      </c>
      <c r="H88" s="54">
        <v>741.43234366000002</v>
      </c>
      <c r="I88" s="59">
        <v>826.95104049999998</v>
      </c>
      <c r="J88" s="54"/>
      <c r="K88" s="54">
        <v>164.18960519999999</v>
      </c>
      <c r="L88" s="59">
        <v>193.24012275000001</v>
      </c>
      <c r="N88" s="28">
        <v>582</v>
      </c>
      <c r="O88" s="54">
        <f t="shared" si="20"/>
        <v>2.8700715274268571</v>
      </c>
      <c r="Q88" s="25"/>
      <c r="R88" s="48">
        <f t="shared" si="21"/>
        <v>2.2153456585862212</v>
      </c>
      <c r="T88" s="25"/>
      <c r="U88" s="57">
        <v>2.8700715274268571</v>
      </c>
      <c r="V88" s="58">
        <v>2.2153456585862212</v>
      </c>
      <c r="W88" s="49">
        <f t="shared" si="19"/>
        <v>0.90377435005068496</v>
      </c>
      <c r="X88" s="49"/>
      <c r="Y88" s="49"/>
      <c r="Z88" s="49"/>
      <c r="AA88" s="58"/>
      <c r="AB88" s="58"/>
      <c r="AC88" s="58"/>
      <c r="AD88" s="58"/>
      <c r="AE88" s="54">
        <v>31.70658804</v>
      </c>
      <c r="AF88" s="54">
        <f t="shared" si="22"/>
        <v>31.631737745000002</v>
      </c>
      <c r="AG88" s="54">
        <v>40.42718447</v>
      </c>
      <c r="AH88" s="54">
        <f t="shared" si="22"/>
        <v>39.655339810000001</v>
      </c>
      <c r="AI88" s="54"/>
      <c r="AJ88" s="24"/>
      <c r="AK88" s="24"/>
      <c r="AL88" s="24"/>
      <c r="AM88" s="54">
        <v>249.04071199000001</v>
      </c>
      <c r="AN88" s="54">
        <f t="shared" ref="AN88" si="32">AVERAGE(AM87:AM88)</f>
        <v>278.96260305499999</v>
      </c>
      <c r="AO88" s="30"/>
      <c r="AP88" s="30"/>
      <c r="AQ88" s="30"/>
      <c r="AR88" s="30"/>
      <c r="AS88" s="30"/>
      <c r="AT88" s="30"/>
      <c r="AU88" s="30"/>
      <c r="AV88" s="30"/>
      <c r="AW88" s="30"/>
    </row>
    <row r="89" spans="1:49" ht="15" hidden="1" customHeight="1">
      <c r="A89" s="51" t="s">
        <v>138</v>
      </c>
      <c r="B89" s="28" t="s">
        <v>143</v>
      </c>
      <c r="C89" s="52" t="s">
        <v>145</v>
      </c>
      <c r="D89" s="28">
        <v>2006</v>
      </c>
      <c r="E89" s="28">
        <v>10</v>
      </c>
      <c r="F89" s="28">
        <v>15</v>
      </c>
      <c r="G89" s="46">
        <f t="shared" si="18"/>
        <v>289.23</v>
      </c>
      <c r="H89" s="54">
        <v>531.15101503000005</v>
      </c>
      <c r="I89" s="59">
        <v>632.46989278000001</v>
      </c>
      <c r="J89" s="54"/>
      <c r="K89" s="54">
        <v>75.827719849999994</v>
      </c>
      <c r="L89" s="59">
        <v>100.63710561000001</v>
      </c>
      <c r="N89" s="28">
        <v>772</v>
      </c>
      <c r="O89" s="54">
        <f t="shared" si="20"/>
        <v>2.7252180157516759</v>
      </c>
      <c r="Q89" s="25"/>
      <c r="R89" s="48">
        <f t="shared" si="21"/>
        <v>1.8798279968879033</v>
      </c>
      <c r="T89" s="25"/>
      <c r="U89" s="57">
        <v>2.7252180157516759</v>
      </c>
      <c r="V89" s="58">
        <v>1.8798279968879033</v>
      </c>
      <c r="W89" s="49">
        <f t="shared" si="19"/>
        <v>1.2672118376878145</v>
      </c>
      <c r="X89" s="49"/>
      <c r="Y89" s="49"/>
      <c r="Z89" s="49"/>
      <c r="AA89" s="58"/>
      <c r="AB89" s="58"/>
      <c r="AC89" s="58"/>
      <c r="AD89" s="58"/>
      <c r="AE89" s="54">
        <v>25.518963289999999</v>
      </c>
      <c r="AF89" s="54">
        <f t="shared" si="22"/>
        <v>28.612775665000001</v>
      </c>
      <c r="AG89" s="54">
        <v>37.951456309999998</v>
      </c>
      <c r="AH89" s="54">
        <f t="shared" si="22"/>
        <v>39.189320389999999</v>
      </c>
      <c r="AI89" s="54"/>
      <c r="AJ89" s="24"/>
      <c r="AK89" s="24"/>
      <c r="AL89" s="24"/>
      <c r="AM89" s="54">
        <v>243.98203095</v>
      </c>
      <c r="AN89" s="54">
        <f t="shared" ref="AN89" si="33">AVERAGE(AM88:AM89)</f>
        <v>246.51137147</v>
      </c>
      <c r="AO89" s="30"/>
      <c r="AP89" s="30"/>
      <c r="AQ89" s="30"/>
      <c r="AR89" s="30"/>
      <c r="AS89" s="30"/>
      <c r="AT89" s="30"/>
      <c r="AU89" s="30"/>
      <c r="AV89" s="30"/>
      <c r="AW89" s="30"/>
    </row>
    <row r="90" spans="1:49" ht="15" hidden="1" customHeight="1">
      <c r="A90" s="51" t="s">
        <v>138</v>
      </c>
      <c r="B90" s="28" t="s">
        <v>143</v>
      </c>
      <c r="C90" s="52" t="s">
        <v>145</v>
      </c>
      <c r="D90" s="28">
        <v>2006</v>
      </c>
      <c r="E90" s="28">
        <v>11</v>
      </c>
      <c r="F90" s="28">
        <v>15</v>
      </c>
      <c r="G90" s="46">
        <f t="shared" si="18"/>
        <v>319.7</v>
      </c>
      <c r="H90" s="54">
        <v>524.70679686999995</v>
      </c>
      <c r="I90" s="59">
        <v>593.01415241999996</v>
      </c>
      <c r="J90" s="54"/>
      <c r="K90" s="54">
        <v>63.310963319999999</v>
      </c>
      <c r="L90" s="59">
        <v>75.106371629999998</v>
      </c>
      <c r="N90" s="28">
        <v>672</v>
      </c>
      <c r="O90" s="54">
        <f t="shared" si="20"/>
        <v>2.719916689934982</v>
      </c>
      <c r="Q90" s="25"/>
      <c r="R90" s="48">
        <f t="shared" si="21"/>
        <v>1.8014789216620088</v>
      </c>
      <c r="T90" s="25"/>
      <c r="U90" s="57">
        <v>2.719916689934982</v>
      </c>
      <c r="V90" s="58">
        <v>1.8014789216620088</v>
      </c>
      <c r="W90" s="49">
        <f t="shared" si="19"/>
        <v>1.3435368980405105</v>
      </c>
      <c r="X90" s="49"/>
      <c r="Y90" s="49"/>
      <c r="Z90" s="49"/>
      <c r="AA90" s="58"/>
      <c r="AB90" s="58"/>
      <c r="AC90" s="58"/>
      <c r="AD90" s="58"/>
      <c r="AE90" s="54">
        <v>19.231538140000001</v>
      </c>
      <c r="AF90" s="54">
        <f t="shared" si="22"/>
        <v>22.375250715</v>
      </c>
      <c r="AG90" s="54">
        <v>38.766990290000003</v>
      </c>
      <c r="AH90" s="54">
        <f t="shared" si="22"/>
        <v>38.359223299999996</v>
      </c>
      <c r="AI90" s="54"/>
      <c r="AJ90" s="24"/>
      <c r="AK90" s="24"/>
      <c r="AL90" s="24"/>
      <c r="AM90" s="54">
        <v>204.05680544000001</v>
      </c>
      <c r="AN90" s="54">
        <f t="shared" ref="AN90" si="34">AVERAGE(AM89:AM90)</f>
        <v>224.01941819500001</v>
      </c>
      <c r="AO90" s="30"/>
      <c r="AP90" s="30"/>
      <c r="AQ90" s="30"/>
      <c r="AR90" s="30"/>
      <c r="AS90" s="30"/>
      <c r="AT90" s="30"/>
      <c r="AU90" s="30"/>
      <c r="AV90" s="30"/>
      <c r="AW90" s="30"/>
    </row>
    <row r="91" spans="1:49" ht="15" hidden="1" customHeight="1">
      <c r="A91" s="51" t="s">
        <v>138</v>
      </c>
      <c r="B91" s="28" t="s">
        <v>143</v>
      </c>
      <c r="C91" s="52" t="s">
        <v>145</v>
      </c>
      <c r="D91" s="28">
        <v>2006</v>
      </c>
      <c r="E91" s="28">
        <v>12</v>
      </c>
      <c r="F91" s="28">
        <v>14</v>
      </c>
      <c r="G91" s="46">
        <f t="shared" si="18"/>
        <v>349.16999999999996</v>
      </c>
      <c r="H91" s="54">
        <v>518.26527165000005</v>
      </c>
      <c r="I91" s="59">
        <v>584.57817317000001</v>
      </c>
      <c r="J91" s="54"/>
      <c r="K91" s="54">
        <v>52.290775510000003</v>
      </c>
      <c r="L91" s="59">
        <v>72.942754769999993</v>
      </c>
      <c r="N91" s="28">
        <v>640</v>
      </c>
      <c r="O91" s="54">
        <f t="shared" si="20"/>
        <v>2.7145521082489776</v>
      </c>
      <c r="Q91" s="25"/>
      <c r="R91" s="48">
        <f t="shared" si="21"/>
        <v>1.7184250827785208</v>
      </c>
      <c r="T91" s="25"/>
      <c r="U91" s="57">
        <v>2.7145521082489776</v>
      </c>
      <c r="V91" s="58">
        <v>1.7184250827785208</v>
      </c>
      <c r="W91" s="49">
        <f t="shared" si="19"/>
        <v>1.4243687791351372</v>
      </c>
      <c r="X91" s="49"/>
      <c r="Y91" s="49"/>
      <c r="Z91" s="49"/>
      <c r="AA91" s="58"/>
      <c r="AB91" s="58"/>
      <c r="AC91" s="58"/>
      <c r="AD91" s="58"/>
      <c r="AE91" s="54">
        <v>16.437126970000001</v>
      </c>
      <c r="AF91" s="54">
        <f t="shared" si="22"/>
        <v>17.834332555000003</v>
      </c>
      <c r="AG91" s="54">
        <v>38.359223299999996</v>
      </c>
      <c r="AH91" s="54">
        <f t="shared" si="22"/>
        <v>38.563106794999996</v>
      </c>
      <c r="AI91" s="54"/>
      <c r="AJ91" s="24"/>
      <c r="AK91" s="24"/>
      <c r="AL91" s="24"/>
      <c r="AM91" s="54">
        <v>165.13018568000001</v>
      </c>
      <c r="AN91" s="54">
        <f t="shared" ref="AN91" si="35">AVERAGE(AM90:AM91)</f>
        <v>184.59349556000001</v>
      </c>
      <c r="AO91" s="30"/>
      <c r="AP91" s="30"/>
      <c r="AQ91" s="30"/>
      <c r="AR91" s="30"/>
      <c r="AS91" s="30"/>
      <c r="AT91" s="30"/>
      <c r="AU91" s="30"/>
      <c r="AV91" s="30"/>
      <c r="AW91" s="30"/>
    </row>
    <row r="92" spans="1:49" ht="15" hidden="1" customHeight="1">
      <c r="A92" s="51" t="s">
        <v>138</v>
      </c>
      <c r="B92" s="28" t="s">
        <v>143</v>
      </c>
      <c r="C92" s="52" t="s">
        <v>145</v>
      </c>
      <c r="D92" s="28">
        <v>2007</v>
      </c>
      <c r="E92" s="28">
        <v>1</v>
      </c>
      <c r="F92" s="28">
        <v>14</v>
      </c>
      <c r="G92" s="46">
        <f>365+30.47*(E92-1)+F92</f>
        <v>379</v>
      </c>
      <c r="H92" s="54">
        <v>514.92063356000006</v>
      </c>
      <c r="I92" s="59">
        <v>526.52621838000005</v>
      </c>
      <c r="J92" s="54"/>
      <c r="K92" s="54">
        <v>37.279013339999999</v>
      </c>
      <c r="L92" s="59">
        <v>51.739269790000002</v>
      </c>
      <c r="N92" s="28">
        <v>558</v>
      </c>
      <c r="O92" s="54">
        <f t="shared" si="20"/>
        <v>2.7117402949379499</v>
      </c>
      <c r="Q92" s="25"/>
      <c r="R92" s="48">
        <f t="shared" si="21"/>
        <v>1.5714644094044756</v>
      </c>
      <c r="T92" s="25"/>
      <c r="U92" s="57">
        <v>2.7117402949379499</v>
      </c>
      <c r="V92" s="58">
        <v>1.5714644094044756</v>
      </c>
      <c r="W92" s="49">
        <f t="shared" si="19"/>
        <v>1.5653967727238993</v>
      </c>
      <c r="X92" s="49"/>
      <c r="Y92" s="49"/>
      <c r="Z92" s="49"/>
      <c r="AA92" s="58"/>
      <c r="AB92" s="58"/>
      <c r="AC92" s="58"/>
      <c r="AD92" s="58"/>
      <c r="AE92" s="54">
        <v>15.68862397</v>
      </c>
      <c r="AF92" s="54">
        <f t="shared" si="22"/>
        <v>16.062875470000002</v>
      </c>
      <c r="AG92" s="54">
        <v>37.631067960000003</v>
      </c>
      <c r="AH92" s="54">
        <f t="shared" si="22"/>
        <v>37.995145629999996</v>
      </c>
      <c r="AI92" s="54"/>
      <c r="AJ92" s="24"/>
      <c r="AK92" s="24"/>
      <c r="AL92" s="24"/>
      <c r="AM92" s="54">
        <v>218.83116027</v>
      </c>
      <c r="AN92" s="54">
        <f t="shared" ref="AN92" si="36">AVERAGE(AM91:AM92)</f>
        <v>191.980672975</v>
      </c>
      <c r="AO92" s="30"/>
      <c r="AP92" s="30"/>
      <c r="AQ92" s="30"/>
      <c r="AR92" s="30"/>
      <c r="AS92" s="30"/>
      <c r="AT92" s="30"/>
      <c r="AU92" s="30"/>
      <c r="AV92" s="30"/>
      <c r="AW92" s="30"/>
    </row>
    <row r="93" spans="1:49" ht="15" hidden="1" customHeight="1">
      <c r="A93" s="51" t="s">
        <v>138</v>
      </c>
      <c r="B93" s="28" t="s">
        <v>143</v>
      </c>
      <c r="C93" s="52" t="s">
        <v>145</v>
      </c>
      <c r="D93" s="28">
        <v>2007</v>
      </c>
      <c r="E93" s="28">
        <v>2</v>
      </c>
      <c r="F93" s="28">
        <v>14</v>
      </c>
      <c r="G93" s="46">
        <f t="shared" ref="G93:G100" si="37">365+30.47*(E93-1)+F93</f>
        <v>409.47</v>
      </c>
      <c r="H93" s="54">
        <v>508.48988012000001</v>
      </c>
      <c r="I93" s="59">
        <v>553.22270557000002</v>
      </c>
      <c r="J93" s="54"/>
      <c r="K93" s="54">
        <v>36.737414549999997</v>
      </c>
      <c r="L93" s="59">
        <v>53.902871380000001</v>
      </c>
      <c r="N93" s="28">
        <v>516</v>
      </c>
      <c r="O93" s="54">
        <f t="shared" si="20"/>
        <v>2.7062823140890964</v>
      </c>
      <c r="Q93" s="25"/>
      <c r="R93" s="48">
        <f t="shared" si="21"/>
        <v>1.565108588927375</v>
      </c>
      <c r="T93" s="25"/>
      <c r="U93" s="57">
        <v>2.7062823140890964</v>
      </c>
      <c r="V93" s="58">
        <v>1.565108588927375</v>
      </c>
      <c r="W93" s="49">
        <f t="shared" si="19"/>
        <v>1.573094389407566</v>
      </c>
      <c r="X93" s="49"/>
      <c r="Y93" s="49"/>
      <c r="Z93" s="49"/>
      <c r="AA93" s="58"/>
      <c r="AB93" s="58"/>
      <c r="AC93" s="58"/>
      <c r="AD93" s="58"/>
      <c r="AE93" s="54">
        <v>17.035929360000001</v>
      </c>
      <c r="AF93" s="54">
        <f t="shared" si="22"/>
        <v>16.362276665</v>
      </c>
      <c r="AG93" s="54">
        <v>37.689320389999999</v>
      </c>
      <c r="AH93" s="54">
        <f t="shared" si="22"/>
        <v>37.660194175000001</v>
      </c>
      <c r="AI93" s="54"/>
      <c r="AJ93" s="24"/>
      <c r="AK93" s="24"/>
      <c r="AL93" s="24"/>
      <c r="AM93" s="54">
        <v>163.96658538</v>
      </c>
      <c r="AN93" s="54">
        <f t="shared" ref="AN93" si="38">AVERAGE(AM92:AM93)</f>
        <v>191.39887282500001</v>
      </c>
      <c r="AO93" s="30"/>
      <c r="AP93" s="30"/>
      <c r="AQ93" s="30"/>
      <c r="AR93" s="30"/>
      <c r="AS93" s="30"/>
      <c r="AT93" s="30"/>
      <c r="AU93" s="30"/>
      <c r="AV93" s="30"/>
      <c r="AW93" s="30"/>
    </row>
    <row r="94" spans="1:49" ht="15" hidden="1" customHeight="1">
      <c r="A94" s="51" t="s">
        <v>138</v>
      </c>
      <c r="B94" s="28" t="s">
        <v>143</v>
      </c>
      <c r="C94" s="52" t="s">
        <v>145</v>
      </c>
      <c r="D94" s="28">
        <v>2007</v>
      </c>
      <c r="E94" s="28">
        <v>3</v>
      </c>
      <c r="F94" s="28">
        <v>16</v>
      </c>
      <c r="G94" s="46">
        <f t="shared" si="37"/>
        <v>441.94</v>
      </c>
      <c r="H94" s="54">
        <v>477.34058155000002</v>
      </c>
      <c r="I94" s="59">
        <v>534.45081676999996</v>
      </c>
      <c r="J94" s="54"/>
      <c r="K94" s="54">
        <v>37.69368849</v>
      </c>
      <c r="L94" s="59">
        <v>51.739269790000002</v>
      </c>
      <c r="N94" s="28">
        <v>506</v>
      </c>
      <c r="O94" s="54">
        <f t="shared" si="20"/>
        <v>2.6788283578819279</v>
      </c>
      <c r="Q94" s="25"/>
      <c r="R94" s="48">
        <f t="shared" si="21"/>
        <v>1.5762686371172896</v>
      </c>
      <c r="T94" s="25"/>
      <c r="U94" s="57">
        <v>2.6788283578819279</v>
      </c>
      <c r="V94" s="58">
        <v>1.5762686371172896</v>
      </c>
      <c r="W94" s="49">
        <f t="shared" si="19"/>
        <v>1.5706719546905763</v>
      </c>
      <c r="X94" s="49"/>
      <c r="Y94" s="49"/>
      <c r="Z94" s="49"/>
      <c r="AA94" s="58"/>
      <c r="AB94" s="58"/>
      <c r="AC94" s="58"/>
      <c r="AD94" s="58"/>
      <c r="AE94" s="54">
        <v>20.67864393</v>
      </c>
      <c r="AF94" s="54">
        <f t="shared" si="22"/>
        <v>18.857286645000002</v>
      </c>
      <c r="AG94" s="54">
        <v>37.631067960000003</v>
      </c>
      <c r="AH94" s="54">
        <f t="shared" si="22"/>
        <v>37.660194175000001</v>
      </c>
      <c r="AI94" s="54"/>
      <c r="AJ94" s="24"/>
      <c r="AK94" s="24"/>
      <c r="AL94" s="24"/>
      <c r="AM94" s="54">
        <v>229.62145824999999</v>
      </c>
      <c r="AN94" s="54">
        <f t="shared" ref="AN94" si="39">AVERAGE(AM93:AM94)</f>
        <v>196.79402181500001</v>
      </c>
      <c r="AO94" s="30"/>
      <c r="AP94" s="30"/>
      <c r="AQ94" s="30"/>
      <c r="AR94" s="30"/>
      <c r="AS94" s="30"/>
      <c r="AT94" s="30"/>
      <c r="AU94" s="30"/>
      <c r="AV94" s="30"/>
      <c r="AW94" s="30"/>
    </row>
    <row r="95" spans="1:49" ht="15" hidden="1" customHeight="1">
      <c r="A95" s="51" t="s">
        <v>138</v>
      </c>
      <c r="B95" s="28" t="s">
        <v>143</v>
      </c>
      <c r="C95" s="52" t="s">
        <v>145</v>
      </c>
      <c r="D95" s="28">
        <v>2007</v>
      </c>
      <c r="E95" s="28">
        <v>4</v>
      </c>
      <c r="F95" s="28">
        <v>15</v>
      </c>
      <c r="G95" s="46">
        <f t="shared" si="37"/>
        <v>471.40999999999997</v>
      </c>
      <c r="H95" s="54">
        <v>603.71781269999997</v>
      </c>
      <c r="I95" s="59">
        <v>670.70914832999995</v>
      </c>
      <c r="J95" s="54"/>
      <c r="K95" s="54">
        <v>52.621559359999999</v>
      </c>
      <c r="L95" s="59">
        <v>84.626313330000002</v>
      </c>
      <c r="N95" s="28">
        <v>636</v>
      </c>
      <c r="O95" s="54">
        <f t="shared" si="20"/>
        <v>2.7808339899054721</v>
      </c>
      <c r="Q95" s="25"/>
      <c r="R95" s="48">
        <f t="shared" si="21"/>
        <v>1.7211637135978215</v>
      </c>
      <c r="T95" s="25"/>
      <c r="U95" s="57">
        <v>2.7808339899054721</v>
      </c>
      <c r="V95" s="58">
        <v>1.7211637135978215</v>
      </c>
      <c r="W95" s="49">
        <f t="shared" si="19"/>
        <v>1.4019033451061977</v>
      </c>
      <c r="X95" s="49"/>
      <c r="Y95" s="49"/>
      <c r="Z95" s="49"/>
      <c r="AA95" s="58"/>
      <c r="AB95" s="58"/>
      <c r="AC95" s="58"/>
      <c r="AD95" s="58"/>
      <c r="AE95" s="54">
        <v>26.716568079999998</v>
      </c>
      <c r="AF95" s="54">
        <f t="shared" si="22"/>
        <v>23.697606004999997</v>
      </c>
      <c r="AG95" s="54">
        <v>37.951456309999998</v>
      </c>
      <c r="AH95" s="54">
        <f t="shared" si="22"/>
        <v>37.791262134999997</v>
      </c>
      <c r="AI95" s="54"/>
      <c r="AJ95" s="24"/>
      <c r="AK95" s="24"/>
      <c r="AL95" s="24"/>
      <c r="AM95" s="54">
        <v>192.68600308000001</v>
      </c>
      <c r="AN95" s="54">
        <f t="shared" ref="AN95" si="40">AVERAGE(AM94:AM95)</f>
        <v>211.15373066500001</v>
      </c>
      <c r="AO95" s="30"/>
      <c r="AP95" s="30"/>
      <c r="AQ95" s="30"/>
      <c r="AR95" s="30"/>
      <c r="AS95" s="30"/>
      <c r="AT95" s="30"/>
      <c r="AU95" s="30"/>
      <c r="AV95" s="30"/>
      <c r="AW95" s="30"/>
    </row>
    <row r="96" spans="1:49" ht="15" hidden="1" customHeight="1">
      <c r="A96" s="51" t="s">
        <v>138</v>
      </c>
      <c r="B96" s="28" t="s">
        <v>143</v>
      </c>
      <c r="C96" s="52" t="s">
        <v>145</v>
      </c>
      <c r="D96" s="28">
        <v>2007</v>
      </c>
      <c r="E96" s="28">
        <v>5</v>
      </c>
      <c r="F96" s="28">
        <v>16</v>
      </c>
      <c r="G96" s="46">
        <f t="shared" si="37"/>
        <v>502.88</v>
      </c>
      <c r="H96" s="54">
        <v>705.39534932000004</v>
      </c>
      <c r="I96" s="59">
        <v>842.11077557999999</v>
      </c>
      <c r="J96" s="54"/>
      <c r="K96" s="54">
        <v>77.031321000000005</v>
      </c>
      <c r="L96" s="59">
        <v>88.953547049999997</v>
      </c>
      <c r="N96" s="28">
        <v>622</v>
      </c>
      <c r="O96" s="54">
        <f t="shared" si="20"/>
        <v>2.8484325920321809</v>
      </c>
      <c r="Q96" s="25"/>
      <c r="R96" s="48">
        <f t="shared" si="21"/>
        <v>1.8866673455840561</v>
      </c>
      <c r="T96" s="25"/>
      <c r="U96" s="57">
        <v>2.8484325920321809</v>
      </c>
      <c r="V96" s="58">
        <v>1.8866673455840561</v>
      </c>
      <c r="W96" s="49">
        <f t="shared" si="19"/>
        <v>1.2237819862919666</v>
      </c>
      <c r="X96" s="49"/>
      <c r="Y96" s="49"/>
      <c r="Z96" s="49"/>
      <c r="AA96" s="58"/>
      <c r="AB96" s="58"/>
      <c r="AC96" s="58"/>
      <c r="AD96" s="58"/>
      <c r="AE96" s="54">
        <v>27.265470279999999</v>
      </c>
      <c r="AF96" s="54">
        <f t="shared" si="22"/>
        <v>26.991019179999999</v>
      </c>
      <c r="AG96" s="54">
        <v>38.30097087</v>
      </c>
      <c r="AH96" s="54">
        <f t="shared" si="22"/>
        <v>38.126213589999999</v>
      </c>
      <c r="AI96" s="54"/>
      <c r="AJ96" s="24"/>
      <c r="AK96" s="24"/>
      <c r="AL96" s="24"/>
      <c r="AM96" s="54">
        <v>312.12305205000001</v>
      </c>
      <c r="AN96" s="54">
        <f t="shared" ref="AN96" si="41">AVERAGE(AM95:AM96)</f>
        <v>252.40452756500002</v>
      </c>
      <c r="AO96" s="30"/>
      <c r="AP96" s="30"/>
      <c r="AQ96" s="30"/>
      <c r="AR96" s="30"/>
      <c r="AS96" s="30"/>
      <c r="AT96" s="30"/>
      <c r="AU96" s="30"/>
      <c r="AV96" s="30"/>
      <c r="AW96" s="30"/>
    </row>
    <row r="97" spans="1:49" ht="15" hidden="1" customHeight="1">
      <c r="A97" s="51" t="s">
        <v>138</v>
      </c>
      <c r="B97" s="28" t="s">
        <v>143</v>
      </c>
      <c r="C97" s="52" t="s">
        <v>145</v>
      </c>
      <c r="D97" s="28">
        <v>2007</v>
      </c>
      <c r="E97" s="28">
        <v>6</v>
      </c>
      <c r="F97" s="28">
        <v>16</v>
      </c>
      <c r="G97" s="46">
        <f t="shared" si="37"/>
        <v>533.35</v>
      </c>
      <c r="H97" s="54">
        <v>794.71226691000004</v>
      </c>
      <c r="I97" s="59">
        <v>943.23062445000005</v>
      </c>
      <c r="J97" s="54"/>
      <c r="K97" s="54">
        <v>98.94651168</v>
      </c>
      <c r="L97" s="59">
        <v>111.022491</v>
      </c>
      <c r="N97" s="28">
        <v>620</v>
      </c>
      <c r="O97" s="54">
        <f t="shared" si="20"/>
        <v>2.9002099166914959</v>
      </c>
      <c r="Q97" s="25"/>
      <c r="R97" s="48">
        <f t="shared" si="21"/>
        <v>1.9954004879326988</v>
      </c>
      <c r="T97" s="25"/>
      <c r="U97" s="57">
        <v>2.9002099166914959</v>
      </c>
      <c r="V97" s="58">
        <v>1.9954004879326988</v>
      </c>
      <c r="W97" s="49">
        <f t="shared" si="19"/>
        <v>1.104552859347945</v>
      </c>
      <c r="X97" s="49"/>
      <c r="Y97" s="49"/>
      <c r="Z97" s="49"/>
      <c r="AA97" s="58"/>
      <c r="AB97" s="58"/>
      <c r="AC97" s="58"/>
      <c r="AD97" s="58"/>
      <c r="AE97" s="54">
        <v>28.11377367</v>
      </c>
      <c r="AF97" s="54">
        <f t="shared" si="22"/>
        <v>27.689621975000001</v>
      </c>
      <c r="AG97" s="54">
        <v>38.708737859999999</v>
      </c>
      <c r="AH97" s="54">
        <f t="shared" si="22"/>
        <v>38.504854365</v>
      </c>
      <c r="AI97" s="54"/>
      <c r="AJ97" s="24"/>
      <c r="AK97" s="24"/>
      <c r="AL97" s="24"/>
      <c r="AM97" s="54">
        <v>312.04012284999999</v>
      </c>
      <c r="AN97" s="54">
        <f t="shared" ref="AN97" si="42">AVERAGE(AM96:AM97)</f>
        <v>312.08158745000003</v>
      </c>
      <c r="AO97" s="30"/>
      <c r="AP97" s="30"/>
      <c r="AQ97" s="30"/>
      <c r="AR97" s="30"/>
      <c r="AS97" s="30"/>
      <c r="AT97" s="30"/>
      <c r="AU97" s="30"/>
      <c r="AV97" s="30"/>
      <c r="AW97" s="30"/>
    </row>
    <row r="98" spans="1:49" ht="15" hidden="1" customHeight="1">
      <c r="A98" s="51" t="s">
        <v>138</v>
      </c>
      <c r="B98" s="28" t="s">
        <v>143</v>
      </c>
      <c r="C98" s="52" t="s">
        <v>145</v>
      </c>
      <c r="D98" s="28">
        <v>2007</v>
      </c>
      <c r="E98" s="28">
        <v>7</v>
      </c>
      <c r="F98" s="28">
        <v>16</v>
      </c>
      <c r="G98" s="46">
        <f t="shared" si="37"/>
        <v>563.81999999999994</v>
      </c>
      <c r="H98" s="54">
        <v>840.79125436000004</v>
      </c>
      <c r="I98" s="59">
        <v>949.25890231000005</v>
      </c>
      <c r="J98" s="54"/>
      <c r="K98" s="54">
        <v>196.20956873</v>
      </c>
      <c r="L98" s="59">
        <v>231.75258846</v>
      </c>
      <c r="N98" s="28">
        <v>716</v>
      </c>
      <c r="O98" s="54">
        <f t="shared" si="20"/>
        <v>2.9246881856522666</v>
      </c>
      <c r="Q98" s="25"/>
      <c r="R98" s="48">
        <f t="shared" si="21"/>
        <v>2.2927201831932931</v>
      </c>
      <c r="T98" s="25"/>
      <c r="U98" s="57">
        <v>2.9246881856522666</v>
      </c>
      <c r="V98" s="58">
        <v>2.2927201831932931</v>
      </c>
      <c r="W98" s="49">
        <f t="shared" si="19"/>
        <v>0.81360775831969689</v>
      </c>
      <c r="X98" s="49"/>
      <c r="Y98" s="49"/>
      <c r="Z98" s="49"/>
      <c r="AA98" s="58"/>
      <c r="AB98" s="58"/>
      <c r="AC98" s="58"/>
      <c r="AD98" s="58"/>
      <c r="AE98" s="54">
        <v>31.457087049999998</v>
      </c>
      <c r="AF98" s="54">
        <f t="shared" si="22"/>
        <v>29.785430359999999</v>
      </c>
      <c r="AG98" s="54">
        <v>38.5631068</v>
      </c>
      <c r="AH98" s="54">
        <f t="shared" si="22"/>
        <v>38.63592233</v>
      </c>
      <c r="AI98" s="54"/>
      <c r="AJ98" s="24"/>
      <c r="AK98" s="24"/>
      <c r="AL98" s="24"/>
      <c r="AM98" s="54">
        <v>362.75391863999999</v>
      </c>
      <c r="AN98" s="54">
        <f t="shared" ref="AN98" si="43">AVERAGE(AM97:AM98)</f>
        <v>337.39702074499996</v>
      </c>
      <c r="AO98" s="30"/>
      <c r="AP98" s="30"/>
      <c r="AQ98" s="30"/>
      <c r="AR98" s="30"/>
      <c r="AS98" s="30"/>
      <c r="AT98" s="30"/>
      <c r="AU98" s="30"/>
      <c r="AV98" s="30"/>
      <c r="AW98" s="30"/>
    </row>
    <row r="99" spans="1:49" ht="15" hidden="1" customHeight="1">
      <c r="A99" s="51" t="s">
        <v>138</v>
      </c>
      <c r="B99" s="28" t="s">
        <v>143</v>
      </c>
      <c r="C99" s="52" t="s">
        <v>145</v>
      </c>
      <c r="D99" s="28">
        <v>2007</v>
      </c>
      <c r="E99" s="28">
        <v>8</v>
      </c>
      <c r="F99" s="28">
        <v>15</v>
      </c>
      <c r="G99" s="46">
        <f t="shared" si="37"/>
        <v>593.29</v>
      </c>
      <c r="H99" s="54">
        <v>744.79313943</v>
      </c>
      <c r="I99" s="59">
        <v>829.19149028000004</v>
      </c>
      <c r="J99" s="54"/>
      <c r="K99" s="54">
        <v>164.73207332999999</v>
      </c>
      <c r="L99" s="59">
        <v>177.22932283</v>
      </c>
      <c r="N99" s="28">
        <v>716</v>
      </c>
      <c r="O99" s="54">
        <f t="shared" si="20"/>
        <v>2.8720356675417391</v>
      </c>
      <c r="Q99" s="25"/>
      <c r="R99" s="48">
        <f t="shared" si="21"/>
        <v>2.2167781645257532</v>
      </c>
      <c r="T99" s="25"/>
      <c r="U99" s="57">
        <v>2.8720356675417391</v>
      </c>
      <c r="V99" s="58">
        <v>2.2167781645257532</v>
      </c>
      <c r="W99" s="49">
        <f t="shared" si="19"/>
        <v>0.90181957435271154</v>
      </c>
      <c r="X99" s="49"/>
      <c r="Y99" s="49"/>
      <c r="Z99" s="49"/>
      <c r="AA99" s="58"/>
      <c r="AB99" s="58"/>
      <c r="AC99" s="58"/>
      <c r="AD99" s="58"/>
      <c r="AE99" s="54">
        <v>31.556887450000001</v>
      </c>
      <c r="AF99" s="54">
        <f t="shared" si="22"/>
        <v>31.506987250000002</v>
      </c>
      <c r="AG99" s="54">
        <v>38.883495150000002</v>
      </c>
      <c r="AH99" s="54">
        <f t="shared" si="22"/>
        <v>38.723300975000001</v>
      </c>
      <c r="AI99" s="54"/>
      <c r="AJ99" s="24"/>
      <c r="AK99" s="24"/>
      <c r="AL99" s="24"/>
      <c r="AM99" s="54">
        <v>308.88449412</v>
      </c>
      <c r="AN99" s="54">
        <f t="shared" ref="AN99" si="44">AVERAGE(AM98:AM99)</f>
        <v>335.81920637999997</v>
      </c>
      <c r="AO99" s="30"/>
      <c r="AP99" s="30"/>
      <c r="AQ99" s="30"/>
      <c r="AR99" s="30"/>
      <c r="AS99" s="30"/>
      <c r="AT99" s="30"/>
      <c r="AU99" s="30"/>
      <c r="AV99" s="30"/>
      <c r="AW99" s="30"/>
    </row>
    <row r="100" spans="1:49" ht="15" hidden="1" customHeight="1">
      <c r="A100" s="51" t="s">
        <v>138</v>
      </c>
      <c r="B100" s="28" t="s">
        <v>143</v>
      </c>
      <c r="C100" s="52" t="s">
        <v>145</v>
      </c>
      <c r="D100" s="28">
        <v>2007</v>
      </c>
      <c r="E100" s="28">
        <v>9</v>
      </c>
      <c r="F100" s="28">
        <v>15</v>
      </c>
      <c r="G100" s="46">
        <f t="shared" si="37"/>
        <v>623.76</v>
      </c>
      <c r="H100" s="54">
        <v>701.27783592000003</v>
      </c>
      <c r="I100" s="59">
        <v>758.73163104000002</v>
      </c>
      <c r="J100" s="54"/>
      <c r="K100" s="54">
        <v>142.23355555000001</v>
      </c>
      <c r="L100" s="59">
        <v>159.05489840000001</v>
      </c>
      <c r="N100" s="28">
        <v>742</v>
      </c>
      <c r="O100" s="54">
        <f t="shared" si="20"/>
        <v>2.8458901131184446</v>
      </c>
      <c r="Q100" s="25"/>
      <c r="R100" s="48">
        <f t="shared" si="21"/>
        <v>2.153002066654274</v>
      </c>
      <c r="T100" s="25"/>
      <c r="U100" s="57">
        <v>2.8458901131184446</v>
      </c>
      <c r="V100" s="58">
        <v>2.153002066654274</v>
      </c>
      <c r="W100" s="49">
        <f t="shared" si="19"/>
        <v>0.97048683084273124</v>
      </c>
      <c r="X100" s="49"/>
      <c r="Y100" s="49"/>
      <c r="Z100" s="49"/>
      <c r="AA100" s="58"/>
      <c r="AB100" s="58"/>
      <c r="AC100" s="58"/>
      <c r="AD100" s="58"/>
      <c r="AE100" s="54">
        <v>31.70658804</v>
      </c>
      <c r="AF100" s="54">
        <f t="shared" si="22"/>
        <v>31.631737745000002</v>
      </c>
      <c r="AG100" s="54">
        <v>40.42718447</v>
      </c>
      <c r="AH100" s="54">
        <f t="shared" si="22"/>
        <v>39.655339810000001</v>
      </c>
      <c r="AI100" s="54"/>
      <c r="AJ100" s="24"/>
      <c r="AK100" s="24"/>
      <c r="AL100" s="24"/>
      <c r="AM100" s="54">
        <v>249.04071199000001</v>
      </c>
      <c r="AN100" s="54">
        <f t="shared" ref="AN100" si="45">AVERAGE(AM99:AM100)</f>
        <v>278.96260305499999</v>
      </c>
      <c r="AO100" s="30"/>
      <c r="AP100" s="30"/>
      <c r="AQ100" s="30"/>
      <c r="AR100" s="30"/>
      <c r="AS100" s="30"/>
      <c r="AT100" s="30"/>
      <c r="AU100" s="30"/>
      <c r="AV100" s="30"/>
      <c r="AW100" s="30"/>
    </row>
    <row r="101" spans="1:49" ht="15" hidden="1" customHeight="1">
      <c r="A101" s="51" t="s">
        <v>138</v>
      </c>
      <c r="B101" s="28" t="s">
        <v>143</v>
      </c>
      <c r="C101" s="52" t="s">
        <v>146</v>
      </c>
      <c r="D101" s="28">
        <v>2006</v>
      </c>
      <c r="E101" s="28">
        <v>10</v>
      </c>
      <c r="F101" s="28">
        <v>15</v>
      </c>
      <c r="G101" s="46">
        <f t="shared" si="18"/>
        <v>289.23</v>
      </c>
      <c r="H101" s="54">
        <v>710.29650981999998</v>
      </c>
      <c r="I101" s="59">
        <v>762.70355623</v>
      </c>
      <c r="J101" s="54"/>
      <c r="K101" s="54">
        <v>109.2586221</v>
      </c>
      <c r="L101" s="59">
        <v>115.34974</v>
      </c>
      <c r="N101" s="28">
        <v>796</v>
      </c>
      <c r="O101" s="54">
        <f t="shared" si="20"/>
        <v>2.8514396806869238</v>
      </c>
      <c r="Q101" s="25"/>
      <c r="R101" s="48">
        <f t="shared" si="21"/>
        <v>2.0384557191683128</v>
      </c>
      <c r="T101" s="25"/>
      <c r="U101" s="57">
        <v>2.8514396806869238</v>
      </c>
      <c r="V101" s="58">
        <v>2.0384557191683128</v>
      </c>
      <c r="W101" s="49">
        <f t="shared" si="19"/>
        <v>1.0780903597034679</v>
      </c>
      <c r="X101" s="49"/>
      <c r="Y101" s="49"/>
      <c r="Z101" s="49"/>
      <c r="AA101" s="58"/>
      <c r="AB101" s="58"/>
      <c r="AC101" s="58"/>
      <c r="AD101" s="58"/>
      <c r="AE101" s="54">
        <v>25.518963289999999</v>
      </c>
      <c r="AF101" s="54">
        <f t="shared" si="22"/>
        <v>28.612775665000001</v>
      </c>
      <c r="AG101" s="54">
        <v>37.951456309999998</v>
      </c>
      <c r="AH101" s="54">
        <f t="shared" si="22"/>
        <v>39.189320389999999</v>
      </c>
      <c r="AI101" s="54"/>
      <c r="AJ101" s="24"/>
      <c r="AK101" s="24"/>
      <c r="AL101" s="24"/>
      <c r="AM101" s="54">
        <v>243.98203095</v>
      </c>
      <c r="AN101" s="54">
        <f t="shared" ref="AN101" si="46">AVERAGE(AM100:AM101)</f>
        <v>246.51137147</v>
      </c>
      <c r="AO101" s="30"/>
      <c r="AP101" s="30"/>
      <c r="AQ101" s="30"/>
      <c r="AR101" s="30"/>
      <c r="AS101" s="30"/>
      <c r="AT101" s="30"/>
      <c r="AU101" s="30"/>
      <c r="AV101" s="30"/>
      <c r="AW101" s="30"/>
    </row>
    <row r="102" spans="1:49" ht="15" hidden="1" customHeight="1">
      <c r="A102" s="51" t="s">
        <v>138</v>
      </c>
      <c r="B102" s="28" t="s">
        <v>143</v>
      </c>
      <c r="C102" s="52" t="s">
        <v>146</v>
      </c>
      <c r="D102" s="28">
        <v>2006</v>
      </c>
      <c r="E102" s="28">
        <v>11</v>
      </c>
      <c r="F102" s="28">
        <v>15</v>
      </c>
      <c r="G102" s="46">
        <f t="shared" si="18"/>
        <v>319.7</v>
      </c>
      <c r="H102" s="54">
        <v>484.54959617999998</v>
      </c>
      <c r="I102" s="59">
        <v>597.15212598000005</v>
      </c>
      <c r="J102" s="54"/>
      <c r="K102" s="54">
        <v>33.369591610000001</v>
      </c>
      <c r="L102" s="59">
        <v>56.499217719999997</v>
      </c>
      <c r="N102" s="28">
        <v>506</v>
      </c>
      <c r="O102" s="54">
        <f t="shared" si="20"/>
        <v>2.6853382359686782</v>
      </c>
      <c r="Q102" s="25"/>
      <c r="R102" s="48">
        <f t="shared" si="21"/>
        <v>1.5233508916230645</v>
      </c>
      <c r="T102" s="25"/>
      <c r="U102" s="57">
        <v>2.6853382359686782</v>
      </c>
      <c r="V102" s="58">
        <v>1.5233508916230645</v>
      </c>
      <c r="W102" s="49">
        <f t="shared" si="19"/>
        <v>1.6192003234875352</v>
      </c>
      <c r="X102" s="49"/>
      <c r="Y102" s="49"/>
      <c r="Z102" s="49"/>
      <c r="AA102" s="58"/>
      <c r="AB102" s="58"/>
      <c r="AC102" s="58"/>
      <c r="AD102" s="58"/>
      <c r="AE102" s="54">
        <v>19.231538140000001</v>
      </c>
      <c r="AF102" s="54">
        <f t="shared" si="22"/>
        <v>22.375250715</v>
      </c>
      <c r="AG102" s="54">
        <v>38.766990290000003</v>
      </c>
      <c r="AH102" s="54">
        <f t="shared" si="22"/>
        <v>38.359223299999996</v>
      </c>
      <c r="AI102" s="54"/>
      <c r="AJ102" s="24"/>
      <c r="AK102" s="24"/>
      <c r="AL102" s="24"/>
      <c r="AM102" s="54">
        <v>204.05680544000001</v>
      </c>
      <c r="AN102" s="54">
        <f t="shared" ref="AN102" si="47">AVERAGE(AM101:AM102)</f>
        <v>224.01941819500001</v>
      </c>
      <c r="AO102" s="30"/>
      <c r="AP102" s="30"/>
      <c r="AQ102" s="30"/>
      <c r="AR102" s="30"/>
      <c r="AS102" s="30"/>
      <c r="AT102" s="30"/>
      <c r="AU102" s="30"/>
      <c r="AV102" s="30"/>
      <c r="AW102" s="30"/>
    </row>
    <row r="103" spans="1:49" ht="15" hidden="1" customHeight="1">
      <c r="A103" s="51" t="s">
        <v>138</v>
      </c>
      <c r="B103" s="28" t="s">
        <v>143</v>
      </c>
      <c r="C103" s="52" t="s">
        <v>146</v>
      </c>
      <c r="D103" s="28">
        <v>2006</v>
      </c>
      <c r="E103" s="28">
        <v>12</v>
      </c>
      <c r="F103" s="28">
        <v>14</v>
      </c>
      <c r="G103" s="46">
        <f t="shared" si="18"/>
        <v>349.16999999999996</v>
      </c>
      <c r="H103" s="54">
        <v>490.46599706000001</v>
      </c>
      <c r="I103" s="59">
        <v>530.82903706000002</v>
      </c>
      <c r="J103" s="54"/>
      <c r="K103" s="54">
        <v>41.811751809999997</v>
      </c>
      <c r="L103" s="59">
        <v>55.633789309999997</v>
      </c>
      <c r="N103" s="28">
        <v>502</v>
      </c>
      <c r="O103" s="54">
        <f t="shared" si="20"/>
        <v>2.6906089040684837</v>
      </c>
      <c r="Q103" s="25"/>
      <c r="R103" s="48">
        <f t="shared" si="21"/>
        <v>1.6212983638067711</v>
      </c>
      <c r="T103" s="25"/>
      <c r="U103" s="57">
        <v>2.6906089040684837</v>
      </c>
      <c r="V103" s="58">
        <v>1.6212983638067711</v>
      </c>
      <c r="W103" s="49">
        <f t="shared" si="19"/>
        <v>1.5241895350171701</v>
      </c>
      <c r="X103" s="49"/>
      <c r="Y103" s="49"/>
      <c r="Z103" s="49"/>
      <c r="AA103" s="58"/>
      <c r="AB103" s="58"/>
      <c r="AC103" s="58"/>
      <c r="AD103" s="58"/>
      <c r="AE103" s="54">
        <v>16.437126970000001</v>
      </c>
      <c r="AF103" s="54">
        <f t="shared" si="22"/>
        <v>17.834332555000003</v>
      </c>
      <c r="AG103" s="54">
        <v>38.359223299999996</v>
      </c>
      <c r="AH103" s="54">
        <f t="shared" si="22"/>
        <v>38.563106794999996</v>
      </c>
      <c r="AI103" s="54"/>
      <c r="AJ103" s="24"/>
      <c r="AK103" s="24"/>
      <c r="AL103" s="24"/>
      <c r="AM103" s="54">
        <v>165.13018568000001</v>
      </c>
      <c r="AN103" s="54">
        <f t="shared" ref="AN103" si="48">AVERAGE(AM102:AM103)</f>
        <v>184.59349556000001</v>
      </c>
      <c r="AO103" s="30"/>
      <c r="AP103" s="30"/>
      <c r="AQ103" s="30"/>
      <c r="AR103" s="30"/>
      <c r="AS103" s="30"/>
      <c r="AT103" s="30"/>
      <c r="AU103" s="30"/>
      <c r="AV103" s="30"/>
      <c r="AW103" s="30"/>
    </row>
    <row r="104" spans="1:49" ht="15" hidden="1" customHeight="1">
      <c r="A104" s="51" t="s">
        <v>138</v>
      </c>
      <c r="B104" s="28" t="s">
        <v>143</v>
      </c>
      <c r="C104" s="52" t="s">
        <v>146</v>
      </c>
      <c r="D104" s="28">
        <v>2007</v>
      </c>
      <c r="E104" s="28">
        <v>1</v>
      </c>
      <c r="F104" s="28">
        <v>14</v>
      </c>
      <c r="G104" s="46">
        <f>365+30.47*(E104-1)+F104</f>
        <v>379</v>
      </c>
      <c r="H104" s="54">
        <v>477.85224116000001</v>
      </c>
      <c r="I104" s="59">
        <v>528.58618078999996</v>
      </c>
      <c r="J104" s="54"/>
      <c r="K104" s="54">
        <v>39.273713839999999</v>
      </c>
      <c r="L104" s="59">
        <v>57.364676690000003</v>
      </c>
      <c r="N104" s="28">
        <v>510</v>
      </c>
      <c r="O104" s="54">
        <f t="shared" si="20"/>
        <v>2.6792936272206536</v>
      </c>
      <c r="Q104" s="25"/>
      <c r="R104" s="48">
        <f t="shared" si="21"/>
        <v>1.5941019713991662</v>
      </c>
      <c r="T104" s="25"/>
      <c r="U104" s="57">
        <v>2.6792936272206536</v>
      </c>
      <c r="V104" s="58">
        <v>1.5941019713991662</v>
      </c>
      <c r="W104" s="49">
        <f t="shared" si="19"/>
        <v>1.5535213775065198</v>
      </c>
      <c r="X104" s="49"/>
      <c r="Y104" s="49"/>
      <c r="Z104" s="49"/>
      <c r="AA104" s="58"/>
      <c r="AB104" s="58"/>
      <c r="AC104" s="58"/>
      <c r="AD104" s="58"/>
      <c r="AE104" s="54">
        <v>15.68862397</v>
      </c>
      <c r="AF104" s="54">
        <f t="shared" si="22"/>
        <v>16.062875470000002</v>
      </c>
      <c r="AG104" s="54">
        <v>37.631067960000003</v>
      </c>
      <c r="AH104" s="54">
        <f t="shared" si="22"/>
        <v>37.995145629999996</v>
      </c>
      <c r="AI104" s="54"/>
      <c r="AJ104" s="24"/>
      <c r="AK104" s="24"/>
      <c r="AL104" s="24"/>
      <c r="AM104" s="54">
        <v>218.83116027</v>
      </c>
      <c r="AN104" s="54">
        <f t="shared" ref="AN104" si="49">AVERAGE(AM103:AM104)</f>
        <v>191.980672975</v>
      </c>
      <c r="AO104" s="30"/>
      <c r="AP104" s="30"/>
      <c r="AQ104" s="30"/>
      <c r="AR104" s="30"/>
      <c r="AS104" s="30"/>
      <c r="AT104" s="30"/>
      <c r="AU104" s="30"/>
      <c r="AV104" s="30"/>
      <c r="AW104" s="30"/>
    </row>
    <row r="105" spans="1:49" ht="15" hidden="1" customHeight="1">
      <c r="A105" s="51" t="s">
        <v>138</v>
      </c>
      <c r="B105" s="28" t="s">
        <v>143</v>
      </c>
      <c r="C105" s="52" t="s">
        <v>146</v>
      </c>
      <c r="D105" s="28">
        <v>2007</v>
      </c>
      <c r="E105" s="28">
        <v>2</v>
      </c>
      <c r="F105" s="28">
        <v>14</v>
      </c>
      <c r="G105" s="46">
        <f t="shared" ref="G105:G112" si="50">365+30.47*(E105-1)+F105</f>
        <v>409.47</v>
      </c>
      <c r="H105" s="54">
        <v>480.68521964000001</v>
      </c>
      <c r="I105" s="59">
        <v>553.22270557000002</v>
      </c>
      <c r="J105" s="54"/>
      <c r="K105" s="54">
        <v>39.2324202</v>
      </c>
      <c r="L105" s="59">
        <v>53.47015717</v>
      </c>
      <c r="N105" s="28">
        <v>546</v>
      </c>
      <c r="O105" s="54">
        <f t="shared" si="20"/>
        <v>2.681860768420564</v>
      </c>
      <c r="Q105" s="25"/>
      <c r="R105" s="48">
        <f t="shared" si="21"/>
        <v>1.59364510005114</v>
      </c>
      <c r="T105" s="25"/>
      <c r="U105" s="57">
        <v>2.681860768420564</v>
      </c>
      <c r="V105" s="58">
        <v>1.59364510005114</v>
      </c>
      <c r="W105" s="49">
        <f t="shared" si="19"/>
        <v>1.5531882651443552</v>
      </c>
      <c r="X105" s="49"/>
      <c r="Y105" s="49"/>
      <c r="Z105" s="49"/>
      <c r="AA105" s="58"/>
      <c r="AB105" s="58"/>
      <c r="AC105" s="58"/>
      <c r="AD105" s="58"/>
      <c r="AE105" s="54">
        <v>17.035929360000001</v>
      </c>
      <c r="AF105" s="54">
        <f t="shared" si="22"/>
        <v>16.362276665</v>
      </c>
      <c r="AG105" s="54">
        <v>37.689320389999999</v>
      </c>
      <c r="AH105" s="54">
        <f t="shared" si="22"/>
        <v>37.660194175000001</v>
      </c>
      <c r="AI105" s="54"/>
      <c r="AJ105" s="24"/>
      <c r="AK105" s="24"/>
      <c r="AL105" s="24"/>
      <c r="AM105" s="54">
        <v>163.96658538</v>
      </c>
      <c r="AN105" s="54">
        <f t="shared" ref="AN105" si="51">AVERAGE(AM104:AM105)</f>
        <v>191.39887282500001</v>
      </c>
      <c r="AO105" s="30"/>
      <c r="AP105" s="30"/>
      <c r="AQ105" s="30"/>
      <c r="AR105" s="30"/>
      <c r="AS105" s="30"/>
      <c r="AT105" s="30"/>
      <c r="AU105" s="30"/>
      <c r="AV105" s="30"/>
      <c r="AW105" s="30"/>
    </row>
    <row r="106" spans="1:49" ht="15" hidden="1" customHeight="1">
      <c r="A106" s="51" t="s">
        <v>138</v>
      </c>
      <c r="B106" s="28" t="s">
        <v>143</v>
      </c>
      <c r="C106" s="52" t="s">
        <v>146</v>
      </c>
      <c r="D106" s="28">
        <v>2007</v>
      </c>
      <c r="E106" s="28">
        <v>3</v>
      </c>
      <c r="F106" s="28">
        <v>16</v>
      </c>
      <c r="G106" s="46">
        <f t="shared" si="50"/>
        <v>441.94</v>
      </c>
      <c r="H106" s="54">
        <v>384.67363998000002</v>
      </c>
      <c r="I106" s="59">
        <v>478.63329550999998</v>
      </c>
      <c r="J106" s="54"/>
      <c r="K106" s="54">
        <v>37.694557830000001</v>
      </c>
      <c r="L106" s="59">
        <v>52.604698200000001</v>
      </c>
      <c r="N106" s="28">
        <v>674</v>
      </c>
      <c r="O106" s="54">
        <f t="shared" si="20"/>
        <v>2.5850924270048625</v>
      </c>
      <c r="Q106" s="25"/>
      <c r="R106" s="48">
        <f t="shared" si="21"/>
        <v>1.5762786532559676</v>
      </c>
      <c r="T106" s="25"/>
      <c r="U106" s="57">
        <v>2.5850924270048625</v>
      </c>
      <c r="V106" s="58">
        <v>1.5762786532559676</v>
      </c>
      <c r="W106" s="49">
        <f t="shared" si="19"/>
        <v>1.598738617497472</v>
      </c>
      <c r="X106" s="49"/>
      <c r="Y106" s="49"/>
      <c r="Z106" s="49"/>
      <c r="AA106" s="58"/>
      <c r="AB106" s="58"/>
      <c r="AC106" s="58"/>
      <c r="AD106" s="58"/>
      <c r="AE106" s="54">
        <v>20.67864393</v>
      </c>
      <c r="AF106" s="54">
        <f t="shared" si="22"/>
        <v>18.857286645000002</v>
      </c>
      <c r="AG106" s="54">
        <v>37.631067960000003</v>
      </c>
      <c r="AH106" s="54">
        <f t="shared" si="22"/>
        <v>37.660194175000001</v>
      </c>
      <c r="AI106" s="54"/>
      <c r="AJ106" s="24"/>
      <c r="AK106" s="24"/>
      <c r="AL106" s="24"/>
      <c r="AM106" s="54">
        <v>229.62145824999999</v>
      </c>
      <c r="AN106" s="54">
        <f t="shared" ref="AN106" si="52">AVERAGE(AM105:AM106)</f>
        <v>196.79402181500001</v>
      </c>
      <c r="AO106" s="30"/>
      <c r="AP106" s="30"/>
      <c r="AQ106" s="30"/>
      <c r="AR106" s="30"/>
      <c r="AS106" s="30"/>
      <c r="AT106" s="30"/>
      <c r="AU106" s="30"/>
      <c r="AV106" s="30"/>
      <c r="AW106" s="30"/>
    </row>
    <row r="107" spans="1:49" ht="15" hidden="1" customHeight="1">
      <c r="A107" s="51" t="s">
        <v>138</v>
      </c>
      <c r="B107" s="28" t="s">
        <v>143</v>
      </c>
      <c r="C107" s="52" t="s">
        <v>146</v>
      </c>
      <c r="D107" s="28">
        <v>2007</v>
      </c>
      <c r="E107" s="28">
        <v>4</v>
      </c>
      <c r="F107" s="28">
        <v>15</v>
      </c>
      <c r="G107" s="46">
        <f t="shared" si="50"/>
        <v>471.40999999999997</v>
      </c>
      <c r="H107" s="54">
        <v>674.77117509000004</v>
      </c>
      <c r="I107" s="59">
        <v>716.18955681</v>
      </c>
      <c r="J107" s="54"/>
      <c r="K107" s="54">
        <v>44.13854018</v>
      </c>
      <c r="L107" s="59">
        <v>82.462681189999998</v>
      </c>
      <c r="N107" s="28">
        <v>558</v>
      </c>
      <c r="O107" s="54">
        <f t="shared" si="20"/>
        <v>2.8291565220991659</v>
      </c>
      <c r="Q107" s="25"/>
      <c r="R107" s="48">
        <f t="shared" si="21"/>
        <v>1.6448179653853405</v>
      </c>
      <c r="T107" s="25"/>
      <c r="U107" s="57">
        <v>2.8291565220991659</v>
      </c>
      <c r="V107" s="58">
        <v>1.6448179653853405</v>
      </c>
      <c r="W107" s="49">
        <f t="shared" si="19"/>
        <v>1.4602557671997798</v>
      </c>
      <c r="X107" s="49"/>
      <c r="Y107" s="49"/>
      <c r="Z107" s="49"/>
      <c r="AA107" s="58"/>
      <c r="AB107" s="58"/>
      <c r="AC107" s="58"/>
      <c r="AD107" s="58"/>
      <c r="AE107" s="54">
        <v>26.716568079999998</v>
      </c>
      <c r="AF107" s="54">
        <f t="shared" si="22"/>
        <v>23.697606004999997</v>
      </c>
      <c r="AG107" s="54">
        <v>37.951456309999998</v>
      </c>
      <c r="AH107" s="54">
        <f t="shared" si="22"/>
        <v>37.791262134999997</v>
      </c>
      <c r="AI107" s="54"/>
      <c r="AJ107" s="24"/>
      <c r="AK107" s="24"/>
      <c r="AL107" s="24"/>
      <c r="AM107" s="54">
        <v>192.68600308000001</v>
      </c>
      <c r="AN107" s="54">
        <f t="shared" ref="AN107" si="53">AVERAGE(AM106:AM107)</f>
        <v>211.15373066500001</v>
      </c>
      <c r="AO107" s="30"/>
      <c r="AP107" s="30"/>
      <c r="AQ107" s="30"/>
      <c r="AR107" s="30"/>
      <c r="AS107" s="30"/>
      <c r="AT107" s="30"/>
      <c r="AU107" s="30"/>
      <c r="AV107" s="30"/>
      <c r="AW107" s="30"/>
    </row>
    <row r="108" spans="1:49" ht="15" hidden="1" customHeight="1">
      <c r="A108" s="51" t="s">
        <v>138</v>
      </c>
      <c r="B108" s="28" t="s">
        <v>143</v>
      </c>
      <c r="C108" s="52" t="s">
        <v>146</v>
      </c>
      <c r="D108" s="28">
        <v>2007</v>
      </c>
      <c r="E108" s="28">
        <v>5</v>
      </c>
      <c r="F108" s="28">
        <v>16</v>
      </c>
      <c r="G108" s="46">
        <f t="shared" si="50"/>
        <v>502.88</v>
      </c>
      <c r="H108" s="54">
        <v>785.70436480000001</v>
      </c>
      <c r="I108" s="59">
        <v>842.10957232999999</v>
      </c>
      <c r="J108" s="54"/>
      <c r="K108" s="54">
        <v>68.048866020000006</v>
      </c>
      <c r="L108" s="59">
        <v>85.059027529999994</v>
      </c>
      <c r="N108" s="28">
        <v>542</v>
      </c>
      <c r="O108" s="54">
        <f t="shared" si="20"/>
        <v>2.8952591657747653</v>
      </c>
      <c r="Q108" s="25"/>
      <c r="R108" s="48">
        <f t="shared" si="21"/>
        <v>1.8328208924289939</v>
      </c>
      <c r="T108" s="25"/>
      <c r="U108" s="57">
        <v>2.8952591657747653</v>
      </c>
      <c r="V108" s="58">
        <v>1.8328208924289939</v>
      </c>
      <c r="W108" s="49">
        <f t="shared" si="19"/>
        <v>1.2611204071869624</v>
      </c>
      <c r="X108" s="49"/>
      <c r="Y108" s="49"/>
      <c r="Z108" s="49"/>
      <c r="AA108" s="58"/>
      <c r="AB108" s="58"/>
      <c r="AC108" s="58"/>
      <c r="AD108" s="58"/>
      <c r="AE108" s="54">
        <v>27.265470279999999</v>
      </c>
      <c r="AF108" s="54">
        <f t="shared" si="22"/>
        <v>26.991019179999999</v>
      </c>
      <c r="AG108" s="54">
        <v>38.30097087</v>
      </c>
      <c r="AH108" s="54">
        <f t="shared" si="22"/>
        <v>38.126213589999999</v>
      </c>
      <c r="AI108" s="54"/>
      <c r="AJ108" s="24"/>
      <c r="AK108" s="24"/>
      <c r="AL108" s="24"/>
      <c r="AM108" s="54">
        <v>312.12305205000001</v>
      </c>
      <c r="AN108" s="54">
        <f t="shared" ref="AN108" si="54">AVERAGE(AM107:AM108)</f>
        <v>252.40452756500002</v>
      </c>
      <c r="AO108" s="30"/>
      <c r="AP108" s="30"/>
      <c r="AQ108" s="30"/>
      <c r="AR108" s="30"/>
      <c r="AS108" s="30"/>
      <c r="AT108" s="30"/>
      <c r="AU108" s="30"/>
      <c r="AV108" s="30"/>
      <c r="AW108" s="30"/>
    </row>
    <row r="109" spans="1:49" ht="15" hidden="1" customHeight="1">
      <c r="A109" s="51" t="s">
        <v>138</v>
      </c>
      <c r="B109" s="28" t="s">
        <v>143</v>
      </c>
      <c r="C109" s="52" t="s">
        <v>146</v>
      </c>
      <c r="D109" s="28">
        <v>2007</v>
      </c>
      <c r="E109" s="28">
        <v>6</v>
      </c>
      <c r="F109" s="28">
        <v>16</v>
      </c>
      <c r="G109" s="46">
        <f t="shared" si="50"/>
        <v>533.35</v>
      </c>
      <c r="H109" s="54">
        <v>946.06925889000001</v>
      </c>
      <c r="I109" s="59">
        <v>1005.24367519</v>
      </c>
      <c r="J109" s="54"/>
      <c r="K109" s="54">
        <v>90.463492489999993</v>
      </c>
      <c r="L109" s="59">
        <v>100.63710561000001</v>
      </c>
      <c r="N109" s="28">
        <v>504</v>
      </c>
      <c r="O109" s="54">
        <f t="shared" si="20"/>
        <v>2.9759229309607096</v>
      </c>
      <c r="Q109" s="25"/>
      <c r="R109" s="48">
        <f t="shared" si="21"/>
        <v>1.9564733503771345</v>
      </c>
      <c r="T109" s="25"/>
      <c r="U109" s="57">
        <v>2.9759229309607096</v>
      </c>
      <c r="V109" s="58">
        <v>1.9564733503771345</v>
      </c>
      <c r="W109" s="49">
        <f t="shared" si="19"/>
        <v>1.119007545548417</v>
      </c>
      <c r="X109" s="49"/>
      <c r="Y109" s="49"/>
      <c r="Z109" s="49"/>
      <c r="AA109" s="58"/>
      <c r="AB109" s="58"/>
      <c r="AC109" s="58"/>
      <c r="AD109" s="58"/>
      <c r="AE109" s="54">
        <v>28.11377367</v>
      </c>
      <c r="AF109" s="54">
        <f t="shared" si="22"/>
        <v>27.689621975000001</v>
      </c>
      <c r="AG109" s="54">
        <v>38.708737859999999</v>
      </c>
      <c r="AH109" s="54">
        <f t="shared" si="22"/>
        <v>38.504854365</v>
      </c>
      <c r="AI109" s="54"/>
      <c r="AJ109" s="24"/>
      <c r="AK109" s="24"/>
      <c r="AL109" s="24"/>
      <c r="AM109" s="54">
        <v>312.04012284999999</v>
      </c>
      <c r="AN109" s="54">
        <f t="shared" ref="AN109" si="55">AVERAGE(AM108:AM109)</f>
        <v>312.08158745000003</v>
      </c>
      <c r="AO109" s="30"/>
      <c r="AP109" s="30"/>
      <c r="AQ109" s="30"/>
      <c r="AR109" s="30"/>
      <c r="AS109" s="30"/>
      <c r="AT109" s="30"/>
      <c r="AU109" s="30"/>
      <c r="AV109" s="30"/>
      <c r="AW109" s="30"/>
    </row>
    <row r="110" spans="1:49" ht="15" hidden="1" customHeight="1">
      <c r="A110" s="51" t="s">
        <v>138</v>
      </c>
      <c r="B110" s="28" t="s">
        <v>143</v>
      </c>
      <c r="C110" s="52" t="s">
        <v>146</v>
      </c>
      <c r="D110" s="28">
        <v>2007</v>
      </c>
      <c r="E110" s="28">
        <v>7</v>
      </c>
      <c r="F110" s="28">
        <v>16</v>
      </c>
      <c r="G110" s="46">
        <f t="shared" si="50"/>
        <v>563.81999999999994</v>
      </c>
      <c r="H110" s="54">
        <v>933.45011710000006</v>
      </c>
      <c r="I110" s="59">
        <v>1015.4039103600001</v>
      </c>
      <c r="J110" s="54"/>
      <c r="K110" s="54">
        <v>89.423761920000004</v>
      </c>
      <c r="L110" s="59">
        <v>121.40787638</v>
      </c>
      <c r="N110" s="28">
        <v>486</v>
      </c>
      <c r="O110" s="54">
        <f t="shared" si="20"/>
        <v>2.970091114521785</v>
      </c>
      <c r="Q110" s="25"/>
      <c r="R110" s="48">
        <f t="shared" si="21"/>
        <v>1.9514529360165975</v>
      </c>
      <c r="T110" s="25"/>
      <c r="U110" s="57">
        <v>2.970091114521785</v>
      </c>
      <c r="V110" s="58">
        <v>1.9514529360165975</v>
      </c>
      <c r="W110" s="49">
        <f t="shared" si="19"/>
        <v>1.1255432912930758</v>
      </c>
      <c r="X110" s="49"/>
      <c r="Y110" s="49"/>
      <c r="Z110" s="49"/>
      <c r="AA110" s="58"/>
      <c r="AB110" s="58"/>
      <c r="AC110" s="58"/>
      <c r="AD110" s="58"/>
      <c r="AE110" s="54">
        <v>31.457087049999998</v>
      </c>
      <c r="AF110" s="54">
        <f t="shared" si="22"/>
        <v>29.785430359999999</v>
      </c>
      <c r="AG110" s="54">
        <v>38.5631068</v>
      </c>
      <c r="AH110" s="54">
        <f t="shared" si="22"/>
        <v>38.63592233</v>
      </c>
      <c r="AI110" s="54"/>
      <c r="AJ110" s="24"/>
      <c r="AK110" s="24"/>
      <c r="AL110" s="24"/>
      <c r="AM110" s="54">
        <v>362.75391863999999</v>
      </c>
      <c r="AN110" s="54">
        <f t="shared" ref="AN110" si="56">AVERAGE(AM109:AM110)</f>
        <v>337.39702074499996</v>
      </c>
      <c r="AO110" s="30"/>
      <c r="AP110" s="30"/>
      <c r="AQ110" s="30"/>
      <c r="AR110" s="30"/>
      <c r="AS110" s="30"/>
      <c r="AT110" s="30"/>
      <c r="AU110" s="30"/>
      <c r="AV110" s="30"/>
      <c r="AW110" s="30"/>
    </row>
    <row r="111" spans="1:49" ht="15" hidden="1" customHeight="1">
      <c r="A111" s="51" t="s">
        <v>138</v>
      </c>
      <c r="B111" s="28" t="s">
        <v>143</v>
      </c>
      <c r="C111" s="52" t="s">
        <v>146</v>
      </c>
      <c r="D111" s="28">
        <v>2007</v>
      </c>
      <c r="E111" s="28">
        <v>8</v>
      </c>
      <c r="F111" s="28">
        <v>15</v>
      </c>
      <c r="G111" s="46">
        <f t="shared" si="50"/>
        <v>593.29</v>
      </c>
      <c r="H111" s="54">
        <v>911.56993634000003</v>
      </c>
      <c r="I111" s="59">
        <v>984.22772686999997</v>
      </c>
      <c r="J111" s="54"/>
      <c r="K111" s="54">
        <v>93.372738620000007</v>
      </c>
      <c r="L111" s="59">
        <v>112.32066417</v>
      </c>
      <c r="N111" s="28">
        <v>496</v>
      </c>
      <c r="O111" s="54">
        <f t="shared" si="20"/>
        <v>2.9597899936727265</v>
      </c>
      <c r="Q111" s="25"/>
      <c r="R111" s="48">
        <f t="shared" si="21"/>
        <v>1.9702200968395396</v>
      </c>
      <c r="T111" s="25"/>
      <c r="U111" s="57">
        <v>2.9597899936727265</v>
      </c>
      <c r="V111" s="58">
        <v>1.9702200968395396</v>
      </c>
      <c r="W111" s="49">
        <f t="shared" si="19"/>
        <v>1.1107267356859372</v>
      </c>
      <c r="X111" s="49"/>
      <c r="Y111" s="49"/>
      <c r="Z111" s="49"/>
      <c r="AA111" s="58"/>
      <c r="AB111" s="58"/>
      <c r="AC111" s="58"/>
      <c r="AD111" s="58"/>
      <c r="AE111" s="54">
        <v>31.556887450000001</v>
      </c>
      <c r="AF111" s="54">
        <f t="shared" si="22"/>
        <v>31.506987250000002</v>
      </c>
      <c r="AG111" s="54">
        <v>38.883495150000002</v>
      </c>
      <c r="AH111" s="54">
        <f t="shared" si="22"/>
        <v>38.723300975000001</v>
      </c>
      <c r="AI111" s="54"/>
      <c r="AJ111" s="24"/>
      <c r="AK111" s="24"/>
      <c r="AL111" s="24"/>
      <c r="AM111" s="54">
        <v>308.88449412</v>
      </c>
      <c r="AN111" s="54">
        <f t="shared" ref="AN111" si="57">AVERAGE(AM110:AM111)</f>
        <v>335.81920637999997</v>
      </c>
      <c r="AO111" s="30"/>
      <c r="AP111" s="30"/>
      <c r="AQ111" s="30"/>
      <c r="AR111" s="30"/>
      <c r="AS111" s="30"/>
      <c r="AT111" s="30"/>
      <c r="AU111" s="30"/>
      <c r="AV111" s="30"/>
      <c r="AW111" s="30"/>
    </row>
    <row r="112" spans="1:49" ht="15" hidden="1" customHeight="1">
      <c r="A112" s="51" t="s">
        <v>138</v>
      </c>
      <c r="B112" s="28" t="s">
        <v>143</v>
      </c>
      <c r="C112" s="52" t="s">
        <v>146</v>
      </c>
      <c r="D112" s="28">
        <v>2007</v>
      </c>
      <c r="E112" s="28">
        <v>9</v>
      </c>
      <c r="F112" s="28">
        <v>15</v>
      </c>
      <c r="G112" s="46">
        <f t="shared" si="50"/>
        <v>623.76</v>
      </c>
      <c r="H112" s="54">
        <v>834.09389934000001</v>
      </c>
      <c r="I112" s="59">
        <v>936.51529137</v>
      </c>
      <c r="J112" s="54"/>
      <c r="K112" s="54">
        <v>107.80247769</v>
      </c>
      <c r="L112" s="59">
        <v>152.13130305999999</v>
      </c>
      <c r="N112" s="28">
        <v>648</v>
      </c>
      <c r="O112" s="54">
        <f t="shared" si="20"/>
        <v>2.9212149447261058</v>
      </c>
      <c r="Q112" s="25"/>
      <c r="R112" s="48">
        <f t="shared" si="21"/>
        <v>2.0326287426200063</v>
      </c>
      <c r="T112" s="25"/>
      <c r="U112" s="57">
        <v>2.9212149447261058</v>
      </c>
      <c r="V112" s="58">
        <v>2.0326287426200063</v>
      </c>
      <c r="W112" s="49">
        <f t="shared" si="19"/>
        <v>1.0627493045816669</v>
      </c>
      <c r="X112" s="49"/>
      <c r="Y112" s="49"/>
      <c r="Z112" s="49"/>
      <c r="AA112" s="58"/>
      <c r="AB112" s="58"/>
      <c r="AC112" s="58"/>
      <c r="AD112" s="58"/>
      <c r="AE112" s="54">
        <v>31.70658804</v>
      </c>
      <c r="AF112" s="54">
        <f t="shared" si="22"/>
        <v>31.631737745000002</v>
      </c>
      <c r="AG112" s="54">
        <v>40.42718447</v>
      </c>
      <c r="AH112" s="54">
        <f t="shared" si="22"/>
        <v>39.655339810000001</v>
      </c>
      <c r="AI112" s="54"/>
      <c r="AJ112" s="24"/>
      <c r="AK112" s="24"/>
      <c r="AL112" s="24"/>
      <c r="AM112" s="54">
        <v>249.04071199000001</v>
      </c>
      <c r="AN112" s="54">
        <f t="shared" ref="AN112" si="58">AVERAGE(AM111:AM112)</f>
        <v>278.96260305499999</v>
      </c>
      <c r="AO112" s="30"/>
      <c r="AP112" s="30"/>
      <c r="AQ112" s="30"/>
      <c r="AR112" s="30"/>
      <c r="AS112" s="30"/>
      <c r="AT112" s="30"/>
      <c r="AU112" s="30"/>
      <c r="AV112" s="30"/>
      <c r="AW112" s="30"/>
    </row>
    <row r="113" spans="1:49" ht="15" hidden="1" customHeight="1">
      <c r="A113" s="51" t="s">
        <v>138</v>
      </c>
      <c r="B113" s="45" t="s">
        <v>161</v>
      </c>
      <c r="C113" s="23" t="s">
        <v>79</v>
      </c>
      <c r="D113" s="45">
        <v>1987</v>
      </c>
      <c r="E113" s="45">
        <v>4</v>
      </c>
      <c r="F113" s="45">
        <v>15</v>
      </c>
      <c r="G113" s="46">
        <f t="shared" si="18"/>
        <v>106.41</v>
      </c>
      <c r="H113" s="53">
        <v>1835.2</v>
      </c>
      <c r="I113" s="53">
        <v>1921.1000000000001</v>
      </c>
      <c r="J113" s="26">
        <f>H113+3*(I113-H113)</f>
        <v>2092.9000000000005</v>
      </c>
      <c r="K113" s="60">
        <f t="shared" ref="K113:K125" si="59">AE113/(AJ113+1)</f>
        <v>69.172932330827066</v>
      </c>
      <c r="L113" s="60">
        <f t="shared" ref="L113:L125" si="60">AG113/(AJ113+1)</f>
        <v>90.225563909774436</v>
      </c>
      <c r="M113" s="46">
        <f t="shared" ref="M113:M129" si="61">K113+3*(L113-K113)</f>
        <v>132.33082706766919</v>
      </c>
      <c r="O113" s="48">
        <f t="shared" si="20"/>
        <v>3.2636834005571926</v>
      </c>
      <c r="P113" s="48">
        <f>LOG10(I113)</f>
        <v>3.2835499720026844</v>
      </c>
      <c r="Q113" s="48">
        <f>LOG10(J113)</f>
        <v>3.3207484779871739</v>
      </c>
      <c r="R113" s="48">
        <f t="shared" si="21"/>
        <v>1.8399361863784696</v>
      </c>
      <c r="S113" s="48">
        <f t="shared" ref="S113:S129" si="62">LOG10(L113)</f>
        <v>1.9553296050805391</v>
      </c>
      <c r="T113" s="48">
        <f t="shared" ref="T113:T129" si="63">LOG10(M113)</f>
        <v>2.1216610268470641</v>
      </c>
      <c r="U113" s="48">
        <v>3.3207484779871739</v>
      </c>
      <c r="V113" s="48">
        <v>2.1216610268470641</v>
      </c>
      <c r="W113" s="49">
        <f t="shared" si="19"/>
        <v>0.85815128692086851</v>
      </c>
      <c r="X113" s="49"/>
      <c r="Y113" s="49"/>
      <c r="Z113" s="49"/>
      <c r="AA113" s="48"/>
      <c r="AB113" s="48"/>
      <c r="AC113" s="48"/>
      <c r="AD113" s="48"/>
      <c r="AE113" s="61">
        <v>920</v>
      </c>
      <c r="AF113" s="61"/>
      <c r="AG113" s="61">
        <v>1200</v>
      </c>
      <c r="AH113" s="61"/>
      <c r="AI113" s="61"/>
      <c r="AJ113" s="62">
        <v>12.3</v>
      </c>
      <c r="AK113" s="62"/>
      <c r="AL113" s="62"/>
      <c r="AM113" s="24"/>
      <c r="AN113" s="24"/>
      <c r="AO113" s="30"/>
      <c r="AP113" s="30"/>
      <c r="AQ113" s="30"/>
      <c r="AR113" s="30"/>
      <c r="AS113" s="30"/>
      <c r="AT113" s="30"/>
      <c r="AU113" s="30"/>
      <c r="AV113" s="30"/>
      <c r="AW113" s="30"/>
    </row>
    <row r="114" spans="1:49" ht="15" hidden="1" customHeight="1">
      <c r="A114" s="51" t="s">
        <v>138</v>
      </c>
      <c r="B114" s="45" t="s">
        <v>161</v>
      </c>
      <c r="C114" s="23" t="s">
        <v>79</v>
      </c>
      <c r="D114" s="45">
        <v>1987</v>
      </c>
      <c r="E114" s="45">
        <v>6</v>
      </c>
      <c r="F114" s="45">
        <v>15</v>
      </c>
      <c r="G114" s="46">
        <f t="shared" si="18"/>
        <v>167.35</v>
      </c>
      <c r="H114" s="53">
        <v>2318.8000000000002</v>
      </c>
      <c r="I114" s="53">
        <v>2804.3</v>
      </c>
      <c r="J114" s="26">
        <f t="shared" ref="J114:J134" si="64">H114+3*(I114-H114)</f>
        <v>3775.3</v>
      </c>
      <c r="K114" s="60">
        <f t="shared" si="59"/>
        <v>138.46153846153845</v>
      </c>
      <c r="L114" s="60">
        <f t="shared" si="60"/>
        <v>149.23076923076923</v>
      </c>
      <c r="M114" s="46">
        <f t="shared" si="61"/>
        <v>170.76923076923077</v>
      </c>
      <c r="O114" s="48">
        <f t="shared" ref="O114:O135" si="65">LOG10(H114)</f>
        <v>3.3652632916987342</v>
      </c>
      <c r="P114" s="48">
        <f t="shared" ref="P114:P129" si="66">LOG10(I114)</f>
        <v>3.4478244719819577</v>
      </c>
      <c r="Q114" s="48">
        <f t="shared" ref="Q114:Q129" si="67">LOG10(J114)</f>
        <v>3.576951468062644</v>
      </c>
      <c r="R114" s="48">
        <f t="shared" si="21"/>
        <v>2.1413291527964691</v>
      </c>
      <c r="S114" s="48">
        <f t="shared" si="62"/>
        <v>2.1738583776233891</v>
      </c>
      <c r="T114" s="48">
        <f t="shared" si="63"/>
        <v>2.2324096221438019</v>
      </c>
      <c r="U114" s="48">
        <v>3.576951468062644</v>
      </c>
      <c r="V114" s="48">
        <v>2.2324096221438019</v>
      </c>
      <c r="W114" s="49">
        <f t="shared" si="19"/>
        <v>0.67576910374615107</v>
      </c>
      <c r="X114" s="49"/>
      <c r="Y114" s="49"/>
      <c r="Z114" s="49"/>
      <c r="AA114" s="48"/>
      <c r="AB114" s="48"/>
      <c r="AC114" s="48"/>
      <c r="AD114" s="48"/>
      <c r="AE114" s="61">
        <v>900</v>
      </c>
      <c r="AF114" s="61"/>
      <c r="AG114" s="61">
        <v>970</v>
      </c>
      <c r="AH114" s="61"/>
      <c r="AI114" s="61"/>
      <c r="AJ114" s="62">
        <v>5.5</v>
      </c>
      <c r="AK114" s="62"/>
      <c r="AL114" s="62"/>
      <c r="AM114" s="24"/>
      <c r="AN114" s="24"/>
      <c r="AO114" s="30"/>
      <c r="AP114" s="30"/>
      <c r="AQ114" s="30"/>
      <c r="AR114" s="30"/>
      <c r="AS114" s="30"/>
      <c r="AT114" s="30"/>
      <c r="AU114" s="30"/>
      <c r="AV114" s="30"/>
      <c r="AW114" s="30"/>
    </row>
    <row r="115" spans="1:49" ht="15" hidden="1" customHeight="1">
      <c r="A115" s="51" t="s">
        <v>138</v>
      </c>
      <c r="B115" s="45" t="s">
        <v>161</v>
      </c>
      <c r="C115" s="23" t="s">
        <v>79</v>
      </c>
      <c r="D115" s="45">
        <v>1987</v>
      </c>
      <c r="E115" s="45">
        <v>8</v>
      </c>
      <c r="F115" s="45">
        <v>15</v>
      </c>
      <c r="G115" s="46">
        <f t="shared" si="18"/>
        <v>228.29</v>
      </c>
      <c r="H115" s="53">
        <v>2612.6999999999998</v>
      </c>
      <c r="I115" s="53">
        <v>2864.2</v>
      </c>
      <c r="J115" s="26">
        <f t="shared" si="64"/>
        <v>3367.2</v>
      </c>
      <c r="K115" s="60">
        <f t="shared" si="59"/>
        <v>234.88372093023256</v>
      </c>
      <c r="L115" s="60">
        <f t="shared" si="60"/>
        <v>248.83720930232559</v>
      </c>
      <c r="M115" s="46">
        <f t="shared" si="61"/>
        <v>276.74418604651169</v>
      </c>
      <c r="O115" s="48">
        <f t="shared" si="65"/>
        <v>3.4170895452709984</v>
      </c>
      <c r="P115" s="48">
        <f t="shared" si="66"/>
        <v>3.4570033404038831</v>
      </c>
      <c r="Q115" s="48">
        <f t="shared" si="67"/>
        <v>3.5272689127399661</v>
      </c>
      <c r="R115" s="48">
        <f t="shared" si="21"/>
        <v>2.370852918203056</v>
      </c>
      <c r="S115" s="48">
        <f t="shared" si="62"/>
        <v>2.3959153221056231</v>
      </c>
      <c r="T115" s="48">
        <f t="shared" si="63"/>
        <v>2.4420785058129444</v>
      </c>
      <c r="U115" s="48">
        <v>3.5272689127399661</v>
      </c>
      <c r="V115" s="48">
        <v>2.4420785058129444</v>
      </c>
      <c r="W115" s="49">
        <f t="shared" si="19"/>
        <v>0.49064710312415899</v>
      </c>
      <c r="X115" s="49"/>
      <c r="Y115" s="49"/>
      <c r="Z115" s="49"/>
      <c r="AA115" s="48"/>
      <c r="AB115" s="48"/>
      <c r="AC115" s="48"/>
      <c r="AD115" s="48"/>
      <c r="AE115" s="61">
        <v>1010</v>
      </c>
      <c r="AF115" s="61"/>
      <c r="AG115" s="61">
        <v>1070</v>
      </c>
      <c r="AH115" s="61"/>
      <c r="AI115" s="61"/>
      <c r="AJ115" s="62">
        <v>3.3</v>
      </c>
      <c r="AK115" s="62"/>
      <c r="AL115" s="62"/>
      <c r="AM115" s="24"/>
      <c r="AN115" s="24"/>
      <c r="AO115" s="30"/>
      <c r="AP115" s="30"/>
      <c r="AQ115" s="30"/>
      <c r="AR115" s="30"/>
      <c r="AS115" s="30"/>
      <c r="AT115" s="30"/>
      <c r="AU115" s="30"/>
      <c r="AV115" s="30"/>
      <c r="AW115" s="30"/>
    </row>
    <row r="116" spans="1:49" ht="15" hidden="1" customHeight="1">
      <c r="A116" s="51" t="s">
        <v>138</v>
      </c>
      <c r="B116" s="45" t="s">
        <v>161</v>
      </c>
      <c r="C116" s="23" t="s">
        <v>79</v>
      </c>
      <c r="D116" s="45">
        <v>1987</v>
      </c>
      <c r="E116" s="45">
        <v>9</v>
      </c>
      <c r="F116" s="45">
        <v>30</v>
      </c>
      <c r="G116" s="46">
        <f t="shared" si="18"/>
        <v>273.76</v>
      </c>
      <c r="H116" s="53">
        <v>1822.9</v>
      </c>
      <c r="I116" s="53">
        <v>2251.8000000000002</v>
      </c>
      <c r="J116" s="26">
        <f t="shared" si="64"/>
        <v>3109.6000000000004</v>
      </c>
      <c r="K116" s="60">
        <f t="shared" si="59"/>
        <v>113.63636363636363</v>
      </c>
      <c r="L116" s="60">
        <f t="shared" si="60"/>
        <v>122.15909090909089</v>
      </c>
      <c r="M116" s="46">
        <f t="shared" si="61"/>
        <v>139.20454545454544</v>
      </c>
      <c r="O116" s="48">
        <f t="shared" si="65"/>
        <v>3.2607628449361683</v>
      </c>
      <c r="P116" s="48">
        <f t="shared" si="66"/>
        <v>3.3525298147967262</v>
      </c>
      <c r="Q116" s="48">
        <f t="shared" si="67"/>
        <v>3.4927045276232103</v>
      </c>
      <c r="R116" s="48">
        <f t="shared" si="21"/>
        <v>2.0555173278498313</v>
      </c>
      <c r="S116" s="48">
        <f t="shared" si="62"/>
        <v>2.0869257921014555</v>
      </c>
      <c r="T116" s="48">
        <f t="shared" si="63"/>
        <v>2.1436534165503827</v>
      </c>
      <c r="U116" s="48">
        <v>3.4927045276232103</v>
      </c>
      <c r="V116" s="48">
        <v>2.1436534165503827</v>
      </c>
      <c r="W116" s="49">
        <f t="shared" si="19"/>
        <v>0.78566767939805904</v>
      </c>
      <c r="X116" s="49"/>
      <c r="Y116" s="49"/>
      <c r="Z116" s="49"/>
      <c r="AA116" s="48"/>
      <c r="AB116" s="48"/>
      <c r="AC116" s="48"/>
      <c r="AD116" s="48"/>
      <c r="AE116" s="61">
        <v>1000</v>
      </c>
      <c r="AF116" s="61"/>
      <c r="AG116" s="61">
        <v>1075</v>
      </c>
      <c r="AH116" s="61"/>
      <c r="AI116" s="61"/>
      <c r="AJ116" s="62">
        <v>7.8</v>
      </c>
      <c r="AK116" s="62"/>
      <c r="AL116" s="62"/>
      <c r="AM116" s="24"/>
      <c r="AN116" s="24"/>
      <c r="AO116" s="30"/>
      <c r="AP116" s="30"/>
      <c r="AQ116" s="30"/>
      <c r="AR116" s="30"/>
      <c r="AS116" s="30"/>
      <c r="AT116" s="30"/>
      <c r="AU116" s="30"/>
      <c r="AV116" s="30"/>
      <c r="AW116" s="30"/>
    </row>
    <row r="117" spans="1:49" ht="15" hidden="1" customHeight="1">
      <c r="A117" s="51" t="s">
        <v>138</v>
      </c>
      <c r="B117" s="45" t="s">
        <v>161</v>
      </c>
      <c r="C117" s="23" t="s">
        <v>79</v>
      </c>
      <c r="D117" s="45">
        <v>1987</v>
      </c>
      <c r="E117" s="45">
        <v>12</v>
      </c>
      <c r="F117" s="45">
        <v>15</v>
      </c>
      <c r="G117" s="46">
        <f t="shared" si="18"/>
        <v>350.16999999999996</v>
      </c>
      <c r="H117" s="53">
        <v>681.9</v>
      </c>
      <c r="I117" s="53">
        <v>1007.0999999999999</v>
      </c>
      <c r="J117" s="26">
        <f t="shared" si="64"/>
        <v>1657.4999999999998</v>
      </c>
      <c r="K117" s="60">
        <f t="shared" si="59"/>
        <v>38.059701492537314</v>
      </c>
      <c r="L117" s="60">
        <f t="shared" si="60"/>
        <v>47.761194029850742</v>
      </c>
      <c r="M117" s="46">
        <f t="shared" si="61"/>
        <v>67.164179104477597</v>
      </c>
      <c r="O117" s="48">
        <f t="shared" si="65"/>
        <v>2.833720690444633</v>
      </c>
      <c r="P117" s="48">
        <f t="shared" si="66"/>
        <v>3.0030725959676747</v>
      </c>
      <c r="Q117" s="48">
        <f t="shared" si="67"/>
        <v>3.2194535370768107</v>
      </c>
      <c r="R117" s="48">
        <f t="shared" si="21"/>
        <v>1.5804653777331288</v>
      </c>
      <c r="S117" s="48">
        <f t="shared" si="62"/>
        <v>1.6790751756190796</v>
      </c>
      <c r="T117" s="48">
        <f t="shared" si="63"/>
        <v>1.8271377110745171</v>
      </c>
      <c r="U117" s="48">
        <v>3.2194535370768107</v>
      </c>
      <c r="V117" s="48">
        <v>1.8271377110745171</v>
      </c>
      <c r="W117" s="49">
        <f t="shared" si="19"/>
        <v>1.1694374044945013</v>
      </c>
      <c r="X117" s="49"/>
      <c r="Y117" s="49"/>
      <c r="Z117" s="49"/>
      <c r="AA117" s="48"/>
      <c r="AB117" s="48"/>
      <c r="AC117" s="48"/>
      <c r="AD117" s="48"/>
      <c r="AE117" s="61">
        <v>255</v>
      </c>
      <c r="AF117" s="61"/>
      <c r="AG117" s="61">
        <v>320</v>
      </c>
      <c r="AH117" s="61"/>
      <c r="AI117" s="61"/>
      <c r="AJ117" s="62">
        <v>5.7</v>
      </c>
      <c r="AK117" s="62"/>
      <c r="AL117" s="62"/>
      <c r="AM117" s="24"/>
      <c r="AN117" s="24"/>
      <c r="AO117" s="30"/>
      <c r="AP117" s="30"/>
      <c r="AQ117" s="30"/>
      <c r="AR117" s="30"/>
      <c r="AS117" s="30"/>
      <c r="AT117" s="30"/>
      <c r="AU117" s="30"/>
      <c r="AV117" s="30"/>
      <c r="AW117" s="30"/>
    </row>
    <row r="118" spans="1:49" ht="15" hidden="1" customHeight="1">
      <c r="A118" s="51" t="s">
        <v>138</v>
      </c>
      <c r="B118" s="45" t="s">
        <v>161</v>
      </c>
      <c r="C118" s="23" t="s">
        <v>79</v>
      </c>
      <c r="D118" s="45">
        <v>1988</v>
      </c>
      <c r="E118" s="45">
        <v>3</v>
      </c>
      <c r="F118" s="45">
        <v>15</v>
      </c>
      <c r="G118" s="46">
        <f>365+30.47*(E118-1)+F118</f>
        <v>440.94</v>
      </c>
      <c r="H118" s="53">
        <v>1153.3</v>
      </c>
      <c r="I118" s="53">
        <v>1450.9</v>
      </c>
      <c r="J118" s="26">
        <f t="shared" si="64"/>
        <v>2046.1000000000004</v>
      </c>
      <c r="K118" s="60">
        <f t="shared" si="59"/>
        <v>40.243902439024389</v>
      </c>
      <c r="L118" s="60">
        <f t="shared" si="60"/>
        <v>50.40650406504065</v>
      </c>
      <c r="M118" s="46">
        <f t="shared" si="61"/>
        <v>70.731707317073173</v>
      </c>
      <c r="O118" s="48">
        <f t="shared" si="65"/>
        <v>3.0619422920280863</v>
      </c>
      <c r="P118" s="48">
        <f t="shared" si="66"/>
        <v>3.1616374807045902</v>
      </c>
      <c r="Q118" s="48">
        <f t="shared" si="67"/>
        <v>3.3109268553716933</v>
      </c>
      <c r="R118" s="48">
        <f t="shared" si="21"/>
        <v>1.6047000874941708</v>
      </c>
      <c r="S118" s="48">
        <f t="shared" si="62"/>
        <v>1.7024865780588558</v>
      </c>
      <c r="T118" s="48">
        <f t="shared" si="63"/>
        <v>1.8496141411792206</v>
      </c>
      <c r="U118" s="48">
        <v>3.3109268553716933</v>
      </c>
      <c r="V118" s="48">
        <v>1.8496141411792206</v>
      </c>
      <c r="W118" s="49">
        <f t="shared" si="19"/>
        <v>1.120598628744677</v>
      </c>
      <c r="X118" s="49"/>
      <c r="Y118" s="49"/>
      <c r="Z118" s="49"/>
      <c r="AA118" s="48"/>
      <c r="AB118" s="48"/>
      <c r="AC118" s="48"/>
      <c r="AD118" s="48"/>
      <c r="AE118" s="61">
        <v>495</v>
      </c>
      <c r="AF118" s="61"/>
      <c r="AG118" s="61">
        <v>620</v>
      </c>
      <c r="AH118" s="61"/>
      <c r="AI118" s="61"/>
      <c r="AJ118" s="62">
        <v>11.3</v>
      </c>
      <c r="AK118" s="62"/>
      <c r="AL118" s="62"/>
      <c r="AM118" s="24"/>
      <c r="AN118" s="24"/>
      <c r="AO118" s="30"/>
      <c r="AP118" s="30"/>
      <c r="AQ118" s="30"/>
      <c r="AR118" s="30"/>
      <c r="AS118" s="30"/>
      <c r="AT118" s="30"/>
      <c r="AU118" s="30"/>
      <c r="AV118" s="30"/>
      <c r="AW118" s="30"/>
    </row>
    <row r="119" spans="1:49" ht="15" hidden="1" customHeight="1">
      <c r="A119" s="51" t="s">
        <v>138</v>
      </c>
      <c r="B119" s="45" t="s">
        <v>161</v>
      </c>
      <c r="C119" s="23" t="s">
        <v>80</v>
      </c>
      <c r="D119" s="45">
        <v>1987</v>
      </c>
      <c r="E119" s="45">
        <v>4</v>
      </c>
      <c r="F119" s="45">
        <v>15</v>
      </c>
      <c r="G119" s="46">
        <f t="shared" si="18"/>
        <v>106.41</v>
      </c>
      <c r="H119" s="53">
        <v>1066.5</v>
      </c>
      <c r="I119" s="53">
        <v>1448.3</v>
      </c>
      <c r="J119" s="26">
        <f t="shared" si="64"/>
        <v>2211.8999999999996</v>
      </c>
      <c r="K119" s="60">
        <f t="shared" si="59"/>
        <v>45.238095238095241</v>
      </c>
      <c r="L119" s="60">
        <f t="shared" si="60"/>
        <v>55.555555555555557</v>
      </c>
      <c r="M119" s="46">
        <f t="shared" si="61"/>
        <v>76.19047619047619</v>
      </c>
      <c r="O119" s="48">
        <f t="shared" si="65"/>
        <v>3.0279608597854475</v>
      </c>
      <c r="P119" s="48">
        <f t="shared" si="66"/>
        <v>3.1608585306799912</v>
      </c>
      <c r="Q119" s="48">
        <f t="shared" si="67"/>
        <v>3.3447654886227607</v>
      </c>
      <c r="R119" s="48">
        <f t="shared" si="21"/>
        <v>1.6555043105549285</v>
      </c>
      <c r="S119" s="48">
        <f t="shared" si="62"/>
        <v>1.744727494896694</v>
      </c>
      <c r="T119" s="48">
        <f t="shared" si="63"/>
        <v>1.8819006879220055</v>
      </c>
      <c r="U119" s="48">
        <v>3.3447654886227607</v>
      </c>
      <c r="V119" s="48">
        <v>1.8819006879220055</v>
      </c>
      <c r="W119" s="49">
        <f t="shared" si="19"/>
        <v>1.0796649887176621</v>
      </c>
      <c r="X119" s="49"/>
      <c r="Y119" s="49"/>
      <c r="Z119" s="49"/>
      <c r="AA119" s="48"/>
      <c r="AB119" s="48"/>
      <c r="AC119" s="48"/>
      <c r="AD119" s="48"/>
      <c r="AE119" s="61">
        <v>285</v>
      </c>
      <c r="AF119" s="61"/>
      <c r="AG119" s="61">
        <v>350</v>
      </c>
      <c r="AH119" s="61"/>
      <c r="AI119" s="61"/>
      <c r="AJ119" s="62">
        <v>5.3</v>
      </c>
      <c r="AK119" s="62"/>
      <c r="AL119" s="62"/>
      <c r="AM119" s="24"/>
      <c r="AN119" s="24"/>
      <c r="AO119" s="30"/>
      <c r="AP119" s="30"/>
      <c r="AQ119" s="30"/>
      <c r="AR119" s="30"/>
      <c r="AS119" s="30"/>
      <c r="AT119" s="30"/>
      <c r="AU119" s="30"/>
      <c r="AV119" s="30"/>
      <c r="AW119" s="30"/>
    </row>
    <row r="120" spans="1:49" ht="15" hidden="1" customHeight="1">
      <c r="A120" s="51" t="s">
        <v>138</v>
      </c>
      <c r="B120" s="45" t="s">
        <v>161</v>
      </c>
      <c r="C120" s="23" t="s">
        <v>80</v>
      </c>
      <c r="D120" s="45">
        <v>1987</v>
      </c>
      <c r="E120" s="45">
        <v>6</v>
      </c>
      <c r="F120" s="45">
        <v>15</v>
      </c>
      <c r="G120" s="46">
        <f t="shared" si="18"/>
        <v>167.35</v>
      </c>
      <c r="H120" s="53">
        <v>1202.7</v>
      </c>
      <c r="I120" s="53">
        <v>1771.2</v>
      </c>
      <c r="J120" s="26">
        <f t="shared" si="64"/>
        <v>2908.2</v>
      </c>
      <c r="K120" s="60">
        <f t="shared" si="59"/>
        <v>83.333333333333329</v>
      </c>
      <c r="L120" s="60">
        <f t="shared" si="60"/>
        <v>93.333333333333329</v>
      </c>
      <c r="M120" s="46">
        <f t="shared" si="61"/>
        <v>113.33333333333333</v>
      </c>
      <c r="O120" s="48">
        <f t="shared" si="65"/>
        <v>3.0801573109701841</v>
      </c>
      <c r="P120" s="48">
        <f t="shared" si="66"/>
        <v>3.2482676035346474</v>
      </c>
      <c r="Q120" s="48">
        <f t="shared" si="67"/>
        <v>3.4636242701064028</v>
      </c>
      <c r="R120" s="48">
        <f t="shared" si="21"/>
        <v>1.9208187539523751</v>
      </c>
      <c r="S120" s="48">
        <f t="shared" si="62"/>
        <v>1.9700367766225568</v>
      </c>
      <c r="T120" s="48">
        <f t="shared" si="63"/>
        <v>2.0543576623225928</v>
      </c>
      <c r="U120" s="48">
        <v>3.4636242701064028</v>
      </c>
      <c r="V120" s="48">
        <v>2.0543576623225928</v>
      </c>
      <c r="W120" s="49">
        <f t="shared" si="19"/>
        <v>0.8795571518565668</v>
      </c>
      <c r="X120" s="49"/>
      <c r="Y120" s="49"/>
      <c r="Z120" s="49"/>
      <c r="AA120" s="48"/>
      <c r="AB120" s="48"/>
      <c r="AC120" s="48"/>
      <c r="AD120" s="48"/>
      <c r="AE120" s="61">
        <v>250</v>
      </c>
      <c r="AF120" s="61"/>
      <c r="AG120" s="61">
        <v>280</v>
      </c>
      <c r="AH120" s="61"/>
      <c r="AI120" s="61"/>
      <c r="AJ120" s="62">
        <v>2</v>
      </c>
      <c r="AK120" s="62"/>
      <c r="AL120" s="62"/>
      <c r="AM120" s="24"/>
      <c r="AN120" s="24"/>
      <c r="AO120" s="30"/>
      <c r="AP120" s="30"/>
      <c r="AQ120" s="30"/>
      <c r="AR120" s="30"/>
      <c r="AS120" s="30"/>
      <c r="AT120" s="30"/>
      <c r="AU120" s="30"/>
      <c r="AV120" s="30"/>
      <c r="AW120" s="30"/>
    </row>
    <row r="121" spans="1:49" ht="15" hidden="1" customHeight="1">
      <c r="A121" s="51" t="s">
        <v>138</v>
      </c>
      <c r="B121" s="45" t="s">
        <v>161</v>
      </c>
      <c r="C121" s="23" t="s">
        <v>80</v>
      </c>
      <c r="D121" s="45">
        <v>1987</v>
      </c>
      <c r="E121" s="45">
        <v>8</v>
      </c>
      <c r="F121" s="45">
        <v>15</v>
      </c>
      <c r="G121" s="46">
        <f t="shared" si="18"/>
        <v>228.29</v>
      </c>
      <c r="H121" s="53">
        <v>2157.6999999999998</v>
      </c>
      <c r="I121" s="53">
        <v>2269.2999999999997</v>
      </c>
      <c r="J121" s="26">
        <f t="shared" si="64"/>
        <v>2492.4999999999995</v>
      </c>
      <c r="K121" s="60">
        <f t="shared" si="59"/>
        <v>135.41666666666669</v>
      </c>
      <c r="L121" s="60">
        <f t="shared" si="60"/>
        <v>145.83333333333334</v>
      </c>
      <c r="M121" s="46">
        <f t="shared" si="61"/>
        <v>166.66666666666666</v>
      </c>
      <c r="O121" s="48">
        <f t="shared" si="65"/>
        <v>3.3339910615695065</v>
      </c>
      <c r="P121" s="48">
        <f t="shared" si="66"/>
        <v>3.3558919131313765</v>
      </c>
      <c r="Q121" s="48">
        <f t="shared" si="67"/>
        <v>3.3966351669836934</v>
      </c>
      <c r="R121" s="48">
        <f t="shared" si="21"/>
        <v>2.1316721192672685</v>
      </c>
      <c r="S121" s="48">
        <f t="shared" si="62"/>
        <v>2.1638568026386698</v>
      </c>
      <c r="T121" s="48">
        <f t="shared" si="63"/>
        <v>2.2218487496163561</v>
      </c>
      <c r="U121" s="48">
        <v>3.3966351669836934</v>
      </c>
      <c r="V121" s="48">
        <v>2.2218487496163561</v>
      </c>
      <c r="W121" s="49">
        <f t="shared" si="19"/>
        <v>0.73985228800423375</v>
      </c>
      <c r="X121" s="49"/>
      <c r="Y121" s="49"/>
      <c r="Z121" s="49"/>
      <c r="AA121" s="48"/>
      <c r="AB121" s="48"/>
      <c r="AC121" s="48"/>
      <c r="AD121" s="48"/>
      <c r="AE121" s="61">
        <v>325</v>
      </c>
      <c r="AF121" s="61"/>
      <c r="AG121" s="61">
        <v>350</v>
      </c>
      <c r="AH121" s="61"/>
      <c r="AI121" s="61"/>
      <c r="AJ121" s="62">
        <v>1.4</v>
      </c>
      <c r="AK121" s="62"/>
      <c r="AL121" s="62"/>
      <c r="AM121" s="24"/>
      <c r="AN121" s="24"/>
      <c r="AO121" s="30"/>
      <c r="AP121" s="30"/>
      <c r="AQ121" s="30"/>
      <c r="AR121" s="30"/>
      <c r="AS121" s="30"/>
      <c r="AT121" s="30"/>
      <c r="AU121" s="30"/>
      <c r="AV121" s="30"/>
      <c r="AW121" s="30"/>
    </row>
    <row r="122" spans="1:49" ht="15" hidden="1" customHeight="1">
      <c r="A122" s="51" t="s">
        <v>138</v>
      </c>
      <c r="B122" s="45" t="s">
        <v>161</v>
      </c>
      <c r="C122" s="23" t="s">
        <v>80</v>
      </c>
      <c r="D122" s="45">
        <v>1987</v>
      </c>
      <c r="E122" s="45">
        <v>9</v>
      </c>
      <c r="F122" s="45">
        <v>30</v>
      </c>
      <c r="G122" s="46">
        <f t="shared" si="18"/>
        <v>273.76</v>
      </c>
      <c r="H122" s="53">
        <v>942.3</v>
      </c>
      <c r="I122" s="53">
        <v>1114.2</v>
      </c>
      <c r="J122" s="26">
        <f t="shared" si="64"/>
        <v>1458.0000000000002</v>
      </c>
      <c r="K122" s="60">
        <f t="shared" si="59"/>
        <v>92.857142857142861</v>
      </c>
      <c r="L122" s="60">
        <f t="shared" si="60"/>
        <v>97.142857142857139</v>
      </c>
      <c r="M122" s="46">
        <f t="shared" si="61"/>
        <v>105.71428571428569</v>
      </c>
      <c r="O122" s="48">
        <f t="shared" si="65"/>
        <v>2.974189191118167</v>
      </c>
      <c r="P122" s="48">
        <f t="shared" si="66"/>
        <v>3.0469631541234241</v>
      </c>
      <c r="Q122" s="48">
        <f t="shared" si="67"/>
        <v>3.163757523981956</v>
      </c>
      <c r="R122" s="48">
        <f t="shared" si="21"/>
        <v>1.9678153166285988</v>
      </c>
      <c r="S122" s="48">
        <f t="shared" si="62"/>
        <v>1.9874108726919795</v>
      </c>
      <c r="T122" s="48">
        <f t="shared" si="63"/>
        <v>2.0241336797167193</v>
      </c>
      <c r="U122" s="48">
        <v>3.163757523981956</v>
      </c>
      <c r="V122" s="48">
        <v>2.0241336797167193</v>
      </c>
      <c r="W122" s="49">
        <f t="shared" si="19"/>
        <v>0.99820527605053577</v>
      </c>
      <c r="X122" s="49"/>
      <c r="Y122" s="49"/>
      <c r="Z122" s="49"/>
      <c r="AA122" s="48"/>
      <c r="AB122" s="48"/>
      <c r="AC122" s="48"/>
      <c r="AD122" s="48"/>
      <c r="AE122" s="61">
        <v>325</v>
      </c>
      <c r="AF122" s="61"/>
      <c r="AG122" s="61">
        <v>340</v>
      </c>
      <c r="AH122" s="61"/>
      <c r="AI122" s="61"/>
      <c r="AJ122" s="62">
        <v>2.5</v>
      </c>
      <c r="AK122" s="62"/>
      <c r="AL122" s="62"/>
      <c r="AM122" s="24"/>
      <c r="AN122" s="24"/>
      <c r="AO122" s="30"/>
      <c r="AP122" s="30"/>
      <c r="AQ122" s="30"/>
      <c r="AR122" s="30"/>
      <c r="AS122" s="30"/>
      <c r="AT122" s="30"/>
      <c r="AU122" s="30"/>
      <c r="AV122" s="30"/>
      <c r="AW122" s="30"/>
    </row>
    <row r="123" spans="1:49" ht="15" hidden="1" customHeight="1">
      <c r="A123" s="51" t="s">
        <v>138</v>
      </c>
      <c r="B123" s="45" t="s">
        <v>161</v>
      </c>
      <c r="C123" s="23" t="s">
        <v>80</v>
      </c>
      <c r="D123" s="45">
        <v>1987</v>
      </c>
      <c r="E123" s="45">
        <v>12</v>
      </c>
      <c r="F123" s="45">
        <v>15</v>
      </c>
      <c r="G123" s="46">
        <f t="shared" si="18"/>
        <v>350.16999999999996</v>
      </c>
      <c r="H123" s="53">
        <v>967.3</v>
      </c>
      <c r="I123" s="53">
        <v>1209.5</v>
      </c>
      <c r="J123" s="26">
        <f t="shared" si="64"/>
        <v>1693.9</v>
      </c>
      <c r="K123" s="60">
        <f t="shared" si="59"/>
        <v>36.274509803921568</v>
      </c>
      <c r="L123" s="60">
        <f t="shared" si="60"/>
        <v>43.137254901960787</v>
      </c>
      <c r="M123" s="46">
        <f t="shared" si="61"/>
        <v>56.862745098039227</v>
      </c>
      <c r="O123" s="48">
        <f t="shared" si="65"/>
        <v>2.985561187773345</v>
      </c>
      <c r="P123" s="48">
        <f t="shared" si="66"/>
        <v>3.0826058726978984</v>
      </c>
      <c r="Q123" s="48">
        <f t="shared" si="67"/>
        <v>3.2288877680194217</v>
      </c>
      <c r="R123" s="48">
        <f t="shared" si="21"/>
        <v>1.5596015523050775</v>
      </c>
      <c r="S123" s="48">
        <f t="shared" si="62"/>
        <v>1.6348525047242699</v>
      </c>
      <c r="T123" s="48">
        <f t="shared" si="63"/>
        <v>1.7548278218010198</v>
      </c>
      <c r="U123" s="48">
        <v>3.2288877680194217</v>
      </c>
      <c r="V123" s="48">
        <v>1.7548278218010198</v>
      </c>
      <c r="W123" s="49">
        <f t="shared" si="19"/>
        <v>1.2355880236230972</v>
      </c>
      <c r="X123" s="49"/>
      <c r="Y123" s="49"/>
      <c r="Z123" s="49"/>
      <c r="AA123" s="48"/>
      <c r="AB123" s="48"/>
      <c r="AC123" s="48"/>
      <c r="AD123" s="48"/>
      <c r="AE123" s="61">
        <v>185</v>
      </c>
      <c r="AF123" s="61"/>
      <c r="AG123" s="61">
        <v>220</v>
      </c>
      <c r="AH123" s="61"/>
      <c r="AI123" s="61"/>
      <c r="AJ123" s="62">
        <v>4.0999999999999996</v>
      </c>
      <c r="AK123" s="62"/>
      <c r="AL123" s="62"/>
      <c r="AM123" s="24"/>
      <c r="AN123" s="24"/>
      <c r="AO123" s="30"/>
      <c r="AP123" s="30"/>
      <c r="AQ123" s="30"/>
      <c r="AR123" s="30"/>
      <c r="AS123" s="30"/>
      <c r="AT123" s="30"/>
      <c r="AU123" s="30"/>
      <c r="AV123" s="30"/>
      <c r="AW123" s="30"/>
    </row>
    <row r="124" spans="1:49" ht="15" hidden="1" customHeight="1">
      <c r="A124" s="51" t="s">
        <v>138</v>
      </c>
      <c r="B124" s="45" t="s">
        <v>161</v>
      </c>
      <c r="C124" s="23" t="s">
        <v>80</v>
      </c>
      <c r="D124" s="45">
        <v>1988</v>
      </c>
      <c r="E124" s="45">
        <v>3</v>
      </c>
      <c r="F124" s="45">
        <v>15</v>
      </c>
      <c r="G124" s="46">
        <f>365+30.47*(E124-1)+F124</f>
        <v>440.94</v>
      </c>
      <c r="H124" s="53">
        <v>545.79999999999995</v>
      </c>
      <c r="I124" s="53">
        <v>631.69999999999993</v>
      </c>
      <c r="J124" s="26">
        <f t="shared" si="64"/>
        <v>803.49999999999989</v>
      </c>
      <c r="K124" s="60">
        <f t="shared" si="59"/>
        <v>21.875</v>
      </c>
      <c r="L124" s="60">
        <f t="shared" si="60"/>
        <v>25</v>
      </c>
      <c r="M124" s="46">
        <f t="shared" si="61"/>
        <v>31.25</v>
      </c>
      <c r="O124" s="48">
        <f t="shared" si="65"/>
        <v>2.7370335313338776</v>
      </c>
      <c r="P124" s="48">
        <f t="shared" si="66"/>
        <v>2.8005108768943678</v>
      </c>
      <c r="Q124" s="48">
        <f t="shared" si="67"/>
        <v>2.9049858810993632</v>
      </c>
      <c r="R124" s="48">
        <f t="shared" si="21"/>
        <v>1.3399480616943509</v>
      </c>
      <c r="S124" s="48">
        <f t="shared" si="62"/>
        <v>1.3979400086720377</v>
      </c>
      <c r="T124" s="48">
        <f t="shared" si="63"/>
        <v>1.494850021680094</v>
      </c>
      <c r="U124" s="48">
        <v>2.9049858810993632</v>
      </c>
      <c r="V124" s="48">
        <v>1.494850021680094</v>
      </c>
      <c r="W124" s="49">
        <f t="shared" si="19"/>
        <v>1.5805974302774242</v>
      </c>
      <c r="X124" s="49"/>
      <c r="Y124" s="49"/>
      <c r="Z124" s="49"/>
      <c r="AA124" s="48"/>
      <c r="AB124" s="48"/>
      <c r="AC124" s="48"/>
      <c r="AD124" s="48"/>
      <c r="AE124" s="61">
        <v>140</v>
      </c>
      <c r="AF124" s="61"/>
      <c r="AG124" s="61">
        <v>160</v>
      </c>
      <c r="AH124" s="61"/>
      <c r="AI124" s="61"/>
      <c r="AJ124" s="62">
        <v>5.4</v>
      </c>
      <c r="AK124" s="62"/>
      <c r="AL124" s="62"/>
      <c r="AM124" s="24"/>
      <c r="AN124" s="24"/>
      <c r="AO124" s="30"/>
      <c r="AP124" s="30"/>
      <c r="AQ124" s="30"/>
      <c r="AR124" s="30"/>
      <c r="AS124" s="30"/>
      <c r="AT124" s="30"/>
      <c r="AU124" s="30"/>
      <c r="AV124" s="30"/>
      <c r="AW124" s="30"/>
    </row>
    <row r="125" spans="1:49" ht="15" hidden="1" customHeight="1">
      <c r="A125" s="51" t="s">
        <v>138</v>
      </c>
      <c r="B125" s="45" t="s">
        <v>161</v>
      </c>
      <c r="C125" s="23" t="s">
        <v>81</v>
      </c>
      <c r="D125" s="45">
        <v>1987</v>
      </c>
      <c r="E125" s="45">
        <v>4</v>
      </c>
      <c r="F125" s="45">
        <v>15</v>
      </c>
      <c r="G125" s="46">
        <f t="shared" si="18"/>
        <v>106.41</v>
      </c>
      <c r="H125" s="53">
        <v>992.1</v>
      </c>
      <c r="I125" s="53">
        <v>1175.5999999999999</v>
      </c>
      <c r="J125" s="26">
        <f t="shared" si="64"/>
        <v>1542.5999999999997</v>
      </c>
      <c r="K125" s="60">
        <f t="shared" si="59"/>
        <v>41.53846153846154</v>
      </c>
      <c r="L125" s="60">
        <f t="shared" si="60"/>
        <v>49.230769230769234</v>
      </c>
      <c r="M125" s="46">
        <f t="shared" si="61"/>
        <v>64.615384615384613</v>
      </c>
      <c r="O125" s="48">
        <f t="shared" si="65"/>
        <v>2.9965554496333655</v>
      </c>
      <c r="P125" s="48">
        <f t="shared" si="66"/>
        <v>3.070259577400575</v>
      </c>
      <c r="Q125" s="48">
        <f t="shared" si="67"/>
        <v>3.1882533270265041</v>
      </c>
      <c r="R125" s="48">
        <f t="shared" si="21"/>
        <v>1.6184504075161317</v>
      </c>
      <c r="S125" s="48">
        <f t="shared" si="62"/>
        <v>1.6922366216770504</v>
      </c>
      <c r="T125" s="48">
        <f t="shared" si="63"/>
        <v>1.8103359337550449</v>
      </c>
      <c r="U125" s="48">
        <v>3.1882533270265041</v>
      </c>
      <c r="V125" s="48">
        <v>1.8103359337550449</v>
      </c>
      <c r="W125" s="49">
        <f t="shared" si="19"/>
        <v>1.1948098503147797</v>
      </c>
      <c r="X125" s="49"/>
      <c r="Y125" s="49"/>
      <c r="Z125" s="49"/>
      <c r="AA125" s="48"/>
      <c r="AB125" s="48"/>
      <c r="AC125" s="48"/>
      <c r="AD125" s="48"/>
      <c r="AE125" s="61">
        <v>270</v>
      </c>
      <c r="AF125" s="61"/>
      <c r="AG125" s="61">
        <v>320</v>
      </c>
      <c r="AH125" s="61"/>
      <c r="AI125" s="61"/>
      <c r="AJ125" s="62">
        <v>5.5</v>
      </c>
      <c r="AK125" s="62"/>
      <c r="AL125" s="62"/>
      <c r="AM125" s="24"/>
      <c r="AN125" s="24"/>
      <c r="AO125" s="30"/>
      <c r="AP125" s="30"/>
      <c r="AQ125" s="30"/>
      <c r="AR125" s="30"/>
      <c r="AS125" s="30"/>
      <c r="AT125" s="30"/>
      <c r="AU125" s="30"/>
      <c r="AV125" s="30"/>
      <c r="AW125" s="30"/>
    </row>
    <row r="126" spans="1:49" ht="15" hidden="1" customHeight="1">
      <c r="A126" s="51" t="s">
        <v>138</v>
      </c>
      <c r="B126" s="45" t="s">
        <v>161</v>
      </c>
      <c r="C126" s="23" t="s">
        <v>81</v>
      </c>
      <c r="D126" s="45">
        <v>1987</v>
      </c>
      <c r="E126" s="45">
        <v>8</v>
      </c>
      <c r="F126" s="45">
        <v>15</v>
      </c>
      <c r="G126" s="46">
        <f t="shared" si="18"/>
        <v>228.29</v>
      </c>
      <c r="H126" s="53">
        <v>1760.8</v>
      </c>
      <c r="I126" s="53">
        <v>2288.6999999999998</v>
      </c>
      <c r="J126" s="26">
        <f t="shared" si="64"/>
        <v>3344.4999999999995</v>
      </c>
      <c r="K126" s="60">
        <f>AE126/(AJ126+1)</f>
        <v>168.42105263157896</v>
      </c>
      <c r="L126" s="60">
        <f>AG126/(AJ126+1)</f>
        <v>194.73684210526318</v>
      </c>
      <c r="M126" s="46">
        <f t="shared" si="61"/>
        <v>247.36842105263162</v>
      </c>
      <c r="O126" s="48">
        <f t="shared" si="65"/>
        <v>3.2457100295452914</v>
      </c>
      <c r="P126" s="48">
        <f t="shared" si="66"/>
        <v>3.3595888696150338</v>
      </c>
      <c r="Q126" s="48">
        <f t="shared" si="67"/>
        <v>3.524331200288652</v>
      </c>
      <c r="R126" s="48">
        <f t="shared" si="21"/>
        <v>2.226396377367077</v>
      </c>
      <c r="S126" s="48">
        <f t="shared" si="62"/>
        <v>2.2894481231141661</v>
      </c>
      <c r="T126" s="48">
        <f t="shared" si="63"/>
        <v>2.3933442569828887</v>
      </c>
      <c r="U126" s="48">
        <v>3.524331200288652</v>
      </c>
      <c r="V126" s="48">
        <v>2.3933442569828887</v>
      </c>
      <c r="W126" s="49">
        <f t="shared" si="19"/>
        <v>0.5380146202300442</v>
      </c>
      <c r="X126" s="49"/>
      <c r="Y126" s="49"/>
      <c r="Z126" s="49"/>
      <c r="AA126" s="48"/>
      <c r="AB126" s="48"/>
      <c r="AC126" s="48"/>
      <c r="AD126" s="48"/>
      <c r="AE126" s="61">
        <v>320</v>
      </c>
      <c r="AF126" s="61"/>
      <c r="AG126" s="61">
        <v>370</v>
      </c>
      <c r="AH126" s="61"/>
      <c r="AI126" s="61"/>
      <c r="AJ126" s="62">
        <v>0.9</v>
      </c>
      <c r="AK126" s="62"/>
      <c r="AL126" s="62"/>
      <c r="AM126" s="24"/>
      <c r="AN126" s="24"/>
      <c r="AO126" s="30"/>
      <c r="AP126" s="30"/>
      <c r="AQ126" s="30"/>
      <c r="AR126" s="30"/>
      <c r="AS126" s="30"/>
      <c r="AT126" s="30"/>
      <c r="AU126" s="30"/>
      <c r="AV126" s="30"/>
      <c r="AW126" s="30"/>
    </row>
    <row r="127" spans="1:49" ht="15" hidden="1" customHeight="1">
      <c r="A127" s="51" t="s">
        <v>138</v>
      </c>
      <c r="B127" s="45" t="s">
        <v>161</v>
      </c>
      <c r="C127" s="23" t="s">
        <v>81</v>
      </c>
      <c r="D127" s="45">
        <v>1987</v>
      </c>
      <c r="E127" s="45">
        <v>9</v>
      </c>
      <c r="F127" s="45">
        <v>30</v>
      </c>
      <c r="G127" s="46">
        <f t="shared" si="18"/>
        <v>273.76</v>
      </c>
      <c r="H127" s="53">
        <v>1116.0999999999999</v>
      </c>
      <c r="I127" s="53">
        <v>1688.6</v>
      </c>
      <c r="J127" s="26">
        <f t="shared" si="64"/>
        <v>2833.6</v>
      </c>
      <c r="K127" s="60">
        <f>AE127/(AJ127+1)</f>
        <v>109.6774193548387</v>
      </c>
      <c r="L127" s="60">
        <f>AG127/(AJ127+1)</f>
        <v>127.41935483870968</v>
      </c>
      <c r="M127" s="46">
        <f t="shared" si="61"/>
        <v>162.90322580645164</v>
      </c>
      <c r="O127" s="48">
        <f t="shared" si="65"/>
        <v>3.0477031081343045</v>
      </c>
      <c r="P127" s="48">
        <f t="shared" si="66"/>
        <v>3.2275267849372016</v>
      </c>
      <c r="Q127" s="48">
        <f t="shared" si="67"/>
        <v>3.4523385438459995</v>
      </c>
      <c r="R127" s="48">
        <f t="shared" si="21"/>
        <v>2.0401172232079823</v>
      </c>
      <c r="S127" s="48">
        <f t="shared" si="62"/>
        <v>2.1052354017921875</v>
      </c>
      <c r="T127" s="48">
        <f t="shared" si="63"/>
        <v>2.2119296842843887</v>
      </c>
      <c r="U127" s="48">
        <v>3.4523385438459995</v>
      </c>
      <c r="V127" s="48">
        <v>2.2119296842843887</v>
      </c>
      <c r="W127" s="49">
        <f t="shared" si="19"/>
        <v>0.73262955275106623</v>
      </c>
      <c r="X127" s="49"/>
      <c r="Y127" s="49"/>
      <c r="Z127" s="49"/>
      <c r="AA127" s="48"/>
      <c r="AB127" s="48"/>
      <c r="AC127" s="48"/>
      <c r="AD127" s="48"/>
      <c r="AE127" s="61">
        <v>340</v>
      </c>
      <c r="AF127" s="61"/>
      <c r="AG127" s="61">
        <v>395</v>
      </c>
      <c r="AH127" s="61"/>
      <c r="AI127" s="61"/>
      <c r="AJ127" s="62">
        <v>2.1</v>
      </c>
      <c r="AK127" s="62"/>
      <c r="AL127" s="62"/>
      <c r="AM127" s="24"/>
      <c r="AN127" s="24"/>
      <c r="AO127" s="30"/>
      <c r="AP127" s="30"/>
      <c r="AQ127" s="30"/>
      <c r="AR127" s="30"/>
      <c r="AS127" s="30"/>
      <c r="AT127" s="30"/>
      <c r="AU127" s="30"/>
      <c r="AV127" s="30"/>
      <c r="AW127" s="30"/>
    </row>
    <row r="128" spans="1:49" ht="15" hidden="1" customHeight="1">
      <c r="A128" s="51" t="s">
        <v>138</v>
      </c>
      <c r="B128" s="45" t="s">
        <v>161</v>
      </c>
      <c r="C128" s="23" t="s">
        <v>81</v>
      </c>
      <c r="D128" s="45">
        <v>1987</v>
      </c>
      <c r="E128" s="45">
        <v>12</v>
      </c>
      <c r="F128" s="45">
        <v>15</v>
      </c>
      <c r="G128" s="46">
        <f t="shared" si="18"/>
        <v>350.16999999999996</v>
      </c>
      <c r="H128" s="53">
        <v>930.1</v>
      </c>
      <c r="I128" s="53">
        <v>1153.3</v>
      </c>
      <c r="J128" s="26">
        <f t="shared" si="64"/>
        <v>1599.6999999999998</v>
      </c>
      <c r="K128" s="60">
        <f>AE128/(AJ128+1)</f>
        <v>50.980392156862749</v>
      </c>
      <c r="L128" s="60">
        <f>AG128/(AJ128+1)</f>
        <v>56.86274509803922</v>
      </c>
      <c r="M128" s="46">
        <f t="shared" si="61"/>
        <v>68.627450980392155</v>
      </c>
      <c r="O128" s="48">
        <f t="shared" si="65"/>
        <v>2.9685296443748395</v>
      </c>
      <c r="P128" s="48">
        <f t="shared" si="66"/>
        <v>3.0619422920280863</v>
      </c>
      <c r="Q128" s="48">
        <f t="shared" si="67"/>
        <v>3.2040385448055306</v>
      </c>
      <c r="R128" s="48">
        <f t="shared" si="21"/>
        <v>1.7074031718728817</v>
      </c>
      <c r="S128" s="48">
        <f t="shared" si="62"/>
        <v>1.7548278218010198</v>
      </c>
      <c r="T128" s="48">
        <f t="shared" si="63"/>
        <v>1.8364978682523392</v>
      </c>
      <c r="U128" s="48">
        <v>3.2040385448055306</v>
      </c>
      <c r="V128" s="48">
        <v>1.8364978682523392</v>
      </c>
      <c r="W128" s="49">
        <f t="shared" si="19"/>
        <v>1.1651259199566353</v>
      </c>
      <c r="X128" s="49"/>
      <c r="Y128" s="49"/>
      <c r="Z128" s="49"/>
      <c r="AA128" s="48"/>
      <c r="AB128" s="48"/>
      <c r="AC128" s="48"/>
      <c r="AD128" s="48"/>
      <c r="AE128" s="61">
        <v>260</v>
      </c>
      <c r="AF128" s="61"/>
      <c r="AG128" s="61">
        <v>290</v>
      </c>
      <c r="AH128" s="61"/>
      <c r="AI128" s="61"/>
      <c r="AJ128" s="62">
        <v>4.0999999999999996</v>
      </c>
      <c r="AK128" s="62"/>
      <c r="AL128" s="62"/>
      <c r="AM128" s="24"/>
      <c r="AN128" s="24"/>
      <c r="AO128" s="30"/>
      <c r="AP128" s="30"/>
      <c r="AQ128" s="30"/>
      <c r="AR128" s="30"/>
      <c r="AS128" s="30"/>
      <c r="AT128" s="30"/>
      <c r="AU128" s="30"/>
      <c r="AV128" s="30"/>
      <c r="AW128" s="30"/>
    </row>
    <row r="129" spans="1:88" ht="15" hidden="1" customHeight="1">
      <c r="A129" s="51" t="s">
        <v>138</v>
      </c>
      <c r="B129" s="45" t="s">
        <v>161</v>
      </c>
      <c r="C129" s="23" t="s">
        <v>81</v>
      </c>
      <c r="D129" s="45">
        <v>1988</v>
      </c>
      <c r="E129" s="45">
        <v>3</v>
      </c>
      <c r="F129" s="45">
        <v>15</v>
      </c>
      <c r="G129" s="46">
        <f>365+30.47*(E129-1)+F129</f>
        <v>440.94</v>
      </c>
      <c r="H129" s="53">
        <v>512.1</v>
      </c>
      <c r="I129" s="53">
        <v>581.4</v>
      </c>
      <c r="J129" s="26">
        <f t="shared" si="64"/>
        <v>719.99999999999989</v>
      </c>
      <c r="K129" s="60">
        <f>AE129/(AJ129+1)</f>
        <v>24.603174603174605</v>
      </c>
      <c r="L129" s="60">
        <f>AG129/(AJ129+1)</f>
        <v>26.984126984126984</v>
      </c>
      <c r="M129" s="46">
        <f t="shared" si="61"/>
        <v>31.746031746031743</v>
      </c>
      <c r="O129" s="48">
        <f t="shared" si="65"/>
        <v>2.7093547758343961</v>
      </c>
      <c r="P129" s="48">
        <f t="shared" si="66"/>
        <v>2.764475027434409</v>
      </c>
      <c r="Q129" s="48">
        <f t="shared" si="67"/>
        <v>2.8573324964312685</v>
      </c>
      <c r="R129" s="48">
        <f t="shared" si="21"/>
        <v>1.3909911487167097</v>
      </c>
      <c r="S129" s="48">
        <f t="shared" si="62"/>
        <v>1.4311083719246922</v>
      </c>
      <c r="T129" s="48">
        <f t="shared" si="63"/>
        <v>1.5016894462103993</v>
      </c>
      <c r="U129" s="48">
        <v>2.8573324964312685</v>
      </c>
      <c r="V129" s="48">
        <v>1.5016894462103993</v>
      </c>
      <c r="W129" s="49">
        <f t="shared" si="19"/>
        <v>1.5883466641993229</v>
      </c>
      <c r="X129" s="49"/>
      <c r="Y129" s="49"/>
      <c r="Z129" s="49"/>
      <c r="AA129" s="48"/>
      <c r="AB129" s="48"/>
      <c r="AC129" s="48"/>
      <c r="AD129" s="48"/>
      <c r="AE129" s="61">
        <v>155</v>
      </c>
      <c r="AF129" s="61"/>
      <c r="AG129" s="61">
        <v>170</v>
      </c>
      <c r="AH129" s="61"/>
      <c r="AI129" s="61"/>
      <c r="AJ129" s="62">
        <v>5.3</v>
      </c>
      <c r="AK129" s="62"/>
      <c r="AL129" s="62"/>
      <c r="AM129" s="24"/>
      <c r="AN129" s="24"/>
      <c r="AO129" s="30"/>
      <c r="AP129" s="30"/>
      <c r="AQ129" s="30"/>
      <c r="AR129" s="30"/>
      <c r="AS129" s="30"/>
      <c r="AT129" s="30"/>
      <c r="AU129" s="30"/>
      <c r="AV129" s="30"/>
      <c r="AW129" s="30"/>
    </row>
    <row r="130" spans="1:88" ht="15" hidden="1" customHeight="1">
      <c r="A130" s="51" t="s">
        <v>138</v>
      </c>
      <c r="B130" s="63" t="s">
        <v>192</v>
      </c>
      <c r="C130" s="24" t="s">
        <v>193</v>
      </c>
      <c r="D130" s="45"/>
      <c r="E130" s="45"/>
      <c r="F130" s="45"/>
      <c r="H130" s="53">
        <v>1005</v>
      </c>
      <c r="I130" s="53">
        <f>1005+96</f>
        <v>1101</v>
      </c>
      <c r="J130" s="26">
        <f t="shared" si="64"/>
        <v>1293</v>
      </c>
      <c r="K130" s="60">
        <v>700</v>
      </c>
      <c r="L130" s="60"/>
      <c r="M130" s="46"/>
      <c r="O130" s="48">
        <f t="shared" si="65"/>
        <v>3.0021660617565078</v>
      </c>
      <c r="P130" s="48">
        <f t="shared" ref="P130:P134" si="68">LOG10(I130)</f>
        <v>3.0417873189717519</v>
      </c>
      <c r="Q130" s="48">
        <f t="shared" ref="Q130:Q134" si="69">LOG10(J130)</f>
        <v>3.1115985248803941</v>
      </c>
      <c r="R130" s="48">
        <f t="shared" si="21"/>
        <v>2.8450980400142569</v>
      </c>
      <c r="S130" s="48"/>
      <c r="T130" s="48"/>
      <c r="U130" s="48">
        <v>3.1115985248803941</v>
      </c>
      <c r="V130" s="48">
        <v>2.8450980400142569</v>
      </c>
      <c r="W130" s="49">
        <f t="shared" si="19"/>
        <v>0.23071027610501013</v>
      </c>
      <c r="X130" s="49"/>
      <c r="Y130" s="49"/>
      <c r="Z130" s="49"/>
      <c r="AA130" s="48"/>
      <c r="AB130" s="48"/>
      <c r="AC130" s="48"/>
      <c r="AD130" s="48"/>
      <c r="AE130" s="61"/>
      <c r="AF130" s="61"/>
      <c r="AG130" s="61"/>
      <c r="AH130" s="61"/>
      <c r="AI130" s="61"/>
      <c r="AJ130" s="62"/>
      <c r="AK130" s="62"/>
      <c r="AL130" s="62"/>
      <c r="AM130" s="24"/>
      <c r="AN130" s="24"/>
      <c r="AO130" s="30"/>
      <c r="AP130" s="30"/>
      <c r="AQ130" s="30"/>
      <c r="AR130" s="30"/>
      <c r="AS130" s="30"/>
      <c r="AT130" s="30"/>
      <c r="AU130" s="30"/>
      <c r="AV130" s="30"/>
      <c r="AW130" s="30"/>
    </row>
    <row r="131" spans="1:88" ht="15" hidden="1" customHeight="1">
      <c r="A131" s="51" t="s">
        <v>138</v>
      </c>
      <c r="B131" s="63" t="s">
        <v>192</v>
      </c>
      <c r="C131" s="24" t="s">
        <v>194</v>
      </c>
      <c r="D131" s="45"/>
      <c r="E131" s="45"/>
      <c r="F131" s="45"/>
      <c r="H131" s="53">
        <v>1162</v>
      </c>
      <c r="I131" s="53">
        <f>1162+137</f>
        <v>1299</v>
      </c>
      <c r="J131" s="26">
        <f t="shared" si="64"/>
        <v>1573</v>
      </c>
      <c r="K131" s="60">
        <v>870</v>
      </c>
      <c r="L131" s="60"/>
      <c r="M131" s="46"/>
      <c r="O131" s="48">
        <f t="shared" si="65"/>
        <v>3.0652061280543119</v>
      </c>
      <c r="P131" s="48">
        <f t="shared" si="68"/>
        <v>3.1136091510730277</v>
      </c>
      <c r="Q131" s="48">
        <f t="shared" si="69"/>
        <v>3.1967287226232868</v>
      </c>
      <c r="R131" s="48">
        <f t="shared" si="21"/>
        <v>2.9395192526186187</v>
      </c>
      <c r="S131" s="48"/>
      <c r="T131" s="48"/>
      <c r="U131" s="48">
        <v>3.1967287226232868</v>
      </c>
      <c r="V131" s="48">
        <v>2.9395192526186187</v>
      </c>
      <c r="W131" s="49">
        <f t="shared" si="19"/>
        <v>0.11514329297484875</v>
      </c>
      <c r="X131" s="49"/>
      <c r="Y131" s="49"/>
      <c r="Z131" s="49"/>
      <c r="AA131" s="48"/>
      <c r="AB131" s="48"/>
      <c r="AC131" s="48"/>
      <c r="AD131" s="48"/>
      <c r="AE131" s="61"/>
      <c r="AF131" s="61"/>
      <c r="AG131" s="61"/>
      <c r="AH131" s="61"/>
      <c r="AI131" s="61"/>
      <c r="AJ131" s="62"/>
      <c r="AK131" s="62"/>
      <c r="AL131" s="62"/>
      <c r="AM131" s="24"/>
      <c r="AN131" s="24"/>
      <c r="AO131" s="30"/>
      <c r="AP131" s="30"/>
      <c r="AQ131" s="30"/>
      <c r="AR131" s="30"/>
      <c r="AS131" s="30"/>
      <c r="AT131" s="30"/>
      <c r="AU131" s="30"/>
      <c r="AV131" s="30"/>
      <c r="AW131" s="30"/>
    </row>
    <row r="132" spans="1:88" ht="15" hidden="1" customHeight="1">
      <c r="A132" s="51" t="s">
        <v>138</v>
      </c>
      <c r="B132" s="63" t="s">
        <v>192</v>
      </c>
      <c r="C132" s="24" t="s">
        <v>195</v>
      </c>
      <c r="D132" s="45"/>
      <c r="E132" s="45"/>
      <c r="F132" s="45"/>
      <c r="H132" s="53">
        <v>950</v>
      </c>
      <c r="I132" s="53">
        <f>950+190</f>
        <v>1140</v>
      </c>
      <c r="J132" s="26">
        <f t="shared" si="64"/>
        <v>1520</v>
      </c>
      <c r="K132" s="60">
        <v>750</v>
      </c>
      <c r="L132" s="60"/>
      <c r="M132" s="46"/>
      <c r="O132" s="48">
        <f t="shared" si="65"/>
        <v>2.9777236052888476</v>
      </c>
      <c r="P132" s="48">
        <f t="shared" si="68"/>
        <v>3.0569048513364727</v>
      </c>
      <c r="Q132" s="48">
        <f t="shared" si="69"/>
        <v>3.1818435879447726</v>
      </c>
      <c r="R132" s="48">
        <f t="shared" si="21"/>
        <v>2.8750612633917001</v>
      </c>
      <c r="S132" s="48"/>
      <c r="T132" s="48"/>
      <c r="U132" s="48">
        <v>3.1818435879447726</v>
      </c>
      <c r="V132" s="48">
        <v>2.8750612633917001</v>
      </c>
      <c r="W132" s="49">
        <f t="shared" si="19"/>
        <v>0.18108823290893447</v>
      </c>
      <c r="X132" s="49"/>
      <c r="Y132" s="49"/>
      <c r="Z132" s="49"/>
      <c r="AA132" s="48"/>
      <c r="AB132" s="48"/>
      <c r="AC132" s="48"/>
      <c r="AD132" s="48"/>
      <c r="AE132" s="61"/>
      <c r="AF132" s="61"/>
      <c r="AG132" s="61"/>
      <c r="AH132" s="61"/>
      <c r="AI132" s="61"/>
      <c r="AJ132" s="62"/>
      <c r="AK132" s="62"/>
      <c r="AL132" s="62"/>
      <c r="AM132" s="24"/>
      <c r="AN132" s="24"/>
      <c r="AO132" s="30"/>
      <c r="AP132" s="30"/>
      <c r="AQ132" s="30"/>
      <c r="AR132" s="30"/>
      <c r="AS132" s="30"/>
      <c r="AT132" s="30"/>
      <c r="AU132" s="30"/>
      <c r="AV132" s="30"/>
      <c r="AW132" s="30"/>
    </row>
    <row r="133" spans="1:88" ht="15" hidden="1" customHeight="1">
      <c r="A133" s="51" t="s">
        <v>138</v>
      </c>
      <c r="B133" s="63" t="s">
        <v>192</v>
      </c>
      <c r="C133" s="24" t="s">
        <v>196</v>
      </c>
      <c r="D133" s="45"/>
      <c r="E133" s="45"/>
      <c r="F133" s="45"/>
      <c r="H133" s="53">
        <v>1752</v>
      </c>
      <c r="I133" s="53">
        <f>1752+468</f>
        <v>2220</v>
      </c>
      <c r="J133" s="26">
        <f t="shared" si="64"/>
        <v>3156</v>
      </c>
      <c r="K133" s="60">
        <v>940</v>
      </c>
      <c r="L133" s="60"/>
      <c r="M133" s="46"/>
      <c r="O133" s="48">
        <f t="shared" si="65"/>
        <v>3.2435341018320618</v>
      </c>
      <c r="P133" s="48">
        <f t="shared" si="68"/>
        <v>3.3463529744506388</v>
      </c>
      <c r="Q133" s="48">
        <f t="shared" si="69"/>
        <v>3.4991369945373827</v>
      </c>
      <c r="R133" s="48">
        <f t="shared" si="21"/>
        <v>2.9731278535996988</v>
      </c>
      <c r="S133" s="48"/>
      <c r="T133" s="48"/>
      <c r="U133" s="48">
        <v>3.4991369945373827</v>
      </c>
      <c r="V133" s="48">
        <v>2.9731278535996988</v>
      </c>
      <c r="W133" s="49">
        <f t="shared" si="19"/>
        <v>-7.4946681827642537E-3</v>
      </c>
      <c r="X133" s="49"/>
      <c r="Y133" s="49"/>
      <c r="Z133" s="49"/>
      <c r="AA133" s="48"/>
      <c r="AB133" s="48"/>
      <c r="AC133" s="48"/>
      <c r="AD133" s="48"/>
      <c r="AE133" s="61"/>
      <c r="AF133" s="61"/>
      <c r="AG133" s="61"/>
      <c r="AH133" s="61"/>
      <c r="AI133" s="61"/>
      <c r="AJ133" s="62"/>
      <c r="AK133" s="62"/>
      <c r="AL133" s="62"/>
      <c r="AM133" s="24"/>
      <c r="AN133" s="24"/>
      <c r="AO133" s="30"/>
      <c r="AP133" s="30"/>
      <c r="AQ133" s="30"/>
      <c r="AR133" s="30"/>
      <c r="AS133" s="30"/>
      <c r="AT133" s="30"/>
      <c r="AU133" s="30"/>
      <c r="AV133" s="30"/>
      <c r="AW133" s="30"/>
    </row>
    <row r="134" spans="1:88" ht="15" hidden="1" customHeight="1">
      <c r="A134" s="51" t="s">
        <v>138</v>
      </c>
      <c r="B134" s="63" t="s">
        <v>192</v>
      </c>
      <c r="C134" s="24" t="s">
        <v>197</v>
      </c>
      <c r="D134" s="45"/>
      <c r="E134" s="45"/>
      <c r="F134" s="45"/>
      <c r="H134" s="53">
        <v>1311</v>
      </c>
      <c r="I134" s="53">
        <f>1311+191</f>
        <v>1502</v>
      </c>
      <c r="J134" s="26">
        <f t="shared" si="64"/>
        <v>1884</v>
      </c>
      <c r="K134" s="60">
        <v>375</v>
      </c>
      <c r="L134" s="60"/>
      <c r="M134" s="46"/>
      <c r="O134" s="48">
        <f t="shared" si="65"/>
        <v>3.1176026916900841</v>
      </c>
      <c r="P134" s="48">
        <f t="shared" si="68"/>
        <v>3.1766699326681498</v>
      </c>
      <c r="Q134" s="48">
        <f t="shared" si="69"/>
        <v>3.2750808984568587</v>
      </c>
      <c r="R134" s="48">
        <f t="shared" si="21"/>
        <v>2.5740312677277188</v>
      </c>
      <c r="S134" s="48"/>
      <c r="T134" s="48"/>
      <c r="U134" s="48">
        <v>3.2750808984568587</v>
      </c>
      <c r="V134" s="48">
        <v>2.5740312677277188</v>
      </c>
      <c r="W134" s="49">
        <f t="shared" si="19"/>
        <v>0.44031387763659802</v>
      </c>
      <c r="X134" s="49"/>
      <c r="Y134" s="49"/>
      <c r="Z134" s="49"/>
      <c r="AA134" s="48"/>
      <c r="AB134" s="48"/>
      <c r="AC134" s="48"/>
      <c r="AD134" s="48"/>
      <c r="AE134" s="61"/>
      <c r="AF134" s="61"/>
      <c r="AG134" s="61"/>
      <c r="AH134" s="61"/>
      <c r="AI134" s="61"/>
      <c r="AJ134" s="62"/>
      <c r="AK134" s="62"/>
      <c r="AL134" s="62"/>
      <c r="AM134" s="24"/>
      <c r="AN134" s="24"/>
      <c r="AO134" s="30"/>
      <c r="AP134" s="30"/>
      <c r="AQ134" s="30"/>
      <c r="AR134" s="30"/>
      <c r="AS134" s="30"/>
      <c r="AT134" s="30"/>
      <c r="AU134" s="30"/>
      <c r="AV134" s="30"/>
      <c r="AW134" s="30"/>
    </row>
    <row r="135" spans="1:88" s="28" customFormat="1" ht="12.75" customHeight="1">
      <c r="A135" s="64" t="s">
        <v>182</v>
      </c>
      <c r="B135" s="23" t="s">
        <v>183</v>
      </c>
      <c r="C135" s="52" t="s">
        <v>162</v>
      </c>
      <c r="D135" s="65">
        <v>1995</v>
      </c>
      <c r="E135" s="26">
        <v>3</v>
      </c>
      <c r="F135" s="66">
        <v>15</v>
      </c>
      <c r="G135" s="46">
        <f t="shared" ref="G135:G198" si="70">30.47*(E135-1)+F135</f>
        <v>75.94</v>
      </c>
      <c r="H135" s="84">
        <v>7335.5916230366493</v>
      </c>
      <c r="I135" s="124"/>
      <c r="K135" s="67">
        <v>25.365703664921469</v>
      </c>
      <c r="O135" s="48">
        <f t="shared" si="65"/>
        <v>3.865435145890102</v>
      </c>
      <c r="R135" s="48">
        <f t="shared" si="21"/>
        <v>1.404246914497054</v>
      </c>
      <c r="S135" s="69"/>
      <c r="U135" s="48">
        <v>3.865435145890102</v>
      </c>
      <c r="V135" s="54">
        <v>1.404246914497054</v>
      </c>
      <c r="W135" s="49">
        <f t="shared" ref="W135:W198" si="71">0.9539*(4.064-0.314*U135-V135)</f>
        <v>1.3793455523625862</v>
      </c>
      <c r="X135" s="49"/>
      <c r="Y135" s="49"/>
      <c r="Z135" s="49"/>
      <c r="AM135" s="68"/>
      <c r="AN135" s="68"/>
      <c r="AR135" s="70"/>
      <c r="AU135" s="68"/>
    </row>
    <row r="136" spans="1:88" s="28" customFormat="1" ht="12.75" customHeight="1">
      <c r="A136" s="64" t="s">
        <v>182</v>
      </c>
      <c r="B136" s="23" t="s">
        <v>183</v>
      </c>
      <c r="C136" s="52" t="s">
        <v>162</v>
      </c>
      <c r="D136" s="65">
        <v>1995</v>
      </c>
      <c r="E136" s="26">
        <v>3</v>
      </c>
      <c r="F136" s="66">
        <v>15</v>
      </c>
      <c r="G136" s="46">
        <f t="shared" si="70"/>
        <v>75.94</v>
      </c>
      <c r="H136" s="84">
        <v>6225.2549019607841</v>
      </c>
      <c r="I136" s="124"/>
      <c r="K136" s="67">
        <v>12.076994509803923</v>
      </c>
      <c r="O136" s="48">
        <f t="shared" ref="O136:O199" si="72">LOG10(H136)</f>
        <v>3.794157138940228</v>
      </c>
      <c r="R136" s="48">
        <f t="shared" ref="R136:R199" si="73">LOG10(K136)</f>
        <v>1.0819588688704542</v>
      </c>
      <c r="S136" s="69"/>
      <c r="U136" s="48">
        <v>3.794157138940228</v>
      </c>
      <c r="V136" s="54">
        <v>1.0819588688704542</v>
      </c>
      <c r="W136" s="49">
        <f t="shared" si="71"/>
        <v>1.7081256356062575</v>
      </c>
      <c r="X136" s="49"/>
      <c r="Y136" s="49"/>
      <c r="Z136" s="49"/>
      <c r="AM136" s="68"/>
      <c r="AN136" s="68"/>
      <c r="AR136" s="70"/>
      <c r="AU136" s="68"/>
    </row>
    <row r="137" spans="1:88" s="28" customFormat="1" ht="12.75" customHeight="1">
      <c r="A137" s="64" t="s">
        <v>182</v>
      </c>
      <c r="B137" s="23" t="s">
        <v>183</v>
      </c>
      <c r="C137" s="52" t="s">
        <v>162</v>
      </c>
      <c r="D137" s="65">
        <v>1995</v>
      </c>
      <c r="E137" s="26">
        <v>3</v>
      </c>
      <c r="F137" s="66">
        <v>15</v>
      </c>
      <c r="G137" s="46">
        <f t="shared" si="70"/>
        <v>75.94</v>
      </c>
      <c r="H137" s="84">
        <v>4178.9048991354466</v>
      </c>
      <c r="I137" s="124"/>
      <c r="K137" s="67">
        <v>9.6041498559077798</v>
      </c>
      <c r="O137" s="48">
        <f t="shared" si="72"/>
        <v>3.6210624878579938</v>
      </c>
      <c r="R137" s="48">
        <f t="shared" si="73"/>
        <v>0.98245892784126676</v>
      </c>
      <c r="S137" s="69"/>
      <c r="U137" s="48">
        <v>3.6210624878579938</v>
      </c>
      <c r="V137" s="54">
        <v>0.98245892784126676</v>
      </c>
      <c r="W137" s="49">
        <f t="shared" si="71"/>
        <v>1.8548847354815452</v>
      </c>
      <c r="X137" s="49"/>
      <c r="Y137" s="49"/>
      <c r="Z137" s="49"/>
      <c r="AM137" s="68"/>
      <c r="AN137" s="68"/>
      <c r="AR137" s="70"/>
      <c r="AU137" s="68"/>
    </row>
    <row r="138" spans="1:88" s="28" customFormat="1" ht="12.75" customHeight="1">
      <c r="A138" s="64" t="s">
        <v>182</v>
      </c>
      <c r="B138" s="23" t="s">
        <v>183</v>
      </c>
      <c r="C138" s="52" t="s">
        <v>162</v>
      </c>
      <c r="D138" s="65">
        <v>1995</v>
      </c>
      <c r="E138" s="26">
        <v>3</v>
      </c>
      <c r="F138" s="66">
        <v>15</v>
      </c>
      <c r="G138" s="46">
        <f t="shared" si="70"/>
        <v>75.94</v>
      </c>
      <c r="H138" s="84">
        <v>7379.0256410256425</v>
      </c>
      <c r="I138" s="124"/>
      <c r="K138" s="67">
        <v>16.835641025641024</v>
      </c>
      <c r="O138" s="48">
        <f t="shared" si="72"/>
        <v>3.8679990194568363</v>
      </c>
      <c r="R138" s="48">
        <f t="shared" si="73"/>
        <v>1.2262296570234001</v>
      </c>
      <c r="S138" s="69"/>
      <c r="U138" s="48">
        <v>3.8679990194568363</v>
      </c>
      <c r="V138" s="54">
        <v>1.2262296570234001</v>
      </c>
      <c r="W138" s="49">
        <f t="shared" si="71"/>
        <v>1.5483882710621777</v>
      </c>
      <c r="X138" s="49"/>
      <c r="Y138" s="49"/>
      <c r="Z138" s="49"/>
      <c r="AM138" s="68"/>
      <c r="AN138" s="68"/>
      <c r="AR138" s="70"/>
      <c r="AU138" s="68"/>
    </row>
    <row r="139" spans="1:88" s="28" customFormat="1" ht="12.75" customHeight="1">
      <c r="A139" s="64" t="s">
        <v>182</v>
      </c>
      <c r="B139" s="23" t="s">
        <v>183</v>
      </c>
      <c r="C139" s="52" t="s">
        <v>162</v>
      </c>
      <c r="D139" s="65">
        <v>1995</v>
      </c>
      <c r="E139" s="26">
        <v>3</v>
      </c>
      <c r="F139" s="66">
        <v>15</v>
      </c>
      <c r="G139" s="46">
        <f t="shared" si="70"/>
        <v>75.94</v>
      </c>
      <c r="H139" s="119">
        <v>5748.0197109067003</v>
      </c>
      <c r="I139" s="125"/>
      <c r="J139" s="68"/>
      <c r="K139" s="67">
        <v>20.749943495400785</v>
      </c>
      <c r="O139" s="48">
        <f t="shared" si="72"/>
        <v>3.7595182487320793</v>
      </c>
      <c r="R139" s="48">
        <f t="shared" si="73"/>
        <v>1.3170169184134584</v>
      </c>
      <c r="S139" s="72"/>
      <c r="U139" s="48">
        <v>3.7595182487320793</v>
      </c>
      <c r="V139" s="54">
        <v>1.3170169184134584</v>
      </c>
      <c r="W139" s="49">
        <f t="shared" si="71"/>
        <v>1.4942789618812258</v>
      </c>
      <c r="X139" s="49"/>
      <c r="Y139" s="49"/>
      <c r="Z139" s="49"/>
      <c r="AE139" s="68"/>
      <c r="AF139" s="68"/>
      <c r="AM139" s="68"/>
      <c r="AN139" s="68"/>
      <c r="AR139" s="70"/>
      <c r="AU139" s="68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</row>
    <row r="140" spans="1:88" s="28" customFormat="1" ht="12.75" customHeight="1">
      <c r="A140" s="64" t="s">
        <v>182</v>
      </c>
      <c r="B140" s="23" t="s">
        <v>183</v>
      </c>
      <c r="C140" s="52" t="s">
        <v>162</v>
      </c>
      <c r="D140" s="65">
        <v>1995</v>
      </c>
      <c r="E140" s="26">
        <v>3</v>
      </c>
      <c r="F140" s="66">
        <v>15</v>
      </c>
      <c r="G140" s="46">
        <f t="shared" si="70"/>
        <v>75.94</v>
      </c>
      <c r="H140" s="119">
        <v>1476.0746371803732</v>
      </c>
      <c r="I140" s="125"/>
      <c r="J140" s="68"/>
      <c r="K140" s="67">
        <v>4.0664409122322045</v>
      </c>
      <c r="O140" s="48">
        <f t="shared" si="72"/>
        <v>3.1691083179857036</v>
      </c>
      <c r="R140" s="48">
        <f t="shared" si="73"/>
        <v>0.60921446612886598</v>
      </c>
      <c r="S140" s="72"/>
      <c r="U140" s="48">
        <v>3.1691083179857036</v>
      </c>
      <c r="V140" s="54">
        <v>0.60921446612886598</v>
      </c>
      <c r="W140" s="49">
        <f t="shared" si="71"/>
        <v>2.3462940194583344</v>
      </c>
      <c r="X140" s="49"/>
      <c r="Y140" s="49"/>
      <c r="Z140" s="49"/>
      <c r="AE140" s="68"/>
      <c r="AF140" s="68"/>
      <c r="AM140" s="68"/>
      <c r="AN140" s="68"/>
      <c r="AR140" s="70"/>
      <c r="AU140" s="68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</row>
    <row r="141" spans="1:88" s="28" customFormat="1" ht="12.75" customHeight="1">
      <c r="A141" s="64" t="s">
        <v>182</v>
      </c>
      <c r="B141" s="23" t="s">
        <v>183</v>
      </c>
      <c r="C141" s="52" t="s">
        <v>162</v>
      </c>
      <c r="D141" s="65">
        <v>1995</v>
      </c>
      <c r="E141" s="26">
        <v>3</v>
      </c>
      <c r="F141" s="66">
        <v>15</v>
      </c>
      <c r="G141" s="46">
        <f t="shared" si="70"/>
        <v>75.94</v>
      </c>
      <c r="H141" s="119">
        <v>3921.6783216783224</v>
      </c>
      <c r="I141" s="125"/>
      <c r="J141" s="68"/>
      <c r="K141" s="67">
        <v>9.3335944055944058</v>
      </c>
      <c r="O141" s="48">
        <f t="shared" si="72"/>
        <v>3.5934719674935405</v>
      </c>
      <c r="R141" s="48">
        <f t="shared" si="73"/>
        <v>0.97004892455005243</v>
      </c>
      <c r="S141" s="72"/>
      <c r="U141" s="48">
        <v>3.5934719674935405</v>
      </c>
      <c r="V141" s="54">
        <v>0.97004892455005243</v>
      </c>
      <c r="W141" s="49">
        <f t="shared" si="71"/>
        <v>1.8749866771969896</v>
      </c>
      <c r="X141" s="49"/>
      <c r="Y141" s="49"/>
      <c r="Z141" s="49"/>
      <c r="AE141" s="68"/>
      <c r="AF141" s="68"/>
      <c r="AM141" s="68"/>
      <c r="AN141" s="68"/>
      <c r="AR141" s="70"/>
      <c r="AU141" s="68"/>
      <c r="CA141" s="73"/>
      <c r="CB141" s="73"/>
      <c r="CC141" s="73"/>
      <c r="CD141" s="73"/>
      <c r="CE141" s="73"/>
      <c r="CF141" s="73"/>
      <c r="CG141" s="73"/>
      <c r="CH141" s="73"/>
      <c r="CI141" s="73"/>
      <c r="CJ141" s="73"/>
    </row>
    <row r="142" spans="1:88" s="28" customFormat="1" ht="12.75" customHeight="1">
      <c r="A142" s="64" t="s">
        <v>182</v>
      </c>
      <c r="B142" s="23" t="s">
        <v>183</v>
      </c>
      <c r="C142" s="52" t="s">
        <v>162</v>
      </c>
      <c r="D142" s="65">
        <v>1995</v>
      </c>
      <c r="E142" s="26">
        <v>3</v>
      </c>
      <c r="F142" s="66">
        <v>15</v>
      </c>
      <c r="G142" s="46">
        <f t="shared" si="70"/>
        <v>75.94</v>
      </c>
      <c r="H142" s="119">
        <v>1515.1712887438828</v>
      </c>
      <c r="I142" s="125"/>
      <c r="J142" s="68"/>
      <c r="K142" s="67">
        <v>5.2576443719412724</v>
      </c>
      <c r="O142" s="48">
        <f t="shared" si="72"/>
        <v>3.1804617322121023</v>
      </c>
      <c r="R142" s="48">
        <f t="shared" si="73"/>
        <v>0.72079120700297605</v>
      </c>
      <c r="S142" s="72"/>
      <c r="U142" s="48">
        <v>3.1804617322121023</v>
      </c>
      <c r="V142" s="54">
        <v>0.72079120700297605</v>
      </c>
      <c r="W142" s="49">
        <f t="shared" si="71"/>
        <v>2.2364603394837244</v>
      </c>
      <c r="X142" s="49"/>
      <c r="Y142" s="49"/>
      <c r="Z142" s="49"/>
      <c r="AE142" s="68"/>
      <c r="AF142" s="68"/>
      <c r="AM142" s="68"/>
      <c r="AN142" s="68"/>
      <c r="AR142" s="70"/>
      <c r="AU142" s="68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</row>
    <row r="143" spans="1:88" s="28" customFormat="1" ht="12.75" customHeight="1">
      <c r="A143" s="64" t="s">
        <v>182</v>
      </c>
      <c r="B143" s="23" t="s">
        <v>183</v>
      </c>
      <c r="C143" s="52" t="s">
        <v>162</v>
      </c>
      <c r="D143" s="65">
        <v>1995</v>
      </c>
      <c r="E143" s="26">
        <v>3</v>
      </c>
      <c r="F143" s="66">
        <v>15</v>
      </c>
      <c r="G143" s="46">
        <f t="shared" si="70"/>
        <v>75.94</v>
      </c>
      <c r="H143" s="119">
        <v>1945.1633175009135</v>
      </c>
      <c r="I143" s="125"/>
      <c r="J143" s="68"/>
      <c r="K143" s="67">
        <v>6.6828878333942274</v>
      </c>
      <c r="O143" s="48">
        <f t="shared" si="72"/>
        <v>3.2889560709119992</v>
      </c>
      <c r="R143" s="48">
        <f t="shared" si="73"/>
        <v>0.82496417192023008</v>
      </c>
      <c r="S143" s="72"/>
      <c r="U143" s="48">
        <v>3.2889560709119992</v>
      </c>
      <c r="V143" s="54">
        <v>0.82496417192023008</v>
      </c>
      <c r="W143" s="49">
        <f t="shared" si="71"/>
        <v>2.1045930248478042</v>
      </c>
      <c r="X143" s="49"/>
      <c r="Y143" s="49"/>
      <c r="Z143" s="49"/>
      <c r="AE143" s="68"/>
      <c r="AF143" s="68"/>
      <c r="AM143" s="68"/>
      <c r="AN143" s="68"/>
      <c r="AR143" s="70"/>
      <c r="AU143" s="68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</row>
    <row r="144" spans="1:88" s="28" customFormat="1" ht="12.75" customHeight="1">
      <c r="A144" s="64" t="s">
        <v>182</v>
      </c>
      <c r="B144" s="23" t="s">
        <v>183</v>
      </c>
      <c r="C144" s="52" t="s">
        <v>162</v>
      </c>
      <c r="D144" s="65">
        <v>1995</v>
      </c>
      <c r="E144" s="26">
        <v>3</v>
      </c>
      <c r="F144" s="66">
        <v>15</v>
      </c>
      <c r="G144" s="46">
        <f t="shared" si="70"/>
        <v>75.94</v>
      </c>
      <c r="H144" s="119">
        <v>3046.3063202791782</v>
      </c>
      <c r="I144" s="125"/>
      <c r="J144" s="68"/>
      <c r="K144" s="67">
        <v>4.8990306320279187</v>
      </c>
      <c r="O144" s="48">
        <f t="shared" si="72"/>
        <v>3.4837735715273266</v>
      </c>
      <c r="R144" s="48">
        <f t="shared" si="73"/>
        <v>0.69011015496543526</v>
      </c>
      <c r="S144" s="72"/>
      <c r="U144" s="48">
        <v>3.4837735715273266</v>
      </c>
      <c r="V144" s="54">
        <v>0.69011015496543526</v>
      </c>
      <c r="W144" s="49">
        <f t="shared" si="71"/>
        <v>2.1748776376761771</v>
      </c>
      <c r="X144" s="49"/>
      <c r="Y144" s="49"/>
      <c r="Z144" s="49"/>
      <c r="AE144" s="68"/>
      <c r="AF144" s="68"/>
      <c r="AM144" s="68"/>
      <c r="AN144" s="68"/>
      <c r="AR144" s="70"/>
      <c r="AU144" s="68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</row>
    <row r="145" spans="1:88" s="28" customFormat="1" ht="12.75" customHeight="1">
      <c r="A145" s="64" t="s">
        <v>182</v>
      </c>
      <c r="B145" s="23" t="s">
        <v>183</v>
      </c>
      <c r="C145" s="52" t="s">
        <v>162</v>
      </c>
      <c r="D145" s="65">
        <v>1995</v>
      </c>
      <c r="E145" s="26">
        <v>3</v>
      </c>
      <c r="F145" s="66">
        <v>15</v>
      </c>
      <c r="G145" s="46">
        <f t="shared" si="70"/>
        <v>75.94</v>
      </c>
      <c r="H145" s="119">
        <v>1822.1735537190079</v>
      </c>
      <c r="I145" s="125"/>
      <c r="J145" s="68"/>
      <c r="K145" s="67">
        <v>5.5567272727272723</v>
      </c>
      <c r="O145" s="48">
        <f t="shared" si="72"/>
        <v>3.2605897391753316</v>
      </c>
      <c r="R145" s="48">
        <f t="shared" si="73"/>
        <v>0.74481908189313328</v>
      </c>
      <c r="S145" s="72"/>
      <c r="U145" s="48">
        <v>3.2605897391753316</v>
      </c>
      <c r="V145" s="54">
        <v>0.74481908189313328</v>
      </c>
      <c r="W145" s="49">
        <f t="shared" si="71"/>
        <v>2.1895398403915443</v>
      </c>
      <c r="X145" s="49"/>
      <c r="Y145" s="49"/>
      <c r="Z145" s="49"/>
      <c r="AE145" s="68"/>
      <c r="AF145" s="68"/>
      <c r="AM145" s="68"/>
      <c r="AN145" s="68"/>
      <c r="AR145" s="70"/>
      <c r="AU145" s="68"/>
      <c r="CA145" s="73"/>
      <c r="CB145" s="73"/>
      <c r="CC145" s="73"/>
      <c r="CD145" s="73"/>
      <c r="CE145" s="73"/>
      <c r="CF145" s="73"/>
      <c r="CG145" s="73"/>
      <c r="CH145" s="73"/>
      <c r="CI145" s="73"/>
      <c r="CJ145" s="73"/>
    </row>
    <row r="146" spans="1:88" s="28" customFormat="1" ht="12.75" customHeight="1">
      <c r="A146" s="64" t="s">
        <v>182</v>
      </c>
      <c r="B146" s="23" t="s">
        <v>183</v>
      </c>
      <c r="C146" s="52" t="s">
        <v>162</v>
      </c>
      <c r="D146" s="65">
        <v>1995</v>
      </c>
      <c r="E146" s="26">
        <v>3</v>
      </c>
      <c r="F146" s="66">
        <v>15</v>
      </c>
      <c r="G146" s="46">
        <f t="shared" si="70"/>
        <v>75.94</v>
      </c>
      <c r="H146" s="119">
        <v>2486.4133611691022</v>
      </c>
      <c r="I146" s="125"/>
      <c r="J146" s="68"/>
      <c r="K146" s="67">
        <v>7.1638246346555317</v>
      </c>
      <c r="O146" s="48">
        <f t="shared" si="72"/>
        <v>3.3955733308830558</v>
      </c>
      <c r="R146" s="48">
        <f t="shared" si="73"/>
        <v>0.8551449460863203</v>
      </c>
      <c r="S146" s="72"/>
      <c r="U146" s="48">
        <v>3.3955733308830558</v>
      </c>
      <c r="V146" s="54">
        <v>0.8551449460863203</v>
      </c>
      <c r="W146" s="49">
        <f t="shared" si="71"/>
        <v>2.0438690922248437</v>
      </c>
      <c r="X146" s="49"/>
      <c r="Y146" s="49"/>
      <c r="Z146" s="49"/>
      <c r="AE146" s="68"/>
      <c r="AF146" s="68"/>
      <c r="AM146" s="68"/>
      <c r="AN146" s="68"/>
      <c r="AR146" s="70"/>
      <c r="AU146" s="68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</row>
    <row r="147" spans="1:88" s="28" customFormat="1" ht="12.75" customHeight="1">
      <c r="A147" s="64" t="s">
        <v>182</v>
      </c>
      <c r="B147" s="23" t="s">
        <v>183</v>
      </c>
      <c r="C147" s="52" t="s">
        <v>162</v>
      </c>
      <c r="D147" s="65">
        <v>1995</v>
      </c>
      <c r="E147" s="26">
        <v>3</v>
      </c>
      <c r="F147" s="66">
        <v>15</v>
      </c>
      <c r="G147" s="46">
        <f t="shared" si="70"/>
        <v>75.94</v>
      </c>
      <c r="H147" s="119">
        <v>4054.3277723258093</v>
      </c>
      <c r="I147" s="125"/>
      <c r="J147" s="68"/>
      <c r="K147" s="67">
        <v>10.300995747464835</v>
      </c>
      <c r="O147" s="48">
        <f t="shared" si="72"/>
        <v>3.6079188563348215</v>
      </c>
      <c r="R147" s="48">
        <f t="shared" si="73"/>
        <v>1.0128792078825861</v>
      </c>
      <c r="S147" s="72"/>
      <c r="U147" s="48">
        <v>3.6079188563348215</v>
      </c>
      <c r="V147" s="54">
        <v>1.0128792078825861</v>
      </c>
      <c r="W147" s="49">
        <f t="shared" si="71"/>
        <v>1.8298036713246566</v>
      </c>
      <c r="X147" s="49"/>
      <c r="Y147" s="49"/>
      <c r="Z147" s="49"/>
      <c r="AE147" s="68"/>
      <c r="AF147" s="68"/>
      <c r="AM147" s="68"/>
      <c r="AN147" s="68"/>
      <c r="AR147" s="70"/>
      <c r="AU147" s="68"/>
      <c r="CA147" s="73"/>
      <c r="CB147" s="73"/>
      <c r="CC147" s="73"/>
      <c r="CD147" s="73"/>
      <c r="CE147" s="73"/>
      <c r="CF147" s="73"/>
      <c r="CG147" s="73"/>
      <c r="CH147" s="73"/>
      <c r="CI147" s="73"/>
      <c r="CJ147" s="73"/>
    </row>
    <row r="148" spans="1:88" s="28" customFormat="1" ht="12.75" customHeight="1">
      <c r="A148" s="64" t="s">
        <v>182</v>
      </c>
      <c r="B148" s="23" t="s">
        <v>183</v>
      </c>
      <c r="C148" s="52" t="s">
        <v>162</v>
      </c>
      <c r="D148" s="65">
        <v>1995</v>
      </c>
      <c r="E148" s="26">
        <v>3</v>
      </c>
      <c r="F148" s="66">
        <v>15</v>
      </c>
      <c r="G148" s="46">
        <f t="shared" si="70"/>
        <v>75.94</v>
      </c>
      <c r="H148" s="119">
        <v>1359.1089934484812</v>
      </c>
      <c r="I148" s="125"/>
      <c r="J148" s="68"/>
      <c r="K148" s="67">
        <v>3.5976414532459802</v>
      </c>
      <c r="O148" s="48">
        <f t="shared" si="72"/>
        <v>3.1332542862800792</v>
      </c>
      <c r="R148" s="48">
        <f t="shared" si="73"/>
        <v>0.55601787867714925</v>
      </c>
      <c r="S148" s="72"/>
      <c r="U148" s="48">
        <v>3.1332542862800792</v>
      </c>
      <c r="V148" s="54">
        <v>0.55601787867714925</v>
      </c>
      <c r="W148" s="49">
        <f t="shared" si="71"/>
        <v>2.4077774087335411</v>
      </c>
      <c r="X148" s="49"/>
      <c r="Y148" s="49"/>
      <c r="Z148" s="49"/>
      <c r="AE148" s="68"/>
      <c r="AF148" s="68"/>
      <c r="AM148" s="68"/>
      <c r="AN148" s="68"/>
      <c r="AR148" s="70"/>
      <c r="AU148" s="68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</row>
    <row r="149" spans="1:88" s="28" customFormat="1" ht="12.75" customHeight="1">
      <c r="A149" s="64" t="s">
        <v>182</v>
      </c>
      <c r="B149" s="23" t="s">
        <v>183</v>
      </c>
      <c r="C149" s="52" t="s">
        <v>162</v>
      </c>
      <c r="D149" s="65">
        <v>1995</v>
      </c>
      <c r="E149" s="26">
        <v>3</v>
      </c>
      <c r="F149" s="66">
        <v>15</v>
      </c>
      <c r="G149" s="46">
        <f t="shared" si="70"/>
        <v>75.94</v>
      </c>
      <c r="H149" s="119">
        <v>2047.6923076923078</v>
      </c>
      <c r="I149" s="125"/>
      <c r="J149" s="68"/>
      <c r="K149" s="67">
        <v>4.8813675213675216</v>
      </c>
      <c r="O149" s="48">
        <f t="shared" si="72"/>
        <v>3.3112646988318195</v>
      </c>
      <c r="R149" s="48">
        <f t="shared" si="73"/>
        <v>0.68854150720437624</v>
      </c>
      <c r="S149" s="72"/>
      <c r="U149" s="48">
        <v>3.3112646988318195</v>
      </c>
      <c r="V149" s="54">
        <v>0.68854150720437624</v>
      </c>
      <c r="W149" s="49">
        <f t="shared" si="71"/>
        <v>2.2280446218660241</v>
      </c>
      <c r="X149" s="49"/>
      <c r="Y149" s="49"/>
      <c r="Z149" s="49"/>
      <c r="AE149" s="68"/>
      <c r="AF149" s="68"/>
      <c r="AM149" s="68"/>
      <c r="AN149" s="68"/>
      <c r="AR149" s="70"/>
      <c r="AU149" s="68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</row>
    <row r="150" spans="1:88" s="28" customFormat="1" ht="12.75" customHeight="1">
      <c r="A150" s="64" t="s">
        <v>182</v>
      </c>
      <c r="B150" s="23" t="s">
        <v>183</v>
      </c>
      <c r="C150" s="52" t="s">
        <v>162</v>
      </c>
      <c r="D150" s="65">
        <v>1995</v>
      </c>
      <c r="E150" s="26">
        <v>3</v>
      </c>
      <c r="F150" s="66">
        <v>15</v>
      </c>
      <c r="G150" s="46">
        <f t="shared" si="70"/>
        <v>75.94</v>
      </c>
      <c r="H150" s="119">
        <v>754.69314079422384</v>
      </c>
      <c r="I150" s="125"/>
      <c r="J150" s="68"/>
      <c r="K150" s="67">
        <v>2.3923772563176895</v>
      </c>
      <c r="O150" s="48">
        <f t="shared" si="72"/>
        <v>2.877770402821985</v>
      </c>
      <c r="R150" s="48">
        <f t="shared" si="73"/>
        <v>0.37882966503973647</v>
      </c>
      <c r="S150" s="72"/>
      <c r="U150" s="48">
        <v>2.877770402821985</v>
      </c>
      <c r="V150" s="54">
        <v>0.37882966503973647</v>
      </c>
      <c r="W150" s="49">
        <f t="shared" si="71"/>
        <v>2.6533209537215017</v>
      </c>
      <c r="X150" s="49"/>
      <c r="Y150" s="49"/>
      <c r="Z150" s="49"/>
      <c r="AE150" s="68"/>
      <c r="AF150" s="68"/>
      <c r="AM150" s="68"/>
      <c r="AN150" s="68"/>
      <c r="AR150" s="70"/>
      <c r="AU150" s="68"/>
      <c r="CA150" s="73"/>
      <c r="CB150" s="73"/>
      <c r="CC150" s="73"/>
      <c r="CD150" s="73"/>
      <c r="CE150" s="73"/>
      <c r="CF150" s="73"/>
      <c r="CG150" s="73"/>
      <c r="CH150" s="73"/>
      <c r="CI150" s="73"/>
      <c r="CJ150" s="73"/>
    </row>
    <row r="151" spans="1:88" s="28" customFormat="1" ht="12.75" customHeight="1">
      <c r="A151" s="64" t="s">
        <v>182</v>
      </c>
      <c r="B151" s="23" t="s">
        <v>183</v>
      </c>
      <c r="C151" s="52" t="s">
        <v>162</v>
      </c>
      <c r="D151" s="74">
        <v>1995</v>
      </c>
      <c r="E151" s="26">
        <v>8</v>
      </c>
      <c r="F151" s="66">
        <v>15</v>
      </c>
      <c r="G151" s="46">
        <f t="shared" si="70"/>
        <v>228.29</v>
      </c>
      <c r="H151" s="119">
        <v>3870.7226890756297</v>
      </c>
      <c r="I151" s="124"/>
      <c r="J151" s="68"/>
      <c r="K151" s="71">
        <v>10.506247298919567</v>
      </c>
      <c r="O151" s="48">
        <f t="shared" si="72"/>
        <v>3.5877920581910083</v>
      </c>
      <c r="R151" s="48">
        <f t="shared" si="73"/>
        <v>1.0214476191295805</v>
      </c>
      <c r="U151" s="48">
        <v>3.5877920581910083</v>
      </c>
      <c r="V151" s="54">
        <v>1.0214476191295805</v>
      </c>
      <c r="W151" s="49">
        <f t="shared" si="71"/>
        <v>1.8276587349994549</v>
      </c>
      <c r="X151" s="49"/>
      <c r="Y151" s="49"/>
      <c r="Z151" s="49"/>
      <c r="AE151" s="68"/>
      <c r="AF151" s="68"/>
      <c r="AG151" s="68"/>
      <c r="AH151" s="68"/>
      <c r="AI151" s="68"/>
      <c r="AM151" s="68"/>
      <c r="AN151" s="68"/>
      <c r="AR151" s="70"/>
      <c r="AU151" s="68"/>
      <c r="CA151" s="73"/>
      <c r="CB151" s="73"/>
      <c r="CC151" s="73"/>
      <c r="CD151" s="73"/>
      <c r="CE151" s="73"/>
      <c r="CF151" s="73"/>
      <c r="CG151" s="73"/>
      <c r="CH151" s="73"/>
      <c r="CI151" s="73"/>
      <c r="CJ151" s="73"/>
    </row>
    <row r="152" spans="1:88" s="28" customFormat="1" ht="12.75" customHeight="1">
      <c r="A152" s="64" t="s">
        <v>182</v>
      </c>
      <c r="B152" s="23" t="s">
        <v>183</v>
      </c>
      <c r="C152" s="52" t="s">
        <v>162</v>
      </c>
      <c r="D152" s="74">
        <v>1995</v>
      </c>
      <c r="E152" s="26">
        <v>8</v>
      </c>
      <c r="F152" s="66">
        <v>15</v>
      </c>
      <c r="G152" s="46">
        <f t="shared" si="70"/>
        <v>228.29</v>
      </c>
      <c r="H152" s="119">
        <v>3599.6367226061207</v>
      </c>
      <c r="I152" s="124"/>
      <c r="J152" s="68"/>
      <c r="K152" s="71">
        <v>8.9726238894373171</v>
      </c>
      <c r="O152" s="48">
        <f t="shared" si="72"/>
        <v>3.5562586737316257</v>
      </c>
      <c r="R152" s="48">
        <f t="shared" si="73"/>
        <v>0.95291946356449042</v>
      </c>
      <c r="U152" s="48">
        <v>3.5562586737316257</v>
      </c>
      <c r="V152" s="54">
        <v>0.95291946356449042</v>
      </c>
      <c r="W152" s="49">
        <f t="shared" si="71"/>
        <v>1.9024727669598371</v>
      </c>
      <c r="X152" s="49"/>
      <c r="Y152" s="49"/>
      <c r="Z152" s="49"/>
      <c r="AE152" s="68"/>
      <c r="AF152" s="68"/>
      <c r="AG152" s="68"/>
      <c r="AH152" s="68"/>
      <c r="AI152" s="68"/>
      <c r="AM152" s="68"/>
      <c r="AN152" s="68"/>
      <c r="AR152" s="70"/>
      <c r="AU152" s="68"/>
      <c r="CA152" s="73"/>
      <c r="CB152" s="73"/>
      <c r="CC152" s="73"/>
      <c r="CD152" s="73"/>
      <c r="CE152" s="73"/>
      <c r="CF152" s="73"/>
      <c r="CG152" s="73"/>
      <c r="CH152" s="73"/>
      <c r="CI152" s="73"/>
      <c r="CJ152" s="73"/>
    </row>
    <row r="153" spans="1:88" s="28" customFormat="1" ht="12.75" customHeight="1">
      <c r="A153" s="64" t="s">
        <v>182</v>
      </c>
      <c r="B153" s="23" t="s">
        <v>183</v>
      </c>
      <c r="C153" s="52" t="s">
        <v>162</v>
      </c>
      <c r="D153" s="74">
        <v>1995</v>
      </c>
      <c r="E153" s="26">
        <v>8</v>
      </c>
      <c r="F153" s="66">
        <v>15</v>
      </c>
      <c r="G153" s="46">
        <f t="shared" si="70"/>
        <v>228.29</v>
      </c>
      <c r="H153" s="119">
        <v>4017.786561264822</v>
      </c>
      <c r="I153" s="124"/>
      <c r="J153" s="68"/>
      <c r="K153" s="71">
        <v>7.0487483530961788</v>
      </c>
      <c r="O153" s="48">
        <f t="shared" si="72"/>
        <v>3.6039868617982393</v>
      </c>
      <c r="R153" s="48">
        <f t="shared" si="73"/>
        <v>0.84811200612574811</v>
      </c>
      <c r="U153" s="48">
        <v>3.6039868617982393</v>
      </c>
      <c r="V153" s="54">
        <v>0.84811200612574811</v>
      </c>
      <c r="W153" s="49">
        <f t="shared" si="71"/>
        <v>1.9881528341712758</v>
      </c>
      <c r="X153" s="49"/>
      <c r="Y153" s="49"/>
      <c r="Z153" s="49"/>
      <c r="AE153" s="68"/>
      <c r="AF153" s="68"/>
      <c r="AG153" s="68"/>
      <c r="AH153" s="68"/>
      <c r="AI153" s="68"/>
      <c r="AM153" s="68"/>
      <c r="AN153" s="68"/>
      <c r="AR153" s="70"/>
      <c r="AU153" s="68"/>
      <c r="CA153" s="73"/>
      <c r="CB153" s="73"/>
      <c r="CC153" s="73"/>
      <c r="CD153" s="73"/>
      <c r="CE153" s="73"/>
      <c r="CF153" s="73"/>
      <c r="CG153" s="73"/>
      <c r="CH153" s="73"/>
      <c r="CI153" s="73"/>
      <c r="CJ153" s="73"/>
    </row>
    <row r="154" spans="1:88" s="28" customFormat="1" ht="12.75" customHeight="1">
      <c r="A154" s="64" t="s">
        <v>182</v>
      </c>
      <c r="B154" s="23" t="s">
        <v>183</v>
      </c>
      <c r="C154" s="52" t="s">
        <v>162</v>
      </c>
      <c r="D154" s="74">
        <v>1995</v>
      </c>
      <c r="E154" s="26">
        <v>8</v>
      </c>
      <c r="F154" s="66">
        <v>15</v>
      </c>
      <c r="G154" s="46">
        <f t="shared" si="70"/>
        <v>228.29</v>
      </c>
      <c r="H154" s="119">
        <v>2359.6213830308971</v>
      </c>
      <c r="I154" s="124"/>
      <c r="J154" s="68"/>
      <c r="K154" s="71">
        <v>3.9546267778322703</v>
      </c>
      <c r="O154" s="48">
        <f t="shared" si="72"/>
        <v>3.3728423231176592</v>
      </c>
      <c r="R154" s="48">
        <f t="shared" si="73"/>
        <v>0.59710550275749841</v>
      </c>
      <c r="U154" s="48">
        <v>3.3728423231176592</v>
      </c>
      <c r="V154" s="54">
        <v>0.59710550275749841</v>
      </c>
      <c r="W154" s="49">
        <f t="shared" si="71"/>
        <v>2.2968214132247349</v>
      </c>
      <c r="X154" s="49"/>
      <c r="Y154" s="49"/>
      <c r="Z154" s="49"/>
      <c r="AE154" s="68"/>
      <c r="AF154" s="68"/>
      <c r="AG154" s="68"/>
      <c r="AH154" s="68"/>
      <c r="AI154" s="68"/>
      <c r="AM154" s="68"/>
      <c r="AN154" s="68"/>
      <c r="AR154" s="70"/>
      <c r="AU154" s="68"/>
      <c r="CA154" s="73"/>
      <c r="CB154" s="73"/>
      <c r="CC154" s="73"/>
      <c r="CD154" s="73"/>
      <c r="CE154" s="73"/>
      <c r="CF154" s="73"/>
      <c r="CG154" s="73"/>
      <c r="CH154" s="73"/>
      <c r="CI154" s="73"/>
      <c r="CJ154" s="73"/>
    </row>
    <row r="155" spans="1:88" s="28" customFormat="1" ht="12.75" customHeight="1">
      <c r="A155" s="64" t="s">
        <v>182</v>
      </c>
      <c r="B155" s="23" t="s">
        <v>183</v>
      </c>
      <c r="C155" s="52" t="s">
        <v>162</v>
      </c>
      <c r="D155" s="74">
        <v>1995</v>
      </c>
      <c r="E155" s="26">
        <v>8</v>
      </c>
      <c r="F155" s="66">
        <v>15</v>
      </c>
      <c r="G155" s="46">
        <f t="shared" si="70"/>
        <v>228.29</v>
      </c>
      <c r="H155" s="119">
        <v>3970.4976911236531</v>
      </c>
      <c r="I155" s="124"/>
      <c r="J155" s="68"/>
      <c r="K155" s="71">
        <v>8.6715669574140577</v>
      </c>
      <c r="O155" s="48">
        <f t="shared" si="72"/>
        <v>3.5988449478113682</v>
      </c>
      <c r="R155" s="48">
        <f t="shared" si="73"/>
        <v>0.93809758184406766</v>
      </c>
      <c r="U155" s="48">
        <v>3.5988449478113682</v>
      </c>
      <c r="V155" s="54">
        <v>0.93809758184406766</v>
      </c>
      <c r="W155" s="49">
        <f t="shared" si="71"/>
        <v>1.903855723223723</v>
      </c>
      <c r="X155" s="49"/>
      <c r="Y155" s="49"/>
      <c r="Z155" s="49"/>
      <c r="AE155" s="68"/>
      <c r="AF155" s="68"/>
      <c r="AG155" s="68"/>
      <c r="AH155" s="68"/>
      <c r="AI155" s="68"/>
      <c r="AM155" s="68"/>
      <c r="AN155" s="68"/>
      <c r="AR155" s="70"/>
      <c r="AU155" s="68"/>
      <c r="CA155" s="73"/>
      <c r="CB155" s="73"/>
      <c r="CC155" s="73"/>
      <c r="CD155" s="73"/>
      <c r="CE155" s="73"/>
      <c r="CF155" s="73"/>
      <c r="CG155" s="73"/>
      <c r="CH155" s="73"/>
      <c r="CI155" s="73"/>
      <c r="CJ155" s="73"/>
    </row>
    <row r="156" spans="1:88" s="28" customFormat="1" ht="12.75" customHeight="1">
      <c r="A156" s="64" t="s">
        <v>182</v>
      </c>
      <c r="B156" s="23" t="s">
        <v>183</v>
      </c>
      <c r="C156" s="52" t="s">
        <v>162</v>
      </c>
      <c r="D156" s="74">
        <v>1995</v>
      </c>
      <c r="E156" s="26">
        <v>8</v>
      </c>
      <c r="F156" s="66">
        <v>15</v>
      </c>
      <c r="G156" s="46">
        <f t="shared" si="70"/>
        <v>228.29</v>
      </c>
      <c r="H156" s="119">
        <v>2011.8228595529313</v>
      </c>
      <c r="I156" s="124"/>
      <c r="J156" s="68"/>
      <c r="K156" s="71">
        <v>5.6262842682412479</v>
      </c>
      <c r="O156" s="48">
        <f t="shared" si="72"/>
        <v>3.3035897385581112</v>
      </c>
      <c r="R156" s="48">
        <f t="shared" si="73"/>
        <v>0.75022167112987337</v>
      </c>
      <c r="U156" s="48">
        <v>3.3035897385581112</v>
      </c>
      <c r="V156" s="54">
        <v>0.75022167112987337</v>
      </c>
      <c r="W156" s="49">
        <f t="shared" si="71"/>
        <v>2.1715067529034915</v>
      </c>
      <c r="X156" s="49"/>
      <c r="Y156" s="49"/>
      <c r="Z156" s="49"/>
      <c r="AE156" s="68"/>
      <c r="AF156" s="68"/>
      <c r="AG156" s="68"/>
      <c r="AH156" s="68"/>
      <c r="AI156" s="68"/>
      <c r="AM156" s="68"/>
      <c r="AN156" s="68"/>
      <c r="AR156" s="70"/>
      <c r="AU156" s="68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</row>
    <row r="157" spans="1:88" s="28" customFormat="1" ht="12.75" customHeight="1">
      <c r="A157" s="64" t="s">
        <v>182</v>
      </c>
      <c r="B157" s="23" t="s">
        <v>183</v>
      </c>
      <c r="C157" s="52" t="s">
        <v>162</v>
      </c>
      <c r="D157" s="74">
        <v>1995</v>
      </c>
      <c r="E157" s="26">
        <v>8</v>
      </c>
      <c r="F157" s="66">
        <v>15</v>
      </c>
      <c r="G157" s="46">
        <f t="shared" si="70"/>
        <v>228.29</v>
      </c>
      <c r="H157" s="119">
        <v>5866.863328822732</v>
      </c>
      <c r="I157" s="124"/>
      <c r="J157" s="68"/>
      <c r="K157" s="71">
        <v>13.449507442489852</v>
      </c>
      <c r="O157" s="48">
        <f t="shared" si="72"/>
        <v>3.7684059712520441</v>
      </c>
      <c r="R157" s="48">
        <f t="shared" si="73"/>
        <v>1.1287063795855863</v>
      </c>
      <c r="U157" s="48">
        <v>3.7684059712520441</v>
      </c>
      <c r="V157" s="54">
        <v>1.1287063795855863</v>
      </c>
      <c r="W157" s="49">
        <f t="shared" si="71"/>
        <v>1.6712462933364292</v>
      </c>
      <c r="X157" s="49"/>
      <c r="Y157" s="49"/>
      <c r="Z157" s="49"/>
      <c r="AE157" s="68"/>
      <c r="AF157" s="68"/>
      <c r="AG157" s="68"/>
      <c r="AH157" s="68"/>
      <c r="AI157" s="68"/>
      <c r="AM157" s="68"/>
      <c r="AN157" s="68"/>
      <c r="AR157" s="70"/>
      <c r="AU157" s="68"/>
      <c r="CA157" s="73"/>
      <c r="CB157" s="73"/>
      <c r="CC157" s="73"/>
      <c r="CD157" s="73"/>
      <c r="CE157" s="73"/>
      <c r="CF157" s="73"/>
      <c r="CG157" s="73"/>
      <c r="CH157" s="73"/>
      <c r="CI157" s="73"/>
      <c r="CJ157" s="73"/>
    </row>
    <row r="158" spans="1:88" s="28" customFormat="1" ht="12.75" customHeight="1">
      <c r="A158" s="64" t="s">
        <v>182</v>
      </c>
      <c r="B158" s="23" t="s">
        <v>183</v>
      </c>
      <c r="C158" s="52" t="s">
        <v>162</v>
      </c>
      <c r="D158" s="74">
        <v>1995</v>
      </c>
      <c r="E158" s="26">
        <v>8</v>
      </c>
      <c r="F158" s="66">
        <v>15</v>
      </c>
      <c r="G158" s="46">
        <f t="shared" si="70"/>
        <v>228.29</v>
      </c>
      <c r="H158" s="119">
        <v>3326.2723609991936</v>
      </c>
      <c r="I158" s="124"/>
      <c r="J158" s="68"/>
      <c r="K158" s="71">
        <v>7.8788976631748575</v>
      </c>
      <c r="O158" s="48">
        <f t="shared" si="72"/>
        <v>3.5219578071313107</v>
      </c>
      <c r="R158" s="48">
        <f t="shared" si="73"/>
        <v>0.89646545958486279</v>
      </c>
      <c r="U158" s="48">
        <v>3.5219578071313107</v>
      </c>
      <c r="V158" s="54">
        <v>0.89646545958486279</v>
      </c>
      <c r="W158" s="49">
        <f t="shared" si="71"/>
        <v>1.9665981947041162</v>
      </c>
      <c r="X158" s="49"/>
      <c r="Y158" s="49"/>
      <c r="Z158" s="49"/>
      <c r="AE158" s="68"/>
      <c r="AF158" s="68"/>
      <c r="AG158" s="68"/>
      <c r="AH158" s="68"/>
      <c r="AI158" s="68"/>
      <c r="AM158" s="68"/>
      <c r="AN158" s="68"/>
      <c r="AR158" s="70"/>
      <c r="AU158" s="68"/>
      <c r="CA158" s="73"/>
      <c r="CB158" s="73"/>
      <c r="CC158" s="73"/>
      <c r="CD158" s="73"/>
      <c r="CE158" s="73"/>
      <c r="CF158" s="73"/>
      <c r="CG158" s="73"/>
      <c r="CH158" s="73"/>
      <c r="CI158" s="73"/>
      <c r="CJ158" s="73"/>
    </row>
    <row r="159" spans="1:88" s="28" customFormat="1" ht="12.75" customHeight="1">
      <c r="A159" s="64" t="s">
        <v>182</v>
      </c>
      <c r="B159" s="23" t="s">
        <v>183</v>
      </c>
      <c r="C159" s="52" t="s">
        <v>162</v>
      </c>
      <c r="D159" s="74">
        <v>1995</v>
      </c>
      <c r="E159" s="26">
        <v>12</v>
      </c>
      <c r="F159" s="66">
        <v>15</v>
      </c>
      <c r="G159" s="46">
        <f t="shared" si="70"/>
        <v>350.16999999999996</v>
      </c>
      <c r="H159" s="119">
        <v>6099.647422680413</v>
      </c>
      <c r="I159" s="124"/>
      <c r="J159" s="68"/>
      <c r="K159" s="71">
        <v>12.955449484536084</v>
      </c>
      <c r="O159" s="48">
        <f t="shared" si="72"/>
        <v>3.7853047322550761</v>
      </c>
      <c r="R159" s="48">
        <f t="shared" si="73"/>
        <v>1.1124524852699205</v>
      </c>
      <c r="U159" s="48">
        <v>3.7853047322550761</v>
      </c>
      <c r="V159" s="54">
        <v>1.1124524852699205</v>
      </c>
      <c r="W159" s="49">
        <f t="shared" si="71"/>
        <v>1.6816892884942143</v>
      </c>
      <c r="X159" s="49"/>
      <c r="Y159" s="49"/>
      <c r="Z159" s="49"/>
      <c r="AE159" s="68"/>
      <c r="AF159" s="68"/>
      <c r="AG159" s="68"/>
      <c r="AH159" s="68"/>
      <c r="AI159" s="68"/>
      <c r="AM159" s="68"/>
      <c r="AN159" s="68"/>
      <c r="AR159" s="70"/>
      <c r="AU159" s="68"/>
      <c r="CA159" s="73"/>
      <c r="CB159" s="73"/>
      <c r="CC159" s="73"/>
      <c r="CD159" s="73"/>
      <c r="CE159" s="73"/>
      <c r="CF159" s="73"/>
      <c r="CG159" s="73"/>
      <c r="CH159" s="73"/>
      <c r="CI159" s="73"/>
      <c r="CJ159" s="73"/>
    </row>
    <row r="160" spans="1:88" s="28" customFormat="1" ht="12.75" customHeight="1">
      <c r="A160" s="64" t="s">
        <v>182</v>
      </c>
      <c r="B160" s="23" t="s">
        <v>183</v>
      </c>
      <c r="C160" s="52" t="s">
        <v>162</v>
      </c>
      <c r="D160" s="74">
        <v>1995</v>
      </c>
      <c r="E160" s="26">
        <v>12</v>
      </c>
      <c r="F160" s="66">
        <v>15</v>
      </c>
      <c r="G160" s="46">
        <f t="shared" si="70"/>
        <v>350.16999999999996</v>
      </c>
      <c r="H160" s="119">
        <v>2418.7199999999998</v>
      </c>
      <c r="I160" s="124"/>
      <c r="J160" s="68"/>
      <c r="K160" s="71">
        <v>5.130618181818182</v>
      </c>
      <c r="O160" s="48">
        <f t="shared" si="72"/>
        <v>3.3835855957313559</v>
      </c>
      <c r="R160" s="48">
        <f t="shared" si="73"/>
        <v>0.71016969586772527</v>
      </c>
      <c r="U160" s="48">
        <v>3.3835855957313559</v>
      </c>
      <c r="V160" s="54">
        <v>0.71016969586772527</v>
      </c>
      <c r="W160" s="49">
        <f t="shared" si="71"/>
        <v>2.1857516049845809</v>
      </c>
      <c r="X160" s="49"/>
      <c r="Y160" s="49"/>
      <c r="Z160" s="49"/>
      <c r="AE160" s="68"/>
      <c r="AF160" s="68"/>
      <c r="AG160" s="68"/>
      <c r="AH160" s="68"/>
      <c r="AI160" s="68"/>
      <c r="AM160" s="68"/>
      <c r="AN160" s="68"/>
      <c r="AR160" s="70"/>
      <c r="AU160" s="68"/>
      <c r="CA160" s="73"/>
      <c r="CB160" s="73"/>
      <c r="CC160" s="73"/>
      <c r="CD160" s="73"/>
      <c r="CE160" s="73"/>
      <c r="CF160" s="73"/>
      <c r="CG160" s="73"/>
      <c r="CH160" s="73"/>
      <c r="CI160" s="73"/>
      <c r="CJ160" s="73"/>
    </row>
    <row r="161" spans="1:88" s="28" customFormat="1" ht="12.75" customHeight="1">
      <c r="A161" s="64" t="s">
        <v>182</v>
      </c>
      <c r="B161" s="23" t="s">
        <v>183</v>
      </c>
      <c r="C161" s="52" t="s">
        <v>162</v>
      </c>
      <c r="D161" s="74">
        <v>1995</v>
      </c>
      <c r="E161" s="26">
        <v>12</v>
      </c>
      <c r="F161" s="66">
        <v>15</v>
      </c>
      <c r="G161" s="46">
        <f t="shared" si="70"/>
        <v>350.16999999999996</v>
      </c>
      <c r="H161" s="119">
        <v>3384.4416331224838</v>
      </c>
      <c r="I161" s="124"/>
      <c r="J161" s="68"/>
      <c r="K161" s="71">
        <v>9.0996779758481861</v>
      </c>
      <c r="O161" s="48">
        <f t="shared" si="72"/>
        <v>3.5294870288095797</v>
      </c>
      <c r="R161" s="48">
        <f t="shared" si="73"/>
        <v>0.95902602355331956</v>
      </c>
      <c r="U161" s="48">
        <v>3.5294870288095797</v>
      </c>
      <c r="V161" s="54">
        <v>0.95902602355331956</v>
      </c>
      <c r="W161" s="49">
        <f t="shared" si="71"/>
        <v>1.9046664856231108</v>
      </c>
      <c r="X161" s="49"/>
      <c r="Y161" s="49"/>
      <c r="Z161" s="49"/>
      <c r="AE161" s="68"/>
      <c r="AF161" s="68"/>
      <c r="AG161" s="68"/>
      <c r="AH161" s="68"/>
      <c r="AI161" s="68"/>
      <c r="AM161" s="68"/>
      <c r="AN161" s="68"/>
      <c r="AR161" s="70"/>
      <c r="AU161" s="68"/>
      <c r="CA161" s="73"/>
      <c r="CB161" s="73"/>
      <c r="CC161" s="73"/>
      <c r="CD161" s="73"/>
      <c r="CE161" s="73"/>
      <c r="CF161" s="73"/>
      <c r="CG161" s="73"/>
      <c r="CH161" s="73"/>
      <c r="CI161" s="73"/>
      <c r="CJ161" s="73"/>
    </row>
    <row r="162" spans="1:88" s="28" customFormat="1" ht="12.75" customHeight="1">
      <c r="A162" s="64" t="s">
        <v>182</v>
      </c>
      <c r="B162" s="23" t="s">
        <v>183</v>
      </c>
      <c r="C162" s="52" t="s">
        <v>162</v>
      </c>
      <c r="D162" s="74">
        <v>1995</v>
      </c>
      <c r="E162" s="26">
        <v>12</v>
      </c>
      <c r="F162" s="66">
        <v>15</v>
      </c>
      <c r="G162" s="46">
        <f t="shared" si="70"/>
        <v>350.16999999999996</v>
      </c>
      <c r="H162" s="119">
        <v>4053.8809946714023</v>
      </c>
      <c r="I162" s="124"/>
      <c r="J162" s="68"/>
      <c r="K162" s="71">
        <v>8.1294404973357004</v>
      </c>
      <c r="O162" s="48">
        <f t="shared" si="72"/>
        <v>3.6078709954383599</v>
      </c>
      <c r="R162" s="48">
        <f t="shared" si="73"/>
        <v>0.91006065662958002</v>
      </c>
      <c r="U162" s="48">
        <v>3.6078709954383599</v>
      </c>
      <c r="V162" s="54">
        <v>0.91006065662958002</v>
      </c>
      <c r="W162" s="49">
        <f t="shared" si="71"/>
        <v>1.9278966228807668</v>
      </c>
      <c r="X162" s="49"/>
      <c r="Y162" s="49"/>
      <c r="Z162" s="49"/>
      <c r="AE162" s="68"/>
      <c r="AF162" s="68"/>
      <c r="AG162" s="68"/>
      <c r="AH162" s="68"/>
      <c r="AI162" s="68"/>
      <c r="AM162" s="68"/>
      <c r="AN162" s="68"/>
      <c r="AR162" s="70"/>
      <c r="AU162" s="68"/>
      <c r="CA162" s="73"/>
      <c r="CB162" s="73"/>
      <c r="CC162" s="73"/>
      <c r="CD162" s="73"/>
      <c r="CE162" s="73"/>
      <c r="CF162" s="73"/>
      <c r="CG162" s="73"/>
      <c r="CH162" s="73"/>
      <c r="CI162" s="73"/>
      <c r="CJ162" s="73"/>
    </row>
    <row r="163" spans="1:88" s="28" customFormat="1" ht="12.75" customHeight="1">
      <c r="A163" s="64" t="s">
        <v>182</v>
      </c>
      <c r="B163" s="23" t="s">
        <v>183</v>
      </c>
      <c r="C163" s="52" t="s">
        <v>162</v>
      </c>
      <c r="D163" s="74">
        <v>1995</v>
      </c>
      <c r="E163" s="26">
        <v>12</v>
      </c>
      <c r="F163" s="66">
        <v>15</v>
      </c>
      <c r="G163" s="46">
        <f t="shared" si="70"/>
        <v>350.16999999999996</v>
      </c>
      <c r="H163" s="119">
        <v>648</v>
      </c>
      <c r="I163" s="124"/>
      <c r="J163" s="68"/>
      <c r="K163" s="71">
        <v>1.524</v>
      </c>
      <c r="O163" s="48">
        <f t="shared" si="72"/>
        <v>2.8115750058705933</v>
      </c>
      <c r="R163" s="48">
        <f t="shared" si="73"/>
        <v>0.18298496700358169</v>
      </c>
      <c r="U163" s="48">
        <v>2.8115750058705933</v>
      </c>
      <c r="V163" s="54">
        <v>0.18298496700358169</v>
      </c>
      <c r="W163" s="49">
        <f t="shared" si="71"/>
        <v>2.8599643609718965</v>
      </c>
      <c r="X163" s="49"/>
      <c r="Y163" s="49"/>
      <c r="Z163" s="49"/>
      <c r="AE163" s="68"/>
      <c r="AF163" s="68"/>
      <c r="AG163" s="68"/>
      <c r="AH163" s="68"/>
      <c r="AI163" s="68"/>
      <c r="AM163" s="68"/>
      <c r="AN163" s="68"/>
      <c r="AR163" s="70"/>
      <c r="AU163" s="68"/>
      <c r="CA163" s="73"/>
      <c r="CB163" s="73"/>
      <c r="CC163" s="73"/>
      <c r="CD163" s="73"/>
      <c r="CE163" s="73"/>
      <c r="CF163" s="73"/>
      <c r="CG163" s="73"/>
      <c r="CH163" s="73"/>
      <c r="CI163" s="73"/>
      <c r="CJ163" s="73"/>
    </row>
    <row r="164" spans="1:88" s="28" customFormat="1" ht="12.75" customHeight="1">
      <c r="A164" s="64" t="s">
        <v>182</v>
      </c>
      <c r="B164" s="23" t="s">
        <v>183</v>
      </c>
      <c r="C164" s="52" t="s">
        <v>162</v>
      </c>
      <c r="D164" s="74">
        <v>1995</v>
      </c>
      <c r="E164" s="26">
        <v>12</v>
      </c>
      <c r="F164" s="66">
        <v>15</v>
      </c>
      <c r="G164" s="46">
        <f t="shared" si="70"/>
        <v>350.16999999999996</v>
      </c>
      <c r="H164" s="119">
        <v>830.7</v>
      </c>
      <c r="I164" s="124"/>
      <c r="J164" s="68"/>
      <c r="K164" s="71">
        <v>3.0480299999999994</v>
      </c>
      <c r="O164" s="48">
        <f t="shared" si="72"/>
        <v>2.9194442104652372</v>
      </c>
      <c r="R164" s="48">
        <f t="shared" si="73"/>
        <v>0.48401923719851397</v>
      </c>
      <c r="U164" s="48">
        <v>2.9194442104652372</v>
      </c>
      <c r="V164" s="54">
        <v>0.48401923719851397</v>
      </c>
      <c r="W164" s="49">
        <f t="shared" si="71"/>
        <v>2.5404982902744218</v>
      </c>
      <c r="X164" s="49"/>
      <c r="Y164" s="49"/>
      <c r="Z164" s="49"/>
      <c r="AE164" s="68"/>
      <c r="AF164" s="68"/>
      <c r="AG164" s="68"/>
      <c r="AH164" s="68"/>
      <c r="AI164" s="68"/>
      <c r="AR164" s="70"/>
      <c r="AU164" s="68"/>
      <c r="CA164" s="73"/>
      <c r="CB164" s="73"/>
      <c r="CC164" s="73"/>
      <c r="CD164" s="73"/>
      <c r="CE164" s="73"/>
      <c r="CF164" s="73"/>
      <c r="CG164" s="73"/>
      <c r="CH164" s="73"/>
      <c r="CI164" s="73"/>
      <c r="CJ164" s="73"/>
    </row>
    <row r="165" spans="1:88" s="28" customFormat="1" ht="12.75" customHeight="1">
      <c r="A165" s="64" t="s">
        <v>182</v>
      </c>
      <c r="B165" s="23" t="s">
        <v>183</v>
      </c>
      <c r="C165" s="52" t="s">
        <v>162</v>
      </c>
      <c r="D165" s="74">
        <v>1995</v>
      </c>
      <c r="E165" s="26">
        <v>12</v>
      </c>
      <c r="F165" s="66">
        <v>15</v>
      </c>
      <c r="G165" s="46">
        <f t="shared" si="70"/>
        <v>350.16999999999996</v>
      </c>
      <c r="H165" s="119">
        <v>4468.1989486453704</v>
      </c>
      <c r="I165" s="124"/>
      <c r="J165" s="68"/>
      <c r="K165" s="71">
        <v>11.080100283057014</v>
      </c>
      <c r="O165" s="48">
        <f t="shared" si="72"/>
        <v>3.6501325020387565</v>
      </c>
      <c r="R165" s="48">
        <f t="shared" si="73"/>
        <v>1.0445436910946853</v>
      </c>
      <c r="U165" s="48">
        <v>3.6501325020387565</v>
      </c>
      <c r="V165" s="54">
        <v>1.0445436910946853</v>
      </c>
      <c r="W165" s="49">
        <f t="shared" si="71"/>
        <v>1.7869548954446219</v>
      </c>
      <c r="X165" s="49"/>
      <c r="Y165" s="49"/>
      <c r="Z165" s="49"/>
      <c r="AE165" s="68"/>
      <c r="AF165" s="68"/>
      <c r="AG165" s="68"/>
      <c r="AH165" s="68"/>
      <c r="AI165" s="68"/>
      <c r="AR165" s="70"/>
      <c r="AU165" s="68"/>
      <c r="CA165" s="73"/>
      <c r="CB165" s="73"/>
      <c r="CC165" s="73"/>
      <c r="CD165" s="73"/>
      <c r="CE165" s="73"/>
      <c r="CF165" s="73"/>
      <c r="CG165" s="73"/>
      <c r="CH165" s="73"/>
      <c r="CI165" s="73"/>
      <c r="CJ165" s="73"/>
    </row>
    <row r="166" spans="1:88" s="28" customFormat="1" ht="12.75" customHeight="1">
      <c r="A166" s="64" t="s">
        <v>182</v>
      </c>
      <c r="B166" s="23" t="s">
        <v>183</v>
      </c>
      <c r="C166" s="52" t="s">
        <v>162</v>
      </c>
      <c r="D166" s="74">
        <v>1995</v>
      </c>
      <c r="E166" s="26">
        <v>12</v>
      </c>
      <c r="F166" s="66">
        <v>15</v>
      </c>
      <c r="G166" s="46">
        <f t="shared" si="70"/>
        <v>350.16999999999996</v>
      </c>
      <c r="H166" s="119">
        <v>3788.6700507614223</v>
      </c>
      <c r="I166" s="124"/>
      <c r="J166" s="68"/>
      <c r="K166" s="71">
        <v>10.30955408043733</v>
      </c>
      <c r="O166" s="48">
        <f t="shared" si="72"/>
        <v>3.5784867849073199</v>
      </c>
      <c r="R166" s="48">
        <f t="shared" si="73"/>
        <v>1.0132398811328298</v>
      </c>
      <c r="U166" s="48">
        <v>3.5784867849073199</v>
      </c>
      <c r="V166" s="54">
        <v>1.0132398811328298</v>
      </c>
      <c r="W166" s="49">
        <f t="shared" si="71"/>
        <v>1.8382752545327423</v>
      </c>
      <c r="X166" s="49"/>
      <c r="Y166" s="49"/>
      <c r="Z166" s="49"/>
      <c r="AE166" s="68"/>
      <c r="AF166" s="68"/>
      <c r="AG166" s="68"/>
      <c r="AH166" s="68"/>
      <c r="AI166" s="68"/>
      <c r="AR166" s="70"/>
      <c r="AU166" s="68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</row>
    <row r="167" spans="1:88" s="28" customFormat="1" ht="12.75" customHeight="1">
      <c r="A167" s="64" t="s">
        <v>182</v>
      </c>
      <c r="B167" s="23" t="s">
        <v>183</v>
      </c>
      <c r="C167" s="52" t="s">
        <v>162</v>
      </c>
      <c r="D167" s="74">
        <v>1995</v>
      </c>
      <c r="E167" s="26">
        <v>12</v>
      </c>
      <c r="F167" s="66">
        <v>15</v>
      </c>
      <c r="G167" s="46">
        <f t="shared" si="70"/>
        <v>350.16999999999996</v>
      </c>
      <c r="H167" s="119">
        <v>4170.0795425006499</v>
      </c>
      <c r="I167" s="124"/>
      <c r="J167" s="68"/>
      <c r="K167" s="71">
        <v>10.074444502209513</v>
      </c>
      <c r="O167" s="48">
        <f t="shared" si="72"/>
        <v>3.6201443390360217</v>
      </c>
      <c r="R167" s="48">
        <f t="shared" si="73"/>
        <v>1.0032211087807736</v>
      </c>
      <c r="U167" s="48">
        <v>3.6201443390360217</v>
      </c>
      <c r="V167" s="54">
        <v>1.0032211087807736</v>
      </c>
      <c r="W167" s="49">
        <f t="shared" si="71"/>
        <v>1.8353546992419911</v>
      </c>
      <c r="X167" s="49"/>
      <c r="Y167" s="49"/>
      <c r="Z167" s="49"/>
      <c r="AE167" s="68"/>
      <c r="AF167" s="68"/>
      <c r="AG167" s="68"/>
      <c r="AH167" s="68"/>
      <c r="AI167" s="68"/>
      <c r="AR167" s="70"/>
      <c r="AU167" s="68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</row>
    <row r="168" spans="1:88" s="28" customFormat="1" ht="12.75" customHeight="1">
      <c r="A168" s="64" t="s">
        <v>182</v>
      </c>
      <c r="B168" s="23" t="s">
        <v>183</v>
      </c>
      <c r="C168" s="52" t="s">
        <v>162</v>
      </c>
      <c r="D168" s="74">
        <v>1995</v>
      </c>
      <c r="E168" s="26">
        <v>12</v>
      </c>
      <c r="F168" s="66">
        <v>15</v>
      </c>
      <c r="G168" s="46">
        <f t="shared" si="70"/>
        <v>350.16999999999996</v>
      </c>
      <c r="H168" s="119">
        <v>4614.1122807017546</v>
      </c>
      <c r="I168" s="124"/>
      <c r="J168" s="68"/>
      <c r="K168" s="71">
        <v>11.819712280701754</v>
      </c>
      <c r="O168" s="48">
        <f t="shared" si="72"/>
        <v>3.6640881585196841</v>
      </c>
      <c r="R168" s="48">
        <f t="shared" si="73"/>
        <v>1.0726069049357274</v>
      </c>
      <c r="U168" s="48">
        <v>3.6640881585196841</v>
      </c>
      <c r="V168" s="54">
        <v>1.0726069049357274</v>
      </c>
      <c r="W168" s="49">
        <f t="shared" si="71"/>
        <v>1.7560053333364645</v>
      </c>
      <c r="X168" s="49"/>
      <c r="Y168" s="49"/>
      <c r="Z168" s="49"/>
      <c r="AE168" s="68"/>
      <c r="AF168" s="68"/>
      <c r="AG168" s="68"/>
      <c r="AH168" s="68"/>
      <c r="AI168" s="68"/>
      <c r="AR168" s="70"/>
      <c r="AU168" s="68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</row>
    <row r="169" spans="1:88" s="28" customFormat="1" ht="12.75" customHeight="1">
      <c r="A169" s="64" t="s">
        <v>182</v>
      </c>
      <c r="B169" s="23" t="s">
        <v>183</v>
      </c>
      <c r="C169" s="52" t="s">
        <v>162</v>
      </c>
      <c r="D169" s="74">
        <v>1995</v>
      </c>
      <c r="E169" s="26">
        <v>12</v>
      </c>
      <c r="F169" s="66">
        <v>15</v>
      </c>
      <c r="G169" s="46">
        <f t="shared" si="70"/>
        <v>350.16999999999996</v>
      </c>
      <c r="H169" s="119">
        <v>3221.8827258320125</v>
      </c>
      <c r="I169" s="124"/>
      <c r="J169" s="68"/>
      <c r="K169" s="71">
        <v>10.176219756999471</v>
      </c>
      <c r="O169" s="48">
        <f t="shared" si="72"/>
        <v>3.5081097283703033</v>
      </c>
      <c r="R169" s="48">
        <f t="shared" si="73"/>
        <v>1.0075864770604028</v>
      </c>
      <c r="U169" s="48">
        <v>3.5081097283703033</v>
      </c>
      <c r="V169" s="54">
        <v>1.0075864770604028</v>
      </c>
      <c r="W169" s="49">
        <f t="shared" si="71"/>
        <v>1.8647476963858578</v>
      </c>
      <c r="X169" s="49"/>
      <c r="Y169" s="49"/>
      <c r="Z169" s="49"/>
      <c r="AE169" s="68"/>
      <c r="AF169" s="68"/>
      <c r="AG169" s="68"/>
      <c r="AH169" s="68"/>
      <c r="AI169" s="68"/>
      <c r="AR169" s="70"/>
      <c r="AU169" s="68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</row>
    <row r="170" spans="1:88" s="28" customFormat="1" ht="12.75" customHeight="1">
      <c r="A170" s="64" t="s">
        <v>182</v>
      </c>
      <c r="B170" s="23" t="s">
        <v>183</v>
      </c>
      <c r="C170" s="52" t="s">
        <v>162</v>
      </c>
      <c r="D170" s="74">
        <v>1995</v>
      </c>
      <c r="E170" s="26">
        <v>12</v>
      </c>
      <c r="F170" s="66">
        <v>15</v>
      </c>
      <c r="G170" s="46">
        <f t="shared" si="70"/>
        <v>350.16999999999996</v>
      </c>
      <c r="H170" s="119">
        <v>7682.6023275617363</v>
      </c>
      <c r="I170" s="124"/>
      <c r="J170" s="68"/>
      <c r="K170" s="71">
        <v>20.886035764973027</v>
      </c>
      <c r="O170" s="48">
        <f t="shared" si="72"/>
        <v>3.8855083535036776</v>
      </c>
      <c r="R170" s="48">
        <f t="shared" si="73"/>
        <v>1.3198560173487293</v>
      </c>
      <c r="U170" s="48">
        <v>3.8855083535036776</v>
      </c>
      <c r="V170" s="54">
        <v>1.3198560173487293</v>
      </c>
      <c r="W170" s="49">
        <f t="shared" si="71"/>
        <v>1.4538336096711995</v>
      </c>
      <c r="X170" s="49"/>
      <c r="Y170" s="49"/>
      <c r="Z170" s="49"/>
      <c r="AE170" s="68"/>
      <c r="AF170" s="68"/>
      <c r="AG170" s="68"/>
      <c r="AH170" s="68"/>
      <c r="AI170" s="68"/>
      <c r="AR170" s="70"/>
      <c r="AU170" s="68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</row>
    <row r="171" spans="1:88" s="28" customFormat="1" ht="12.75" customHeight="1">
      <c r="A171" s="64" t="s">
        <v>182</v>
      </c>
      <c r="B171" s="23" t="s">
        <v>183</v>
      </c>
      <c r="C171" s="52" t="s">
        <v>162</v>
      </c>
      <c r="D171" s="74">
        <v>1996</v>
      </c>
      <c r="E171" s="26">
        <v>4</v>
      </c>
      <c r="F171" s="66">
        <v>15</v>
      </c>
      <c r="G171" s="46">
        <f t="shared" si="70"/>
        <v>106.41</v>
      </c>
      <c r="H171" s="119">
        <v>6247.8187919463089</v>
      </c>
      <c r="I171" s="124"/>
      <c r="J171" s="68"/>
      <c r="K171" s="71">
        <v>10.539798657718121</v>
      </c>
      <c r="O171" s="48">
        <f t="shared" si="72"/>
        <v>3.7957284250307302</v>
      </c>
      <c r="R171" s="48">
        <f t="shared" si="73"/>
        <v>1.0228323146073446</v>
      </c>
      <c r="U171" s="48">
        <v>3.7957284250307302</v>
      </c>
      <c r="V171" s="54">
        <v>1.0228323146073446</v>
      </c>
      <c r="W171" s="49">
        <f t="shared" si="71"/>
        <v>1.7640558168800944</v>
      </c>
      <c r="X171" s="49"/>
      <c r="Y171" s="49"/>
      <c r="Z171" s="49"/>
      <c r="AE171" s="68"/>
      <c r="AF171" s="68"/>
      <c r="AG171" s="68"/>
      <c r="AH171" s="68"/>
      <c r="AI171" s="68"/>
      <c r="AR171" s="70"/>
      <c r="AU171" s="68"/>
      <c r="CA171" s="73"/>
      <c r="CB171" s="73"/>
      <c r="CC171" s="73"/>
      <c r="CD171" s="73"/>
      <c r="CE171" s="73"/>
      <c r="CF171" s="73"/>
      <c r="CG171" s="73"/>
      <c r="CH171" s="73"/>
      <c r="CI171" s="73"/>
      <c r="CJ171" s="73"/>
    </row>
    <row r="172" spans="1:88" s="28" customFormat="1" ht="12.75" customHeight="1">
      <c r="A172" s="64" t="s">
        <v>182</v>
      </c>
      <c r="B172" s="23" t="s">
        <v>183</v>
      </c>
      <c r="C172" s="52" t="s">
        <v>162</v>
      </c>
      <c r="D172" s="74">
        <v>1996</v>
      </c>
      <c r="E172" s="26">
        <v>4</v>
      </c>
      <c r="F172" s="66">
        <v>15</v>
      </c>
      <c r="G172" s="46">
        <f t="shared" si="70"/>
        <v>106.41</v>
      </c>
      <c r="H172" s="119">
        <v>4010.0267201068809</v>
      </c>
      <c r="I172" s="124"/>
      <c r="J172" s="68"/>
      <c r="K172" s="71">
        <v>9.0850113560454258</v>
      </c>
      <c r="O172" s="48">
        <f t="shared" si="72"/>
        <v>3.6031472664746245</v>
      </c>
      <c r="R172" s="48">
        <f t="shared" si="73"/>
        <v>0.95832547450203687</v>
      </c>
      <c r="U172" s="48">
        <v>3.6031472664746245</v>
      </c>
      <c r="V172" s="54">
        <v>0.95832547450203687</v>
      </c>
      <c r="W172" s="49">
        <f t="shared" si="71"/>
        <v>1.8832716861406018</v>
      </c>
      <c r="X172" s="49"/>
      <c r="Y172" s="49"/>
      <c r="Z172" s="49"/>
      <c r="AE172" s="68"/>
      <c r="AF172" s="68"/>
      <c r="AG172" s="68"/>
      <c r="AH172" s="68"/>
      <c r="AI172" s="68"/>
      <c r="AR172" s="70"/>
      <c r="AU172" s="68"/>
      <c r="CA172" s="73"/>
      <c r="CB172" s="73"/>
      <c r="CC172" s="73"/>
      <c r="CD172" s="73"/>
      <c r="CE172" s="73"/>
      <c r="CF172" s="73"/>
      <c r="CG172" s="73"/>
      <c r="CH172" s="73"/>
      <c r="CI172" s="73"/>
      <c r="CJ172" s="73"/>
    </row>
    <row r="173" spans="1:88" s="28" customFormat="1" ht="12.75" customHeight="1">
      <c r="A173" s="64" t="s">
        <v>182</v>
      </c>
      <c r="B173" s="23" t="s">
        <v>183</v>
      </c>
      <c r="C173" s="52" t="s">
        <v>162</v>
      </c>
      <c r="D173" s="74">
        <v>1996</v>
      </c>
      <c r="E173" s="26">
        <v>4</v>
      </c>
      <c r="F173" s="66">
        <v>15</v>
      </c>
      <c r="G173" s="46">
        <f t="shared" si="70"/>
        <v>106.41</v>
      </c>
      <c r="H173" s="119">
        <v>7296.1114808652264</v>
      </c>
      <c r="I173" s="124"/>
      <c r="J173" s="68"/>
      <c r="K173" s="71">
        <v>13.304673876871885</v>
      </c>
      <c r="O173" s="48">
        <f t="shared" si="72"/>
        <v>3.8630914611694172</v>
      </c>
      <c r="R173" s="48">
        <f t="shared" si="73"/>
        <v>1.1240042336254157</v>
      </c>
      <c r="U173" s="48">
        <v>3.8630914611694172</v>
      </c>
      <c r="V173" s="54">
        <v>1.1240042336254157</v>
      </c>
      <c r="W173" s="49">
        <f t="shared" si="71"/>
        <v>1.6473710368745307</v>
      </c>
      <c r="X173" s="49"/>
      <c r="Y173" s="49"/>
      <c r="Z173" s="49"/>
      <c r="AE173" s="68"/>
      <c r="AF173" s="68"/>
      <c r="AG173" s="68"/>
      <c r="AH173" s="68"/>
      <c r="AI173" s="68"/>
      <c r="AR173" s="70"/>
      <c r="AU173" s="68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</row>
    <row r="174" spans="1:88" s="28" customFormat="1" ht="12.75" customHeight="1">
      <c r="A174" s="64" t="s">
        <v>182</v>
      </c>
      <c r="B174" s="23" t="s">
        <v>183</v>
      </c>
      <c r="C174" s="52" t="s">
        <v>162</v>
      </c>
      <c r="D174" s="74">
        <v>1996</v>
      </c>
      <c r="E174" s="26">
        <v>4</v>
      </c>
      <c r="F174" s="66">
        <v>15</v>
      </c>
      <c r="G174" s="46">
        <f t="shared" si="70"/>
        <v>106.41</v>
      </c>
      <c r="H174" s="119">
        <v>11498.383715012724</v>
      </c>
      <c r="I174" s="124"/>
      <c r="J174" s="68"/>
      <c r="K174" s="71">
        <v>16.226145547073791</v>
      </c>
      <c r="O174" s="48">
        <f t="shared" si="72"/>
        <v>4.0606367974854685</v>
      </c>
      <c r="R174" s="48">
        <f t="shared" si="73"/>
        <v>1.2102153672419516</v>
      </c>
      <c r="U174" s="48">
        <v>4.0606367974854685</v>
      </c>
      <c r="V174" s="54">
        <v>1.2102153672419516</v>
      </c>
      <c r="W174" s="49">
        <f t="shared" si="71"/>
        <v>1.5059645486757862</v>
      </c>
      <c r="X174" s="49"/>
      <c r="Y174" s="49"/>
      <c r="Z174" s="49"/>
      <c r="AE174" s="68"/>
      <c r="AF174" s="68"/>
      <c r="AG174" s="68"/>
      <c r="AH174" s="68"/>
      <c r="AI174" s="68"/>
      <c r="AR174" s="70"/>
      <c r="AU174" s="68"/>
    </row>
    <row r="175" spans="1:88" s="28" customFormat="1" ht="12.75" customHeight="1">
      <c r="A175" s="64" t="s">
        <v>182</v>
      </c>
      <c r="B175" s="23" t="s">
        <v>183</v>
      </c>
      <c r="C175" s="52" t="s">
        <v>162</v>
      </c>
      <c r="D175" s="74">
        <v>1996</v>
      </c>
      <c r="E175" s="26">
        <v>4</v>
      </c>
      <c r="F175" s="66">
        <v>15</v>
      </c>
      <c r="G175" s="46">
        <f t="shared" si="70"/>
        <v>106.41</v>
      </c>
      <c r="H175" s="119">
        <v>1592</v>
      </c>
      <c r="I175" s="124"/>
      <c r="J175" s="68"/>
      <c r="K175" s="71">
        <v>4.3159999999999998</v>
      </c>
      <c r="O175" s="48">
        <f t="shared" si="72"/>
        <v>3.2019430634016501</v>
      </c>
      <c r="R175" s="48">
        <f t="shared" si="73"/>
        <v>0.63508143601087308</v>
      </c>
      <c r="U175" s="48">
        <v>3.2019430634016501</v>
      </c>
      <c r="V175" s="54">
        <v>0.63508143601087308</v>
      </c>
      <c r="W175" s="49">
        <f t="shared" si="71"/>
        <v>2.3117847029010741</v>
      </c>
      <c r="X175" s="49"/>
      <c r="Y175" s="49"/>
      <c r="Z175" s="49"/>
      <c r="AE175" s="68"/>
      <c r="AF175" s="68"/>
      <c r="AG175" s="68"/>
      <c r="AH175" s="68"/>
      <c r="AI175" s="68"/>
      <c r="AR175" s="70"/>
      <c r="AU175" s="68"/>
    </row>
    <row r="176" spans="1:88" s="28" customFormat="1" ht="12.75" customHeight="1">
      <c r="A176" s="64" t="s">
        <v>182</v>
      </c>
      <c r="B176" s="23" t="s">
        <v>183</v>
      </c>
      <c r="C176" s="52" t="s">
        <v>162</v>
      </c>
      <c r="D176" s="74">
        <v>1996</v>
      </c>
      <c r="E176" s="26">
        <v>4</v>
      </c>
      <c r="F176" s="66">
        <v>15</v>
      </c>
      <c r="G176" s="46">
        <f t="shared" si="70"/>
        <v>106.41</v>
      </c>
      <c r="H176" s="119">
        <v>6905.0106075216981</v>
      </c>
      <c r="I176" s="124"/>
      <c r="J176" s="68"/>
      <c r="K176" s="71">
        <v>11.348829315332694</v>
      </c>
      <c r="O176" s="48">
        <f t="shared" si="72"/>
        <v>3.8391643500811385</v>
      </c>
      <c r="R176" s="48">
        <f t="shared" si="73"/>
        <v>1.0549510643385509</v>
      </c>
      <c r="U176" s="48">
        <v>3.8391643500811385</v>
      </c>
      <c r="V176" s="54">
        <v>1.0549510643385509</v>
      </c>
      <c r="W176" s="49">
        <f t="shared" si="71"/>
        <v>1.7204076134351431</v>
      </c>
      <c r="X176" s="49"/>
      <c r="Y176" s="49"/>
      <c r="Z176" s="49"/>
      <c r="AE176" s="68"/>
      <c r="AF176" s="68"/>
      <c r="AG176" s="68"/>
      <c r="AH176" s="68"/>
      <c r="AI176" s="68"/>
      <c r="AR176" s="70"/>
      <c r="AU176" s="68"/>
    </row>
    <row r="177" spans="1:47" s="28" customFormat="1" ht="12.75" customHeight="1">
      <c r="A177" s="64" t="s">
        <v>182</v>
      </c>
      <c r="B177" s="23" t="s">
        <v>183</v>
      </c>
      <c r="C177" s="52" t="s">
        <v>162</v>
      </c>
      <c r="D177" s="74">
        <v>1996</v>
      </c>
      <c r="E177" s="26">
        <v>4</v>
      </c>
      <c r="F177" s="66">
        <v>15</v>
      </c>
      <c r="G177" s="46">
        <f t="shared" si="70"/>
        <v>106.41</v>
      </c>
      <c r="H177" s="119">
        <v>8193.0146341463424</v>
      </c>
      <c r="I177" s="124"/>
      <c r="J177" s="68"/>
      <c r="K177" s="71">
        <v>14.151570731707318</v>
      </c>
      <c r="O177" s="48">
        <f t="shared" si="72"/>
        <v>3.9134437305854215</v>
      </c>
      <c r="R177" s="48">
        <f t="shared" si="73"/>
        <v>1.1508046463800252</v>
      </c>
      <c r="U177" s="48">
        <v>3.9134437305854215</v>
      </c>
      <c r="V177" s="54">
        <v>1.1508046463800252</v>
      </c>
      <c r="W177" s="49">
        <f t="shared" si="71"/>
        <v>1.6067243797919877</v>
      </c>
      <c r="X177" s="49"/>
      <c r="Y177" s="49"/>
      <c r="Z177" s="49"/>
      <c r="AE177" s="68"/>
      <c r="AF177" s="68"/>
      <c r="AG177" s="68"/>
      <c r="AH177" s="68"/>
      <c r="AI177" s="68"/>
      <c r="AR177" s="70"/>
      <c r="AU177" s="68"/>
    </row>
    <row r="178" spans="1:47" s="28" customFormat="1" ht="12.75" customHeight="1">
      <c r="A178" s="64" t="s">
        <v>182</v>
      </c>
      <c r="B178" s="23" t="s">
        <v>183</v>
      </c>
      <c r="C178" s="52" t="s">
        <v>162</v>
      </c>
      <c r="D178" s="74">
        <v>1996</v>
      </c>
      <c r="E178" s="26">
        <v>4</v>
      </c>
      <c r="F178" s="66">
        <v>15</v>
      </c>
      <c r="G178" s="46">
        <f t="shared" si="70"/>
        <v>106.41</v>
      </c>
      <c r="H178" s="119">
        <v>2961.1514353436924</v>
      </c>
      <c r="I178" s="124"/>
      <c r="J178" s="68"/>
      <c r="K178" s="71">
        <v>5.9862586252304464</v>
      </c>
      <c r="O178" s="48">
        <f t="shared" si="72"/>
        <v>3.4714606180790675</v>
      </c>
      <c r="R178" s="48">
        <f t="shared" si="73"/>
        <v>0.77715547579921951</v>
      </c>
      <c r="U178" s="48">
        <v>3.4714606180790675</v>
      </c>
      <c r="V178" s="54">
        <v>0.77715547579921951</v>
      </c>
      <c r="W178" s="49">
        <f t="shared" si="71"/>
        <v>2.0955331385892388</v>
      </c>
      <c r="X178" s="49"/>
      <c r="Y178" s="49"/>
      <c r="Z178" s="49"/>
      <c r="AE178" s="68"/>
      <c r="AF178" s="68"/>
      <c r="AG178" s="68"/>
      <c r="AH178" s="68"/>
      <c r="AI178" s="68"/>
      <c r="AR178" s="70"/>
      <c r="AU178" s="68"/>
    </row>
    <row r="179" spans="1:47" s="28" customFormat="1" ht="12.75" customHeight="1">
      <c r="A179" s="64" t="s">
        <v>182</v>
      </c>
      <c r="B179" s="23" t="s">
        <v>183</v>
      </c>
      <c r="C179" s="52" t="s">
        <v>162</v>
      </c>
      <c r="D179" s="74">
        <v>1996</v>
      </c>
      <c r="E179" s="26">
        <v>4</v>
      </c>
      <c r="F179" s="66">
        <v>15</v>
      </c>
      <c r="G179" s="46">
        <f t="shared" si="70"/>
        <v>106.41</v>
      </c>
      <c r="H179" s="119">
        <v>6388.1047120418843</v>
      </c>
      <c r="I179" s="124"/>
      <c r="J179" s="68"/>
      <c r="K179" s="71">
        <v>16.794067138897439</v>
      </c>
      <c r="O179" s="48">
        <f t="shared" si="72"/>
        <v>3.8053720263595672</v>
      </c>
      <c r="R179" s="48">
        <f t="shared" si="73"/>
        <v>1.2251558850647872</v>
      </c>
      <c r="U179" s="48">
        <v>3.8053720263595672</v>
      </c>
      <c r="V179" s="54">
        <v>1.2251558850647872</v>
      </c>
      <c r="W179" s="49">
        <f t="shared" si="71"/>
        <v>1.5681708671901606</v>
      </c>
      <c r="X179" s="49"/>
      <c r="Y179" s="49"/>
      <c r="Z179" s="49"/>
      <c r="AE179" s="68"/>
      <c r="AF179" s="68"/>
      <c r="AG179" s="68"/>
      <c r="AH179" s="68"/>
      <c r="AI179" s="68"/>
      <c r="AR179" s="70"/>
      <c r="AU179" s="68"/>
    </row>
    <row r="180" spans="1:47" s="28" customFormat="1" ht="12.75" customHeight="1">
      <c r="A180" s="64" t="s">
        <v>182</v>
      </c>
      <c r="B180" s="23" t="s">
        <v>183</v>
      </c>
      <c r="C180" s="52" t="s">
        <v>162</v>
      </c>
      <c r="D180" s="74">
        <v>1996</v>
      </c>
      <c r="E180" s="26">
        <v>4</v>
      </c>
      <c r="F180" s="66">
        <v>15</v>
      </c>
      <c r="G180" s="46">
        <f t="shared" si="70"/>
        <v>106.41</v>
      </c>
      <c r="H180" s="119">
        <v>7642.4870466321236</v>
      </c>
      <c r="I180" s="124"/>
      <c r="J180" s="68"/>
      <c r="K180" s="71">
        <v>12.305699481865283</v>
      </c>
      <c r="O180" s="48">
        <f t="shared" si="72"/>
        <v>3.8832347113064078</v>
      </c>
      <c r="R180" s="48">
        <f t="shared" si="73"/>
        <v>1.0901063049531114</v>
      </c>
      <c r="U180" s="48">
        <v>3.8832347113064078</v>
      </c>
      <c r="V180" s="54">
        <v>1.0901063049531114</v>
      </c>
      <c r="W180" s="49">
        <f t="shared" si="71"/>
        <v>1.6736728720950598</v>
      </c>
      <c r="X180" s="49"/>
      <c r="Y180" s="49"/>
      <c r="Z180" s="49"/>
      <c r="AE180" s="68"/>
      <c r="AF180" s="68"/>
      <c r="AG180" s="68"/>
      <c r="AH180" s="68"/>
      <c r="AI180" s="68"/>
      <c r="AR180" s="70"/>
      <c r="AU180" s="68"/>
    </row>
    <row r="181" spans="1:47" s="28" customFormat="1" ht="12.75" customHeight="1">
      <c r="A181" s="64" t="s">
        <v>182</v>
      </c>
      <c r="B181" s="23" t="s">
        <v>183</v>
      </c>
      <c r="C181" s="52" t="s">
        <v>162</v>
      </c>
      <c r="D181" s="74">
        <v>1996</v>
      </c>
      <c r="E181" s="26">
        <v>4</v>
      </c>
      <c r="F181" s="66">
        <v>15</v>
      </c>
      <c r="G181" s="46">
        <f t="shared" si="70"/>
        <v>106.41</v>
      </c>
      <c r="H181" s="119">
        <v>7480.0967221923684</v>
      </c>
      <c r="I181" s="124"/>
      <c r="J181" s="68"/>
      <c r="K181" s="71">
        <v>14.27476625470177</v>
      </c>
      <c r="O181" s="48">
        <f t="shared" si="72"/>
        <v>3.8739072135921138</v>
      </c>
      <c r="R181" s="48">
        <f t="shared" si="73"/>
        <v>1.154569005525639</v>
      </c>
      <c r="U181" s="48">
        <v>3.8739072135921138</v>
      </c>
      <c r="V181" s="54">
        <v>1.154569005525639</v>
      </c>
      <c r="W181" s="49">
        <f t="shared" si="71"/>
        <v>1.6149757170408001</v>
      </c>
      <c r="X181" s="49"/>
      <c r="Y181" s="49"/>
      <c r="Z181" s="49"/>
      <c r="AE181" s="68"/>
      <c r="AF181" s="68"/>
      <c r="AG181" s="68"/>
      <c r="AH181" s="68"/>
      <c r="AI181" s="68"/>
      <c r="AR181" s="70"/>
      <c r="AU181" s="68"/>
    </row>
    <row r="182" spans="1:47" s="28" customFormat="1" ht="12.75" customHeight="1">
      <c r="A182" s="64" t="s">
        <v>182</v>
      </c>
      <c r="B182" s="23" t="s">
        <v>183</v>
      </c>
      <c r="C182" s="52" t="s">
        <v>162</v>
      </c>
      <c r="D182" s="74">
        <v>1996</v>
      </c>
      <c r="E182" s="26">
        <v>4</v>
      </c>
      <c r="F182" s="66">
        <v>15</v>
      </c>
      <c r="G182" s="46">
        <f t="shared" si="70"/>
        <v>106.41</v>
      </c>
      <c r="H182" s="119">
        <v>6111.7690487458594</v>
      </c>
      <c r="I182" s="124"/>
      <c r="J182" s="68"/>
      <c r="K182" s="71">
        <v>12.089703738760058</v>
      </c>
      <c r="O182" s="48">
        <f t="shared" si="72"/>
        <v>3.7861669347773326</v>
      </c>
      <c r="R182" s="48">
        <f t="shared" si="73"/>
        <v>1.0824156584953315</v>
      </c>
      <c r="U182" s="48">
        <v>3.7861669347773326</v>
      </c>
      <c r="V182" s="54">
        <v>1.0824156584953315</v>
      </c>
      <c r="W182" s="49">
        <f t="shared" si="71"/>
        <v>1.7100831666888967</v>
      </c>
      <c r="X182" s="49"/>
      <c r="Y182" s="49"/>
      <c r="Z182" s="49"/>
      <c r="AE182" s="68"/>
      <c r="AF182" s="68"/>
      <c r="AG182" s="68"/>
      <c r="AH182" s="68"/>
      <c r="AI182" s="68"/>
      <c r="AR182" s="70"/>
      <c r="AU182" s="68"/>
    </row>
    <row r="183" spans="1:47" s="28" customFormat="1" ht="12.75" customHeight="1">
      <c r="A183" s="64" t="s">
        <v>182</v>
      </c>
      <c r="B183" s="23" t="s">
        <v>183</v>
      </c>
      <c r="C183" s="52" t="s">
        <v>163</v>
      </c>
      <c r="D183" s="65">
        <v>1996</v>
      </c>
      <c r="E183" s="26">
        <v>3</v>
      </c>
      <c r="F183" s="66">
        <v>15</v>
      </c>
      <c r="G183" s="46">
        <f t="shared" si="70"/>
        <v>75.94</v>
      </c>
      <c r="H183" s="84">
        <v>27985.227495908352</v>
      </c>
      <c r="I183" s="66"/>
      <c r="K183" s="67">
        <v>22.077235024549918</v>
      </c>
      <c r="O183" s="48">
        <f t="shared" si="72"/>
        <v>4.4469288416989246</v>
      </c>
      <c r="R183" s="48">
        <f t="shared" si="73"/>
        <v>1.3439446809786744</v>
      </c>
      <c r="U183" s="48">
        <v>4.4469288416989246</v>
      </c>
      <c r="V183" s="54">
        <v>1.3439446809786744</v>
      </c>
      <c r="W183" s="49">
        <f t="shared" si="71"/>
        <v>1.2626961862761088</v>
      </c>
      <c r="X183" s="49"/>
      <c r="Y183" s="49"/>
      <c r="Z183" s="49"/>
      <c r="AR183" s="70"/>
      <c r="AU183" s="68"/>
    </row>
    <row r="184" spans="1:47" s="28" customFormat="1" ht="12.75" customHeight="1">
      <c r="A184" s="64" t="s">
        <v>182</v>
      </c>
      <c r="B184" s="23" t="s">
        <v>183</v>
      </c>
      <c r="C184" s="52" t="s">
        <v>163</v>
      </c>
      <c r="D184" s="65">
        <v>1996</v>
      </c>
      <c r="E184" s="26">
        <v>3</v>
      </c>
      <c r="F184" s="66">
        <v>15</v>
      </c>
      <c r="G184" s="46">
        <f t="shared" si="70"/>
        <v>75.94</v>
      </c>
      <c r="H184" s="84">
        <v>22078.825887850468</v>
      </c>
      <c r="I184" s="66"/>
      <c r="K184" s="67">
        <v>13.035469158878504</v>
      </c>
      <c r="O184" s="48">
        <f t="shared" si="72"/>
        <v>4.3439759746737598</v>
      </c>
      <c r="R184" s="48">
        <f t="shared" si="73"/>
        <v>1.1151266664552792</v>
      </c>
      <c r="U184" s="48">
        <v>4.3439759746737598</v>
      </c>
      <c r="V184" s="54">
        <v>1.1151266664552792</v>
      </c>
      <c r="W184" s="49">
        <f t="shared" si="71"/>
        <v>1.5118026066445409</v>
      </c>
      <c r="X184" s="49"/>
      <c r="Y184" s="49"/>
      <c r="Z184" s="49"/>
      <c r="AR184" s="70"/>
      <c r="AU184" s="68"/>
    </row>
    <row r="185" spans="1:47" s="28" customFormat="1" ht="12.75" customHeight="1">
      <c r="A185" s="64" t="s">
        <v>182</v>
      </c>
      <c r="B185" s="23" t="s">
        <v>183</v>
      </c>
      <c r="C185" s="52" t="s">
        <v>163</v>
      </c>
      <c r="D185" s="65">
        <v>1996</v>
      </c>
      <c r="E185" s="26">
        <v>3</v>
      </c>
      <c r="F185" s="66">
        <v>15</v>
      </c>
      <c r="G185" s="46">
        <f t="shared" si="70"/>
        <v>75.94</v>
      </c>
      <c r="H185" s="84">
        <v>25234.270945945951</v>
      </c>
      <c r="I185" s="66"/>
      <c r="K185" s="67">
        <v>19.264017567567571</v>
      </c>
      <c r="O185" s="48">
        <f t="shared" si="72"/>
        <v>4.4019907618643748</v>
      </c>
      <c r="R185" s="48">
        <f t="shared" si="73"/>
        <v>1.2847468656270544</v>
      </c>
      <c r="T185" s="75"/>
      <c r="U185" s="48">
        <v>4.4019907618643748</v>
      </c>
      <c r="V185" s="76">
        <v>1.2847468656270544</v>
      </c>
      <c r="W185" s="49">
        <f t="shared" si="71"/>
        <v>1.3326250427272306</v>
      </c>
      <c r="X185" s="49"/>
      <c r="Y185" s="49"/>
      <c r="Z185" s="49"/>
      <c r="AA185" s="75"/>
      <c r="AB185" s="75"/>
      <c r="AC185" s="75"/>
      <c r="AD185" s="75"/>
      <c r="AR185" s="70"/>
      <c r="AU185" s="68"/>
    </row>
    <row r="186" spans="1:47" s="28" customFormat="1" ht="12.75" customHeight="1">
      <c r="A186" s="64" t="s">
        <v>182</v>
      </c>
      <c r="B186" s="23" t="s">
        <v>183</v>
      </c>
      <c r="C186" s="52" t="s">
        <v>163</v>
      </c>
      <c r="D186" s="65">
        <v>1996</v>
      </c>
      <c r="E186" s="26">
        <v>3</v>
      </c>
      <c r="F186" s="66">
        <v>15</v>
      </c>
      <c r="G186" s="46">
        <f t="shared" si="70"/>
        <v>75.94</v>
      </c>
      <c r="H186" s="84">
        <v>17849.026193390455</v>
      </c>
      <c r="I186" s="66"/>
      <c r="K186" s="67">
        <v>20.211397307221542</v>
      </c>
      <c r="O186" s="48">
        <f t="shared" si="72"/>
        <v>4.2516145268698615</v>
      </c>
      <c r="R186" s="48">
        <f t="shared" si="73"/>
        <v>1.3055963393361072</v>
      </c>
      <c r="U186" s="48">
        <v>4.2516145268698615</v>
      </c>
      <c r="V186" s="54">
        <v>1.3055963393361072</v>
      </c>
      <c r="W186" s="49">
        <f t="shared" si="71"/>
        <v>1.3577781113924028</v>
      </c>
      <c r="X186" s="49"/>
      <c r="Y186" s="49"/>
      <c r="Z186" s="49"/>
      <c r="AR186" s="70"/>
      <c r="AU186" s="68"/>
    </row>
    <row r="187" spans="1:47" s="28" customFormat="1" ht="12.75" customHeight="1">
      <c r="A187" s="64" t="s">
        <v>182</v>
      </c>
      <c r="B187" s="23" t="s">
        <v>183</v>
      </c>
      <c r="C187" s="52" t="s">
        <v>163</v>
      </c>
      <c r="D187" s="65">
        <v>1996</v>
      </c>
      <c r="E187" s="26">
        <v>3</v>
      </c>
      <c r="F187" s="66">
        <v>15</v>
      </c>
      <c r="G187" s="46">
        <f t="shared" si="70"/>
        <v>75.94</v>
      </c>
      <c r="H187" s="84">
        <v>24915.106353591171</v>
      </c>
      <c r="I187" s="66"/>
      <c r="K187" s="67">
        <v>30.011378107734817</v>
      </c>
      <c r="O187" s="48">
        <f t="shared" si="72"/>
        <v>4.3964627453573346</v>
      </c>
      <c r="R187" s="48">
        <f t="shared" si="73"/>
        <v>1.4772859384719359</v>
      </c>
      <c r="U187" s="48">
        <v>4.3964627453573346</v>
      </c>
      <c r="V187" s="54">
        <v>1.4772859384719359</v>
      </c>
      <c r="W187" s="49">
        <f t="shared" si="71"/>
        <v>1.1506177980735628</v>
      </c>
      <c r="X187" s="49"/>
      <c r="Y187" s="49"/>
      <c r="Z187" s="49"/>
      <c r="AR187" s="70"/>
      <c r="AU187" s="68"/>
    </row>
    <row r="188" spans="1:47" s="28" customFormat="1" ht="12.75" customHeight="1">
      <c r="A188" s="64" t="s">
        <v>182</v>
      </c>
      <c r="B188" s="23" t="s">
        <v>183</v>
      </c>
      <c r="C188" s="52" t="s">
        <v>163</v>
      </c>
      <c r="D188" s="65">
        <v>1996</v>
      </c>
      <c r="E188" s="26">
        <v>3</v>
      </c>
      <c r="F188" s="66">
        <v>15</v>
      </c>
      <c r="G188" s="46">
        <f t="shared" si="70"/>
        <v>75.94</v>
      </c>
      <c r="H188" s="84">
        <v>21938.911290322587</v>
      </c>
      <c r="I188" s="66"/>
      <c r="K188" s="67">
        <v>26.801048387096778</v>
      </c>
      <c r="O188" s="48">
        <f t="shared" si="72"/>
        <v>4.3412150720838669</v>
      </c>
      <c r="R188" s="48">
        <f t="shared" si="73"/>
        <v>1.4281517828282539</v>
      </c>
      <c r="U188" s="48">
        <v>4.3412150720838669</v>
      </c>
      <c r="V188" s="54">
        <v>1.4281517828282539</v>
      </c>
      <c r="W188" s="49">
        <f t="shared" si="71"/>
        <v>1.2140349063802371</v>
      </c>
      <c r="X188" s="49"/>
      <c r="Y188" s="49"/>
      <c r="Z188" s="49"/>
      <c r="AR188" s="70"/>
      <c r="AU188" s="68"/>
    </row>
    <row r="189" spans="1:47" s="28" customFormat="1" ht="12.75" customHeight="1">
      <c r="A189" s="64" t="s">
        <v>182</v>
      </c>
      <c r="B189" s="23" t="s">
        <v>183</v>
      </c>
      <c r="C189" s="52" t="s">
        <v>163</v>
      </c>
      <c r="D189" s="65">
        <v>1996</v>
      </c>
      <c r="E189" s="26">
        <v>3</v>
      </c>
      <c r="F189" s="66">
        <v>15</v>
      </c>
      <c r="G189" s="46">
        <f t="shared" si="70"/>
        <v>75.94</v>
      </c>
      <c r="H189" s="84">
        <v>11272.031250000002</v>
      </c>
      <c r="I189" s="66"/>
      <c r="K189" s="67">
        <v>16.682606250000006</v>
      </c>
      <c r="O189" s="48">
        <f t="shared" si="72"/>
        <v>4.052002184118666</v>
      </c>
      <c r="R189" s="48">
        <f t="shared" si="73"/>
        <v>1.2222638995136232</v>
      </c>
      <c r="U189" s="48">
        <v>4.052002184118666</v>
      </c>
      <c r="V189" s="54">
        <v>1.2222638995136232</v>
      </c>
      <c r="W189" s="49">
        <f t="shared" si="71"/>
        <v>1.497057732856685</v>
      </c>
      <c r="X189" s="49"/>
      <c r="Y189" s="49"/>
      <c r="Z189" s="49"/>
      <c r="AR189" s="70"/>
      <c r="AU189" s="68"/>
    </row>
    <row r="190" spans="1:47" s="28" customFormat="1" ht="12.75" customHeight="1">
      <c r="A190" s="64" t="s">
        <v>182</v>
      </c>
      <c r="B190" s="23" t="s">
        <v>183</v>
      </c>
      <c r="C190" s="52" t="s">
        <v>163</v>
      </c>
      <c r="D190" s="65">
        <v>1996</v>
      </c>
      <c r="E190" s="26">
        <v>3</v>
      </c>
      <c r="F190" s="66">
        <v>15</v>
      </c>
      <c r="G190" s="46">
        <f t="shared" si="70"/>
        <v>75.94</v>
      </c>
      <c r="H190" s="84">
        <v>13870.062295081969</v>
      </c>
      <c r="I190" s="66"/>
      <c r="K190" s="67">
        <v>14.600065573770491</v>
      </c>
      <c r="O190" s="48">
        <f t="shared" si="72"/>
        <v>4.1420784116392255</v>
      </c>
      <c r="R190" s="48">
        <f t="shared" si="73"/>
        <v>1.1643548063503775</v>
      </c>
      <c r="U190" s="48">
        <v>4.1420784116392255</v>
      </c>
      <c r="V190" s="54">
        <v>1.1643548063503775</v>
      </c>
      <c r="W190" s="49">
        <f t="shared" si="71"/>
        <v>1.5253171708075004</v>
      </c>
      <c r="X190" s="49"/>
      <c r="Y190" s="49"/>
      <c r="Z190" s="49"/>
      <c r="AR190" s="70"/>
      <c r="AU190" s="68"/>
    </row>
    <row r="191" spans="1:47" s="28" customFormat="1" ht="12.75" customHeight="1">
      <c r="A191" s="64" t="s">
        <v>182</v>
      </c>
      <c r="B191" s="23" t="s">
        <v>183</v>
      </c>
      <c r="C191" s="52" t="s">
        <v>163</v>
      </c>
      <c r="D191" s="65">
        <v>1996</v>
      </c>
      <c r="E191" s="26">
        <v>3</v>
      </c>
      <c r="F191" s="66">
        <v>15</v>
      </c>
      <c r="G191" s="46">
        <f t="shared" si="70"/>
        <v>75.94</v>
      </c>
      <c r="H191" s="84">
        <v>9881.2157303370768</v>
      </c>
      <c r="I191" s="66"/>
      <c r="K191" s="67">
        <v>10.022375955056177</v>
      </c>
      <c r="O191" s="48">
        <f t="shared" si="72"/>
        <v>3.9948103810750131</v>
      </c>
      <c r="R191" s="48">
        <f t="shared" si="73"/>
        <v>1.0009706897798314</v>
      </c>
      <c r="U191" s="48">
        <v>3.9948103810750131</v>
      </c>
      <c r="V191" s="54">
        <v>1.0009706897798314</v>
      </c>
      <c r="W191" s="49">
        <f t="shared" si="71"/>
        <v>1.7252796775516781</v>
      </c>
      <c r="X191" s="49"/>
      <c r="Y191" s="49"/>
      <c r="Z191" s="49"/>
      <c r="AR191" s="70"/>
      <c r="AU191" s="68"/>
    </row>
    <row r="192" spans="1:47" s="28" customFormat="1" ht="12.75" customHeight="1">
      <c r="A192" s="64" t="s">
        <v>182</v>
      </c>
      <c r="B192" s="23" t="s">
        <v>183</v>
      </c>
      <c r="C192" s="52" t="s">
        <v>163</v>
      </c>
      <c r="D192" s="65">
        <v>1996</v>
      </c>
      <c r="E192" s="26">
        <v>3</v>
      </c>
      <c r="F192" s="66">
        <v>15</v>
      </c>
      <c r="G192" s="46">
        <f t="shared" si="70"/>
        <v>75.94</v>
      </c>
      <c r="H192" s="84">
        <v>13717.279466501244</v>
      </c>
      <c r="I192" s="66"/>
      <c r="K192" s="67">
        <v>13.717279466501243</v>
      </c>
      <c r="O192" s="48">
        <f t="shared" si="72"/>
        <v>4.1372679867466307</v>
      </c>
      <c r="R192" s="48">
        <f t="shared" si="73"/>
        <v>1.1372679867466311</v>
      </c>
      <c r="U192" s="48">
        <v>4.1372679867466307</v>
      </c>
      <c r="V192" s="54">
        <v>1.1372679867466311</v>
      </c>
      <c r="W192" s="49">
        <f t="shared" si="71"/>
        <v>1.5525961286192984</v>
      </c>
      <c r="X192" s="49"/>
      <c r="Y192" s="49"/>
      <c r="Z192" s="49"/>
      <c r="AR192" s="70"/>
      <c r="AU192" s="68"/>
    </row>
    <row r="193" spans="1:47" s="28" customFormat="1" ht="12.75" customHeight="1">
      <c r="A193" s="64" t="s">
        <v>182</v>
      </c>
      <c r="B193" s="23" t="s">
        <v>183</v>
      </c>
      <c r="C193" s="52" t="s">
        <v>163</v>
      </c>
      <c r="D193" s="65">
        <v>1996</v>
      </c>
      <c r="E193" s="26">
        <v>3</v>
      </c>
      <c r="F193" s="66">
        <v>15</v>
      </c>
      <c r="G193" s="46">
        <f t="shared" si="70"/>
        <v>75.94</v>
      </c>
      <c r="H193" s="84">
        <v>17546.837582128777</v>
      </c>
      <c r="I193" s="66"/>
      <c r="K193" s="67">
        <v>15.753730091984233</v>
      </c>
      <c r="O193" s="48">
        <f t="shared" si="72"/>
        <v>4.2441988561643837</v>
      </c>
      <c r="R193" s="48">
        <f t="shared" si="73"/>
        <v>1.1973834004473751</v>
      </c>
      <c r="U193" s="48">
        <v>4.2441988561643837</v>
      </c>
      <c r="V193" s="54">
        <v>1.1973834004473751</v>
      </c>
      <c r="W193" s="49">
        <f t="shared" si="71"/>
        <v>1.4632236096001543</v>
      </c>
      <c r="X193" s="49"/>
      <c r="Y193" s="49"/>
      <c r="Z193" s="49"/>
      <c r="AR193" s="70"/>
      <c r="AU193" s="68"/>
    </row>
    <row r="194" spans="1:47" s="28" customFormat="1" ht="12.75" customHeight="1">
      <c r="A194" s="64" t="s">
        <v>182</v>
      </c>
      <c r="B194" s="23" t="s">
        <v>183</v>
      </c>
      <c r="C194" s="52" t="s">
        <v>163</v>
      </c>
      <c r="D194" s="65">
        <v>1996</v>
      </c>
      <c r="E194" s="26">
        <v>3</v>
      </c>
      <c r="F194" s="66">
        <v>15</v>
      </c>
      <c r="G194" s="46">
        <f t="shared" si="70"/>
        <v>75.94</v>
      </c>
      <c r="H194" s="84">
        <v>18988.116508688781</v>
      </c>
      <c r="I194" s="66"/>
      <c r="K194" s="67">
        <v>18.801041469194313</v>
      </c>
      <c r="O194" s="48">
        <f t="shared" si="72"/>
        <v>4.2784818878306812</v>
      </c>
      <c r="R194" s="48">
        <f t="shared" si="73"/>
        <v>1.2741819073379568</v>
      </c>
      <c r="U194" s="48">
        <v>4.2784818878306812</v>
      </c>
      <c r="V194" s="54">
        <v>1.2741819073379568</v>
      </c>
      <c r="W194" s="49">
        <f t="shared" si="71"/>
        <v>1.3796969025305936</v>
      </c>
      <c r="X194" s="49"/>
      <c r="Y194" s="49"/>
      <c r="Z194" s="49"/>
      <c r="AR194" s="70"/>
      <c r="AU194" s="68"/>
    </row>
    <row r="195" spans="1:47" s="28" customFormat="1" ht="12.75" customHeight="1">
      <c r="A195" s="64" t="s">
        <v>182</v>
      </c>
      <c r="B195" s="23" t="s">
        <v>183</v>
      </c>
      <c r="C195" s="52" t="s">
        <v>163</v>
      </c>
      <c r="D195" s="65">
        <v>1995</v>
      </c>
      <c r="E195" s="26">
        <v>11</v>
      </c>
      <c r="F195" s="66">
        <v>15</v>
      </c>
      <c r="G195" s="46">
        <f t="shared" si="70"/>
        <v>319.7</v>
      </c>
      <c r="H195" s="84">
        <v>3077.5040360136604</v>
      </c>
      <c r="I195" s="66"/>
      <c r="K195" s="67">
        <v>14.684090686122319</v>
      </c>
      <c r="O195" s="48">
        <f t="shared" si="72"/>
        <v>3.488198631162188</v>
      </c>
      <c r="R195" s="48">
        <f t="shared" si="73"/>
        <v>1.1668470579594956</v>
      </c>
      <c r="U195" s="48">
        <v>3.488198631162188</v>
      </c>
      <c r="V195" s="54">
        <v>1.1668470579594956</v>
      </c>
      <c r="W195" s="49">
        <f t="shared" si="71"/>
        <v>1.7187928916930351</v>
      </c>
      <c r="X195" s="49"/>
      <c r="Y195" s="49"/>
      <c r="Z195" s="49"/>
      <c r="AR195" s="70"/>
      <c r="AU195" s="68"/>
    </row>
    <row r="196" spans="1:47" s="28" customFormat="1" ht="12.75" customHeight="1">
      <c r="A196" s="64" t="s">
        <v>182</v>
      </c>
      <c r="B196" s="23" t="s">
        <v>183</v>
      </c>
      <c r="C196" s="52" t="s">
        <v>163</v>
      </c>
      <c r="D196" s="65">
        <v>1995</v>
      </c>
      <c r="E196" s="26">
        <v>11</v>
      </c>
      <c r="F196" s="66">
        <v>15</v>
      </c>
      <c r="G196" s="46">
        <f t="shared" si="70"/>
        <v>319.7</v>
      </c>
      <c r="H196" s="84">
        <v>4545.3732507288623</v>
      </c>
      <c r="I196" s="66"/>
      <c r="K196" s="67">
        <v>16.100594278425657</v>
      </c>
      <c r="O196" s="48">
        <f t="shared" si="72"/>
        <v>3.6575695518211648</v>
      </c>
      <c r="R196" s="48">
        <f t="shared" si="73"/>
        <v>1.2068419062851286</v>
      </c>
      <c r="U196" s="48">
        <v>3.6575695518211648</v>
      </c>
      <c r="V196" s="54">
        <v>1.2068419062851286</v>
      </c>
      <c r="W196" s="49">
        <f t="shared" si="71"/>
        <v>1.629911048613202</v>
      </c>
      <c r="X196" s="49"/>
      <c r="Y196" s="49"/>
      <c r="Z196" s="49"/>
      <c r="AR196" s="70"/>
      <c r="AU196" s="68"/>
    </row>
    <row r="197" spans="1:47" s="28" customFormat="1" ht="12.75" customHeight="1">
      <c r="A197" s="64" t="s">
        <v>182</v>
      </c>
      <c r="B197" s="23" t="s">
        <v>183</v>
      </c>
      <c r="C197" s="52" t="s">
        <v>163</v>
      </c>
      <c r="D197" s="65">
        <v>1995</v>
      </c>
      <c r="E197" s="26">
        <v>11</v>
      </c>
      <c r="F197" s="66">
        <v>15</v>
      </c>
      <c r="G197" s="46">
        <f t="shared" si="70"/>
        <v>319.7</v>
      </c>
      <c r="H197" s="84">
        <v>3031.5133694294045</v>
      </c>
      <c r="I197" s="66"/>
      <c r="K197" s="67">
        <v>11.087026718034153</v>
      </c>
      <c r="O197" s="48">
        <f t="shared" si="72"/>
        <v>3.4816594878791207</v>
      </c>
      <c r="R197" s="48">
        <f t="shared" si="73"/>
        <v>1.0448150941129999</v>
      </c>
      <c r="U197" s="48">
        <v>3.4816594878791207</v>
      </c>
      <c r="V197" s="54">
        <v>1.0448150941129999</v>
      </c>
      <c r="W197" s="49">
        <f t="shared" si="71"/>
        <v>1.8371578162824107</v>
      </c>
      <c r="X197" s="49"/>
      <c r="Y197" s="49"/>
      <c r="Z197" s="49"/>
      <c r="AR197" s="70"/>
      <c r="AU197" s="68"/>
    </row>
    <row r="198" spans="1:47" s="28" customFormat="1" ht="12.75" customHeight="1">
      <c r="A198" s="64" t="s">
        <v>182</v>
      </c>
      <c r="B198" s="23" t="s">
        <v>183</v>
      </c>
      <c r="C198" s="52" t="s">
        <v>163</v>
      </c>
      <c r="D198" s="65">
        <v>1996</v>
      </c>
      <c r="E198" s="26">
        <v>1</v>
      </c>
      <c r="F198" s="66">
        <v>15</v>
      </c>
      <c r="G198" s="46">
        <f t="shared" si="70"/>
        <v>15</v>
      </c>
      <c r="H198" s="84">
        <v>3825.6907035175882</v>
      </c>
      <c r="I198" s="66"/>
      <c r="K198" s="67">
        <v>13.329084924623118</v>
      </c>
      <c r="O198" s="48">
        <f t="shared" si="72"/>
        <v>3.5827098556062356</v>
      </c>
      <c r="R198" s="48">
        <f t="shared" si="73"/>
        <v>1.1248003350231564</v>
      </c>
      <c r="U198" s="48">
        <v>3.5827098556062356</v>
      </c>
      <c r="V198" s="54">
        <v>1.1248003350231564</v>
      </c>
      <c r="W198" s="49">
        <f t="shared" si="71"/>
        <v>1.7305928240048956</v>
      </c>
      <c r="X198" s="49"/>
      <c r="Y198" s="49"/>
      <c r="Z198" s="49"/>
      <c r="AR198" s="70"/>
      <c r="AU198" s="68"/>
    </row>
    <row r="199" spans="1:47" s="28" customFormat="1" ht="12.75" customHeight="1">
      <c r="A199" s="64" t="s">
        <v>182</v>
      </c>
      <c r="B199" s="23" t="s">
        <v>183</v>
      </c>
      <c r="C199" s="52" t="s">
        <v>163</v>
      </c>
      <c r="D199" s="65">
        <v>1996</v>
      </c>
      <c r="E199" s="26">
        <v>1</v>
      </c>
      <c r="F199" s="66">
        <v>15</v>
      </c>
      <c r="G199" s="46">
        <f t="shared" ref="G199:G262" si="74">30.47*(E199-1)+F199</f>
        <v>15</v>
      </c>
      <c r="H199" s="84">
        <v>5492.4030748663108</v>
      </c>
      <c r="I199" s="66"/>
      <c r="K199" s="67">
        <v>15.002106684491975</v>
      </c>
      <c r="O199" s="48">
        <f t="shared" si="72"/>
        <v>3.7397624016103657</v>
      </c>
      <c r="R199" s="48">
        <f t="shared" si="73"/>
        <v>1.17615224953619</v>
      </c>
      <c r="U199" s="48">
        <v>3.7397624016103657</v>
      </c>
      <c r="V199" s="54">
        <v>1.17615224953619</v>
      </c>
      <c r="W199" s="49">
        <f t="shared" ref="W199:W262" si="75">0.9539*(4.064-0.314*U199-V199)</f>
        <v>1.6345671317300441</v>
      </c>
      <c r="X199" s="49"/>
      <c r="Y199" s="49"/>
      <c r="Z199" s="49"/>
      <c r="AR199" s="70"/>
      <c r="AU199" s="68"/>
    </row>
    <row r="200" spans="1:47" s="28" customFormat="1" ht="12.75" customHeight="1">
      <c r="A200" s="64" t="s">
        <v>182</v>
      </c>
      <c r="B200" s="23" t="s">
        <v>183</v>
      </c>
      <c r="C200" s="52" t="s">
        <v>163</v>
      </c>
      <c r="D200" s="65">
        <v>1996</v>
      </c>
      <c r="E200" s="26">
        <v>1</v>
      </c>
      <c r="F200" s="66">
        <v>15</v>
      </c>
      <c r="G200" s="46">
        <f t="shared" si="74"/>
        <v>15</v>
      </c>
      <c r="H200" s="84">
        <v>4055.7560981098113</v>
      </c>
      <c r="I200" s="66"/>
      <c r="K200" s="67">
        <v>14.217762083708372</v>
      </c>
      <c r="O200" s="48">
        <f t="shared" ref="O200:O263" si="76">LOG10(H200)</f>
        <v>3.608071829848456</v>
      </c>
      <c r="R200" s="48">
        <f t="shared" ref="R200:R263" si="77">LOG10(K200)</f>
        <v>1.1528312425833767</v>
      </c>
      <c r="U200" s="48">
        <v>3.608071829848456</v>
      </c>
      <c r="V200" s="54">
        <v>1.1528312425833767</v>
      </c>
      <c r="W200" s="49">
        <f t="shared" si="75"/>
        <v>1.6962576060930901</v>
      </c>
      <c r="X200" s="49"/>
      <c r="Y200" s="49"/>
      <c r="Z200" s="49"/>
      <c r="AR200" s="70"/>
      <c r="AU200" s="68"/>
    </row>
    <row r="201" spans="1:47" s="28" customFormat="1" ht="12.75" customHeight="1">
      <c r="A201" s="64" t="s">
        <v>182</v>
      </c>
      <c r="B201" s="23" t="s">
        <v>183</v>
      </c>
      <c r="C201" s="52" t="s">
        <v>163</v>
      </c>
      <c r="D201" s="65">
        <v>1996</v>
      </c>
      <c r="E201" s="26">
        <v>3</v>
      </c>
      <c r="F201" s="66">
        <v>15</v>
      </c>
      <c r="G201" s="46">
        <f t="shared" si="74"/>
        <v>75.94</v>
      </c>
      <c r="H201" s="84">
        <v>3643.7611076668736</v>
      </c>
      <c r="I201" s="66"/>
      <c r="K201" s="67">
        <v>19.339262078941932</v>
      </c>
      <c r="O201" s="48">
        <f t="shared" si="76"/>
        <v>3.5615498960114467</v>
      </c>
      <c r="R201" s="48">
        <f t="shared" si="77"/>
        <v>1.2864398988494832</v>
      </c>
      <c r="U201" s="48">
        <v>3.5615498960114467</v>
      </c>
      <c r="V201" s="54">
        <v>1.2864398988494832</v>
      </c>
      <c r="W201" s="49">
        <f t="shared" si="75"/>
        <v>1.5827427725046079</v>
      </c>
      <c r="X201" s="49"/>
      <c r="Y201" s="49"/>
      <c r="Z201" s="49"/>
      <c r="AR201" s="70"/>
      <c r="AU201" s="68"/>
    </row>
    <row r="202" spans="1:47" s="28" customFormat="1" ht="12.75" customHeight="1">
      <c r="A202" s="64" t="s">
        <v>182</v>
      </c>
      <c r="B202" s="23" t="s">
        <v>183</v>
      </c>
      <c r="C202" s="52" t="s">
        <v>163</v>
      </c>
      <c r="D202" s="65">
        <v>1996</v>
      </c>
      <c r="E202" s="26">
        <v>3</v>
      </c>
      <c r="F202" s="66">
        <v>15</v>
      </c>
      <c r="G202" s="46">
        <f t="shared" si="74"/>
        <v>75.94</v>
      </c>
      <c r="H202" s="84">
        <v>3707.6062500000007</v>
      </c>
      <c r="I202" s="66"/>
      <c r="K202" s="67">
        <v>11.794892390483383</v>
      </c>
      <c r="O202" s="48">
        <f t="shared" si="76"/>
        <v>3.5690936055878151</v>
      </c>
      <c r="R202" s="48">
        <f t="shared" si="77"/>
        <v>1.0716939829975827</v>
      </c>
      <c r="U202" s="48">
        <v>3.5690936055878151</v>
      </c>
      <c r="V202" s="54">
        <v>1.0716939829975827</v>
      </c>
      <c r="W202" s="49">
        <f t="shared" si="75"/>
        <v>1.7853293750423576</v>
      </c>
      <c r="X202" s="49"/>
      <c r="Y202" s="49"/>
      <c r="Z202" s="49"/>
      <c r="AR202" s="70"/>
      <c r="AU202" s="68"/>
    </row>
    <row r="203" spans="1:47" s="28" customFormat="1" ht="12.75" customHeight="1">
      <c r="A203" s="64" t="s">
        <v>182</v>
      </c>
      <c r="B203" s="23" t="s">
        <v>183</v>
      </c>
      <c r="C203" s="52" t="s">
        <v>163</v>
      </c>
      <c r="D203" s="65">
        <v>1996</v>
      </c>
      <c r="E203" s="26">
        <v>3</v>
      </c>
      <c r="F203" s="66">
        <v>15</v>
      </c>
      <c r="G203" s="46">
        <f t="shared" si="74"/>
        <v>75.94</v>
      </c>
      <c r="H203" s="84">
        <v>2870.086100270189</v>
      </c>
      <c r="I203" s="66"/>
      <c r="K203" s="67">
        <v>14.168372800960674</v>
      </c>
      <c r="O203" s="48">
        <f t="shared" si="76"/>
        <v>3.4578949254139051</v>
      </c>
      <c r="R203" s="48">
        <f t="shared" si="77"/>
        <v>1.1513199755726173</v>
      </c>
      <c r="U203" s="48">
        <v>3.4578949254139051</v>
      </c>
      <c r="V203" s="54">
        <v>1.1513199755726173</v>
      </c>
      <c r="W203" s="49">
        <f t="shared" si="75"/>
        <v>1.7426808809246503</v>
      </c>
      <c r="X203" s="49"/>
      <c r="Y203" s="49"/>
      <c r="Z203" s="49"/>
      <c r="AR203" s="70"/>
      <c r="AU203" s="68"/>
    </row>
    <row r="204" spans="1:47" s="28" customFormat="1" ht="12.75" customHeight="1">
      <c r="A204" s="64" t="s">
        <v>182</v>
      </c>
      <c r="B204" s="23" t="s">
        <v>183</v>
      </c>
      <c r="C204" s="52" t="s">
        <v>163</v>
      </c>
      <c r="D204" s="65">
        <v>1996</v>
      </c>
      <c r="E204" s="26">
        <v>4</v>
      </c>
      <c r="F204" s="66">
        <v>15</v>
      </c>
      <c r="G204" s="46">
        <f t="shared" si="74"/>
        <v>106.41</v>
      </c>
      <c r="H204" s="84">
        <v>3807.883667621777</v>
      </c>
      <c r="I204" s="66"/>
      <c r="K204" s="67">
        <v>11.332987106017193</v>
      </c>
      <c r="O204" s="48">
        <f t="shared" si="76"/>
        <v>3.580683672043933</v>
      </c>
      <c r="R204" s="48">
        <f t="shared" si="77"/>
        <v>1.0543443946540889</v>
      </c>
      <c r="U204" s="48">
        <v>3.580683672043933</v>
      </c>
      <c r="V204" s="54">
        <v>1.0543443946540889</v>
      </c>
      <c r="W204" s="49">
        <f t="shared" si="75"/>
        <v>1.7984076373439744</v>
      </c>
      <c r="X204" s="49"/>
      <c r="Y204" s="49"/>
      <c r="Z204" s="49"/>
      <c r="AR204" s="70"/>
      <c r="AU204" s="68"/>
    </row>
    <row r="205" spans="1:47" s="28" customFormat="1" ht="12.75" customHeight="1">
      <c r="A205" s="64" t="s">
        <v>182</v>
      </c>
      <c r="B205" s="23" t="s">
        <v>183</v>
      </c>
      <c r="C205" s="52" t="s">
        <v>163</v>
      </c>
      <c r="D205" s="65">
        <v>1996</v>
      </c>
      <c r="E205" s="26">
        <v>4</v>
      </c>
      <c r="F205" s="66">
        <v>15</v>
      </c>
      <c r="G205" s="46">
        <f t="shared" si="74"/>
        <v>106.41</v>
      </c>
      <c r="H205" s="84">
        <v>4545.7085661764704</v>
      </c>
      <c r="I205" s="66"/>
      <c r="K205" s="67">
        <v>11.162538786764706</v>
      </c>
      <c r="O205" s="48">
        <f t="shared" si="76"/>
        <v>3.6576015888551705</v>
      </c>
      <c r="R205" s="48">
        <f t="shared" si="77"/>
        <v>1.0477629809535898</v>
      </c>
      <c r="U205" s="48">
        <v>3.6576015888551705</v>
      </c>
      <c r="V205" s="54">
        <v>1.0477629809535898</v>
      </c>
      <c r="W205" s="49">
        <f t="shared" si="75"/>
        <v>1.7816468396071614</v>
      </c>
      <c r="X205" s="49"/>
      <c r="Y205" s="49"/>
      <c r="Z205" s="49"/>
      <c r="AR205" s="70"/>
      <c r="AU205" s="68"/>
    </row>
    <row r="206" spans="1:47" s="28" customFormat="1" ht="12.75" customHeight="1">
      <c r="A206" s="64" t="s">
        <v>182</v>
      </c>
      <c r="B206" s="23" t="s">
        <v>183</v>
      </c>
      <c r="C206" s="52" t="s">
        <v>163</v>
      </c>
      <c r="D206" s="65">
        <v>1996</v>
      </c>
      <c r="E206" s="26">
        <v>4</v>
      </c>
      <c r="F206" s="66">
        <v>15</v>
      </c>
      <c r="G206" s="46">
        <f t="shared" si="74"/>
        <v>106.41</v>
      </c>
      <c r="H206" s="84">
        <v>4152.1772878932325</v>
      </c>
      <c r="I206" s="66"/>
      <c r="K206" s="67">
        <v>12.231537035271691</v>
      </c>
      <c r="O206" s="48">
        <f t="shared" si="76"/>
        <v>3.6182758885566737</v>
      </c>
      <c r="R206" s="48">
        <f t="shared" si="77"/>
        <v>1.0874810346318717</v>
      </c>
      <c r="U206" s="48">
        <v>3.6182758885566737</v>
      </c>
      <c r="V206" s="54">
        <v>1.0874810346318717</v>
      </c>
      <c r="W206" s="49">
        <f t="shared" si="75"/>
        <v>1.7555388028550749</v>
      </c>
      <c r="X206" s="49"/>
      <c r="Y206" s="49"/>
      <c r="Z206" s="49"/>
      <c r="AR206" s="70"/>
      <c r="AU206" s="68"/>
    </row>
    <row r="207" spans="1:47" s="28" customFormat="1" ht="12.75" customHeight="1">
      <c r="A207" s="64" t="s">
        <v>182</v>
      </c>
      <c r="B207" s="23" t="s">
        <v>183</v>
      </c>
      <c r="C207" s="52" t="s">
        <v>163</v>
      </c>
      <c r="D207" s="65">
        <v>1996</v>
      </c>
      <c r="E207" s="26">
        <v>6</v>
      </c>
      <c r="F207" s="66">
        <v>15</v>
      </c>
      <c r="G207" s="46">
        <f t="shared" si="74"/>
        <v>167.35</v>
      </c>
      <c r="H207" s="84">
        <v>4630.2868246968028</v>
      </c>
      <c r="I207" s="66"/>
      <c r="K207" s="67">
        <v>7.9525830209481807</v>
      </c>
      <c r="O207" s="48">
        <f t="shared" si="76"/>
        <v>3.6656078943710551</v>
      </c>
      <c r="R207" s="48">
        <f t="shared" si="77"/>
        <v>0.9005082116180021</v>
      </c>
      <c r="U207" s="48">
        <v>3.6656078943710551</v>
      </c>
      <c r="V207" s="54">
        <v>0.9005082116180021</v>
      </c>
      <c r="W207" s="49">
        <f t="shared" si="75"/>
        <v>1.9197150786192552</v>
      </c>
      <c r="X207" s="49"/>
      <c r="Y207" s="49"/>
      <c r="Z207" s="49"/>
      <c r="AR207" s="70"/>
      <c r="AU207" s="68"/>
    </row>
    <row r="208" spans="1:47" s="28" customFormat="1" ht="12.75" customHeight="1">
      <c r="A208" s="64" t="s">
        <v>182</v>
      </c>
      <c r="B208" s="23" t="s">
        <v>183</v>
      </c>
      <c r="C208" s="52" t="s">
        <v>163</v>
      </c>
      <c r="D208" s="65">
        <v>1996</v>
      </c>
      <c r="E208" s="26">
        <v>6</v>
      </c>
      <c r="F208" s="66">
        <v>15</v>
      </c>
      <c r="G208" s="46">
        <f t="shared" si="74"/>
        <v>167.35</v>
      </c>
      <c r="H208" s="84">
        <v>8391.2931499460628</v>
      </c>
      <c r="I208" s="66"/>
      <c r="K208" s="67">
        <v>13.606804584681772</v>
      </c>
      <c r="O208" s="48">
        <f t="shared" si="76"/>
        <v>3.9238288934401435</v>
      </c>
      <c r="R208" s="48">
        <f t="shared" si="77"/>
        <v>1.1337561476738158</v>
      </c>
      <c r="U208" s="48">
        <v>3.9238288934401435</v>
      </c>
      <c r="V208" s="54">
        <v>1.1337561476738158</v>
      </c>
      <c r="W208" s="49">
        <f t="shared" si="75"/>
        <v>1.6198763309578457</v>
      </c>
      <c r="X208" s="49"/>
      <c r="Y208" s="49"/>
      <c r="Z208" s="49"/>
      <c r="AR208" s="70"/>
      <c r="AU208" s="68"/>
    </row>
    <row r="209" spans="1:47" s="28" customFormat="1" ht="12.75" customHeight="1">
      <c r="A209" s="64" t="s">
        <v>182</v>
      </c>
      <c r="B209" s="23" t="s">
        <v>183</v>
      </c>
      <c r="C209" s="52" t="s">
        <v>163</v>
      </c>
      <c r="D209" s="65">
        <v>1996</v>
      </c>
      <c r="E209" s="26">
        <v>6</v>
      </c>
      <c r="F209" s="66">
        <v>15</v>
      </c>
      <c r="G209" s="46">
        <f t="shared" si="74"/>
        <v>167.35</v>
      </c>
      <c r="H209" s="84">
        <v>13472.18904299584</v>
      </c>
      <c r="I209" s="66"/>
      <c r="K209" s="67">
        <v>13.248716712898752</v>
      </c>
      <c r="O209" s="48">
        <f t="shared" si="76"/>
        <v>4.1294381682584476</v>
      </c>
      <c r="R209" s="48">
        <f t="shared" si="77"/>
        <v>1.1221738140088666</v>
      </c>
      <c r="U209" s="48">
        <v>4.1294381682584476</v>
      </c>
      <c r="V209" s="54">
        <v>1.1221738140088666</v>
      </c>
      <c r="W209" s="49">
        <f t="shared" si="75"/>
        <v>1.5693396832445978</v>
      </c>
      <c r="X209" s="49"/>
      <c r="Y209" s="49"/>
      <c r="Z209" s="49"/>
      <c r="AR209" s="70"/>
      <c r="AU209" s="68"/>
    </row>
    <row r="210" spans="1:47" s="28" customFormat="1" ht="12.75" customHeight="1">
      <c r="A210" s="64" t="s">
        <v>182</v>
      </c>
      <c r="B210" s="23" t="s">
        <v>183</v>
      </c>
      <c r="C210" s="52" t="s">
        <v>163</v>
      </c>
      <c r="D210" s="65">
        <v>1996</v>
      </c>
      <c r="E210" s="26">
        <v>6</v>
      </c>
      <c r="F210" s="66">
        <v>15</v>
      </c>
      <c r="G210" s="46">
        <f t="shared" si="74"/>
        <v>167.35</v>
      </c>
      <c r="H210" s="84">
        <v>7437.249647058823</v>
      </c>
      <c r="I210" s="66"/>
      <c r="K210" s="67">
        <v>11.687106588235293</v>
      </c>
      <c r="O210" s="48">
        <f t="shared" si="76"/>
        <v>3.8714123597475849</v>
      </c>
      <c r="R210" s="48">
        <f t="shared" si="77"/>
        <v>1.0677070048915529</v>
      </c>
      <c r="U210" s="48">
        <v>3.8714123597475849</v>
      </c>
      <c r="V210" s="54">
        <v>1.0677070048915529</v>
      </c>
      <c r="W210" s="49">
        <f t="shared" si="75"/>
        <v>1.6985806495454965</v>
      </c>
      <c r="X210" s="49"/>
      <c r="Y210" s="49"/>
      <c r="Z210" s="49"/>
      <c r="AR210" s="70"/>
      <c r="AU210" s="68"/>
    </row>
    <row r="211" spans="1:47" s="28" customFormat="1" ht="12.75" customHeight="1">
      <c r="A211" s="64" t="s">
        <v>182</v>
      </c>
      <c r="B211" s="23" t="s">
        <v>183</v>
      </c>
      <c r="C211" s="52" t="s">
        <v>163</v>
      </c>
      <c r="D211" s="65">
        <v>1996</v>
      </c>
      <c r="E211" s="26">
        <v>8</v>
      </c>
      <c r="F211" s="66">
        <v>15</v>
      </c>
      <c r="G211" s="46">
        <f t="shared" si="74"/>
        <v>228.29</v>
      </c>
      <c r="H211" s="84">
        <v>3883.6534090909099</v>
      </c>
      <c r="I211" s="66"/>
      <c r="K211" s="67">
        <v>5.3812713903743328</v>
      </c>
      <c r="O211" s="48">
        <f t="shared" si="76"/>
        <v>3.5892404649960921</v>
      </c>
      <c r="R211" s="48">
        <f t="shared" si="77"/>
        <v>0.73088489510724453</v>
      </c>
      <c r="U211" s="48">
        <v>3.5892404649960921</v>
      </c>
      <c r="V211" s="54">
        <v>0.73088489510724453</v>
      </c>
      <c r="W211" s="49">
        <f t="shared" si="75"/>
        <v>2.1043926839754312</v>
      </c>
      <c r="X211" s="49"/>
      <c r="Y211" s="49"/>
      <c r="Z211" s="49"/>
      <c r="AR211" s="70"/>
      <c r="AU211" s="68"/>
    </row>
    <row r="212" spans="1:47" s="28" customFormat="1" ht="12.75" customHeight="1">
      <c r="A212" s="64" t="s">
        <v>182</v>
      </c>
      <c r="B212" s="23" t="s">
        <v>183</v>
      </c>
      <c r="C212" s="52" t="s">
        <v>163</v>
      </c>
      <c r="D212" s="65">
        <v>1996</v>
      </c>
      <c r="E212" s="26">
        <v>8</v>
      </c>
      <c r="F212" s="66">
        <v>15</v>
      </c>
      <c r="G212" s="46">
        <f t="shared" si="74"/>
        <v>228.29</v>
      </c>
      <c r="H212" s="84">
        <v>6459.4323651452287</v>
      </c>
      <c r="I212" s="66"/>
      <c r="K212" s="67">
        <v>5.8033962655601661</v>
      </c>
      <c r="O212" s="48">
        <f t="shared" si="76"/>
        <v>3.8101943552216193</v>
      </c>
      <c r="R212" s="48">
        <f t="shared" si="77"/>
        <v>0.76368222592736268</v>
      </c>
      <c r="U212" s="48">
        <v>3.8101943552216193</v>
      </c>
      <c r="V212" s="54">
        <v>0.76368222592736268</v>
      </c>
      <c r="W212" s="49">
        <f t="shared" si="75"/>
        <v>2.0069261845178756</v>
      </c>
      <c r="X212" s="49"/>
      <c r="Y212" s="49"/>
      <c r="Z212" s="49"/>
      <c r="AR212" s="70"/>
      <c r="AU212" s="68"/>
    </row>
    <row r="213" spans="1:47" s="28" customFormat="1" ht="12.75" customHeight="1">
      <c r="A213" s="64" t="s">
        <v>182</v>
      </c>
      <c r="B213" s="23" t="s">
        <v>183</v>
      </c>
      <c r="C213" s="52" t="s">
        <v>163</v>
      </c>
      <c r="D213" s="65">
        <v>1996</v>
      </c>
      <c r="E213" s="26">
        <v>8</v>
      </c>
      <c r="F213" s="66">
        <v>15</v>
      </c>
      <c r="G213" s="46">
        <f t="shared" si="74"/>
        <v>228.29</v>
      </c>
      <c r="H213" s="84">
        <v>4050.9580868761545</v>
      </c>
      <c r="I213" s="66"/>
      <c r="K213" s="67">
        <v>2.2370962569316082</v>
      </c>
      <c r="O213" s="48">
        <f t="shared" si="76"/>
        <v>3.6075577497911984</v>
      </c>
      <c r="R213" s="48">
        <f t="shared" si="77"/>
        <v>0.34968467115736696</v>
      </c>
      <c r="U213" s="48">
        <v>3.6075577497911984</v>
      </c>
      <c r="V213" s="54">
        <v>0.34968467115736696</v>
      </c>
      <c r="W213" s="49">
        <f t="shared" si="75"/>
        <v>2.4625331001998791</v>
      </c>
      <c r="X213" s="49"/>
      <c r="Y213" s="49"/>
      <c r="Z213" s="49"/>
      <c r="AR213" s="70"/>
      <c r="AU213" s="68"/>
    </row>
    <row r="214" spans="1:47" s="28" customFormat="1" ht="12.75" customHeight="1">
      <c r="A214" s="64" t="s">
        <v>182</v>
      </c>
      <c r="B214" s="23" t="s">
        <v>183</v>
      </c>
      <c r="C214" s="52" t="s">
        <v>163</v>
      </c>
      <c r="D214" s="65">
        <v>1996</v>
      </c>
      <c r="E214" s="26">
        <v>8</v>
      </c>
      <c r="F214" s="66">
        <v>15</v>
      </c>
      <c r="G214" s="46">
        <f t="shared" si="74"/>
        <v>228.29</v>
      </c>
      <c r="H214" s="84">
        <v>6064.6956043956043</v>
      </c>
      <c r="I214" s="66"/>
      <c r="K214" s="67">
        <v>5.4431584772370485</v>
      </c>
      <c r="O214" s="48">
        <f t="shared" si="76"/>
        <v>3.7828090078985794</v>
      </c>
      <c r="R214" s="48">
        <f t="shared" si="77"/>
        <v>0.73585097895929652</v>
      </c>
      <c r="U214" s="48">
        <v>3.7828090078985794</v>
      </c>
      <c r="V214" s="54">
        <v>0.73585097895929652</v>
      </c>
      <c r="W214" s="49">
        <f t="shared" si="75"/>
        <v>2.0416769962035084</v>
      </c>
      <c r="X214" s="49"/>
      <c r="Y214" s="49"/>
      <c r="Z214" s="49"/>
      <c r="AR214" s="70"/>
      <c r="AU214" s="68"/>
    </row>
    <row r="215" spans="1:47" s="28" customFormat="1" ht="12.75" customHeight="1">
      <c r="A215" s="64" t="s">
        <v>182</v>
      </c>
      <c r="B215" s="23" t="s">
        <v>183</v>
      </c>
      <c r="C215" s="52" t="s">
        <v>163</v>
      </c>
      <c r="D215" s="65">
        <v>1996</v>
      </c>
      <c r="E215" s="26">
        <v>9</v>
      </c>
      <c r="F215" s="66">
        <v>15</v>
      </c>
      <c r="G215" s="46">
        <f t="shared" si="74"/>
        <v>258.76</v>
      </c>
      <c r="H215" s="84">
        <v>1297.5</v>
      </c>
      <c r="I215" s="66"/>
      <c r="K215" s="67">
        <v>2.3008999999999999</v>
      </c>
      <c r="O215" s="48">
        <f t="shared" si="76"/>
        <v>3.1131073665204956</v>
      </c>
      <c r="R215" s="48">
        <f t="shared" si="77"/>
        <v>0.36189774409588121</v>
      </c>
      <c r="U215" s="48">
        <v>3.1131073665204956</v>
      </c>
      <c r="V215" s="54">
        <v>0.36189774409588121</v>
      </c>
      <c r="W215" s="49">
        <f t="shared" si="75"/>
        <v>2.5989831031928339</v>
      </c>
      <c r="X215" s="49"/>
      <c r="Y215" s="49"/>
      <c r="Z215" s="49"/>
      <c r="AR215" s="70"/>
      <c r="AU215" s="68"/>
    </row>
    <row r="216" spans="1:47" s="28" customFormat="1" ht="12.75" customHeight="1">
      <c r="A216" s="64" t="s">
        <v>182</v>
      </c>
      <c r="B216" s="23" t="s">
        <v>183</v>
      </c>
      <c r="C216" s="52" t="s">
        <v>163</v>
      </c>
      <c r="D216" s="65">
        <v>1996</v>
      </c>
      <c r="E216" s="26">
        <v>9</v>
      </c>
      <c r="F216" s="66">
        <v>15</v>
      </c>
      <c r="G216" s="46">
        <f t="shared" si="74"/>
        <v>258.76</v>
      </c>
      <c r="H216" s="84">
        <v>3562.1924778761058</v>
      </c>
      <c r="I216" s="66"/>
      <c r="K216" s="67">
        <v>3.7731934260429827</v>
      </c>
      <c r="O216" s="48">
        <f t="shared" si="76"/>
        <v>3.5517173822302714</v>
      </c>
      <c r="R216" s="48">
        <f t="shared" si="77"/>
        <v>0.57670906910503283</v>
      </c>
      <c r="U216" s="48">
        <v>3.5517173822302714</v>
      </c>
      <c r="V216" s="54">
        <v>0.57670906910503283</v>
      </c>
      <c r="W216" s="49">
        <f t="shared" si="75"/>
        <v>2.2627000907551396</v>
      </c>
      <c r="X216" s="49"/>
      <c r="Y216" s="49"/>
      <c r="Z216" s="49"/>
      <c r="AR216" s="70"/>
      <c r="AU216" s="68"/>
    </row>
    <row r="217" spans="1:47" s="28" customFormat="1" ht="12.75" customHeight="1">
      <c r="A217" s="64" t="s">
        <v>182</v>
      </c>
      <c r="B217" s="23" t="s">
        <v>183</v>
      </c>
      <c r="C217" s="52" t="s">
        <v>163</v>
      </c>
      <c r="D217" s="65">
        <v>1996</v>
      </c>
      <c r="E217" s="26">
        <v>9</v>
      </c>
      <c r="F217" s="66">
        <v>15</v>
      </c>
      <c r="G217" s="46">
        <f t="shared" si="74"/>
        <v>258.76</v>
      </c>
      <c r="H217" s="84">
        <v>2690.15</v>
      </c>
      <c r="I217" s="66"/>
      <c r="K217" s="67">
        <v>3.7195</v>
      </c>
      <c r="O217" s="48">
        <f t="shared" si="76"/>
        <v>3.4297764964916517</v>
      </c>
      <c r="R217" s="48">
        <f t="shared" si="77"/>
        <v>0.57048456304440076</v>
      </c>
      <c r="U217" s="48">
        <v>3.4297764964916517</v>
      </c>
      <c r="V217" s="54">
        <v>0.57048456304440076</v>
      </c>
      <c r="W217" s="49">
        <f t="shared" si="75"/>
        <v>2.3051619421108827</v>
      </c>
      <c r="X217" s="49"/>
      <c r="Y217" s="49"/>
      <c r="Z217" s="49"/>
      <c r="AR217" s="70"/>
      <c r="AU217" s="68"/>
    </row>
    <row r="218" spans="1:47" s="28" customFormat="1" ht="12.75" customHeight="1">
      <c r="A218" s="64" t="s">
        <v>182</v>
      </c>
      <c r="B218" s="23" t="s">
        <v>183</v>
      </c>
      <c r="C218" s="52" t="s">
        <v>163</v>
      </c>
      <c r="D218" s="65">
        <v>1996</v>
      </c>
      <c r="E218" s="26">
        <v>9</v>
      </c>
      <c r="F218" s="66">
        <v>15</v>
      </c>
      <c r="G218" s="46">
        <f t="shared" si="74"/>
        <v>258.76</v>
      </c>
      <c r="H218" s="84">
        <v>2664.2</v>
      </c>
      <c r="I218" s="66"/>
      <c r="K218" s="67">
        <v>5.2245999999999997</v>
      </c>
      <c r="O218" s="48">
        <f t="shared" si="76"/>
        <v>3.4255668239652586</v>
      </c>
      <c r="R218" s="48">
        <f t="shared" si="77"/>
        <v>0.718053046085946</v>
      </c>
      <c r="U218" s="48">
        <v>3.4255668239652586</v>
      </c>
      <c r="V218" s="54">
        <v>0.718053046085946</v>
      </c>
      <c r="W218" s="49">
        <f t="shared" si="75"/>
        <v>2.1656572666171514</v>
      </c>
      <c r="X218" s="49"/>
      <c r="Y218" s="49"/>
      <c r="Z218" s="49"/>
      <c r="AR218" s="70"/>
      <c r="AU218" s="68"/>
    </row>
    <row r="219" spans="1:47" s="28" customFormat="1" ht="12.75" customHeight="1">
      <c r="A219" s="64" t="s">
        <v>182</v>
      </c>
      <c r="B219" s="23" t="s">
        <v>183</v>
      </c>
      <c r="C219" s="52" t="s">
        <v>163</v>
      </c>
      <c r="D219" s="65">
        <v>1996</v>
      </c>
      <c r="E219" s="26">
        <v>11</v>
      </c>
      <c r="F219" s="66">
        <v>15</v>
      </c>
      <c r="G219" s="46">
        <f t="shared" si="74"/>
        <v>319.7</v>
      </c>
      <c r="H219" s="84">
        <v>2915.05</v>
      </c>
      <c r="I219" s="66"/>
      <c r="K219" s="67">
        <v>4.8699499999999993</v>
      </c>
      <c r="O219" s="48">
        <f t="shared" si="76"/>
        <v>3.4646460083361528</v>
      </c>
      <c r="R219" s="48">
        <f t="shared" si="77"/>
        <v>0.68752450231616036</v>
      </c>
      <c r="U219" s="48">
        <v>3.4646460083361528</v>
      </c>
      <c r="V219" s="54">
        <v>0.68752450231616036</v>
      </c>
      <c r="W219" s="49">
        <f t="shared" si="75"/>
        <v>2.1830732674521314</v>
      </c>
      <c r="X219" s="49"/>
      <c r="Y219" s="49"/>
      <c r="Z219" s="49"/>
      <c r="AR219" s="70"/>
      <c r="AU219" s="68"/>
    </row>
    <row r="220" spans="1:47" s="28" customFormat="1" ht="12.75" customHeight="1">
      <c r="A220" s="64" t="s">
        <v>182</v>
      </c>
      <c r="B220" s="23" t="s">
        <v>183</v>
      </c>
      <c r="C220" s="52" t="s">
        <v>163</v>
      </c>
      <c r="D220" s="65">
        <v>1996</v>
      </c>
      <c r="E220" s="26">
        <v>11</v>
      </c>
      <c r="F220" s="66">
        <v>15</v>
      </c>
      <c r="G220" s="46">
        <f t="shared" si="74"/>
        <v>319.7</v>
      </c>
      <c r="H220" s="84">
        <v>1928.95</v>
      </c>
      <c r="I220" s="66"/>
      <c r="K220" s="67">
        <v>3.2264500000000003</v>
      </c>
      <c r="O220" s="48">
        <f t="shared" si="76"/>
        <v>3.2853209705129749</v>
      </c>
      <c r="R220" s="48">
        <f t="shared" si="77"/>
        <v>0.50872493927350182</v>
      </c>
      <c r="U220" s="48">
        <v>3.2853209705129749</v>
      </c>
      <c r="V220" s="54">
        <v>0.50872493927350182</v>
      </c>
      <c r="W220" s="49">
        <f t="shared" si="75"/>
        <v>2.4073424308624958</v>
      </c>
      <c r="X220" s="49"/>
      <c r="Y220" s="49"/>
      <c r="Z220" s="49"/>
      <c r="AR220" s="70"/>
      <c r="AU220" s="68"/>
    </row>
    <row r="221" spans="1:47" s="28" customFormat="1" ht="12.75" customHeight="1">
      <c r="A221" s="64" t="s">
        <v>182</v>
      </c>
      <c r="B221" s="23" t="s">
        <v>183</v>
      </c>
      <c r="C221" s="52" t="s">
        <v>163</v>
      </c>
      <c r="D221" s="65">
        <v>1996</v>
      </c>
      <c r="E221" s="26">
        <v>11</v>
      </c>
      <c r="F221" s="66">
        <v>15</v>
      </c>
      <c r="G221" s="46">
        <f t="shared" si="74"/>
        <v>319.7</v>
      </c>
      <c r="H221" s="84">
        <v>1764.6</v>
      </c>
      <c r="I221" s="66"/>
      <c r="K221" s="67">
        <v>2.9496500000000005</v>
      </c>
      <c r="O221" s="48">
        <f t="shared" si="76"/>
        <v>3.246646274890713</v>
      </c>
      <c r="R221" s="48">
        <f t="shared" si="77"/>
        <v>0.46977048645731201</v>
      </c>
      <c r="U221" s="48">
        <v>3.246646274890713</v>
      </c>
      <c r="V221" s="54">
        <v>0.46977048645731201</v>
      </c>
      <c r="W221" s="49">
        <f t="shared" si="75"/>
        <v>2.4560851061402396</v>
      </c>
      <c r="X221" s="49"/>
      <c r="Y221" s="49"/>
      <c r="Z221" s="49"/>
      <c r="AR221" s="70"/>
      <c r="AU221" s="68"/>
    </row>
    <row r="222" spans="1:47" s="28" customFormat="1" ht="12.75" customHeight="1">
      <c r="A222" s="64" t="s">
        <v>182</v>
      </c>
      <c r="B222" s="23" t="s">
        <v>183</v>
      </c>
      <c r="C222" s="52" t="s">
        <v>163</v>
      </c>
      <c r="D222" s="65">
        <v>1996</v>
      </c>
      <c r="E222" s="26">
        <v>11</v>
      </c>
      <c r="F222" s="66">
        <v>15</v>
      </c>
      <c r="G222" s="46">
        <f t="shared" si="74"/>
        <v>319.7</v>
      </c>
      <c r="H222" s="84">
        <v>1920.3</v>
      </c>
      <c r="I222" s="66"/>
      <c r="K222" s="67">
        <v>3.2091499999999997</v>
      </c>
      <c r="O222" s="48">
        <f t="shared" si="76"/>
        <v>3.2833690819154526</v>
      </c>
      <c r="R222" s="48">
        <f t="shared" si="77"/>
        <v>0.50639001707986009</v>
      </c>
      <c r="U222" s="48">
        <v>3.2833690819154526</v>
      </c>
      <c r="V222" s="54">
        <v>0.50639001707986009</v>
      </c>
      <c r="W222" s="49">
        <f t="shared" si="75"/>
        <v>2.4101543517944282</v>
      </c>
      <c r="X222" s="49"/>
      <c r="Y222" s="49"/>
      <c r="Z222" s="49"/>
      <c r="AR222" s="70"/>
      <c r="AU222" s="68"/>
    </row>
    <row r="223" spans="1:47" s="28" customFormat="1" ht="12.75" customHeight="1">
      <c r="A223" s="64" t="s">
        <v>182</v>
      </c>
      <c r="B223" s="23" t="s">
        <v>183</v>
      </c>
      <c r="C223" s="52" t="s">
        <v>163</v>
      </c>
      <c r="D223" s="65">
        <v>1996</v>
      </c>
      <c r="E223" s="26">
        <v>12</v>
      </c>
      <c r="F223" s="66">
        <v>15</v>
      </c>
      <c r="G223" s="46">
        <f t="shared" si="74"/>
        <v>350.16999999999996</v>
      </c>
      <c r="H223" s="84">
        <v>1980.85</v>
      </c>
      <c r="I223" s="66"/>
      <c r="K223" s="67">
        <v>4.7056000000000004</v>
      </c>
      <c r="O223" s="48">
        <f t="shared" si="76"/>
        <v>3.2968515898047022</v>
      </c>
      <c r="R223" s="48">
        <f t="shared" si="77"/>
        <v>0.67261500716299416</v>
      </c>
      <c r="U223" s="48">
        <v>3.2968515898047022</v>
      </c>
      <c r="V223" s="54">
        <v>0.67261500716299416</v>
      </c>
      <c r="W223" s="49">
        <f t="shared" si="75"/>
        <v>2.2475539909716025</v>
      </c>
      <c r="X223" s="49"/>
      <c r="Y223" s="49"/>
      <c r="Z223" s="49"/>
      <c r="AR223" s="70"/>
      <c r="AU223" s="68"/>
    </row>
    <row r="224" spans="1:47" s="28" customFormat="1" ht="12.75" customHeight="1">
      <c r="A224" s="64" t="s">
        <v>182</v>
      </c>
      <c r="B224" s="23" t="s">
        <v>183</v>
      </c>
      <c r="C224" s="52" t="s">
        <v>163</v>
      </c>
      <c r="D224" s="65">
        <v>1996</v>
      </c>
      <c r="E224" s="26">
        <v>12</v>
      </c>
      <c r="F224" s="66">
        <v>15</v>
      </c>
      <c r="G224" s="46">
        <f t="shared" si="74"/>
        <v>350.16999999999996</v>
      </c>
      <c r="H224" s="84">
        <v>1954.9</v>
      </c>
      <c r="I224" s="66"/>
      <c r="K224" s="67">
        <v>3.9444000000000008</v>
      </c>
      <c r="O224" s="48">
        <f t="shared" si="76"/>
        <v>3.291124546612215</v>
      </c>
      <c r="R224" s="48">
        <f t="shared" si="77"/>
        <v>0.59598095012924934</v>
      </c>
      <c r="U224" s="48">
        <v>3.291124546612215</v>
      </c>
      <c r="V224" s="54">
        <v>0.59598095012924934</v>
      </c>
      <c r="W224" s="49">
        <f t="shared" si="75"/>
        <v>2.3223706082975042</v>
      </c>
      <c r="X224" s="49"/>
      <c r="Y224" s="49"/>
      <c r="Z224" s="49"/>
      <c r="AR224" s="70"/>
      <c r="AU224" s="68"/>
    </row>
    <row r="225" spans="1:47" s="28" customFormat="1" ht="12.75" customHeight="1">
      <c r="A225" s="64" t="s">
        <v>182</v>
      </c>
      <c r="B225" s="23" t="s">
        <v>183</v>
      </c>
      <c r="C225" s="52" t="s">
        <v>163</v>
      </c>
      <c r="D225" s="65">
        <v>1996</v>
      </c>
      <c r="E225" s="26">
        <v>12</v>
      </c>
      <c r="F225" s="66">
        <v>15</v>
      </c>
      <c r="G225" s="46">
        <f t="shared" si="74"/>
        <v>350.16999999999996</v>
      </c>
      <c r="H225" s="84">
        <v>2837.2</v>
      </c>
      <c r="I225" s="66"/>
      <c r="K225" s="67">
        <v>7.9234000000000018</v>
      </c>
      <c r="O225" s="48">
        <f t="shared" si="76"/>
        <v>3.4528899511764934</v>
      </c>
      <c r="R225" s="48">
        <f t="shared" si="77"/>
        <v>0.89891158113266467</v>
      </c>
      <c r="U225" s="48">
        <v>3.4528899511764934</v>
      </c>
      <c r="V225" s="54">
        <v>0.89891158113266467</v>
      </c>
      <c r="W225" s="49">
        <f t="shared" si="75"/>
        <v>1.9849523612873925</v>
      </c>
      <c r="X225" s="49"/>
      <c r="Y225" s="49"/>
      <c r="Z225" s="49"/>
      <c r="AR225" s="70"/>
      <c r="AU225" s="68"/>
    </row>
    <row r="226" spans="1:47" s="28" customFormat="1" ht="12.75" customHeight="1">
      <c r="A226" s="64" t="s">
        <v>182</v>
      </c>
      <c r="B226" s="23" t="s">
        <v>183</v>
      </c>
      <c r="C226" s="52" t="s">
        <v>163</v>
      </c>
      <c r="D226" s="65">
        <v>1996</v>
      </c>
      <c r="E226" s="26">
        <v>12</v>
      </c>
      <c r="F226" s="66">
        <v>15</v>
      </c>
      <c r="G226" s="46">
        <f t="shared" si="74"/>
        <v>350.16999999999996</v>
      </c>
      <c r="H226" s="84">
        <v>1548.35</v>
      </c>
      <c r="I226" s="66"/>
      <c r="K226" s="67">
        <v>3.3821500000000002</v>
      </c>
      <c r="O226" s="48">
        <f t="shared" si="76"/>
        <v>3.1898691384447075</v>
      </c>
      <c r="R226" s="48">
        <f t="shared" si="77"/>
        <v>0.52919286486068107</v>
      </c>
      <c r="U226" s="48">
        <v>3.1898691384447075</v>
      </c>
      <c r="V226" s="54">
        <v>0.52919286486068107</v>
      </c>
      <c r="W226" s="49">
        <f t="shared" si="75"/>
        <v>2.4164082484644007</v>
      </c>
      <c r="X226" s="49"/>
      <c r="Y226" s="49"/>
      <c r="Z226" s="49"/>
      <c r="AR226" s="70"/>
      <c r="AU226" s="68"/>
    </row>
    <row r="227" spans="1:47" s="28" customFormat="1" ht="12.75" customHeight="1">
      <c r="A227" s="64" t="s">
        <v>182</v>
      </c>
      <c r="B227" s="23" t="s">
        <v>183</v>
      </c>
      <c r="C227" s="52" t="s">
        <v>163</v>
      </c>
      <c r="D227" s="65">
        <v>1997</v>
      </c>
      <c r="E227" s="26">
        <v>2</v>
      </c>
      <c r="F227" s="66">
        <v>15</v>
      </c>
      <c r="G227" s="46">
        <f t="shared" si="74"/>
        <v>45.47</v>
      </c>
      <c r="H227" s="84">
        <v>4039.55</v>
      </c>
      <c r="I227" s="66"/>
      <c r="K227" s="67">
        <v>10.1897</v>
      </c>
      <c r="O227" s="48">
        <f t="shared" si="76"/>
        <v>3.6063329880309265</v>
      </c>
      <c r="R227" s="48">
        <f t="shared" si="77"/>
        <v>1.008161397915897</v>
      </c>
      <c r="U227" s="48">
        <v>3.6063329880309265</v>
      </c>
      <c r="V227" s="54">
        <v>1.008161397915897</v>
      </c>
      <c r="W227" s="49">
        <f t="shared" si="75"/>
        <v>1.8347789968212576</v>
      </c>
      <c r="X227" s="49"/>
      <c r="Y227" s="49"/>
      <c r="Z227" s="49"/>
      <c r="AR227" s="70"/>
      <c r="AU227" s="68"/>
    </row>
    <row r="228" spans="1:47" s="28" customFormat="1" ht="12.75" customHeight="1">
      <c r="A228" s="64" t="s">
        <v>182</v>
      </c>
      <c r="B228" s="23" t="s">
        <v>183</v>
      </c>
      <c r="C228" s="52" t="s">
        <v>163</v>
      </c>
      <c r="D228" s="65">
        <v>1997</v>
      </c>
      <c r="E228" s="26">
        <v>2</v>
      </c>
      <c r="F228" s="66">
        <v>15</v>
      </c>
      <c r="G228" s="46">
        <f t="shared" si="74"/>
        <v>45.47</v>
      </c>
      <c r="H228" s="84">
        <v>4865.2708143767059</v>
      </c>
      <c r="I228" s="66"/>
      <c r="K228" s="67">
        <v>14.904485213830757</v>
      </c>
      <c r="O228" s="48">
        <f t="shared" si="76"/>
        <v>3.6871070193044786</v>
      </c>
      <c r="R228" s="48">
        <f t="shared" si="77"/>
        <v>1.1733169805260772</v>
      </c>
      <c r="U228" s="48">
        <v>3.6871070193044786</v>
      </c>
      <c r="V228" s="54">
        <v>1.1733169805260772</v>
      </c>
      <c r="W228" s="49">
        <f t="shared" si="75"/>
        <v>1.6530432771618087</v>
      </c>
      <c r="X228" s="49"/>
      <c r="Y228" s="49"/>
      <c r="Z228" s="49"/>
      <c r="AR228" s="70"/>
      <c r="AU228" s="68"/>
    </row>
    <row r="229" spans="1:47" s="28" customFormat="1" ht="12.75" customHeight="1">
      <c r="A229" s="64" t="s">
        <v>182</v>
      </c>
      <c r="B229" s="23" t="s">
        <v>183</v>
      </c>
      <c r="C229" s="52" t="s">
        <v>163</v>
      </c>
      <c r="D229" s="65">
        <v>1997</v>
      </c>
      <c r="E229" s="26">
        <v>2</v>
      </c>
      <c r="F229" s="66">
        <v>15</v>
      </c>
      <c r="G229" s="46">
        <f t="shared" si="74"/>
        <v>45.47</v>
      </c>
      <c r="H229" s="84">
        <v>5948.186922458819</v>
      </c>
      <c r="I229" s="66"/>
      <c r="K229" s="67">
        <v>14.312441522699883</v>
      </c>
      <c r="O229" s="48">
        <f t="shared" si="76"/>
        <v>3.7743846078184538</v>
      </c>
      <c r="R229" s="48">
        <f t="shared" si="77"/>
        <v>1.1557137252615606</v>
      </c>
      <c r="U229" s="48">
        <v>3.7743846078184538</v>
      </c>
      <c r="V229" s="54">
        <v>1.1557137252615606</v>
      </c>
      <c r="W229" s="49">
        <f t="shared" si="75"/>
        <v>1.643693237570018</v>
      </c>
      <c r="X229" s="49"/>
      <c r="Y229" s="49"/>
      <c r="Z229" s="49"/>
      <c r="AR229" s="70"/>
      <c r="AU229" s="68"/>
    </row>
    <row r="230" spans="1:47" s="28" customFormat="1" ht="12.75" customHeight="1">
      <c r="A230" s="64" t="s">
        <v>182</v>
      </c>
      <c r="B230" s="23" t="s">
        <v>183</v>
      </c>
      <c r="C230" s="52" t="s">
        <v>163</v>
      </c>
      <c r="D230" s="65">
        <v>1997</v>
      </c>
      <c r="E230" s="26">
        <v>2</v>
      </c>
      <c r="F230" s="66">
        <v>15</v>
      </c>
      <c r="G230" s="46">
        <f t="shared" si="74"/>
        <v>45.47</v>
      </c>
      <c r="H230" s="84">
        <v>3900.3774747030357</v>
      </c>
      <c r="I230" s="66"/>
      <c r="K230" s="67">
        <v>10.498516036075671</v>
      </c>
      <c r="O230" s="48">
        <f t="shared" si="76"/>
        <v>3.5911066396540856</v>
      </c>
      <c r="R230" s="48">
        <f t="shared" si="77"/>
        <v>1.0211279159375639</v>
      </c>
      <c r="U230" s="48">
        <v>3.5911066396540856</v>
      </c>
      <c r="V230" s="54">
        <v>1.0211279159375639</v>
      </c>
      <c r="W230" s="49">
        <f t="shared" si="75"/>
        <v>1.8269709011874238</v>
      </c>
      <c r="X230" s="49"/>
      <c r="Y230" s="49"/>
      <c r="Z230" s="49"/>
      <c r="AR230" s="70"/>
      <c r="AU230" s="68"/>
    </row>
    <row r="231" spans="1:47" s="28" customFormat="1" ht="12.75" customHeight="1">
      <c r="A231" s="64" t="s">
        <v>182</v>
      </c>
      <c r="B231" s="23" t="s">
        <v>183</v>
      </c>
      <c r="C231" s="52" t="s">
        <v>163</v>
      </c>
      <c r="D231" s="65">
        <v>1997</v>
      </c>
      <c r="E231" s="26">
        <v>3</v>
      </c>
      <c r="F231" s="66">
        <v>15</v>
      </c>
      <c r="G231" s="46">
        <f t="shared" si="74"/>
        <v>75.94</v>
      </c>
      <c r="H231" s="84">
        <v>7610.625</v>
      </c>
      <c r="I231" s="66"/>
      <c r="K231" s="67">
        <v>17.98875</v>
      </c>
      <c r="O231" s="48">
        <f t="shared" si="76"/>
        <v>3.8814203233810232</v>
      </c>
      <c r="R231" s="48">
        <f t="shared" si="77"/>
        <v>1.255000986193616</v>
      </c>
      <c r="U231" s="48">
        <v>3.8814203233810232</v>
      </c>
      <c r="V231" s="54">
        <v>1.255000986193616</v>
      </c>
      <c r="W231" s="49">
        <f t="shared" si="75"/>
        <v>1.5169232894773381</v>
      </c>
      <c r="X231" s="49"/>
      <c r="Y231" s="49"/>
      <c r="Z231" s="49"/>
      <c r="AR231" s="70"/>
      <c r="AU231" s="68"/>
    </row>
    <row r="232" spans="1:47" s="28" customFormat="1" ht="12.75" customHeight="1">
      <c r="A232" s="64" t="s">
        <v>182</v>
      </c>
      <c r="B232" s="23" t="s">
        <v>183</v>
      </c>
      <c r="C232" s="52" t="s">
        <v>163</v>
      </c>
      <c r="D232" s="65">
        <v>1997</v>
      </c>
      <c r="E232" s="26">
        <v>3</v>
      </c>
      <c r="F232" s="66">
        <v>15</v>
      </c>
      <c r="G232" s="46">
        <f t="shared" si="74"/>
        <v>75.94</v>
      </c>
      <c r="H232" s="84">
        <v>5280.9451399999998</v>
      </c>
      <c r="I232" s="66"/>
      <c r="K232" s="67">
        <v>13.1141208</v>
      </c>
      <c r="O232" s="48">
        <f t="shared" si="76"/>
        <v>3.7227116559340487</v>
      </c>
      <c r="R232" s="48">
        <f t="shared" si="77"/>
        <v>1.1177391798285736</v>
      </c>
      <c r="U232" s="48">
        <v>3.7227116559340487</v>
      </c>
      <c r="V232" s="54">
        <v>1.1177391798285736</v>
      </c>
      <c r="W232" s="49">
        <f t="shared" si="75"/>
        <v>1.6953944767025402</v>
      </c>
      <c r="X232" s="49"/>
      <c r="Y232" s="49"/>
      <c r="Z232" s="49"/>
      <c r="AR232" s="70"/>
      <c r="AU232" s="68"/>
    </row>
    <row r="233" spans="1:47" s="28" customFormat="1" ht="12.75" customHeight="1">
      <c r="A233" s="64" t="s">
        <v>182</v>
      </c>
      <c r="B233" s="23" t="s">
        <v>183</v>
      </c>
      <c r="C233" s="52" t="s">
        <v>163</v>
      </c>
      <c r="D233" s="65">
        <v>1997</v>
      </c>
      <c r="E233" s="26">
        <v>3</v>
      </c>
      <c r="F233" s="66">
        <v>15</v>
      </c>
      <c r="G233" s="46">
        <f t="shared" si="74"/>
        <v>75.94</v>
      </c>
      <c r="H233" s="84">
        <v>3258.0914200000002</v>
      </c>
      <c r="I233" s="66"/>
      <c r="K233" s="67">
        <v>11.2277342</v>
      </c>
      <c r="O233" s="48">
        <f t="shared" si="76"/>
        <v>3.5129632661739967</v>
      </c>
      <c r="R233" s="48">
        <f t="shared" si="77"/>
        <v>1.050292122804612</v>
      </c>
      <c r="U233" s="48">
        <v>3.5129632661739967</v>
      </c>
      <c r="V233" s="54">
        <v>1.050292122804612</v>
      </c>
      <c r="W233" s="49">
        <f t="shared" si="75"/>
        <v>1.8225570269412206</v>
      </c>
      <c r="X233" s="49"/>
      <c r="Y233" s="49"/>
      <c r="Z233" s="49"/>
      <c r="AR233" s="70"/>
      <c r="AU233" s="68"/>
    </row>
    <row r="234" spans="1:47" s="28" customFormat="1" ht="12.75" customHeight="1">
      <c r="A234" s="64" t="s">
        <v>182</v>
      </c>
      <c r="B234" s="23" t="s">
        <v>183</v>
      </c>
      <c r="C234" s="52" t="s">
        <v>163</v>
      </c>
      <c r="D234" s="65">
        <v>1997</v>
      </c>
      <c r="E234" s="26">
        <v>3</v>
      </c>
      <c r="F234" s="66">
        <v>15</v>
      </c>
      <c r="G234" s="46">
        <f t="shared" si="74"/>
        <v>75.94</v>
      </c>
      <c r="H234" s="84">
        <v>7530.4290499999997</v>
      </c>
      <c r="I234" s="66"/>
      <c r="K234" s="67">
        <v>19.205512800000001</v>
      </c>
      <c r="O234" s="48">
        <f t="shared" si="76"/>
        <v>3.8768197210531734</v>
      </c>
      <c r="R234" s="48">
        <f t="shared" si="77"/>
        <v>1.2834259076083072</v>
      </c>
      <c r="U234" s="48">
        <v>3.8768197210531734</v>
      </c>
      <c r="V234" s="54">
        <v>1.2834259076083072</v>
      </c>
      <c r="W234" s="49">
        <f t="shared" si="75"/>
        <v>1.4911867505118723</v>
      </c>
      <c r="X234" s="49"/>
      <c r="Y234" s="49"/>
      <c r="Z234" s="49"/>
      <c r="AR234" s="70"/>
      <c r="AU234" s="68"/>
    </row>
    <row r="235" spans="1:47" s="28" customFormat="1" ht="12.75" customHeight="1">
      <c r="A235" s="64" t="s">
        <v>182</v>
      </c>
      <c r="B235" s="23" t="s">
        <v>183</v>
      </c>
      <c r="C235" s="52" t="s">
        <v>163</v>
      </c>
      <c r="D235" s="65">
        <v>1997</v>
      </c>
      <c r="E235" s="26">
        <v>5</v>
      </c>
      <c r="F235" s="66">
        <v>15</v>
      </c>
      <c r="G235" s="46">
        <f t="shared" si="74"/>
        <v>136.88</v>
      </c>
      <c r="H235" s="84">
        <v>6557.066082224911</v>
      </c>
      <c r="I235" s="66"/>
      <c r="K235" s="67">
        <v>15.552710459492145</v>
      </c>
      <c r="O235" s="48">
        <f t="shared" si="76"/>
        <v>3.816709560515839</v>
      </c>
      <c r="R235" s="48">
        <f t="shared" si="77"/>
        <v>1.1918060869333813</v>
      </c>
      <c r="U235" s="48">
        <v>3.816709560515839</v>
      </c>
      <c r="V235" s="54">
        <v>1.1918060869333813</v>
      </c>
      <c r="W235" s="49">
        <f t="shared" si="75"/>
        <v>1.5965873692445651</v>
      </c>
      <c r="X235" s="49"/>
      <c r="Y235" s="49"/>
      <c r="Z235" s="49"/>
      <c r="AR235" s="70"/>
      <c r="AU235" s="68"/>
    </row>
    <row r="236" spans="1:47" s="28" customFormat="1" ht="12.75" customHeight="1">
      <c r="A236" s="64" t="s">
        <v>182</v>
      </c>
      <c r="B236" s="23" t="s">
        <v>183</v>
      </c>
      <c r="C236" s="52" t="s">
        <v>163</v>
      </c>
      <c r="D236" s="65">
        <v>1997</v>
      </c>
      <c r="E236" s="26">
        <v>5</v>
      </c>
      <c r="F236" s="66">
        <v>15</v>
      </c>
      <c r="G236" s="46">
        <f t="shared" si="74"/>
        <v>136.88</v>
      </c>
      <c r="H236" s="84">
        <v>6444.3290194884285</v>
      </c>
      <c r="I236" s="66"/>
      <c r="K236" s="67">
        <v>16.755255450669917</v>
      </c>
      <c r="O236" s="48">
        <f t="shared" si="76"/>
        <v>3.8091777055057925</v>
      </c>
      <c r="R236" s="48">
        <f t="shared" si="77"/>
        <v>1.2241510534766102</v>
      </c>
      <c r="U236" s="48">
        <v>3.8091777055057925</v>
      </c>
      <c r="V236" s="54">
        <v>1.2241510534766102</v>
      </c>
      <c r="W236" s="49">
        <f t="shared" si="75"/>
        <v>1.5679894815181215</v>
      </c>
      <c r="X236" s="49"/>
      <c r="Y236" s="49"/>
      <c r="Z236" s="49"/>
      <c r="AR236" s="70"/>
      <c r="AU236" s="68"/>
    </row>
    <row r="237" spans="1:47" s="28" customFormat="1" ht="12.75" customHeight="1">
      <c r="A237" s="64" t="s">
        <v>182</v>
      </c>
      <c r="B237" s="23" t="s">
        <v>183</v>
      </c>
      <c r="C237" s="52" t="s">
        <v>163</v>
      </c>
      <c r="D237" s="65">
        <v>1997</v>
      </c>
      <c r="E237" s="26">
        <v>5</v>
      </c>
      <c r="F237" s="66">
        <v>15</v>
      </c>
      <c r="G237" s="46">
        <f t="shared" si="74"/>
        <v>136.88</v>
      </c>
      <c r="H237" s="84">
        <v>7585.8856108597283</v>
      </c>
      <c r="I237" s="66"/>
      <c r="K237" s="67">
        <v>12.686739728506787</v>
      </c>
      <c r="O237" s="48">
        <f t="shared" si="76"/>
        <v>3.8800062895997054</v>
      </c>
      <c r="R237" s="48">
        <f t="shared" si="77"/>
        <v>1.103350030303013</v>
      </c>
      <c r="U237" s="48">
        <v>3.8800062895997054</v>
      </c>
      <c r="V237" s="54">
        <v>1.103350030303013</v>
      </c>
      <c r="W237" s="49">
        <f t="shared" si="75"/>
        <v>1.66200667420412</v>
      </c>
      <c r="X237" s="49"/>
      <c r="Y237" s="49"/>
      <c r="Z237" s="49"/>
      <c r="AR237" s="70"/>
      <c r="AU237" s="68"/>
    </row>
    <row r="238" spans="1:47" s="28" customFormat="1" ht="12.75" customHeight="1">
      <c r="A238" s="64" t="s">
        <v>182</v>
      </c>
      <c r="B238" s="23" t="s">
        <v>183</v>
      </c>
      <c r="C238" s="52" t="s">
        <v>163</v>
      </c>
      <c r="D238" s="65">
        <v>1997</v>
      </c>
      <c r="E238" s="26">
        <v>5</v>
      </c>
      <c r="F238" s="66">
        <v>15</v>
      </c>
      <c r="G238" s="46">
        <f t="shared" si="74"/>
        <v>136.88</v>
      </c>
      <c r="H238" s="84">
        <v>5316.3388647474203</v>
      </c>
      <c r="I238" s="66"/>
      <c r="K238" s="67">
        <v>11.004124986420424</v>
      </c>
      <c r="O238" s="48">
        <f t="shared" si="76"/>
        <v>3.7256126551901043</v>
      </c>
      <c r="R238" s="48">
        <f t="shared" si="77"/>
        <v>1.0415555145243014</v>
      </c>
      <c r="U238" s="48">
        <v>3.7256126551901043</v>
      </c>
      <c r="V238" s="54">
        <v>1.0415555145243014</v>
      </c>
      <c r="W238" s="49">
        <f t="shared" si="75"/>
        <v>1.7671971543945151</v>
      </c>
      <c r="X238" s="49"/>
      <c r="Y238" s="49"/>
      <c r="Z238" s="49"/>
      <c r="AR238" s="70"/>
      <c r="AU238" s="68"/>
    </row>
    <row r="239" spans="1:47" s="28" customFormat="1" ht="12.75" customHeight="1">
      <c r="A239" s="64" t="s">
        <v>182</v>
      </c>
      <c r="B239" s="23" t="s">
        <v>183</v>
      </c>
      <c r="C239" s="52" t="s">
        <v>164</v>
      </c>
      <c r="D239" s="65">
        <v>1997</v>
      </c>
      <c r="E239" s="26">
        <v>5</v>
      </c>
      <c r="F239" s="66">
        <v>15</v>
      </c>
      <c r="G239" s="46">
        <f t="shared" si="74"/>
        <v>136.88</v>
      </c>
      <c r="H239" s="84">
        <v>2727.6936745476478</v>
      </c>
      <c r="I239" s="66"/>
      <c r="K239" s="67">
        <v>2.2481114670144753</v>
      </c>
      <c r="O239" s="48">
        <f t="shared" si="76"/>
        <v>3.4357955965843616</v>
      </c>
      <c r="R239" s="48">
        <f t="shared" si="77"/>
        <v>0.35181784084237422</v>
      </c>
      <c r="U239" s="48">
        <v>3.4357955965843616</v>
      </c>
      <c r="V239" s="54">
        <v>0.35181784084237422</v>
      </c>
      <c r="W239" s="49">
        <f t="shared" si="75"/>
        <v>2.5119452598717671</v>
      </c>
      <c r="X239" s="49"/>
      <c r="Y239" s="49"/>
      <c r="Z239" s="49"/>
      <c r="AR239" s="70"/>
      <c r="AU239" s="68"/>
    </row>
    <row r="240" spans="1:47" s="28" customFormat="1" ht="12.75" customHeight="1">
      <c r="A240" s="64" t="s">
        <v>182</v>
      </c>
      <c r="B240" s="23" t="s">
        <v>183</v>
      </c>
      <c r="C240" s="52" t="s">
        <v>164</v>
      </c>
      <c r="D240" s="65">
        <v>1997</v>
      </c>
      <c r="E240" s="26">
        <v>5</v>
      </c>
      <c r="F240" s="66">
        <v>15</v>
      </c>
      <c r="G240" s="46">
        <f t="shared" si="74"/>
        <v>136.88</v>
      </c>
      <c r="H240" s="84">
        <v>1766.6649</v>
      </c>
      <c r="I240" s="66"/>
      <c r="K240" s="67">
        <v>1.6044428399999997</v>
      </c>
      <c r="O240" s="48">
        <f t="shared" si="76"/>
        <v>3.2471541805864277</v>
      </c>
      <c r="R240" s="48">
        <f t="shared" si="77"/>
        <v>0.2053242494995963</v>
      </c>
      <c r="U240" s="48">
        <v>3.2471541805864277</v>
      </c>
      <c r="V240" s="54">
        <v>0.2053242494995963</v>
      </c>
      <c r="W240" s="49">
        <f t="shared" si="75"/>
        <v>2.708188241323858</v>
      </c>
      <c r="X240" s="49"/>
      <c r="Y240" s="49"/>
      <c r="Z240" s="49"/>
      <c r="AR240" s="70"/>
      <c r="AU240" s="68"/>
    </row>
    <row r="241" spans="1:47" s="28" customFormat="1" ht="12.75" customHeight="1">
      <c r="A241" s="64" t="s">
        <v>182</v>
      </c>
      <c r="B241" s="23" t="s">
        <v>183</v>
      </c>
      <c r="C241" s="52" t="s">
        <v>164</v>
      </c>
      <c r="D241" s="65">
        <v>1997</v>
      </c>
      <c r="E241" s="26">
        <v>5</v>
      </c>
      <c r="F241" s="66">
        <v>15</v>
      </c>
      <c r="G241" s="46">
        <f t="shared" si="74"/>
        <v>136.88</v>
      </c>
      <c r="H241" s="84">
        <v>1499.9985000000001</v>
      </c>
      <c r="I241" s="66"/>
      <c r="K241" s="67">
        <v>1.3511097599999995</v>
      </c>
      <c r="O241" s="48">
        <f t="shared" si="76"/>
        <v>3.176090824760982</v>
      </c>
      <c r="R241" s="48">
        <f t="shared" si="77"/>
        <v>0.13069063120269203</v>
      </c>
      <c r="U241" s="48">
        <v>3.176090824760982</v>
      </c>
      <c r="V241" s="54">
        <v>0.13069063120269203</v>
      </c>
      <c r="W241" s="49">
        <f t="shared" si="75"/>
        <v>2.8006664730455491</v>
      </c>
      <c r="X241" s="49"/>
      <c r="Y241" s="49"/>
      <c r="Z241" s="49"/>
      <c r="AR241" s="70"/>
      <c r="AU241" s="68"/>
    </row>
    <row r="242" spans="1:47" s="28" customFormat="1" ht="12.75" customHeight="1">
      <c r="A242" s="64" t="s">
        <v>182</v>
      </c>
      <c r="B242" s="23" t="s">
        <v>183</v>
      </c>
      <c r="C242" s="52" t="s">
        <v>164</v>
      </c>
      <c r="D242" s="65">
        <v>1997</v>
      </c>
      <c r="E242" s="26">
        <v>5</v>
      </c>
      <c r="F242" s="66">
        <v>15</v>
      </c>
      <c r="G242" s="46">
        <f t="shared" si="74"/>
        <v>136.88</v>
      </c>
      <c r="H242" s="84">
        <v>2188.8867</v>
      </c>
      <c r="I242" s="66"/>
      <c r="K242" s="67">
        <v>1.9222202999999993</v>
      </c>
      <c r="O242" s="48">
        <f t="shared" si="76"/>
        <v>3.3402232824275688</v>
      </c>
      <c r="R242" s="48">
        <f t="shared" si="77"/>
        <v>0.28380315939477135</v>
      </c>
      <c r="U242" s="48">
        <v>3.3402232824275688</v>
      </c>
      <c r="V242" s="54">
        <v>0.28380315939477135</v>
      </c>
      <c r="W242" s="49">
        <f t="shared" si="75"/>
        <v>2.6054507236735227</v>
      </c>
      <c r="X242" s="49"/>
      <c r="Y242" s="49"/>
      <c r="Z242" s="49"/>
      <c r="AR242" s="70"/>
      <c r="AU242" s="68"/>
    </row>
    <row r="243" spans="1:47" s="28" customFormat="1" ht="12.75" customHeight="1">
      <c r="A243" s="64" t="s">
        <v>182</v>
      </c>
      <c r="B243" s="23" t="s">
        <v>183</v>
      </c>
      <c r="C243" s="52" t="s">
        <v>164</v>
      </c>
      <c r="D243" s="65">
        <v>1997</v>
      </c>
      <c r="E243" s="26">
        <v>5</v>
      </c>
      <c r="F243" s="66">
        <v>15</v>
      </c>
      <c r="G243" s="46">
        <f t="shared" si="74"/>
        <v>136.88</v>
      </c>
      <c r="H243" s="84">
        <v>1822.2204000000002</v>
      </c>
      <c r="I243" s="66"/>
      <c r="K243" s="67">
        <v>2.4655530899999998</v>
      </c>
      <c r="O243" s="48">
        <f t="shared" si="76"/>
        <v>3.2606009043136739</v>
      </c>
      <c r="R243" s="48">
        <f t="shared" si="77"/>
        <v>0.39191435849798434</v>
      </c>
      <c r="U243" s="48">
        <v>3.2606009043136739</v>
      </c>
      <c r="V243" s="54">
        <v>0.39191435849798434</v>
      </c>
      <c r="W243" s="49">
        <f t="shared" si="75"/>
        <v>2.5261723118045807</v>
      </c>
      <c r="X243" s="49"/>
      <c r="Y243" s="49"/>
      <c r="Z243" s="49"/>
      <c r="AR243" s="70"/>
      <c r="AU243" s="68"/>
    </row>
    <row r="244" spans="1:47" s="28" customFormat="1" ht="12.75" customHeight="1">
      <c r="A244" s="64" t="s">
        <v>182</v>
      </c>
      <c r="B244" s="23" t="s">
        <v>183</v>
      </c>
      <c r="C244" s="52" t="s">
        <v>165</v>
      </c>
      <c r="D244" s="65">
        <v>1997</v>
      </c>
      <c r="E244" s="26">
        <v>5</v>
      </c>
      <c r="F244" s="66">
        <v>15</v>
      </c>
      <c r="G244" s="46">
        <f t="shared" si="74"/>
        <v>136.88</v>
      </c>
      <c r="H244" s="84">
        <v>11566.562010751823</v>
      </c>
      <c r="I244" s="66"/>
      <c r="K244" s="67">
        <v>27.79437925098626</v>
      </c>
      <c r="O244" s="48">
        <f t="shared" si="76"/>
        <v>4.0632042905301216</v>
      </c>
      <c r="R244" s="48">
        <f t="shared" si="77"/>
        <v>1.4439569791163767</v>
      </c>
      <c r="U244" s="48">
        <v>4.0632042905301216</v>
      </c>
      <c r="V244" s="54">
        <v>1.4439569791163767</v>
      </c>
      <c r="W244" s="49">
        <f t="shared" si="75"/>
        <v>1.28222939778157</v>
      </c>
      <c r="X244" s="49"/>
      <c r="Y244" s="49"/>
      <c r="Z244" s="49"/>
      <c r="AR244" s="70"/>
      <c r="AU244" s="68"/>
    </row>
    <row r="245" spans="1:47" s="28" customFormat="1" ht="12.75" customHeight="1">
      <c r="A245" s="64" t="s">
        <v>182</v>
      </c>
      <c r="B245" s="23" t="s">
        <v>183</v>
      </c>
      <c r="C245" s="52" t="s">
        <v>165</v>
      </c>
      <c r="D245" s="65">
        <v>1997</v>
      </c>
      <c r="E245" s="26">
        <v>5</v>
      </c>
      <c r="F245" s="66">
        <v>15</v>
      </c>
      <c r="G245" s="46">
        <f t="shared" si="74"/>
        <v>136.88</v>
      </c>
      <c r="H245" s="84">
        <v>8478.7531110014643</v>
      </c>
      <c r="I245" s="66"/>
      <c r="K245" s="67">
        <v>31.778195372091851</v>
      </c>
      <c r="O245" s="48">
        <f t="shared" si="76"/>
        <v>3.9283319894232802</v>
      </c>
      <c r="R245" s="48">
        <f t="shared" si="77"/>
        <v>1.5021292307506691</v>
      </c>
      <c r="U245" s="48">
        <v>3.9283319894232802</v>
      </c>
      <c r="V245" s="54">
        <v>1.5021292307506691</v>
      </c>
      <c r="W245" s="49">
        <f t="shared" si="75"/>
        <v>1.2671364589877248</v>
      </c>
      <c r="X245" s="49"/>
      <c r="Y245" s="49"/>
      <c r="Z245" s="49"/>
      <c r="AR245" s="70"/>
      <c r="AU245" s="68"/>
    </row>
    <row r="246" spans="1:47" s="28" customFormat="1" ht="12.75" customHeight="1">
      <c r="A246" s="64" t="s">
        <v>182</v>
      </c>
      <c r="B246" s="23" t="s">
        <v>183</v>
      </c>
      <c r="C246" s="52" t="s">
        <v>165</v>
      </c>
      <c r="D246" s="65">
        <v>1997</v>
      </c>
      <c r="E246" s="26">
        <v>5</v>
      </c>
      <c r="F246" s="66">
        <v>15</v>
      </c>
      <c r="G246" s="46">
        <f t="shared" si="74"/>
        <v>136.88</v>
      </c>
      <c r="H246" s="84">
        <v>11104.940040463092</v>
      </c>
      <c r="I246" s="66"/>
      <c r="K246" s="67">
        <v>31.834161449327532</v>
      </c>
      <c r="O246" s="48">
        <f t="shared" si="76"/>
        <v>4.0455162179798263</v>
      </c>
      <c r="R246" s="48">
        <f t="shared" si="77"/>
        <v>1.502893414503732</v>
      </c>
      <c r="U246" s="48">
        <v>4.0455162179798263</v>
      </c>
      <c r="V246" s="54">
        <v>1.502893414503732</v>
      </c>
      <c r="W246" s="49">
        <f t="shared" si="75"/>
        <v>1.2313079449209694</v>
      </c>
      <c r="X246" s="49"/>
      <c r="Y246" s="49"/>
      <c r="Z246" s="49"/>
      <c r="AR246" s="70"/>
      <c r="AU246" s="68"/>
    </row>
    <row r="247" spans="1:47" s="28" customFormat="1" ht="12.75" customHeight="1">
      <c r="A247" s="64" t="s">
        <v>182</v>
      </c>
      <c r="B247" s="23" t="s">
        <v>183</v>
      </c>
      <c r="C247" s="52" t="s">
        <v>165</v>
      </c>
      <c r="D247" s="65">
        <v>1997</v>
      </c>
      <c r="E247" s="26">
        <v>5</v>
      </c>
      <c r="F247" s="66">
        <v>15</v>
      </c>
      <c r="G247" s="46">
        <f t="shared" si="74"/>
        <v>136.88</v>
      </c>
      <c r="H247" s="84">
        <v>10746.129758848572</v>
      </c>
      <c r="I247" s="66"/>
      <c r="K247" s="67">
        <v>40.395678684398945</v>
      </c>
      <c r="O247" s="48">
        <f t="shared" si="76"/>
        <v>4.0312520803431982</v>
      </c>
      <c r="R247" s="48">
        <f t="shared" si="77"/>
        <v>1.6063349090735384</v>
      </c>
      <c r="U247" s="48">
        <v>4.0312520803431982</v>
      </c>
      <c r="V247" s="54">
        <v>1.6063349090735384</v>
      </c>
      <c r="W247" s="49">
        <f t="shared" si="75"/>
        <v>1.1369075633707875</v>
      </c>
      <c r="X247" s="49"/>
      <c r="Y247" s="49"/>
      <c r="Z247" s="49"/>
      <c r="AR247" s="70"/>
      <c r="AU247" s="68"/>
    </row>
    <row r="248" spans="1:47" s="28" customFormat="1" ht="12.75" customHeight="1">
      <c r="A248" s="64" t="s">
        <v>182</v>
      </c>
      <c r="B248" s="23" t="s">
        <v>183</v>
      </c>
      <c r="C248" s="52" t="s">
        <v>165</v>
      </c>
      <c r="D248" s="65">
        <v>1997</v>
      </c>
      <c r="E248" s="26">
        <v>5</v>
      </c>
      <c r="F248" s="66">
        <v>15</v>
      </c>
      <c r="G248" s="46">
        <f t="shared" si="74"/>
        <v>136.88</v>
      </c>
      <c r="H248" s="84">
        <v>12367.252317460627</v>
      </c>
      <c r="I248" s="66"/>
      <c r="K248" s="67">
        <v>35.843142778481024</v>
      </c>
      <c r="O248" s="48">
        <f t="shared" si="76"/>
        <v>4.0922732213821051</v>
      </c>
      <c r="R248" s="48">
        <f t="shared" si="77"/>
        <v>1.5544060822264878</v>
      </c>
      <c r="U248" s="48">
        <v>4.0922732213821051</v>
      </c>
      <c r="V248" s="54">
        <v>1.5544060822264878</v>
      </c>
      <c r="W248" s="49">
        <f t="shared" si="75"/>
        <v>1.1681651384389669</v>
      </c>
      <c r="X248" s="49"/>
      <c r="Y248" s="49"/>
      <c r="Z248" s="49"/>
      <c r="AR248" s="70"/>
      <c r="AU248" s="68"/>
    </row>
    <row r="249" spans="1:47" s="28" customFormat="1" ht="12.75" customHeight="1">
      <c r="A249" s="64" t="s">
        <v>182</v>
      </c>
      <c r="B249" s="23" t="s">
        <v>183</v>
      </c>
      <c r="C249" s="52" t="s">
        <v>166</v>
      </c>
      <c r="D249" s="65">
        <v>1997</v>
      </c>
      <c r="E249" s="26">
        <v>4</v>
      </c>
      <c r="F249" s="66">
        <v>15</v>
      </c>
      <c r="G249" s="46">
        <f t="shared" si="74"/>
        <v>106.41</v>
      </c>
      <c r="H249" s="84">
        <v>1299.9987000000001</v>
      </c>
      <c r="I249" s="66"/>
      <c r="K249" s="67">
        <v>12.539987460000001</v>
      </c>
      <c r="O249" s="48">
        <f t="shared" si="76"/>
        <v>3.1139429180121376</v>
      </c>
      <c r="R249" s="48">
        <f t="shared" si="77"/>
        <v>1.0982971021999985</v>
      </c>
      <c r="U249" s="48">
        <v>3.1139429180121376</v>
      </c>
      <c r="V249" s="54">
        <v>1.0982971021999985</v>
      </c>
      <c r="W249" s="49">
        <f t="shared" si="75"/>
        <v>1.896281487271003</v>
      </c>
      <c r="X249" s="49"/>
      <c r="Y249" s="49"/>
      <c r="Z249" s="49"/>
      <c r="AR249" s="70"/>
      <c r="AU249" s="68"/>
    </row>
    <row r="250" spans="1:47" s="28" customFormat="1" ht="12.75" customHeight="1">
      <c r="A250" s="64" t="s">
        <v>182</v>
      </c>
      <c r="B250" s="23" t="s">
        <v>183</v>
      </c>
      <c r="C250" s="52" t="s">
        <v>166</v>
      </c>
      <c r="D250" s="65">
        <v>1997</v>
      </c>
      <c r="E250" s="26">
        <v>4</v>
      </c>
      <c r="F250" s="66">
        <v>15</v>
      </c>
      <c r="G250" s="46">
        <f t="shared" si="74"/>
        <v>106.41</v>
      </c>
      <c r="H250" s="84">
        <v>2418.9611851198401</v>
      </c>
      <c r="I250" s="66"/>
      <c r="K250" s="67">
        <v>14.942977659463386</v>
      </c>
      <c r="O250" s="48">
        <f t="shared" si="76"/>
        <v>3.3836288996874218</v>
      </c>
      <c r="R250" s="48">
        <f t="shared" si="77"/>
        <v>1.1744371471594655</v>
      </c>
      <c r="U250" s="48">
        <v>3.3836288996874218</v>
      </c>
      <c r="V250" s="54">
        <v>1.1744371471594655</v>
      </c>
      <c r="W250" s="49">
        <f t="shared" si="75"/>
        <v>1.7428739125972705</v>
      </c>
      <c r="X250" s="49"/>
      <c r="Y250" s="49"/>
      <c r="Z250" s="49"/>
      <c r="AR250" s="70"/>
      <c r="AU250" s="68"/>
    </row>
    <row r="251" spans="1:47" s="28" customFormat="1" ht="12.75" customHeight="1">
      <c r="A251" s="64" t="s">
        <v>182</v>
      </c>
      <c r="B251" s="23" t="s">
        <v>183</v>
      </c>
      <c r="C251" s="52" t="s">
        <v>166</v>
      </c>
      <c r="D251" s="65">
        <v>1997</v>
      </c>
      <c r="E251" s="26">
        <v>4</v>
      </c>
      <c r="F251" s="66">
        <v>15</v>
      </c>
      <c r="G251" s="46">
        <f t="shared" si="74"/>
        <v>106.41</v>
      </c>
      <c r="H251" s="84">
        <v>3247.4583946031562</v>
      </c>
      <c r="I251" s="66"/>
      <c r="K251" s="67">
        <v>16.572555896345257</v>
      </c>
      <c r="O251" s="48">
        <f t="shared" si="76"/>
        <v>3.5115435957389027</v>
      </c>
      <c r="R251" s="48">
        <f t="shared" si="77"/>
        <v>1.2193894924917019</v>
      </c>
      <c r="U251" s="48">
        <v>3.5115435957389027</v>
      </c>
      <c r="V251" s="54">
        <v>1.2193894924917019</v>
      </c>
      <c r="W251" s="49">
        <f t="shared" si="75"/>
        <v>1.661680272215909</v>
      </c>
      <c r="X251" s="49"/>
      <c r="Y251" s="49"/>
      <c r="Z251" s="49"/>
      <c r="AR251" s="70"/>
      <c r="AU251" s="68"/>
    </row>
    <row r="252" spans="1:47" s="28" customFormat="1" ht="12.75" customHeight="1">
      <c r="A252" s="64" t="s">
        <v>182</v>
      </c>
      <c r="B252" s="23" t="s">
        <v>183</v>
      </c>
      <c r="C252" s="52" t="s">
        <v>166</v>
      </c>
      <c r="D252" s="65">
        <v>1997</v>
      </c>
      <c r="E252" s="26">
        <v>4</v>
      </c>
      <c r="F252" s="66">
        <v>15</v>
      </c>
      <c r="G252" s="46">
        <f t="shared" si="74"/>
        <v>106.41</v>
      </c>
      <c r="H252" s="84">
        <v>1688.8872000000001</v>
      </c>
      <c r="I252" s="66"/>
      <c r="K252" s="67">
        <v>12.50443194</v>
      </c>
      <c r="O252" s="48">
        <f t="shared" si="76"/>
        <v>3.2276006442107485</v>
      </c>
      <c r="R252" s="48">
        <f t="shared" si="77"/>
        <v>1.0970639670839499</v>
      </c>
      <c r="U252" s="48">
        <v>3.2276006442107485</v>
      </c>
      <c r="V252" s="54">
        <v>1.0970639670839499</v>
      </c>
      <c r="W252" s="49">
        <f t="shared" si="75"/>
        <v>1.8634144898816534</v>
      </c>
      <c r="X252" s="49"/>
      <c r="Y252" s="49"/>
      <c r="Z252" s="49"/>
      <c r="AR252" s="70"/>
      <c r="AU252" s="68"/>
    </row>
    <row r="253" spans="1:47" s="28" customFormat="1" ht="12.75" customHeight="1">
      <c r="A253" s="64" t="s">
        <v>182</v>
      </c>
      <c r="B253" s="23" t="s">
        <v>183</v>
      </c>
      <c r="C253" s="52" t="s">
        <v>166</v>
      </c>
      <c r="D253" s="65">
        <v>1997</v>
      </c>
      <c r="E253" s="26">
        <v>4</v>
      </c>
      <c r="F253" s="66">
        <v>15</v>
      </c>
      <c r="G253" s="46">
        <f t="shared" si="74"/>
        <v>106.41</v>
      </c>
      <c r="H253" s="84">
        <v>2577.9944932805297</v>
      </c>
      <c r="I253" s="66"/>
      <c r="K253" s="67">
        <v>15.274617372687139</v>
      </c>
      <c r="O253" s="48">
        <f t="shared" si="76"/>
        <v>3.4112819853446017</v>
      </c>
      <c r="R253" s="48">
        <f t="shared" si="77"/>
        <v>1.1839703400267432</v>
      </c>
      <c r="U253" s="48">
        <v>3.4112819853446017</v>
      </c>
      <c r="V253" s="54">
        <v>1.1839703400267432</v>
      </c>
      <c r="W253" s="49">
        <f t="shared" si="75"/>
        <v>1.7254974205009421</v>
      </c>
      <c r="X253" s="49"/>
      <c r="Y253" s="49"/>
      <c r="Z253" s="49"/>
      <c r="AR253" s="70"/>
      <c r="AU253" s="68"/>
    </row>
    <row r="254" spans="1:47" s="28" customFormat="1" ht="12.75" customHeight="1">
      <c r="A254" s="64" t="s">
        <v>182</v>
      </c>
      <c r="B254" s="23" t="s">
        <v>183</v>
      </c>
      <c r="C254" s="52" t="s">
        <v>167</v>
      </c>
      <c r="D254" s="65">
        <v>1997</v>
      </c>
      <c r="E254" s="26">
        <v>4</v>
      </c>
      <c r="F254" s="66">
        <v>15</v>
      </c>
      <c r="G254" s="46">
        <f t="shared" si="74"/>
        <v>106.41</v>
      </c>
      <c r="H254" s="84">
        <v>2266.6644000000001</v>
      </c>
      <c r="I254" s="66"/>
      <c r="K254" s="67">
        <v>14.236652429999999</v>
      </c>
      <c r="O254" s="48">
        <f t="shared" si="76"/>
        <v>3.3553872236918747</v>
      </c>
      <c r="R254" s="48">
        <f t="shared" si="77"/>
        <v>1.1534078824124625</v>
      </c>
      <c r="U254" s="48">
        <v>3.3553872236918747</v>
      </c>
      <c r="V254" s="54">
        <v>1.1534078824124625</v>
      </c>
      <c r="W254" s="49">
        <f t="shared" si="75"/>
        <v>1.7713928049453329</v>
      </c>
      <c r="X254" s="49"/>
      <c r="Y254" s="49"/>
      <c r="Z254" s="49"/>
      <c r="AR254" s="70"/>
      <c r="AU254" s="68"/>
    </row>
    <row r="255" spans="1:47" s="28" customFormat="1" ht="12.75" customHeight="1">
      <c r="A255" s="64" t="s">
        <v>182</v>
      </c>
      <c r="B255" s="23" t="s">
        <v>183</v>
      </c>
      <c r="C255" s="52" t="s">
        <v>167</v>
      </c>
      <c r="D255" s="65">
        <v>1997</v>
      </c>
      <c r="E255" s="26">
        <v>4</v>
      </c>
      <c r="F255" s="66">
        <v>15</v>
      </c>
      <c r="G255" s="46">
        <f t="shared" si="74"/>
        <v>106.41</v>
      </c>
      <c r="H255" s="84">
        <v>2655.5529000000001</v>
      </c>
      <c r="I255" s="66"/>
      <c r="K255" s="67">
        <v>12.89109822</v>
      </c>
      <c r="O255" s="48">
        <f t="shared" si="76"/>
        <v>3.4241549572141139</v>
      </c>
      <c r="R255" s="48">
        <f t="shared" si="77"/>
        <v>1.1102899173975542</v>
      </c>
      <c r="U255" s="48">
        <v>3.4241549572141139</v>
      </c>
      <c r="V255" s="54">
        <v>1.1102899173975542</v>
      </c>
      <c r="W255" s="49">
        <f t="shared" si="75"/>
        <v>1.7919254038968986</v>
      </c>
      <c r="X255" s="49"/>
      <c r="Y255" s="49"/>
      <c r="Z255" s="49"/>
      <c r="AR255" s="70"/>
      <c r="AU255" s="68"/>
    </row>
    <row r="256" spans="1:47" s="28" customFormat="1" ht="12.75" customHeight="1">
      <c r="A256" s="64" t="s">
        <v>182</v>
      </c>
      <c r="B256" s="23" t="s">
        <v>183</v>
      </c>
      <c r="C256" s="52" t="s">
        <v>167</v>
      </c>
      <c r="D256" s="65">
        <v>1997</v>
      </c>
      <c r="E256" s="26">
        <v>4</v>
      </c>
      <c r="F256" s="66">
        <v>15</v>
      </c>
      <c r="G256" s="46">
        <f t="shared" si="74"/>
        <v>106.41</v>
      </c>
      <c r="H256" s="84">
        <v>2766.6639</v>
      </c>
      <c r="I256" s="66"/>
      <c r="K256" s="67">
        <v>14.38665228</v>
      </c>
      <c r="O256" s="48">
        <f t="shared" si="76"/>
        <v>3.4419564033617123</v>
      </c>
      <c r="R256" s="48">
        <f t="shared" si="77"/>
        <v>1.1579597469965115</v>
      </c>
      <c r="U256" s="48">
        <v>3.4419564033617123</v>
      </c>
      <c r="V256" s="54">
        <v>1.1579597469965115</v>
      </c>
      <c r="W256" s="49">
        <f t="shared" si="75"/>
        <v>1.7411211824056723</v>
      </c>
      <c r="X256" s="49"/>
      <c r="Y256" s="49"/>
      <c r="Z256" s="49"/>
      <c r="AR256" s="70"/>
      <c r="AU256" s="68"/>
    </row>
    <row r="257" spans="1:47" s="28" customFormat="1" ht="12.75" customHeight="1">
      <c r="A257" s="64" t="s">
        <v>182</v>
      </c>
      <c r="B257" s="23" t="s">
        <v>183</v>
      </c>
      <c r="C257" s="52" t="s">
        <v>167</v>
      </c>
      <c r="D257" s="65">
        <v>1997</v>
      </c>
      <c r="E257" s="26">
        <v>4</v>
      </c>
      <c r="F257" s="66">
        <v>15</v>
      </c>
      <c r="G257" s="46">
        <f t="shared" si="74"/>
        <v>106.41</v>
      </c>
      <c r="H257" s="84">
        <v>2355.5532000000003</v>
      </c>
      <c r="I257" s="66"/>
      <c r="K257" s="67">
        <v>16.306650360000003</v>
      </c>
      <c r="O257" s="48">
        <f t="shared" si="76"/>
        <v>3.3720929171947276</v>
      </c>
      <c r="R257" s="48">
        <f t="shared" si="77"/>
        <v>1.2123647593498865</v>
      </c>
      <c r="U257" s="48">
        <v>3.3720929171947276</v>
      </c>
      <c r="V257" s="54">
        <v>1.2123647593498865</v>
      </c>
      <c r="W257" s="49">
        <f t="shared" si="75"/>
        <v>1.7101500738705593</v>
      </c>
      <c r="X257" s="49"/>
      <c r="Y257" s="49"/>
      <c r="Z257" s="49"/>
      <c r="AR257" s="70"/>
      <c r="AU257" s="68"/>
    </row>
    <row r="258" spans="1:47" s="28" customFormat="1" ht="12.75" customHeight="1">
      <c r="A258" s="64" t="s">
        <v>182</v>
      </c>
      <c r="B258" s="23" t="s">
        <v>183</v>
      </c>
      <c r="C258" s="52" t="s">
        <v>167</v>
      </c>
      <c r="D258" s="65">
        <v>1997</v>
      </c>
      <c r="E258" s="26">
        <v>4</v>
      </c>
      <c r="F258" s="66">
        <v>15</v>
      </c>
      <c r="G258" s="46">
        <f t="shared" si="74"/>
        <v>106.41</v>
      </c>
      <c r="H258" s="84">
        <v>2066.6646000000001</v>
      </c>
      <c r="I258" s="66"/>
      <c r="K258" s="67">
        <v>13.35443109</v>
      </c>
      <c r="O258" s="48">
        <f t="shared" si="76"/>
        <v>3.3152700004838924</v>
      </c>
      <c r="R258" s="48">
        <f t="shared" si="77"/>
        <v>1.1256253914411494</v>
      </c>
      <c r="U258" s="48">
        <v>3.3152700004838924</v>
      </c>
      <c r="V258" s="54">
        <v>1.1256253914411494</v>
      </c>
      <c r="W258" s="49">
        <f t="shared" si="75"/>
        <v>1.8099106183173501</v>
      </c>
      <c r="X258" s="49"/>
      <c r="Y258" s="49"/>
      <c r="Z258" s="49"/>
      <c r="AR258" s="70"/>
      <c r="AU258" s="68"/>
    </row>
    <row r="259" spans="1:47" s="28" customFormat="1" ht="12.75" customHeight="1">
      <c r="A259" s="64" t="s">
        <v>182</v>
      </c>
      <c r="B259" s="23" t="s">
        <v>183</v>
      </c>
      <c r="C259" s="52" t="s">
        <v>168</v>
      </c>
      <c r="D259" s="65">
        <v>1997</v>
      </c>
      <c r="E259" s="26">
        <v>4</v>
      </c>
      <c r="F259" s="66">
        <v>15</v>
      </c>
      <c r="G259" s="46">
        <f t="shared" si="74"/>
        <v>106.41</v>
      </c>
      <c r="H259" s="84">
        <v>7106.0140252217079</v>
      </c>
      <c r="I259" s="66"/>
      <c r="K259" s="67">
        <v>66.836955270161667</v>
      </c>
      <c r="O259" s="48">
        <f t="shared" si="76"/>
        <v>3.8516260603261747</v>
      </c>
      <c r="R259" s="48">
        <f t="shared" si="77"/>
        <v>1.8250166575665685</v>
      </c>
      <c r="U259" s="48">
        <v>3.8516260603261747</v>
      </c>
      <c r="V259" s="54">
        <v>1.8250166575665685</v>
      </c>
      <c r="W259" s="49">
        <f t="shared" si="75"/>
        <v>0.98210945527847693</v>
      </c>
      <c r="X259" s="49"/>
      <c r="Y259" s="49"/>
      <c r="Z259" s="49"/>
      <c r="AR259" s="70"/>
      <c r="AU259" s="68"/>
    </row>
    <row r="260" spans="1:47" s="28" customFormat="1" ht="12.75" customHeight="1">
      <c r="A260" s="64" t="s">
        <v>182</v>
      </c>
      <c r="B260" s="23" t="s">
        <v>183</v>
      </c>
      <c r="C260" s="52" t="s">
        <v>168</v>
      </c>
      <c r="D260" s="65">
        <v>1997</v>
      </c>
      <c r="E260" s="26">
        <v>4</v>
      </c>
      <c r="F260" s="66">
        <v>15</v>
      </c>
      <c r="G260" s="46">
        <f t="shared" si="74"/>
        <v>106.41</v>
      </c>
      <c r="H260" s="84">
        <v>6469.7003026770717</v>
      </c>
      <c r="I260" s="66"/>
      <c r="K260" s="67">
        <v>54.339889141649358</v>
      </c>
      <c r="O260" s="48">
        <f t="shared" si="76"/>
        <v>3.8108841632176671</v>
      </c>
      <c r="R260" s="48">
        <f t="shared" si="77"/>
        <v>1.7351187480822572</v>
      </c>
      <c r="U260" s="48">
        <v>3.8108841632176671</v>
      </c>
      <c r="V260" s="54">
        <v>1.7351187480822572</v>
      </c>
      <c r="W260" s="49">
        <f t="shared" si="75"/>
        <v>1.0800662715702285</v>
      </c>
      <c r="X260" s="49"/>
      <c r="Y260" s="49"/>
      <c r="Z260" s="49"/>
      <c r="AR260" s="70"/>
      <c r="AU260" s="68"/>
    </row>
    <row r="261" spans="1:47" s="28" customFormat="1" ht="12.75" customHeight="1">
      <c r="A261" s="64" t="s">
        <v>182</v>
      </c>
      <c r="B261" s="23" t="s">
        <v>183</v>
      </c>
      <c r="C261" s="52" t="s">
        <v>168</v>
      </c>
      <c r="D261" s="65">
        <v>1997</v>
      </c>
      <c r="E261" s="26">
        <v>4</v>
      </c>
      <c r="F261" s="66">
        <v>15</v>
      </c>
      <c r="G261" s="46">
        <f t="shared" si="74"/>
        <v>106.41</v>
      </c>
      <c r="H261" s="84">
        <v>5296.1473080414025</v>
      </c>
      <c r="I261" s="66"/>
      <c r="K261" s="67">
        <v>47.053658055105878</v>
      </c>
      <c r="O261" s="48">
        <f t="shared" si="76"/>
        <v>3.7239600561483743</v>
      </c>
      <c r="R261" s="48">
        <f t="shared" si="77"/>
        <v>1.6725933920861642</v>
      </c>
      <c r="U261" s="48">
        <v>3.7239600561483743</v>
      </c>
      <c r="V261" s="54">
        <v>1.6725933920861642</v>
      </c>
      <c r="W261" s="49">
        <f t="shared" si="75"/>
        <v>1.1657451170551885</v>
      </c>
      <c r="X261" s="49"/>
      <c r="Y261" s="49"/>
      <c r="Z261" s="49"/>
      <c r="AR261" s="70"/>
      <c r="AU261" s="68"/>
    </row>
    <row r="262" spans="1:47" s="28" customFormat="1" ht="12.75" customHeight="1">
      <c r="A262" s="64" t="s">
        <v>182</v>
      </c>
      <c r="B262" s="23" t="s">
        <v>183</v>
      </c>
      <c r="C262" s="52" t="s">
        <v>168</v>
      </c>
      <c r="D262" s="65">
        <v>1997</v>
      </c>
      <c r="E262" s="26">
        <v>4</v>
      </c>
      <c r="F262" s="66">
        <v>15</v>
      </c>
      <c r="G262" s="46">
        <f t="shared" si="74"/>
        <v>106.41</v>
      </c>
      <c r="H262" s="84">
        <v>8184.2402537671251</v>
      </c>
      <c r="I262" s="66"/>
      <c r="K262" s="67">
        <v>103.57700313277401</v>
      </c>
      <c r="O262" s="48">
        <f t="shared" si="76"/>
        <v>3.9129783698920075</v>
      </c>
      <c r="R262" s="48">
        <f t="shared" si="77"/>
        <v>2.0152633411119969</v>
      </c>
      <c r="U262" s="48">
        <v>3.9129783698920075</v>
      </c>
      <c r="V262" s="54">
        <v>2.0152633411119969</v>
      </c>
      <c r="W262" s="49">
        <f t="shared" si="75"/>
        <v>0.78225661786271039</v>
      </c>
      <c r="X262" s="49"/>
      <c r="Y262" s="49"/>
      <c r="Z262" s="49"/>
      <c r="AR262" s="70"/>
      <c r="AU262" s="68"/>
    </row>
    <row r="263" spans="1:47" s="28" customFormat="1" ht="12.75" customHeight="1">
      <c r="A263" s="64" t="s">
        <v>182</v>
      </c>
      <c r="B263" s="23" t="s">
        <v>183</v>
      </c>
      <c r="C263" s="52" t="s">
        <v>168</v>
      </c>
      <c r="D263" s="65">
        <v>1997</v>
      </c>
      <c r="E263" s="26">
        <v>4</v>
      </c>
      <c r="F263" s="66">
        <v>15</v>
      </c>
      <c r="G263" s="46">
        <f t="shared" ref="G263:G287" si="78">30.47*(E263-1)+F263</f>
        <v>106.41</v>
      </c>
      <c r="H263" s="84">
        <v>5482.3869673788431</v>
      </c>
      <c r="I263" s="66"/>
      <c r="K263" s="67">
        <v>67.11060627245439</v>
      </c>
      <c r="O263" s="48">
        <f t="shared" si="76"/>
        <v>3.7389696864143689</v>
      </c>
      <c r="R263" s="48">
        <f t="shared" si="77"/>
        <v>1.8267911622195427</v>
      </c>
      <c r="U263" s="48">
        <v>3.7389696864143689</v>
      </c>
      <c r="V263" s="54">
        <v>1.8267911622195427</v>
      </c>
      <c r="W263" s="49">
        <f t="shared" ref="W263:W314" si="79">0.9539*(4.064-0.314*U263-V263)</f>
        <v>1.0141601106233891</v>
      </c>
      <c r="X263" s="49"/>
      <c r="Y263" s="49"/>
      <c r="Z263" s="49"/>
      <c r="AR263" s="70"/>
      <c r="AU263" s="68"/>
    </row>
    <row r="264" spans="1:47" s="28" customFormat="1" ht="12.75" customHeight="1">
      <c r="A264" s="64" t="s">
        <v>182</v>
      </c>
      <c r="B264" s="23" t="s">
        <v>183</v>
      </c>
      <c r="C264" s="52" t="s">
        <v>163</v>
      </c>
      <c r="D264" s="65">
        <v>1997</v>
      </c>
      <c r="E264" s="26">
        <v>5</v>
      </c>
      <c r="F264" s="66">
        <v>15</v>
      </c>
      <c r="G264" s="46">
        <f t="shared" si="78"/>
        <v>136.88</v>
      </c>
      <c r="H264" s="84">
        <v>5209.165536540032</v>
      </c>
      <c r="I264" s="66"/>
      <c r="K264" s="67">
        <v>33.824359093742054</v>
      </c>
      <c r="O264" s="48">
        <f t="shared" ref="O264:O314" si="80">LOG10(H264)</f>
        <v>3.7167681586351531</v>
      </c>
      <c r="R264" s="48">
        <f t="shared" ref="R264:R314" si="81">LOG10(K264)</f>
        <v>1.5292295763062238</v>
      </c>
      <c r="U264" s="48">
        <v>3.7167681586351531</v>
      </c>
      <c r="V264" s="54">
        <v>1.5292295763062238</v>
      </c>
      <c r="W264" s="49">
        <f t="shared" si="79"/>
        <v>1.3046540111535625</v>
      </c>
      <c r="X264" s="49"/>
      <c r="Y264" s="49"/>
      <c r="Z264" s="49"/>
      <c r="AR264" s="70"/>
      <c r="AU264" s="68"/>
    </row>
    <row r="265" spans="1:47" s="28" customFormat="1" ht="12.75" customHeight="1">
      <c r="A265" s="64" t="s">
        <v>182</v>
      </c>
      <c r="B265" s="23" t="s">
        <v>183</v>
      </c>
      <c r="C265" s="52" t="s">
        <v>163</v>
      </c>
      <c r="D265" s="65">
        <v>1997</v>
      </c>
      <c r="E265" s="26">
        <v>5</v>
      </c>
      <c r="F265" s="66">
        <v>15</v>
      </c>
      <c r="G265" s="46">
        <f t="shared" si="78"/>
        <v>136.88</v>
      </c>
      <c r="H265" s="84">
        <v>4134.7223433967938</v>
      </c>
      <c r="I265" s="66"/>
      <c r="K265" s="67">
        <v>27.686560224978646</v>
      </c>
      <c r="O265" s="48">
        <f t="shared" si="80"/>
        <v>3.6164463509431424</v>
      </c>
      <c r="R265" s="48">
        <f t="shared" si="81"/>
        <v>1.4422690024011771</v>
      </c>
      <c r="U265" s="48">
        <v>3.6164463509431424</v>
      </c>
      <c r="V265" s="54">
        <v>1.4422690024011771</v>
      </c>
      <c r="W265" s="49">
        <f t="shared" si="79"/>
        <v>1.4176545519218127</v>
      </c>
      <c r="X265" s="49"/>
      <c r="Y265" s="49"/>
      <c r="Z265" s="49"/>
      <c r="AR265" s="70"/>
      <c r="AU265" s="68"/>
    </row>
    <row r="266" spans="1:47" s="28" customFormat="1" ht="12.75" customHeight="1">
      <c r="A266" s="64" t="s">
        <v>182</v>
      </c>
      <c r="B266" s="23" t="s">
        <v>183</v>
      </c>
      <c r="C266" s="52" t="s">
        <v>163</v>
      </c>
      <c r="D266" s="65">
        <v>1997</v>
      </c>
      <c r="E266" s="26">
        <v>5</v>
      </c>
      <c r="F266" s="66">
        <v>15</v>
      </c>
      <c r="G266" s="46">
        <f t="shared" si="78"/>
        <v>136.88</v>
      </c>
      <c r="H266" s="84">
        <v>5746.4885968037752</v>
      </c>
      <c r="I266" s="66"/>
      <c r="K266" s="67">
        <v>32.922253683942003</v>
      </c>
      <c r="O266" s="48">
        <f t="shared" si="80"/>
        <v>3.7594025492359031</v>
      </c>
      <c r="R266" s="48">
        <f t="shared" si="81"/>
        <v>1.5174895570687481</v>
      </c>
      <c r="U266" s="48">
        <v>3.7594025492359031</v>
      </c>
      <c r="V266" s="54">
        <v>1.5174895570687481</v>
      </c>
      <c r="W266" s="49">
        <f t="shared" si="79"/>
        <v>1.3030827667132567</v>
      </c>
      <c r="X266" s="49"/>
      <c r="Y266" s="49"/>
      <c r="Z266" s="49"/>
      <c r="AR266" s="70"/>
      <c r="AU266" s="68"/>
    </row>
    <row r="267" spans="1:47" s="28" customFormat="1" ht="12.75" customHeight="1">
      <c r="A267" s="64" t="s">
        <v>182</v>
      </c>
      <c r="B267" s="23" t="s">
        <v>183</v>
      </c>
      <c r="C267" s="52" t="s">
        <v>163</v>
      </c>
      <c r="D267" s="65">
        <v>1997</v>
      </c>
      <c r="E267" s="26">
        <v>5</v>
      </c>
      <c r="F267" s="66">
        <v>15</v>
      </c>
      <c r="G267" s="46">
        <f t="shared" si="78"/>
        <v>136.88</v>
      </c>
      <c r="H267" s="84">
        <v>6040.5165229059621</v>
      </c>
      <c r="I267" s="66"/>
      <c r="K267" s="67">
        <v>39.120951439410916</v>
      </c>
      <c r="O267" s="48">
        <f t="shared" si="80"/>
        <v>3.7810740766106452</v>
      </c>
      <c r="R267" s="48">
        <f t="shared" si="81"/>
        <v>1.5924094084842069</v>
      </c>
      <c r="U267" s="48">
        <v>3.7810740766106452</v>
      </c>
      <c r="V267" s="54">
        <v>1.5924094084842069</v>
      </c>
      <c r="W267" s="49">
        <f t="shared" si="79"/>
        <v>1.2251255648797423</v>
      </c>
      <c r="X267" s="49"/>
      <c r="Y267" s="49"/>
      <c r="Z267" s="49"/>
      <c r="AR267" s="70"/>
      <c r="AU267" s="68"/>
    </row>
    <row r="268" spans="1:47" s="28" customFormat="1" ht="12.75" customHeight="1">
      <c r="A268" s="64" t="s">
        <v>182</v>
      </c>
      <c r="B268" s="23" t="s">
        <v>183</v>
      </c>
      <c r="C268" s="52" t="s">
        <v>169</v>
      </c>
      <c r="D268" s="65">
        <v>1997</v>
      </c>
      <c r="E268" s="26">
        <v>5</v>
      </c>
      <c r="F268" s="66">
        <v>15</v>
      </c>
      <c r="G268" s="46">
        <f t="shared" si="78"/>
        <v>136.88</v>
      </c>
      <c r="H268" s="84">
        <v>3134.4953188507357</v>
      </c>
      <c r="I268" s="66"/>
      <c r="K268" s="67">
        <v>20.263168881233351</v>
      </c>
      <c r="O268" s="48">
        <f t="shared" si="80"/>
        <v>3.4961676255870651</v>
      </c>
      <c r="R268" s="48">
        <f t="shared" si="81"/>
        <v>1.3067073640260529</v>
      </c>
      <c r="U268" s="48">
        <v>3.4961676255870651</v>
      </c>
      <c r="V268" s="54">
        <v>1.3067073640260529</v>
      </c>
      <c r="W268" s="49">
        <f t="shared" si="79"/>
        <v>1.5829932358686325</v>
      </c>
      <c r="X268" s="49"/>
      <c r="Y268" s="49"/>
      <c r="Z268" s="49"/>
      <c r="AR268" s="70"/>
      <c r="AU268" s="68"/>
    </row>
    <row r="269" spans="1:47" s="28" customFormat="1" ht="12.75" customHeight="1">
      <c r="A269" s="64" t="s">
        <v>182</v>
      </c>
      <c r="B269" s="23" t="s">
        <v>183</v>
      </c>
      <c r="C269" s="52" t="s">
        <v>169</v>
      </c>
      <c r="D269" s="65">
        <v>1997</v>
      </c>
      <c r="E269" s="26">
        <v>5</v>
      </c>
      <c r="F269" s="66">
        <v>15</v>
      </c>
      <c r="G269" s="46">
        <f t="shared" si="78"/>
        <v>136.88</v>
      </c>
      <c r="H269" s="84">
        <v>3502.0481397540984</v>
      </c>
      <c r="I269" s="66"/>
      <c r="K269" s="67">
        <v>17.521865754836064</v>
      </c>
      <c r="O269" s="48">
        <f t="shared" si="80"/>
        <v>3.5443221116748602</v>
      </c>
      <c r="R269" s="48">
        <f t="shared" si="81"/>
        <v>1.2435803486293255</v>
      </c>
      <c r="U269" s="48">
        <v>3.5443221116748602</v>
      </c>
      <c r="V269" s="54">
        <v>1.2435803486293255</v>
      </c>
      <c r="W269" s="49">
        <f t="shared" si="79"/>
        <v>1.6287866426719184</v>
      </c>
      <c r="X269" s="49"/>
      <c r="Y269" s="49"/>
      <c r="Z269" s="49"/>
      <c r="AR269" s="70"/>
      <c r="AU269" s="68"/>
    </row>
    <row r="270" spans="1:47" s="28" customFormat="1" ht="12.75" customHeight="1">
      <c r="A270" s="64" t="s">
        <v>182</v>
      </c>
      <c r="B270" s="23" t="s">
        <v>183</v>
      </c>
      <c r="C270" s="52" t="s">
        <v>169</v>
      </c>
      <c r="D270" s="65">
        <v>1997</v>
      </c>
      <c r="E270" s="26">
        <v>5</v>
      </c>
      <c r="F270" s="66">
        <v>15</v>
      </c>
      <c r="G270" s="46">
        <f t="shared" si="78"/>
        <v>136.88</v>
      </c>
      <c r="H270" s="84">
        <v>5798.2317009533381</v>
      </c>
      <c r="I270" s="66"/>
      <c r="K270" s="67">
        <v>35.050171918585875</v>
      </c>
      <c r="O270" s="48">
        <f t="shared" si="80"/>
        <v>3.763295566043972</v>
      </c>
      <c r="R270" s="48">
        <f t="shared" si="81"/>
        <v>1.5446901524912673</v>
      </c>
      <c r="U270" s="48">
        <v>3.763295566043972</v>
      </c>
      <c r="V270" s="54">
        <v>1.5446901524912673</v>
      </c>
      <c r="W270" s="49">
        <f t="shared" si="79"/>
        <v>1.2759700644374856</v>
      </c>
      <c r="X270" s="49"/>
      <c r="Y270" s="49"/>
      <c r="Z270" s="49"/>
      <c r="AR270" s="70"/>
      <c r="AU270" s="68"/>
    </row>
    <row r="271" spans="1:47" s="28" customFormat="1" ht="12.75" customHeight="1">
      <c r="A271" s="64" t="s">
        <v>182</v>
      </c>
      <c r="B271" s="23" t="s">
        <v>183</v>
      </c>
      <c r="C271" s="52" t="s">
        <v>169</v>
      </c>
      <c r="D271" s="65">
        <v>1997</v>
      </c>
      <c r="E271" s="26">
        <v>5</v>
      </c>
      <c r="F271" s="66">
        <v>15</v>
      </c>
      <c r="G271" s="46">
        <f t="shared" si="78"/>
        <v>136.88</v>
      </c>
      <c r="H271" s="84">
        <v>8221.5223451807233</v>
      </c>
      <c r="I271" s="66"/>
      <c r="K271" s="67">
        <v>46.430899575301204</v>
      </c>
      <c r="O271" s="48">
        <f t="shared" si="80"/>
        <v>3.914952241493447</v>
      </c>
      <c r="R271" s="48">
        <f t="shared" si="81"/>
        <v>1.6668070979846046</v>
      </c>
      <c r="U271" s="48">
        <v>3.914952241493447</v>
      </c>
      <c r="V271" s="54">
        <v>1.6668070979846046</v>
      </c>
      <c r="W271" s="49">
        <f t="shared" si="79"/>
        <v>1.1140578050800578</v>
      </c>
      <c r="X271" s="49"/>
      <c r="Y271" s="49"/>
      <c r="Z271" s="49"/>
      <c r="AR271" s="70"/>
      <c r="AU271" s="68"/>
    </row>
    <row r="272" spans="1:47" s="28" customFormat="1" ht="12.75" customHeight="1">
      <c r="A272" s="64" t="s">
        <v>182</v>
      </c>
      <c r="B272" s="23" t="s">
        <v>183</v>
      </c>
      <c r="C272" s="52" t="s">
        <v>169</v>
      </c>
      <c r="D272" s="65">
        <v>1997</v>
      </c>
      <c r="E272" s="26">
        <v>5</v>
      </c>
      <c r="F272" s="66">
        <v>15</v>
      </c>
      <c r="G272" s="46">
        <f t="shared" si="78"/>
        <v>136.88</v>
      </c>
      <c r="H272" s="84">
        <v>2388.8865000000001</v>
      </c>
      <c r="I272" s="66"/>
      <c r="K272" s="67">
        <v>13.927763850000002</v>
      </c>
      <c r="O272" s="48">
        <f t="shared" si="80"/>
        <v>3.3781955161815813</v>
      </c>
      <c r="R272" s="48">
        <f t="shared" si="81"/>
        <v>1.1438813945602115</v>
      </c>
      <c r="U272" s="48">
        <v>3.3781955161815813</v>
      </c>
      <c r="V272" s="54">
        <v>1.1438813945602115</v>
      </c>
      <c r="W272" s="49">
        <f t="shared" si="79"/>
        <v>1.7736484770229324</v>
      </c>
      <c r="X272" s="49"/>
      <c r="Y272" s="49"/>
      <c r="Z272" s="49"/>
      <c r="AR272" s="70"/>
      <c r="AU272" s="68"/>
    </row>
    <row r="273" spans="1:47" s="28" customFormat="1" ht="12.75" customHeight="1">
      <c r="A273" s="64" t="s">
        <v>182</v>
      </c>
      <c r="B273" s="23" t="s">
        <v>183</v>
      </c>
      <c r="C273" s="52" t="s">
        <v>170</v>
      </c>
      <c r="D273" s="65">
        <v>1997</v>
      </c>
      <c r="E273" s="26">
        <v>4</v>
      </c>
      <c r="F273" s="66">
        <v>15</v>
      </c>
      <c r="G273" s="46">
        <f t="shared" si="78"/>
        <v>106.41</v>
      </c>
      <c r="H273" s="84">
        <v>3579.9343086686758</v>
      </c>
      <c r="I273" s="66"/>
      <c r="K273" s="67">
        <v>8.6883798951958848</v>
      </c>
      <c r="O273" s="48">
        <f t="shared" si="80"/>
        <v>3.5538750574694453</v>
      </c>
      <c r="R273" s="48">
        <f t="shared" si="81"/>
        <v>0.93893880197546309</v>
      </c>
      <c r="U273" s="48">
        <v>3.5538750574694453</v>
      </c>
      <c r="V273" s="54">
        <v>0.93893880197546309</v>
      </c>
      <c r="W273" s="49">
        <f t="shared" si="79"/>
        <v>1.916522871757093</v>
      </c>
      <c r="X273" s="49"/>
      <c r="Y273" s="49"/>
      <c r="Z273" s="49"/>
      <c r="AR273" s="70"/>
      <c r="AU273" s="68"/>
    </row>
    <row r="274" spans="1:47" s="28" customFormat="1" ht="12.75" customHeight="1">
      <c r="A274" s="64" t="s">
        <v>182</v>
      </c>
      <c r="B274" s="23" t="s">
        <v>183</v>
      </c>
      <c r="C274" s="52" t="s">
        <v>170</v>
      </c>
      <c r="D274" s="65">
        <v>1997</v>
      </c>
      <c r="E274" s="26">
        <v>4</v>
      </c>
      <c r="F274" s="66">
        <v>15</v>
      </c>
      <c r="G274" s="46">
        <f t="shared" si="78"/>
        <v>106.41</v>
      </c>
      <c r="H274" s="84">
        <v>2685.6864541604587</v>
      </c>
      <c r="I274" s="66"/>
      <c r="K274" s="67">
        <v>6.5648436865461521</v>
      </c>
      <c r="O274" s="48">
        <f t="shared" si="80"/>
        <v>3.4290553087137767</v>
      </c>
      <c r="R274" s="48">
        <f t="shared" si="81"/>
        <v>0.81722438969759958</v>
      </c>
      <c r="U274" s="48">
        <v>3.4290553087137767</v>
      </c>
      <c r="V274" s="54">
        <v>0.81722438969759958</v>
      </c>
      <c r="W274" s="49">
        <f t="shared" si="79"/>
        <v>2.0700128349470894</v>
      </c>
      <c r="X274" s="49"/>
      <c r="Y274" s="49"/>
      <c r="Z274" s="49"/>
      <c r="AR274" s="70"/>
      <c r="AU274" s="68"/>
    </row>
    <row r="275" spans="1:47" s="28" customFormat="1" ht="12.75" customHeight="1">
      <c r="A275" s="64" t="s">
        <v>182</v>
      </c>
      <c r="B275" s="23" t="s">
        <v>183</v>
      </c>
      <c r="C275" s="52" t="s">
        <v>170</v>
      </c>
      <c r="D275" s="65">
        <v>1997</v>
      </c>
      <c r="E275" s="26">
        <v>4</v>
      </c>
      <c r="F275" s="66">
        <v>15</v>
      </c>
      <c r="G275" s="46">
        <f t="shared" si="78"/>
        <v>106.41</v>
      </c>
      <c r="H275" s="84">
        <v>1888.8870000000002</v>
      </c>
      <c r="I275" s="66"/>
      <c r="K275" s="67">
        <v>3.7999961999999963</v>
      </c>
      <c r="O275" s="48">
        <f t="shared" si="80"/>
        <v>3.27620597764425</v>
      </c>
      <c r="R275" s="48">
        <f t="shared" si="81"/>
        <v>0.57978316232211069</v>
      </c>
      <c r="U275" s="48">
        <v>3.27620597764425</v>
      </c>
      <c r="V275" s="54">
        <v>0.57978316232211069</v>
      </c>
      <c r="W275" s="49">
        <f t="shared" si="79"/>
        <v>2.3422901564894354</v>
      </c>
      <c r="X275" s="49"/>
      <c r="Y275" s="49"/>
      <c r="Z275" s="49"/>
      <c r="AR275" s="70"/>
      <c r="AU275" s="68"/>
    </row>
    <row r="276" spans="1:47" s="28" customFormat="1" ht="12.75" customHeight="1">
      <c r="A276" s="64" t="s">
        <v>182</v>
      </c>
      <c r="B276" s="23" t="s">
        <v>183</v>
      </c>
      <c r="C276" s="52" t="s">
        <v>170</v>
      </c>
      <c r="D276" s="65">
        <v>1997</v>
      </c>
      <c r="E276" s="26">
        <v>4</v>
      </c>
      <c r="F276" s="66">
        <v>15</v>
      </c>
      <c r="G276" s="46">
        <f t="shared" si="78"/>
        <v>106.41</v>
      </c>
      <c r="H276" s="84">
        <v>2601.4076237381123</v>
      </c>
      <c r="I276" s="66"/>
      <c r="K276" s="67">
        <v>7.262486438229697</v>
      </c>
      <c r="O276" s="48">
        <f t="shared" si="80"/>
        <v>3.4152084086625401</v>
      </c>
      <c r="R276" s="48">
        <f t="shared" si="81"/>
        <v>0.86108533440940171</v>
      </c>
      <c r="U276" s="48">
        <v>3.4152084086625401</v>
      </c>
      <c r="V276" s="54">
        <v>0.86108533440940171</v>
      </c>
      <c r="W276" s="49">
        <f t="shared" si="79"/>
        <v>2.0323213669855882</v>
      </c>
      <c r="X276" s="49"/>
      <c r="Y276" s="49"/>
      <c r="Z276" s="49"/>
      <c r="AR276" s="70"/>
      <c r="AU276" s="68"/>
    </row>
    <row r="277" spans="1:47" s="28" customFormat="1" ht="12.75" customHeight="1">
      <c r="A277" s="64" t="s">
        <v>182</v>
      </c>
      <c r="B277" s="23" t="s">
        <v>183</v>
      </c>
      <c r="C277" s="52" t="s">
        <v>170</v>
      </c>
      <c r="D277" s="65">
        <v>1997</v>
      </c>
      <c r="E277" s="26">
        <v>4</v>
      </c>
      <c r="F277" s="66">
        <v>15</v>
      </c>
      <c r="G277" s="46">
        <f t="shared" si="78"/>
        <v>106.41</v>
      </c>
      <c r="H277" s="84">
        <v>3581.9176798208705</v>
      </c>
      <c r="I277" s="66"/>
      <c r="K277" s="67">
        <v>9.0713754825274755</v>
      </c>
      <c r="O277" s="48">
        <f t="shared" si="80"/>
        <v>3.5541156006055972</v>
      </c>
      <c r="R277" s="48">
        <f t="shared" si="81"/>
        <v>0.9576731436400836</v>
      </c>
      <c r="U277" s="48">
        <v>3.5541156006055972</v>
      </c>
      <c r="V277" s="54">
        <v>0.9576731436400836</v>
      </c>
      <c r="W277" s="49">
        <f t="shared" si="79"/>
        <v>1.8985801346565732</v>
      </c>
      <c r="X277" s="49"/>
      <c r="Y277" s="49"/>
      <c r="Z277" s="49"/>
      <c r="AR277" s="70"/>
      <c r="AU277" s="68"/>
    </row>
    <row r="278" spans="1:47" s="28" customFormat="1" ht="12.75" customHeight="1">
      <c r="A278" s="64" t="s">
        <v>182</v>
      </c>
      <c r="B278" s="23" t="s">
        <v>183</v>
      </c>
      <c r="C278" s="52" t="s">
        <v>171</v>
      </c>
      <c r="D278" s="65">
        <v>1997</v>
      </c>
      <c r="E278" s="26">
        <v>4</v>
      </c>
      <c r="F278" s="66">
        <v>15</v>
      </c>
      <c r="G278" s="46">
        <f t="shared" si="78"/>
        <v>106.41</v>
      </c>
      <c r="H278" s="84">
        <v>8254.3487531538922</v>
      </c>
      <c r="I278" s="66"/>
      <c r="K278" s="67">
        <v>6.3845791460858834</v>
      </c>
      <c r="O278" s="48">
        <f t="shared" si="80"/>
        <v>3.9166828142349455</v>
      </c>
      <c r="R278" s="48">
        <f t="shared" si="81"/>
        <v>0.80513227504399898</v>
      </c>
      <c r="U278" s="48">
        <v>3.9166828142349455</v>
      </c>
      <c r="V278" s="54">
        <v>0.80513227504399898</v>
      </c>
      <c r="W278" s="49">
        <f t="shared" si="79"/>
        <v>1.9354910695749326</v>
      </c>
      <c r="X278" s="49"/>
      <c r="Y278" s="49"/>
      <c r="Z278" s="49"/>
      <c r="AR278" s="70"/>
      <c r="AU278" s="68"/>
    </row>
    <row r="279" spans="1:47" s="28" customFormat="1" ht="12.75" customHeight="1">
      <c r="A279" s="64" t="s">
        <v>182</v>
      </c>
      <c r="B279" s="23" t="s">
        <v>183</v>
      </c>
      <c r="C279" s="52" t="s">
        <v>171</v>
      </c>
      <c r="D279" s="65">
        <v>1997</v>
      </c>
      <c r="E279" s="26">
        <v>4</v>
      </c>
      <c r="F279" s="66">
        <v>15</v>
      </c>
      <c r="G279" s="46">
        <f t="shared" si="78"/>
        <v>106.41</v>
      </c>
      <c r="H279" s="84">
        <v>14051.07783189122</v>
      </c>
      <c r="I279" s="66"/>
      <c r="K279" s="67">
        <v>8.437534482385658</v>
      </c>
      <c r="O279" s="48">
        <f t="shared" si="80"/>
        <v>4.1477096394360391</v>
      </c>
      <c r="R279" s="48">
        <f t="shared" si="81"/>
        <v>0.92621556071069178</v>
      </c>
      <c r="U279" s="48">
        <v>4.1477096394360391</v>
      </c>
      <c r="V279" s="54">
        <v>0.92621556071069178</v>
      </c>
      <c r="W279" s="49">
        <f t="shared" si="79"/>
        <v>1.7507915059698473</v>
      </c>
      <c r="X279" s="49"/>
      <c r="Y279" s="49"/>
      <c r="Z279" s="49"/>
      <c r="AR279" s="70"/>
      <c r="AU279" s="68"/>
    </row>
    <row r="280" spans="1:47" s="28" customFormat="1" ht="12.75" customHeight="1">
      <c r="A280" s="64" t="s">
        <v>182</v>
      </c>
      <c r="B280" s="23" t="s">
        <v>183</v>
      </c>
      <c r="C280" s="52" t="s">
        <v>171</v>
      </c>
      <c r="D280" s="65">
        <v>1997</v>
      </c>
      <c r="E280" s="26">
        <v>4</v>
      </c>
      <c r="F280" s="66">
        <v>15</v>
      </c>
      <c r="G280" s="46">
        <f t="shared" si="78"/>
        <v>106.41</v>
      </c>
      <c r="H280" s="84">
        <v>10259.426137879205</v>
      </c>
      <c r="I280" s="66"/>
      <c r="K280" s="67">
        <v>6.5792706974528548</v>
      </c>
      <c r="O280" s="48">
        <f t="shared" si="80"/>
        <v>4.0111230691459223</v>
      </c>
      <c r="R280" s="48">
        <f t="shared" si="81"/>
        <v>0.81817775537294357</v>
      </c>
      <c r="U280" s="48">
        <v>4.0111230691459223</v>
      </c>
      <c r="V280" s="54">
        <v>0.81817775537294357</v>
      </c>
      <c r="W280" s="49">
        <f t="shared" si="79"/>
        <v>1.8947598063130442</v>
      </c>
      <c r="X280" s="49"/>
      <c r="Y280" s="49"/>
      <c r="Z280" s="49"/>
      <c r="AR280" s="70"/>
      <c r="AU280" s="68"/>
    </row>
    <row r="281" spans="1:47" s="28" customFormat="1" ht="12.75" customHeight="1">
      <c r="A281" s="64" t="s">
        <v>182</v>
      </c>
      <c r="B281" s="23" t="s">
        <v>183</v>
      </c>
      <c r="C281" s="52" t="s">
        <v>171</v>
      </c>
      <c r="D281" s="65">
        <v>1997</v>
      </c>
      <c r="E281" s="26">
        <v>4</v>
      </c>
      <c r="F281" s="66">
        <v>15</v>
      </c>
      <c r="G281" s="46">
        <f t="shared" si="78"/>
        <v>106.41</v>
      </c>
      <c r="H281" s="84">
        <v>13136.093121578335</v>
      </c>
      <c r="I281" s="66"/>
      <c r="K281" s="67">
        <v>10.783815981202673</v>
      </c>
      <c r="O281" s="48">
        <f t="shared" si="80"/>
        <v>4.1184662184937171</v>
      </c>
      <c r="R281" s="48">
        <f t="shared" si="81"/>
        <v>1.0327724683019532</v>
      </c>
      <c r="U281" s="48">
        <v>4.1184662184937171</v>
      </c>
      <c r="V281" s="54">
        <v>1.0327724683019532</v>
      </c>
      <c r="W281" s="49">
        <f t="shared" si="79"/>
        <v>1.6579059957789235</v>
      </c>
      <c r="X281" s="49"/>
      <c r="Y281" s="49"/>
      <c r="Z281" s="49"/>
      <c r="AR281" s="70"/>
      <c r="AU281" s="68"/>
    </row>
    <row r="282" spans="1:47" s="28" customFormat="1" ht="12.75" customHeight="1">
      <c r="A282" s="64" t="s">
        <v>182</v>
      </c>
      <c r="B282" s="23" t="s">
        <v>183</v>
      </c>
      <c r="C282" s="52" t="s">
        <v>171</v>
      </c>
      <c r="D282" s="65">
        <v>1997</v>
      </c>
      <c r="E282" s="26">
        <v>4</v>
      </c>
      <c r="F282" s="66">
        <v>15</v>
      </c>
      <c r="G282" s="46">
        <f t="shared" si="78"/>
        <v>106.41</v>
      </c>
      <c r="H282" s="84">
        <v>13897.956170057147</v>
      </c>
      <c r="I282" s="66"/>
      <c r="K282" s="67">
        <v>8.7583346430171414</v>
      </c>
      <c r="O282" s="48">
        <f t="shared" si="80"/>
        <v>4.1429509377123814</v>
      </c>
      <c r="R282" s="48">
        <f t="shared" si="81"/>
        <v>0.94242153492315683</v>
      </c>
      <c r="U282" s="48">
        <v>4.1429509377123814</v>
      </c>
      <c r="V282" s="54">
        <v>0.94242153492315683</v>
      </c>
      <c r="W282" s="49">
        <f t="shared" si="79"/>
        <v>1.7367579753988744</v>
      </c>
      <c r="X282" s="49"/>
      <c r="Y282" s="49"/>
      <c r="Z282" s="49"/>
      <c r="AR282" s="70"/>
      <c r="AU282" s="68"/>
    </row>
    <row r="283" spans="1:47" s="28" customFormat="1" ht="12.75" customHeight="1">
      <c r="A283" s="64" t="s">
        <v>182</v>
      </c>
      <c r="B283" s="23" t="s">
        <v>183</v>
      </c>
      <c r="C283" s="52" t="s">
        <v>172</v>
      </c>
      <c r="D283" s="65">
        <v>1997</v>
      </c>
      <c r="E283" s="26">
        <v>4</v>
      </c>
      <c r="F283" s="66">
        <v>15</v>
      </c>
      <c r="G283" s="46">
        <f t="shared" si="78"/>
        <v>106.41</v>
      </c>
      <c r="H283" s="84">
        <v>2433.3308999999999</v>
      </c>
      <c r="I283" s="66"/>
      <c r="K283" s="67">
        <v>13.976652689999998</v>
      </c>
      <c r="O283" s="48">
        <f t="shared" si="80"/>
        <v>3.3862011711060944</v>
      </c>
      <c r="R283" s="48">
        <f t="shared" si="81"/>
        <v>1.1454031733892067</v>
      </c>
      <c r="U283" s="48">
        <v>3.3862011711060944</v>
      </c>
      <c r="V283" s="54">
        <v>1.1454031733892067</v>
      </c>
      <c r="W283" s="49">
        <f t="shared" si="79"/>
        <v>1.7697989616089513</v>
      </c>
      <c r="X283" s="49"/>
      <c r="Y283" s="49"/>
      <c r="Z283" s="49"/>
      <c r="AR283" s="70"/>
      <c r="AU283" s="68"/>
    </row>
    <row r="284" spans="1:47" s="28" customFormat="1" ht="12.75" customHeight="1">
      <c r="A284" s="64" t="s">
        <v>182</v>
      </c>
      <c r="B284" s="23" t="s">
        <v>183</v>
      </c>
      <c r="C284" s="52" t="s">
        <v>172</v>
      </c>
      <c r="D284" s="65">
        <v>1997</v>
      </c>
      <c r="E284" s="26">
        <v>4</v>
      </c>
      <c r="F284" s="66">
        <v>15</v>
      </c>
      <c r="G284" s="46">
        <f t="shared" si="78"/>
        <v>106.41</v>
      </c>
      <c r="H284" s="84">
        <v>3835.6176739936327</v>
      </c>
      <c r="I284" s="66"/>
      <c r="K284" s="67">
        <v>17.486621635995</v>
      </c>
      <c r="O284" s="48">
        <f t="shared" si="80"/>
        <v>3.5838353111289871</v>
      </c>
      <c r="R284" s="48">
        <f t="shared" si="81"/>
        <v>1.2427059131627278</v>
      </c>
      <c r="U284" s="48">
        <v>3.5838353111289871</v>
      </c>
      <c r="V284" s="54">
        <v>1.2427059131627278</v>
      </c>
      <c r="W284" s="49">
        <f t="shared" si="79"/>
        <v>1.6177855914022885</v>
      </c>
      <c r="X284" s="49"/>
      <c r="Y284" s="49"/>
      <c r="Z284" s="49"/>
      <c r="AR284" s="70"/>
      <c r="AU284" s="68"/>
    </row>
    <row r="285" spans="1:47" s="28" customFormat="1" ht="12.75" customHeight="1">
      <c r="A285" s="64" t="s">
        <v>182</v>
      </c>
      <c r="B285" s="23" t="s">
        <v>183</v>
      </c>
      <c r="C285" s="52" t="s">
        <v>172</v>
      </c>
      <c r="D285" s="65">
        <v>1997</v>
      </c>
      <c r="E285" s="26">
        <v>4</v>
      </c>
      <c r="F285" s="66">
        <v>15</v>
      </c>
      <c r="G285" s="46">
        <f t="shared" si="78"/>
        <v>106.41</v>
      </c>
      <c r="H285" s="84">
        <v>5142.7891543395162</v>
      </c>
      <c r="I285" s="66"/>
      <c r="K285" s="67">
        <v>21.228368637354041</v>
      </c>
      <c r="O285" s="48">
        <f t="shared" si="80"/>
        <v>3.7111987193465721</v>
      </c>
      <c r="R285" s="48">
        <f t="shared" si="81"/>
        <v>1.3269166206842467</v>
      </c>
      <c r="U285" s="48">
        <v>3.7111987193465721</v>
      </c>
      <c r="V285" s="54">
        <v>1.3269166206842467</v>
      </c>
      <c r="W285" s="49">
        <f t="shared" si="79"/>
        <v>1.4993085235965029</v>
      </c>
      <c r="X285" s="49"/>
      <c r="Y285" s="49"/>
      <c r="Z285" s="49"/>
      <c r="AR285" s="70"/>
      <c r="AU285" s="68"/>
    </row>
    <row r="286" spans="1:47" s="28" customFormat="1" ht="12.75" customHeight="1">
      <c r="A286" s="64" t="s">
        <v>182</v>
      </c>
      <c r="B286" s="23" t="s">
        <v>183</v>
      </c>
      <c r="C286" s="52" t="s">
        <v>172</v>
      </c>
      <c r="D286" s="65">
        <v>1997</v>
      </c>
      <c r="E286" s="26">
        <v>4</v>
      </c>
      <c r="F286" s="66">
        <v>15</v>
      </c>
      <c r="G286" s="46">
        <f t="shared" si="78"/>
        <v>106.41</v>
      </c>
      <c r="H286" s="84">
        <v>5725.4221253079513</v>
      </c>
      <c r="I286" s="66"/>
      <c r="K286" s="67">
        <v>24.181262707760354</v>
      </c>
      <c r="O286" s="48">
        <f t="shared" si="80"/>
        <v>3.7578075119610213</v>
      </c>
      <c r="R286" s="48">
        <f t="shared" si="81"/>
        <v>1.3834789752962324</v>
      </c>
      <c r="U286" s="48">
        <v>3.7578075119610213</v>
      </c>
      <c r="V286" s="54">
        <v>1.3834789752962324</v>
      </c>
      <c r="W286" s="49">
        <f t="shared" si="79"/>
        <v>1.4313932135678038</v>
      </c>
      <c r="X286" s="49"/>
      <c r="Y286" s="49"/>
      <c r="Z286" s="49"/>
      <c r="AR286" s="70"/>
      <c r="AU286" s="68"/>
    </row>
    <row r="287" spans="1:47" s="28" customFormat="1" ht="12.75" customHeight="1">
      <c r="A287" s="64" t="s">
        <v>182</v>
      </c>
      <c r="B287" s="23" t="s">
        <v>183</v>
      </c>
      <c r="C287" s="52" t="s">
        <v>172</v>
      </c>
      <c r="D287" s="65">
        <v>1997</v>
      </c>
      <c r="E287" s="26">
        <v>4</v>
      </c>
      <c r="F287" s="66">
        <v>15</v>
      </c>
      <c r="G287" s="46">
        <f t="shared" si="78"/>
        <v>106.41</v>
      </c>
      <c r="H287" s="84">
        <v>5716.8480681898727</v>
      </c>
      <c r="I287" s="66"/>
      <c r="K287" s="67">
        <v>9.3561604072513411</v>
      </c>
      <c r="O287" s="48">
        <f t="shared" si="80"/>
        <v>3.7571566504924698</v>
      </c>
      <c r="R287" s="48">
        <f t="shared" si="81"/>
        <v>0.97109765898864731</v>
      </c>
      <c r="U287" s="48">
        <v>3.7571566504924698</v>
      </c>
      <c r="V287" s="54">
        <v>0.97109765898864731</v>
      </c>
      <c r="W287" s="49">
        <f t="shared" si="79"/>
        <v>1.8249587002146324</v>
      </c>
      <c r="X287" s="49"/>
      <c r="Y287" s="49"/>
      <c r="Z287" s="49"/>
      <c r="AR287" s="70"/>
      <c r="AU287" s="68"/>
    </row>
    <row r="288" spans="1:47" s="28" customFormat="1" ht="12.75" customHeight="1">
      <c r="A288" s="64" t="s">
        <v>182</v>
      </c>
      <c r="B288" s="23" t="s">
        <v>183</v>
      </c>
      <c r="C288" s="52" t="s">
        <v>174</v>
      </c>
      <c r="D288" s="66" t="s">
        <v>173</v>
      </c>
      <c r="E288" s="26"/>
      <c r="F288" s="66"/>
      <c r="H288" s="84">
        <v>38641.589639154459</v>
      </c>
      <c r="I288" s="66"/>
      <c r="K288" s="67">
        <v>269.2344904126453</v>
      </c>
      <c r="O288" s="48">
        <f t="shared" si="80"/>
        <v>4.5870549841335322</v>
      </c>
      <c r="R288" s="48">
        <f t="shared" si="81"/>
        <v>2.4301306946173322</v>
      </c>
      <c r="U288" s="48">
        <v>4.5870549841335322</v>
      </c>
      <c r="V288" s="54">
        <v>2.4301306946173322</v>
      </c>
      <c r="W288" s="49">
        <f t="shared" si="79"/>
        <v>0.1846121211039243</v>
      </c>
      <c r="X288" s="49"/>
      <c r="Y288" s="49"/>
      <c r="Z288" s="49"/>
      <c r="AR288" s="70"/>
    </row>
    <row r="289" spans="1:44" s="28" customFormat="1" ht="12.75" customHeight="1">
      <c r="A289" s="64" t="s">
        <v>182</v>
      </c>
      <c r="B289" s="23" t="s">
        <v>183</v>
      </c>
      <c r="C289" s="52" t="s">
        <v>174</v>
      </c>
      <c r="D289" s="66" t="s">
        <v>173</v>
      </c>
      <c r="E289" s="26"/>
      <c r="F289" s="66"/>
      <c r="H289" s="84">
        <v>21362.830044410595</v>
      </c>
      <c r="I289" s="66"/>
      <c r="K289" s="67">
        <v>160.22122533307945</v>
      </c>
      <c r="O289" s="48">
        <f t="shared" si="80"/>
        <v>4.3296587854003699</v>
      </c>
      <c r="R289" s="48">
        <f t="shared" si="81"/>
        <v>2.2047200487920704</v>
      </c>
      <c r="U289" s="48">
        <v>4.3296587854003699</v>
      </c>
      <c r="V289" s="54">
        <v>2.2047200487920704</v>
      </c>
      <c r="W289" s="49">
        <f t="shared" si="79"/>
        <v>0.47672782962371268</v>
      </c>
      <c r="X289" s="49"/>
      <c r="Y289" s="49"/>
      <c r="Z289" s="49"/>
      <c r="AR289" s="70"/>
    </row>
    <row r="290" spans="1:44" s="28" customFormat="1" ht="12.75" customHeight="1">
      <c r="A290" s="64" t="s">
        <v>182</v>
      </c>
      <c r="B290" s="23" t="s">
        <v>183</v>
      </c>
      <c r="C290" s="52" t="s">
        <v>174</v>
      </c>
      <c r="D290" s="66" t="s">
        <v>173</v>
      </c>
      <c r="E290" s="26"/>
      <c r="F290" s="66"/>
      <c r="H290" s="84">
        <v>19477.874452256718</v>
      </c>
      <c r="I290" s="66"/>
      <c r="K290" s="67">
        <v>176.55750713174641</v>
      </c>
      <c r="O290" s="48">
        <f t="shared" si="80"/>
        <v>4.2895415621923876</v>
      </c>
      <c r="R290" s="48">
        <f t="shared" si="81"/>
        <v>2.2468861882631952</v>
      </c>
      <c r="U290" s="48">
        <v>4.2895415621923876</v>
      </c>
      <c r="V290" s="54">
        <v>2.2468861882631952</v>
      </c>
      <c r="W290" s="49">
        <f t="shared" si="79"/>
        <v>0.44852164441668813</v>
      </c>
      <c r="X290" s="49"/>
      <c r="Y290" s="49"/>
      <c r="Z290" s="49"/>
      <c r="AR290" s="70"/>
    </row>
    <row r="291" spans="1:44" s="28" customFormat="1" ht="12.75" customHeight="1">
      <c r="A291" s="64" t="s">
        <v>182</v>
      </c>
      <c r="B291" s="23" t="s">
        <v>183</v>
      </c>
      <c r="C291" s="52" t="s">
        <v>174</v>
      </c>
      <c r="D291" s="66" t="s">
        <v>173</v>
      </c>
      <c r="E291" s="26"/>
      <c r="F291" s="66"/>
      <c r="H291" s="84">
        <v>22933.62637120549</v>
      </c>
      <c r="I291" s="66"/>
      <c r="K291" s="67">
        <v>258.55307539043997</v>
      </c>
      <c r="O291" s="48">
        <f t="shared" si="80"/>
        <v>4.36047273281459</v>
      </c>
      <c r="R291" s="48">
        <f t="shared" si="81"/>
        <v>2.4125497079064036</v>
      </c>
      <c r="U291" s="48">
        <v>4.36047273281459</v>
      </c>
      <c r="V291" s="54">
        <v>2.4125497079064036</v>
      </c>
      <c r="W291" s="49">
        <f t="shared" si="79"/>
        <v>0.26924958252088488</v>
      </c>
      <c r="X291" s="49"/>
      <c r="Y291" s="49"/>
      <c r="Z291" s="49"/>
      <c r="AR291" s="70"/>
    </row>
    <row r="292" spans="1:44" s="28" customFormat="1" ht="12.75" customHeight="1">
      <c r="A292" s="64" t="s">
        <v>182</v>
      </c>
      <c r="B292" s="23" t="s">
        <v>183</v>
      </c>
      <c r="C292" s="52" t="s">
        <v>174</v>
      </c>
      <c r="D292" s="66" t="s">
        <v>173</v>
      </c>
      <c r="E292" s="26"/>
      <c r="F292" s="66"/>
      <c r="H292" s="84">
        <v>22305.30784048753</v>
      </c>
      <c r="I292" s="66"/>
      <c r="K292" s="67">
        <v>156.7654734141307</v>
      </c>
      <c r="O292" s="48">
        <f t="shared" si="80"/>
        <v>4.3484082214132087</v>
      </c>
      <c r="R292" s="48">
        <f t="shared" si="81"/>
        <v>2.1952504183175239</v>
      </c>
      <c r="U292" s="48">
        <v>4.3484082214132087</v>
      </c>
      <c r="V292" s="54">
        <v>2.1952504183175239</v>
      </c>
      <c r="W292" s="49">
        <f t="shared" si="79"/>
        <v>0.48014499281141143</v>
      </c>
      <c r="X292" s="49"/>
      <c r="Y292" s="49"/>
      <c r="Z292" s="49"/>
      <c r="AR292" s="70"/>
    </row>
    <row r="293" spans="1:44" s="28" customFormat="1" ht="12.75" customHeight="1">
      <c r="A293" s="64" t="s">
        <v>182</v>
      </c>
      <c r="B293" s="23" t="s">
        <v>183</v>
      </c>
      <c r="C293" s="52" t="s">
        <v>174</v>
      </c>
      <c r="D293" s="66" t="s">
        <v>173</v>
      </c>
      <c r="E293" s="26"/>
      <c r="F293" s="66"/>
      <c r="H293" s="84">
        <v>17907.078125461823</v>
      </c>
      <c r="I293" s="66"/>
      <c r="K293" s="67">
        <v>170.27432182456681</v>
      </c>
      <c r="O293" s="48">
        <f t="shared" si="80"/>
        <v>4.2530247283666256</v>
      </c>
      <c r="R293" s="48">
        <f t="shared" si="81"/>
        <v>2.2311491592325208</v>
      </c>
      <c r="U293" s="48">
        <v>4.2530247283666256</v>
      </c>
      <c r="V293" s="54">
        <v>2.2311491592325208</v>
      </c>
      <c r="W293" s="49">
        <f t="shared" si="79"/>
        <v>0.47447088645397634</v>
      </c>
      <c r="X293" s="49"/>
      <c r="Y293" s="49"/>
      <c r="Z293" s="49"/>
      <c r="AR293" s="70"/>
    </row>
    <row r="294" spans="1:44" s="28" customFormat="1" ht="12.75" customHeight="1">
      <c r="A294" s="64" t="s">
        <v>182</v>
      </c>
      <c r="B294" s="23" t="s">
        <v>183</v>
      </c>
      <c r="C294" s="52" t="s">
        <v>174</v>
      </c>
      <c r="D294" s="66" t="s">
        <v>173</v>
      </c>
      <c r="E294" s="26"/>
      <c r="F294" s="66"/>
      <c r="H294" s="84">
        <v>20106.192982974677</v>
      </c>
      <c r="I294" s="66"/>
      <c r="K294" s="67">
        <v>156.4513141487717</v>
      </c>
      <c r="O294" s="48">
        <f t="shared" si="80"/>
        <v>4.3033298466780208</v>
      </c>
      <c r="R294" s="48">
        <f t="shared" si="81"/>
        <v>2.1943792154538513</v>
      </c>
      <c r="U294" s="48">
        <v>4.3033298466780208</v>
      </c>
      <c r="V294" s="54">
        <v>2.1943792154538513</v>
      </c>
      <c r="W294" s="49">
        <f t="shared" si="79"/>
        <v>0.494478115384276</v>
      </c>
      <c r="X294" s="49"/>
      <c r="Y294" s="49"/>
      <c r="Z294" s="49"/>
      <c r="AR294" s="70"/>
    </row>
    <row r="295" spans="1:44" s="28" customFormat="1" ht="12.75" customHeight="1">
      <c r="A295" s="64" t="s">
        <v>182</v>
      </c>
      <c r="B295" s="23" t="s">
        <v>183</v>
      </c>
      <c r="C295" s="52" t="s">
        <v>174</v>
      </c>
      <c r="D295" s="66" t="s">
        <v>173</v>
      </c>
      <c r="E295" s="26"/>
      <c r="F295" s="66"/>
      <c r="H295" s="84">
        <v>17592.918860102844</v>
      </c>
      <c r="I295" s="66"/>
      <c r="K295" s="67">
        <v>107.12830948741195</v>
      </c>
      <c r="O295" s="48">
        <f t="shared" si="80"/>
        <v>4.2453378997003339</v>
      </c>
      <c r="R295" s="48">
        <f t="shared" si="81"/>
        <v>2.0299042516866317</v>
      </c>
      <c r="U295" s="48">
        <v>4.2453378997003339</v>
      </c>
      <c r="V295" s="54">
        <v>2.0299042516866317</v>
      </c>
      <c r="W295" s="49">
        <f t="shared" si="79"/>
        <v>0.66874079804353947</v>
      </c>
      <c r="X295" s="49"/>
      <c r="Y295" s="49"/>
      <c r="Z295" s="49"/>
      <c r="AR295" s="70"/>
    </row>
    <row r="296" spans="1:44" s="28" customFormat="1" ht="12.75" customHeight="1">
      <c r="A296" s="64" t="s">
        <v>182</v>
      </c>
      <c r="B296" s="23" t="s">
        <v>183</v>
      </c>
      <c r="C296" s="52" t="s">
        <v>174</v>
      </c>
      <c r="D296" s="66" t="s">
        <v>173</v>
      </c>
      <c r="E296" s="26"/>
      <c r="F296" s="66"/>
      <c r="H296" s="84">
        <v>30159.289474462013</v>
      </c>
      <c r="I296" s="66"/>
      <c r="K296" s="67">
        <v>196.34954084936209</v>
      </c>
      <c r="O296" s="48">
        <f t="shared" si="80"/>
        <v>4.4794211057337021</v>
      </c>
      <c r="R296" s="48">
        <f t="shared" si="81"/>
        <v>2.2930298900382091</v>
      </c>
      <c r="U296" s="48">
        <v>4.4794211057337021</v>
      </c>
      <c r="V296" s="54">
        <v>2.2930298900382091</v>
      </c>
      <c r="W296" s="49">
        <f t="shared" si="79"/>
        <v>0.34763157296610764</v>
      </c>
      <c r="X296" s="49"/>
      <c r="Y296" s="49"/>
      <c r="Z296" s="49"/>
      <c r="AR296" s="70"/>
    </row>
    <row r="297" spans="1:44" s="28" customFormat="1" ht="12.75" customHeight="1">
      <c r="A297" s="64" t="s">
        <v>182</v>
      </c>
      <c r="B297" s="23" t="s">
        <v>183</v>
      </c>
      <c r="C297" s="52" t="s">
        <v>174</v>
      </c>
      <c r="D297" s="66" t="s">
        <v>173</v>
      </c>
      <c r="E297" s="26"/>
      <c r="F297" s="66"/>
      <c r="H297" s="84">
        <v>24818.581963359367</v>
      </c>
      <c r="I297" s="66"/>
      <c r="K297" s="67">
        <v>166.50441064025904</v>
      </c>
      <c r="O297" s="48">
        <f t="shared" si="80"/>
        <v>4.3947769639845751</v>
      </c>
      <c r="R297" s="48">
        <f t="shared" si="81"/>
        <v>2.2214257422949228</v>
      </c>
      <c r="U297" s="48">
        <v>4.3947769639845751</v>
      </c>
      <c r="V297" s="54">
        <v>2.2214257422949228</v>
      </c>
      <c r="W297" s="49">
        <f t="shared" si="79"/>
        <v>0.44128777219817861</v>
      </c>
      <c r="X297" s="49"/>
      <c r="Y297" s="49"/>
      <c r="Z297" s="49"/>
      <c r="AR297" s="70"/>
    </row>
    <row r="298" spans="1:44" s="28" customFormat="1" ht="12.75" customHeight="1">
      <c r="A298" s="64" t="s">
        <v>182</v>
      </c>
      <c r="B298" s="23" t="s">
        <v>183</v>
      </c>
      <c r="C298" s="52" t="s">
        <v>174</v>
      </c>
      <c r="D298" s="66" t="s">
        <v>173</v>
      </c>
      <c r="E298" s="26"/>
      <c r="F298" s="66"/>
      <c r="H298" s="84">
        <v>24190.263432641408</v>
      </c>
      <c r="I298" s="66"/>
      <c r="K298" s="67">
        <v>150.79644737231007</v>
      </c>
      <c r="O298" s="48">
        <f t="shared" si="80"/>
        <v>4.3836405978666155</v>
      </c>
      <c r="R298" s="48">
        <f t="shared" si="81"/>
        <v>2.1783911100697209</v>
      </c>
      <c r="U298" s="48">
        <v>4.3836405978666155</v>
      </c>
      <c r="V298" s="54">
        <v>2.1783911100697209</v>
      </c>
      <c r="W298" s="49">
        <f t="shared" si="79"/>
        <v>0.48567412348473449</v>
      </c>
      <c r="X298" s="49"/>
      <c r="Y298" s="49"/>
      <c r="Z298" s="49"/>
      <c r="AR298" s="70"/>
    </row>
    <row r="299" spans="1:44" s="28" customFormat="1" ht="12.75" customHeight="1">
      <c r="A299" s="64" t="s">
        <v>182</v>
      </c>
      <c r="B299" s="23" t="s">
        <v>183</v>
      </c>
      <c r="C299" s="52" t="s">
        <v>174</v>
      </c>
      <c r="D299" s="66" t="s">
        <v>173</v>
      </c>
      <c r="E299" s="26"/>
      <c r="F299" s="66"/>
      <c r="H299" s="84">
        <v>20420.352248333656</v>
      </c>
      <c r="I299" s="66"/>
      <c r="K299" s="67">
        <v>197.92033717615698</v>
      </c>
      <c r="O299" s="48">
        <f t="shared" si="80"/>
        <v>4.3100632293369898</v>
      </c>
      <c r="R299" s="48">
        <f t="shared" si="81"/>
        <v>2.2964904221477154</v>
      </c>
      <c r="U299" s="48">
        <v>4.3100632293369898</v>
      </c>
      <c r="V299" s="54">
        <v>2.2964904221477154</v>
      </c>
      <c r="W299" s="49">
        <f t="shared" si="79"/>
        <v>0.39505742157142421</v>
      </c>
      <c r="X299" s="49"/>
      <c r="Y299" s="49"/>
      <c r="Z299" s="49"/>
      <c r="AR299" s="70"/>
    </row>
    <row r="300" spans="1:44" s="28" customFormat="1" ht="12.75" customHeight="1">
      <c r="A300" s="64" t="s">
        <v>182</v>
      </c>
      <c r="B300" s="23" t="s">
        <v>183</v>
      </c>
      <c r="C300" s="52" t="s">
        <v>174</v>
      </c>
      <c r="D300" s="66" t="s">
        <v>173</v>
      </c>
      <c r="E300" s="26"/>
      <c r="F300" s="66"/>
      <c r="H300" s="84">
        <v>16650.441064025905</v>
      </c>
      <c r="I300" s="66"/>
      <c r="K300" s="67">
        <v>137.28759896187395</v>
      </c>
      <c r="O300" s="48">
        <f t="shared" si="80"/>
        <v>4.2214257422949233</v>
      </c>
      <c r="R300" s="48">
        <f t="shared" si="81"/>
        <v>2.1376313096645556</v>
      </c>
      <c r="U300" s="48">
        <v>4.2214257422949233</v>
      </c>
      <c r="V300" s="54">
        <v>2.1376313096645556</v>
      </c>
      <c r="W300" s="49">
        <f t="shared" si="79"/>
        <v>0.57314223682039045</v>
      </c>
      <c r="X300" s="49"/>
      <c r="Y300" s="49"/>
      <c r="Z300" s="49"/>
      <c r="AR300" s="70"/>
    </row>
    <row r="301" spans="1:44" s="28" customFormat="1" ht="12.75" customHeight="1">
      <c r="A301" s="64" t="s">
        <v>182</v>
      </c>
      <c r="B301" s="23" t="s">
        <v>183</v>
      </c>
      <c r="C301" s="52" t="s">
        <v>174</v>
      </c>
      <c r="D301" s="66" t="s">
        <v>173</v>
      </c>
      <c r="E301" s="26"/>
      <c r="F301" s="66"/>
      <c r="H301" s="84">
        <v>22933.62637120549</v>
      </c>
      <c r="I301" s="66"/>
      <c r="K301" s="67">
        <v>191.00883333825942</v>
      </c>
      <c r="O301" s="48">
        <f t="shared" si="80"/>
        <v>4.36047273281459</v>
      </c>
      <c r="R301" s="48">
        <f t="shared" si="81"/>
        <v>2.2810534519668688</v>
      </c>
      <c r="U301" s="48">
        <v>4.36047273281459</v>
      </c>
      <c r="V301" s="54">
        <v>2.2810534519668688</v>
      </c>
      <c r="W301" s="49">
        <f t="shared" si="79"/>
        <v>0.39468386106160708</v>
      </c>
      <c r="X301" s="49"/>
      <c r="Y301" s="49"/>
      <c r="Z301" s="49"/>
      <c r="AR301" s="70"/>
    </row>
    <row r="302" spans="1:44" s="28" customFormat="1" ht="12.75" customHeight="1">
      <c r="A302" s="64" t="s">
        <v>182</v>
      </c>
      <c r="B302" s="23" t="s">
        <v>183</v>
      </c>
      <c r="C302" s="52" t="s">
        <v>174</v>
      </c>
      <c r="D302" s="66" t="s">
        <v>173</v>
      </c>
      <c r="E302" s="26"/>
      <c r="F302" s="66"/>
      <c r="H302" s="84">
        <v>21676.989309769575</v>
      </c>
      <c r="I302" s="66"/>
      <c r="K302" s="67">
        <v>142.62830647297662</v>
      </c>
      <c r="O302" s="48">
        <f t="shared" si="80"/>
        <v>4.3359989634313889</v>
      </c>
      <c r="R302" s="48">
        <f t="shared" si="81"/>
        <v>2.1542057255512379</v>
      </c>
      <c r="U302" s="48">
        <v>4.3359989634313889</v>
      </c>
      <c r="V302" s="54">
        <v>2.1542057255512379</v>
      </c>
      <c r="W302" s="49">
        <f t="shared" si="79"/>
        <v>0.52301440327447291</v>
      </c>
      <c r="X302" s="49"/>
      <c r="Y302" s="49"/>
      <c r="Z302" s="49"/>
      <c r="AR302" s="70"/>
    </row>
    <row r="303" spans="1:44" s="28" customFormat="1" ht="12.75" customHeight="1">
      <c r="A303" s="64" t="s">
        <v>182</v>
      </c>
      <c r="B303" s="23" t="s">
        <v>183</v>
      </c>
      <c r="C303" s="52" t="s">
        <v>174</v>
      </c>
      <c r="D303" s="66" t="s">
        <v>173</v>
      </c>
      <c r="E303" s="26"/>
      <c r="F303" s="66"/>
      <c r="H303" s="84">
        <v>28902.652413026099</v>
      </c>
      <c r="I303" s="66"/>
      <c r="K303" s="67">
        <v>245.35838624536285</v>
      </c>
      <c r="O303" s="48">
        <f t="shared" si="80"/>
        <v>4.4609377000396888</v>
      </c>
      <c r="R303" s="48">
        <f t="shared" si="81"/>
        <v>2.3898009065714341</v>
      </c>
      <c r="U303" s="48">
        <v>4.4609377000396888</v>
      </c>
      <c r="V303" s="54">
        <v>2.3898009065714341</v>
      </c>
      <c r="W303" s="49">
        <f t="shared" si="79"/>
        <v>0.26085793499220139</v>
      </c>
      <c r="X303" s="49"/>
      <c r="Y303" s="49"/>
      <c r="Z303" s="49"/>
      <c r="AR303" s="70"/>
    </row>
    <row r="304" spans="1:44" s="28" customFormat="1" ht="12.75" customHeight="1">
      <c r="A304" s="64" t="s">
        <v>182</v>
      </c>
      <c r="B304" s="23" t="s">
        <v>183</v>
      </c>
      <c r="C304" s="52" t="s">
        <v>174</v>
      </c>
      <c r="D304" s="66" t="s">
        <v>173</v>
      </c>
      <c r="E304" s="26"/>
      <c r="F304" s="66"/>
      <c r="H304" s="84">
        <v>16336.281798666925</v>
      </c>
      <c r="I304" s="66"/>
      <c r="K304" s="67">
        <v>134.14600630828417</v>
      </c>
      <c r="O304" s="48">
        <f t="shared" si="80"/>
        <v>4.2131532163289327</v>
      </c>
      <c r="R304" s="48">
        <f t="shared" si="81"/>
        <v>2.1275777477191578</v>
      </c>
      <c r="U304" s="48">
        <v>4.2131532163289327</v>
      </c>
      <c r="V304" s="54">
        <v>2.1275777477191578</v>
      </c>
      <c r="W304" s="49">
        <f t="shared" si="79"/>
        <v>0.58521015459105874</v>
      </c>
      <c r="X304" s="49"/>
      <c r="Y304" s="49"/>
      <c r="Z304" s="49"/>
      <c r="AR304" s="70"/>
    </row>
    <row r="305" spans="1:44" s="28" customFormat="1" ht="12.75" customHeight="1">
      <c r="A305" s="64" t="s">
        <v>182</v>
      </c>
      <c r="B305" s="23" t="s">
        <v>183</v>
      </c>
      <c r="C305" s="52" t="s">
        <v>174</v>
      </c>
      <c r="D305" s="66" t="s">
        <v>173</v>
      </c>
      <c r="E305" s="26"/>
      <c r="F305" s="66"/>
      <c r="H305" s="84">
        <v>26075.219024795286</v>
      </c>
      <c r="I305" s="66"/>
      <c r="K305" s="67">
        <v>249.75661596038859</v>
      </c>
      <c r="O305" s="48">
        <f t="shared" si="80"/>
        <v>4.4162279650702079</v>
      </c>
      <c r="R305" s="48">
        <f t="shared" si="81"/>
        <v>2.3975170013506042</v>
      </c>
      <c r="U305" s="48">
        <v>4.4162279650702079</v>
      </c>
      <c r="V305" s="54">
        <v>2.3975170013506042</v>
      </c>
      <c r="W305" s="49">
        <f t="shared" si="79"/>
        <v>0.26688921766519086</v>
      </c>
      <c r="X305" s="49"/>
      <c r="Y305" s="49"/>
      <c r="Z305" s="49"/>
      <c r="AR305" s="70"/>
    </row>
    <row r="306" spans="1:44" s="28" customFormat="1" ht="12.75" customHeight="1">
      <c r="A306" s="64" t="s">
        <v>182</v>
      </c>
      <c r="B306" s="23" t="s">
        <v>183</v>
      </c>
      <c r="C306" s="52" t="s">
        <v>174</v>
      </c>
      <c r="D306" s="66" t="s">
        <v>173</v>
      </c>
      <c r="E306" s="26"/>
      <c r="F306" s="66"/>
      <c r="H306" s="84">
        <v>26389.378290154262</v>
      </c>
      <c r="I306" s="66"/>
      <c r="K306" s="67">
        <v>217.71237089377266</v>
      </c>
      <c r="O306" s="48">
        <f t="shared" si="80"/>
        <v>4.4214291587560153</v>
      </c>
      <c r="R306" s="48">
        <f t="shared" si="81"/>
        <v>2.3378831073059407</v>
      </c>
      <c r="U306" s="48">
        <v>4.4214291587560153</v>
      </c>
      <c r="V306" s="54">
        <v>2.3378831073059407</v>
      </c>
      <c r="W306" s="49">
        <f t="shared" si="79"/>
        <v>0.32221610373613113</v>
      </c>
      <c r="X306" s="49"/>
      <c r="Y306" s="49"/>
      <c r="Z306" s="49"/>
      <c r="AR306" s="70"/>
    </row>
    <row r="307" spans="1:44" s="28" customFormat="1" ht="12.75" customHeight="1">
      <c r="A307" s="64" t="s">
        <v>182</v>
      </c>
      <c r="B307" s="23" t="s">
        <v>183</v>
      </c>
      <c r="C307" s="52" t="s">
        <v>174</v>
      </c>
      <c r="D307" s="66" t="s">
        <v>173</v>
      </c>
      <c r="E307" s="26"/>
      <c r="F307" s="66"/>
      <c r="H307" s="84">
        <v>17592.918860102844</v>
      </c>
      <c r="I307" s="66"/>
      <c r="K307" s="67">
        <v>150.16812884159211</v>
      </c>
      <c r="O307" s="48">
        <f t="shared" si="80"/>
        <v>4.2453378997003339</v>
      </c>
      <c r="R307" s="48">
        <f t="shared" si="81"/>
        <v>2.1765777693062529</v>
      </c>
      <c r="U307" s="48">
        <v>4.2453378997003339</v>
      </c>
      <c r="V307" s="54">
        <v>2.1765777693062529</v>
      </c>
      <c r="W307" s="49">
        <f t="shared" si="79"/>
        <v>0.52882892958618277</v>
      </c>
      <c r="X307" s="49"/>
      <c r="Y307" s="49"/>
      <c r="Z307" s="49"/>
      <c r="AR307" s="70"/>
    </row>
    <row r="308" spans="1:44" s="28" customFormat="1" ht="12.75" customHeight="1">
      <c r="A308" s="64" t="s">
        <v>182</v>
      </c>
      <c r="B308" s="23" t="s">
        <v>183</v>
      </c>
      <c r="C308" s="52" t="s">
        <v>174</v>
      </c>
      <c r="D308" s="66" t="s">
        <v>173</v>
      </c>
      <c r="E308" s="26"/>
      <c r="F308" s="66"/>
      <c r="H308" s="84">
        <v>14765.485471872029</v>
      </c>
      <c r="I308" s="66"/>
      <c r="K308" s="67">
        <v>115.92476891746337</v>
      </c>
      <c r="O308" s="48">
        <f t="shared" si="80"/>
        <v>4.1692477306298512</v>
      </c>
      <c r="R308" s="48">
        <f t="shared" si="81"/>
        <v>2.0641762388531943</v>
      </c>
      <c r="U308" s="48">
        <v>4.1692477306298512</v>
      </c>
      <c r="V308" s="54">
        <v>2.0641762388531943</v>
      </c>
      <c r="W308" s="49">
        <f t="shared" si="79"/>
        <v>0.65883962694012388</v>
      </c>
      <c r="X308" s="49"/>
      <c r="Y308" s="49"/>
      <c r="Z308" s="49"/>
      <c r="AR308" s="70"/>
    </row>
    <row r="309" spans="1:44" s="28" customFormat="1" ht="12.75" customHeight="1">
      <c r="A309" s="64" t="s">
        <v>182</v>
      </c>
      <c r="B309" s="23" t="s">
        <v>183</v>
      </c>
      <c r="C309" s="52" t="s">
        <v>174</v>
      </c>
      <c r="D309" s="66" t="s">
        <v>173</v>
      </c>
      <c r="E309" s="26"/>
      <c r="F309" s="66"/>
      <c r="H309" s="84">
        <v>25446.900494077327</v>
      </c>
      <c r="I309" s="66"/>
      <c r="K309" s="67">
        <v>217.39821162841369</v>
      </c>
      <c r="O309" s="48">
        <f t="shared" si="80"/>
        <v>4.4056348915727837</v>
      </c>
      <c r="R309" s="48">
        <f t="shared" si="81"/>
        <v>2.3372559671508917</v>
      </c>
      <c r="U309" s="48">
        <v>4.4056348915727837</v>
      </c>
      <c r="V309" s="54">
        <v>2.3372559671508917</v>
      </c>
      <c r="W309" s="49">
        <f t="shared" si="79"/>
        <v>0.32754510429038314</v>
      </c>
      <c r="X309" s="49"/>
      <c r="Y309" s="49"/>
      <c r="Z309" s="49"/>
      <c r="AR309" s="70"/>
    </row>
    <row r="310" spans="1:44" s="28" customFormat="1" ht="12.75" customHeight="1">
      <c r="A310" s="64" t="s">
        <v>182</v>
      </c>
      <c r="B310" s="23" t="s">
        <v>183</v>
      </c>
      <c r="C310" s="52" t="s">
        <v>174</v>
      </c>
      <c r="D310" s="66" t="s">
        <v>173</v>
      </c>
      <c r="E310" s="26"/>
      <c r="F310" s="66"/>
      <c r="H310" s="84">
        <v>23247.785636564469</v>
      </c>
      <c r="I310" s="66"/>
      <c r="K310" s="67">
        <v>132.57520998148928</v>
      </c>
      <c r="O310" s="48">
        <f t="shared" si="80"/>
        <v>4.3663815924251104</v>
      </c>
      <c r="R310" s="48">
        <f t="shared" si="81"/>
        <v>2.1224623236558076</v>
      </c>
      <c r="U310" s="48">
        <v>4.3663815924251104</v>
      </c>
      <c r="V310" s="54">
        <v>2.1224623236558076</v>
      </c>
      <c r="W310" s="49">
        <f t="shared" si="79"/>
        <v>0.54419408954623094</v>
      </c>
      <c r="X310" s="49"/>
      <c r="Y310" s="49"/>
      <c r="Z310" s="49"/>
      <c r="AR310" s="70"/>
    </row>
    <row r="311" spans="1:44" s="28" customFormat="1" ht="12.75" customHeight="1">
      <c r="A311" s="64" t="s">
        <v>182</v>
      </c>
      <c r="B311" s="23" t="s">
        <v>183</v>
      </c>
      <c r="C311" s="52" t="s">
        <v>174</v>
      </c>
      <c r="D311" s="66" t="s">
        <v>173</v>
      </c>
      <c r="E311" s="26"/>
      <c r="F311" s="66"/>
      <c r="H311" s="84">
        <v>24190.263432641408</v>
      </c>
      <c r="I311" s="66"/>
      <c r="K311" s="67">
        <v>266.09289775905546</v>
      </c>
      <c r="O311" s="48">
        <f t="shared" si="80"/>
        <v>4.3836405978666155</v>
      </c>
      <c r="R311" s="48">
        <f t="shared" si="81"/>
        <v>2.4250332830248409</v>
      </c>
      <c r="U311" s="48">
        <v>4.3836405978666155</v>
      </c>
      <c r="V311" s="54">
        <v>2.4250332830248409</v>
      </c>
      <c r="W311" s="49">
        <f t="shared" si="79"/>
        <v>0.25040215470284549</v>
      </c>
      <c r="X311" s="49"/>
      <c r="Y311" s="49"/>
      <c r="Z311" s="49"/>
      <c r="AR311" s="70"/>
    </row>
    <row r="312" spans="1:44" s="28" customFormat="1" ht="12.75" customHeight="1">
      <c r="A312" s="64" t="s">
        <v>182</v>
      </c>
      <c r="B312" s="23" t="s">
        <v>183</v>
      </c>
      <c r="C312" s="52" t="s">
        <v>174</v>
      </c>
      <c r="D312" s="66" t="s">
        <v>173</v>
      </c>
      <c r="E312" s="26"/>
      <c r="F312" s="66"/>
      <c r="H312" s="84">
        <v>39269.908169872419</v>
      </c>
      <c r="I312" s="66"/>
      <c r="K312" s="67">
        <v>239.70351946890122</v>
      </c>
      <c r="O312" s="48">
        <f t="shared" si="80"/>
        <v>4.5940598857021904</v>
      </c>
      <c r="R312" s="48">
        <f t="shared" si="81"/>
        <v>2.3796744106490144</v>
      </c>
      <c r="U312" s="48">
        <v>4.5940598857021904</v>
      </c>
      <c r="V312" s="54">
        <v>2.3796744106490144</v>
      </c>
      <c r="W312" s="49">
        <f t="shared" si="79"/>
        <v>0.23064423004091095</v>
      </c>
      <c r="X312" s="49"/>
      <c r="Y312" s="49"/>
      <c r="Z312" s="49"/>
      <c r="AR312" s="70"/>
    </row>
    <row r="313" spans="1:44" s="28" customFormat="1" ht="12.75" customHeight="1">
      <c r="A313" s="64" t="s">
        <v>182</v>
      </c>
      <c r="B313" s="23" t="s">
        <v>183</v>
      </c>
      <c r="C313" s="52" t="s">
        <v>174</v>
      </c>
      <c r="D313" s="66" t="s">
        <v>173</v>
      </c>
      <c r="E313" s="26"/>
      <c r="F313" s="66"/>
      <c r="H313" s="84">
        <v>28588.493147667119</v>
      </c>
      <c r="I313" s="66"/>
      <c r="K313" s="67">
        <v>136.03096190043806</v>
      </c>
      <c r="O313" s="48">
        <f t="shared" si="80"/>
        <v>4.4561912650152271</v>
      </c>
      <c r="R313" s="48">
        <f t="shared" si="81"/>
        <v>2.1336377690474992</v>
      </c>
      <c r="U313" s="48">
        <v>4.4561912650152271</v>
      </c>
      <c r="V313" s="54">
        <v>2.1336377690474992</v>
      </c>
      <c r="W313" s="49">
        <f t="shared" si="79"/>
        <v>0.50663362592841066</v>
      </c>
      <c r="X313" s="49"/>
      <c r="Y313" s="49"/>
      <c r="Z313" s="49"/>
      <c r="AR313" s="70"/>
    </row>
    <row r="314" spans="1:44" s="28" customFormat="1" ht="12.75" customHeight="1">
      <c r="A314" s="64" t="s">
        <v>182</v>
      </c>
      <c r="B314" s="23" t="s">
        <v>183</v>
      </c>
      <c r="C314" s="52" t="s">
        <v>174</v>
      </c>
      <c r="D314" s="66" t="s">
        <v>173</v>
      </c>
      <c r="E314" s="26"/>
      <c r="F314" s="66"/>
      <c r="H314" s="84">
        <v>35499.996985564663</v>
      </c>
      <c r="I314" s="66"/>
      <c r="K314" s="67">
        <v>301.90705400997911</v>
      </c>
      <c r="O314" s="48">
        <f t="shared" si="80"/>
        <v>4.5502283161775532</v>
      </c>
      <c r="R314" s="48">
        <f t="shared" si="81"/>
        <v>2.479873260362679</v>
      </c>
      <c r="U314" s="48">
        <v>4.5502283161775532</v>
      </c>
      <c r="V314" s="54">
        <v>2.479873260362679</v>
      </c>
      <c r="W314" s="49">
        <f t="shared" si="79"/>
        <v>0.14819318062828524</v>
      </c>
      <c r="X314" s="49"/>
      <c r="Y314" s="49"/>
      <c r="Z314" s="49"/>
      <c r="AR314" s="70"/>
    </row>
    <row r="315" spans="1:44" s="28" customFormat="1" ht="12.75" customHeight="1">
      <c r="A315" s="64" t="s">
        <v>182</v>
      </c>
      <c r="B315" s="23" t="s">
        <v>183</v>
      </c>
      <c r="C315" s="52" t="s">
        <v>175</v>
      </c>
      <c r="D315" s="65">
        <v>1995</v>
      </c>
      <c r="E315" s="26">
        <v>6</v>
      </c>
      <c r="F315" s="66">
        <v>2</v>
      </c>
      <c r="G315" s="46">
        <f t="shared" ref="G315:G358" si="82">30.47*(E315-1)+F315</f>
        <v>154.35</v>
      </c>
      <c r="H315" s="84">
        <v>6502</v>
      </c>
      <c r="I315" s="66"/>
      <c r="K315" s="67">
        <v>107.777</v>
      </c>
      <c r="O315" s="48">
        <f t="shared" ref="O315:O371" si="83">LOG10(H315)</f>
        <v>3.8130469651601078</v>
      </c>
      <c r="R315" s="48">
        <f t="shared" ref="R315:R371" si="84">LOG10(K315)</f>
        <v>2.0325260907317215</v>
      </c>
      <c r="U315" s="48">
        <v>3.8130469651601078</v>
      </c>
      <c r="V315" s="54">
        <v>2.0325260907317215</v>
      </c>
      <c r="W315" s="49">
        <f t="shared" ref="W315:W358" si="85">0.9539*(4.064-0.314*U315-V315)</f>
        <v>0.79572159503021567</v>
      </c>
      <c r="X315" s="49"/>
      <c r="Y315" s="49"/>
      <c r="Z315" s="49"/>
      <c r="AR315" s="70"/>
    </row>
    <row r="316" spans="1:44" s="28" customFormat="1" ht="12.75" customHeight="1">
      <c r="A316" s="64" t="s">
        <v>182</v>
      </c>
      <c r="B316" s="23" t="s">
        <v>183</v>
      </c>
      <c r="C316" s="52" t="s">
        <v>175</v>
      </c>
      <c r="D316" s="65">
        <v>1995</v>
      </c>
      <c r="E316" s="26">
        <v>6</v>
      </c>
      <c r="F316" s="66">
        <v>2</v>
      </c>
      <c r="G316" s="46">
        <f t="shared" si="82"/>
        <v>154.35</v>
      </c>
      <c r="H316" s="84">
        <v>2601</v>
      </c>
      <c r="I316" s="66"/>
      <c r="K316" s="67">
        <v>23.724</v>
      </c>
      <c r="O316" s="48">
        <f t="shared" si="83"/>
        <v>3.4151403521958725</v>
      </c>
      <c r="R316" s="48">
        <f t="shared" si="84"/>
        <v>1.3751879153612971</v>
      </c>
      <c r="U316" s="48">
        <v>3.4151403521958725</v>
      </c>
      <c r="V316" s="54">
        <v>1.3751879153612971</v>
      </c>
      <c r="W316" s="49">
        <f t="shared" si="85"/>
        <v>1.5419392996015309</v>
      </c>
      <c r="X316" s="49"/>
      <c r="Y316" s="49"/>
      <c r="Z316" s="49"/>
      <c r="AR316" s="70"/>
    </row>
    <row r="317" spans="1:44" s="28" customFormat="1" ht="12.75" customHeight="1">
      <c r="A317" s="64" t="s">
        <v>182</v>
      </c>
      <c r="B317" s="23" t="s">
        <v>183</v>
      </c>
      <c r="C317" s="52" t="s">
        <v>175</v>
      </c>
      <c r="D317" s="65">
        <v>1995</v>
      </c>
      <c r="E317" s="26">
        <v>6</v>
      </c>
      <c r="F317" s="66">
        <v>2</v>
      </c>
      <c r="G317" s="46">
        <f t="shared" si="82"/>
        <v>154.35</v>
      </c>
      <c r="H317" s="84">
        <v>8128</v>
      </c>
      <c r="I317" s="66"/>
      <c r="K317" s="67">
        <v>83.718000000000004</v>
      </c>
      <c r="O317" s="48">
        <f t="shared" si="83"/>
        <v>3.9099836949398439</v>
      </c>
      <c r="R317" s="48">
        <f t="shared" si="84"/>
        <v>1.9228188446148227</v>
      </c>
      <c r="U317" s="48">
        <v>3.9099836949398439</v>
      </c>
      <c r="V317" s="54">
        <v>1.9228188446148227</v>
      </c>
      <c r="W317" s="49">
        <f t="shared" si="85"/>
        <v>0.87133640188854189</v>
      </c>
      <c r="X317" s="49"/>
      <c r="Y317" s="49"/>
      <c r="Z317" s="49"/>
      <c r="AR317" s="70"/>
    </row>
    <row r="318" spans="1:44" s="28" customFormat="1" ht="12" customHeight="1">
      <c r="A318" s="64" t="s">
        <v>182</v>
      </c>
      <c r="B318" s="23" t="s">
        <v>183</v>
      </c>
      <c r="C318" s="52" t="s">
        <v>175</v>
      </c>
      <c r="D318" s="65">
        <v>1995</v>
      </c>
      <c r="E318" s="26">
        <v>6</v>
      </c>
      <c r="F318" s="66">
        <v>2</v>
      </c>
      <c r="G318" s="46">
        <f t="shared" si="82"/>
        <v>154.35</v>
      </c>
      <c r="H318" s="84">
        <v>4877</v>
      </c>
      <c r="I318" s="66"/>
      <c r="K318" s="67">
        <v>46.33</v>
      </c>
      <c r="O318" s="48">
        <f t="shared" si="83"/>
        <v>3.6881527555915663</v>
      </c>
      <c r="R318" s="48">
        <f t="shared" si="84"/>
        <v>1.6658623002031552</v>
      </c>
      <c r="U318" s="48">
        <v>3.6881527555915663</v>
      </c>
      <c r="V318" s="54">
        <v>1.6658623002031552</v>
      </c>
      <c r="W318" s="49">
        <f t="shared" si="85"/>
        <v>1.1828910729787487</v>
      </c>
      <c r="X318" s="49"/>
      <c r="Y318" s="49"/>
      <c r="Z318" s="49"/>
      <c r="AR318" s="70"/>
    </row>
    <row r="319" spans="1:44" s="28" customFormat="1" ht="12.75" customHeight="1">
      <c r="A319" s="64" t="s">
        <v>182</v>
      </c>
      <c r="B319" s="23" t="s">
        <v>183</v>
      </c>
      <c r="C319" s="52" t="s">
        <v>175</v>
      </c>
      <c r="D319" s="65">
        <v>1995</v>
      </c>
      <c r="E319" s="26">
        <v>6</v>
      </c>
      <c r="F319" s="66">
        <v>16</v>
      </c>
      <c r="G319" s="46">
        <f t="shared" si="82"/>
        <v>168.35</v>
      </c>
      <c r="H319" s="84">
        <v>1788</v>
      </c>
      <c r="I319" s="66"/>
      <c r="K319" s="67">
        <v>13.167</v>
      </c>
      <c r="O319" s="48">
        <f t="shared" si="83"/>
        <v>3.2523675144598987</v>
      </c>
      <c r="R319" s="48">
        <f t="shared" si="84"/>
        <v>1.1194868355646357</v>
      </c>
      <c r="U319" s="48">
        <v>3.2523675144598987</v>
      </c>
      <c r="V319" s="54">
        <v>1.1194868355646357</v>
      </c>
      <c r="W319" s="49">
        <f t="shared" si="85"/>
        <v>1.8346070287332987</v>
      </c>
      <c r="X319" s="49"/>
      <c r="Y319" s="49"/>
      <c r="Z319" s="49"/>
      <c r="AR319" s="70"/>
    </row>
    <row r="320" spans="1:44" s="28" customFormat="1" ht="12.75" customHeight="1">
      <c r="A320" s="64" t="s">
        <v>182</v>
      </c>
      <c r="B320" s="23" t="s">
        <v>183</v>
      </c>
      <c r="C320" s="52" t="s">
        <v>175</v>
      </c>
      <c r="D320" s="65">
        <v>1995</v>
      </c>
      <c r="E320" s="26">
        <v>6</v>
      </c>
      <c r="F320" s="66">
        <v>16</v>
      </c>
      <c r="G320" s="46">
        <f t="shared" si="82"/>
        <v>168.35</v>
      </c>
      <c r="H320" s="84">
        <v>6015</v>
      </c>
      <c r="I320" s="66"/>
      <c r="K320" s="67">
        <v>48.930999999999997</v>
      </c>
      <c r="O320" s="48">
        <f t="shared" si="83"/>
        <v>3.7792356316758635</v>
      </c>
      <c r="R320" s="48">
        <f t="shared" si="84"/>
        <v>1.6895840915016926</v>
      </c>
      <c r="U320" s="48">
        <v>3.7792356316758635</v>
      </c>
      <c r="V320" s="54">
        <v>1.6895840915016926</v>
      </c>
      <c r="W320" s="49">
        <f t="shared" si="85"/>
        <v>1.132981294233075</v>
      </c>
      <c r="X320" s="49"/>
      <c r="Y320" s="49"/>
      <c r="Z320" s="49"/>
      <c r="AR320" s="70"/>
    </row>
    <row r="321" spans="1:44" s="28" customFormat="1" ht="12.75" customHeight="1">
      <c r="A321" s="64" t="s">
        <v>182</v>
      </c>
      <c r="B321" s="23" t="s">
        <v>183</v>
      </c>
      <c r="C321" s="52" t="s">
        <v>175</v>
      </c>
      <c r="D321" s="65">
        <v>1995</v>
      </c>
      <c r="E321" s="26">
        <v>6</v>
      </c>
      <c r="F321" s="66">
        <v>16</v>
      </c>
      <c r="G321" s="46">
        <f t="shared" si="82"/>
        <v>168.35</v>
      </c>
      <c r="H321" s="84">
        <v>6990</v>
      </c>
      <c r="I321" s="66"/>
      <c r="K321" s="67">
        <v>56.896000000000001</v>
      </c>
      <c r="O321" s="48">
        <f t="shared" si="83"/>
        <v>3.8444771757456815</v>
      </c>
      <c r="R321" s="48">
        <f t="shared" si="84"/>
        <v>1.7550817349541008</v>
      </c>
      <c r="U321" s="48">
        <v>3.8444771757456815</v>
      </c>
      <c r="V321" s="54">
        <v>1.7550817349541008</v>
      </c>
      <c r="W321" s="49">
        <f t="shared" si="85"/>
        <v>1.0509616447529286</v>
      </c>
      <c r="X321" s="49"/>
      <c r="Y321" s="49"/>
      <c r="Z321" s="49"/>
      <c r="AR321" s="70"/>
    </row>
    <row r="322" spans="1:44" s="28" customFormat="1" ht="12.75" customHeight="1">
      <c r="A322" s="64" t="s">
        <v>182</v>
      </c>
      <c r="B322" s="23" t="s">
        <v>183</v>
      </c>
      <c r="C322" s="52" t="s">
        <v>175</v>
      </c>
      <c r="D322" s="65">
        <v>1995</v>
      </c>
      <c r="E322" s="26">
        <v>6</v>
      </c>
      <c r="F322" s="66">
        <v>16</v>
      </c>
      <c r="G322" s="46">
        <f t="shared" si="82"/>
        <v>168.35</v>
      </c>
      <c r="H322" s="84">
        <v>4714</v>
      </c>
      <c r="I322" s="66"/>
      <c r="K322" s="67">
        <v>23.408999999999999</v>
      </c>
      <c r="O322" s="48">
        <f t="shared" si="83"/>
        <v>3.673389578188305</v>
      </c>
      <c r="R322" s="48">
        <f t="shared" si="84"/>
        <v>1.3693828616351975</v>
      </c>
      <c r="U322" s="48">
        <v>3.673389578188305</v>
      </c>
      <c r="V322" s="54">
        <v>1.3693828616351975</v>
      </c>
      <c r="W322" s="49">
        <f t="shared" si="85"/>
        <v>1.4701247442351641</v>
      </c>
      <c r="X322" s="49"/>
      <c r="Y322" s="49"/>
      <c r="Z322" s="49"/>
      <c r="AR322" s="70"/>
    </row>
    <row r="323" spans="1:44" s="28" customFormat="1" ht="12.75" customHeight="1">
      <c r="A323" s="64" t="s">
        <v>182</v>
      </c>
      <c r="B323" s="23" t="s">
        <v>183</v>
      </c>
      <c r="C323" s="52" t="s">
        <v>175</v>
      </c>
      <c r="D323" s="65">
        <v>1995</v>
      </c>
      <c r="E323" s="26">
        <v>6</v>
      </c>
      <c r="F323" s="66">
        <v>24</v>
      </c>
      <c r="G323" s="46">
        <f t="shared" si="82"/>
        <v>176.35</v>
      </c>
      <c r="H323" s="84">
        <v>6015</v>
      </c>
      <c r="I323" s="66"/>
      <c r="K323" s="67">
        <v>14.143000000000001</v>
      </c>
      <c r="O323" s="48">
        <f t="shared" si="83"/>
        <v>3.7792356316758635</v>
      </c>
      <c r="R323" s="48">
        <f t="shared" si="84"/>
        <v>1.150541541374086</v>
      </c>
      <c r="U323" s="48">
        <v>3.7792356316758635</v>
      </c>
      <c r="V323" s="54">
        <v>1.150541541374086</v>
      </c>
      <c r="W323" s="49">
        <f t="shared" si="85"/>
        <v>1.6471739827997991</v>
      </c>
      <c r="X323" s="49"/>
      <c r="Y323" s="49"/>
      <c r="Z323" s="49"/>
      <c r="AR323" s="70"/>
    </row>
    <row r="324" spans="1:44" s="28" customFormat="1" ht="12.75" customHeight="1">
      <c r="A324" s="64" t="s">
        <v>182</v>
      </c>
      <c r="B324" s="23" t="s">
        <v>183</v>
      </c>
      <c r="C324" s="52" t="s">
        <v>175</v>
      </c>
      <c r="D324" s="65">
        <v>1995</v>
      </c>
      <c r="E324" s="26">
        <v>6</v>
      </c>
      <c r="F324" s="66">
        <v>24</v>
      </c>
      <c r="G324" s="46">
        <f t="shared" si="82"/>
        <v>176.35</v>
      </c>
      <c r="H324" s="84">
        <v>8616</v>
      </c>
      <c r="I324" s="66"/>
      <c r="K324" s="67">
        <v>57.871000000000002</v>
      </c>
      <c r="O324" s="48">
        <f t="shared" si="83"/>
        <v>3.9353056902899253</v>
      </c>
      <c r="R324" s="48">
        <f t="shared" si="84"/>
        <v>1.7624609869553842</v>
      </c>
      <c r="U324" s="48">
        <v>3.9353056902899253</v>
      </c>
      <c r="V324" s="54">
        <v>1.7624609869553842</v>
      </c>
      <c r="W324" s="49">
        <f t="shared" si="85"/>
        <v>1.0167172017814452</v>
      </c>
      <c r="X324" s="49"/>
      <c r="Y324" s="49"/>
      <c r="Z324" s="49"/>
      <c r="AR324" s="70"/>
    </row>
    <row r="325" spans="1:44" s="28" customFormat="1" ht="12.75" customHeight="1">
      <c r="A325" s="64" t="s">
        <v>182</v>
      </c>
      <c r="B325" s="23" t="s">
        <v>183</v>
      </c>
      <c r="C325" s="52" t="s">
        <v>175</v>
      </c>
      <c r="D325" s="65">
        <v>1995</v>
      </c>
      <c r="E325" s="26">
        <v>6</v>
      </c>
      <c r="F325" s="66">
        <v>24</v>
      </c>
      <c r="G325" s="46">
        <f t="shared" si="82"/>
        <v>176.35</v>
      </c>
      <c r="H325" s="84">
        <v>4877</v>
      </c>
      <c r="I325" s="66"/>
      <c r="K325" s="67">
        <v>47.792999999999999</v>
      </c>
      <c r="O325" s="48">
        <f t="shared" si="83"/>
        <v>3.6881527555915663</v>
      </c>
      <c r="R325" s="48">
        <f t="shared" si="84"/>
        <v>1.6793642923444685</v>
      </c>
      <c r="U325" s="48">
        <v>3.6881527555915663</v>
      </c>
      <c r="V325" s="54">
        <v>1.6793642923444685</v>
      </c>
      <c r="W325" s="49">
        <f t="shared" si="85"/>
        <v>1.17001152267515</v>
      </c>
      <c r="X325" s="49"/>
      <c r="Y325" s="49"/>
      <c r="Z325" s="49"/>
      <c r="AR325" s="70"/>
    </row>
    <row r="326" spans="1:44" s="28" customFormat="1" ht="12.75" customHeight="1">
      <c r="A326" s="64" t="s">
        <v>182</v>
      </c>
      <c r="B326" s="23" t="s">
        <v>183</v>
      </c>
      <c r="C326" s="52" t="s">
        <v>175</v>
      </c>
      <c r="D326" s="65">
        <v>1995</v>
      </c>
      <c r="E326" s="26">
        <v>6</v>
      </c>
      <c r="F326" s="66">
        <v>24</v>
      </c>
      <c r="G326" s="46">
        <f t="shared" si="82"/>
        <v>176.35</v>
      </c>
      <c r="H326" s="84">
        <v>4714</v>
      </c>
      <c r="I326" s="66"/>
      <c r="K326" s="67">
        <v>18.207000000000001</v>
      </c>
      <c r="O326" s="48">
        <f t="shared" si="83"/>
        <v>3.673389578188305</v>
      </c>
      <c r="R326" s="48">
        <f t="shared" si="84"/>
        <v>1.2602383922101297</v>
      </c>
      <c r="U326" s="48">
        <v>3.673389578188305</v>
      </c>
      <c r="V326" s="54">
        <v>1.2602383922101297</v>
      </c>
      <c r="W326" s="49">
        <f t="shared" si="85"/>
        <v>1.5742376536197364</v>
      </c>
      <c r="X326" s="49"/>
      <c r="Y326" s="49"/>
      <c r="Z326" s="49"/>
      <c r="AR326" s="70"/>
    </row>
    <row r="327" spans="1:44" s="28" customFormat="1" ht="12.75" customHeight="1">
      <c r="A327" s="64" t="s">
        <v>182</v>
      </c>
      <c r="B327" s="23" t="s">
        <v>183</v>
      </c>
      <c r="C327" s="52" t="s">
        <v>175</v>
      </c>
      <c r="D327" s="65">
        <v>1995</v>
      </c>
      <c r="E327" s="26">
        <v>7</v>
      </c>
      <c r="F327" s="66">
        <v>7</v>
      </c>
      <c r="G327" s="46">
        <f t="shared" si="82"/>
        <v>189.82</v>
      </c>
      <c r="H327" s="84">
        <v>3901</v>
      </c>
      <c r="I327" s="66"/>
      <c r="K327" s="67">
        <v>43.890999999999998</v>
      </c>
      <c r="O327" s="48">
        <f t="shared" si="83"/>
        <v>3.5911759503117913</v>
      </c>
      <c r="R327" s="48">
        <f t="shared" si="84"/>
        <v>1.6423754757990503</v>
      </c>
      <c r="U327" s="48">
        <v>3.5911759503117913</v>
      </c>
      <c r="V327" s="54">
        <v>1.6423754757990503</v>
      </c>
      <c r="W327" s="49">
        <f t="shared" si="85"/>
        <v>1.2343420935885268</v>
      </c>
      <c r="X327" s="49"/>
      <c r="Y327" s="49"/>
      <c r="Z327" s="49"/>
      <c r="AR327" s="70"/>
    </row>
    <row r="328" spans="1:44" s="28" customFormat="1" ht="12.75" customHeight="1">
      <c r="A328" s="64" t="s">
        <v>182</v>
      </c>
      <c r="B328" s="23" t="s">
        <v>183</v>
      </c>
      <c r="C328" s="52" t="s">
        <v>175</v>
      </c>
      <c r="D328" s="65">
        <v>1995</v>
      </c>
      <c r="E328" s="26">
        <v>7</v>
      </c>
      <c r="F328" s="66">
        <v>7</v>
      </c>
      <c r="G328" s="46">
        <f t="shared" si="82"/>
        <v>189.82</v>
      </c>
      <c r="H328" s="84">
        <v>3739</v>
      </c>
      <c r="I328" s="66"/>
      <c r="K328" s="67">
        <v>19.507000000000001</v>
      </c>
      <c r="O328" s="48">
        <f t="shared" si="83"/>
        <v>3.5727554651542195</v>
      </c>
      <c r="R328" s="48">
        <f t="shared" si="84"/>
        <v>1.2901904839703042</v>
      </c>
      <c r="U328" s="48">
        <v>3.5727554651542195</v>
      </c>
      <c r="V328" s="54">
        <v>1.2901904839703042</v>
      </c>
      <c r="W328" s="49">
        <f t="shared" si="85"/>
        <v>1.5758087457425953</v>
      </c>
      <c r="X328" s="49"/>
      <c r="Y328" s="49"/>
      <c r="Z328" s="49"/>
      <c r="AR328" s="70"/>
    </row>
    <row r="329" spans="1:44" s="28" customFormat="1" ht="12.75" customHeight="1">
      <c r="A329" s="64" t="s">
        <v>182</v>
      </c>
      <c r="B329" s="23" t="s">
        <v>183</v>
      </c>
      <c r="C329" s="52" t="s">
        <v>175</v>
      </c>
      <c r="D329" s="65">
        <v>1995</v>
      </c>
      <c r="E329" s="26">
        <v>7</v>
      </c>
      <c r="F329" s="66">
        <v>7</v>
      </c>
      <c r="G329" s="46">
        <f t="shared" si="82"/>
        <v>189.82</v>
      </c>
      <c r="H329" s="84">
        <v>5852</v>
      </c>
      <c r="I329" s="66"/>
      <c r="K329" s="67">
        <v>51.856999999999999</v>
      </c>
      <c r="O329" s="48">
        <f t="shared" si="83"/>
        <v>3.7673043174532732</v>
      </c>
      <c r="R329" s="48">
        <f t="shared" si="84"/>
        <v>1.7148073886166764</v>
      </c>
      <c r="U329" s="48">
        <v>3.7673043174532732</v>
      </c>
      <c r="V329" s="54">
        <v>1.7148073886166764</v>
      </c>
      <c r="W329" s="49">
        <f t="shared" si="85"/>
        <v>1.1124945132350879</v>
      </c>
      <c r="X329" s="49"/>
      <c r="Y329" s="49"/>
      <c r="Z329" s="49"/>
      <c r="AR329" s="70"/>
    </row>
    <row r="330" spans="1:44" s="28" customFormat="1" ht="12.75" customHeight="1">
      <c r="A330" s="64" t="s">
        <v>182</v>
      </c>
      <c r="B330" s="23" t="s">
        <v>183</v>
      </c>
      <c r="C330" s="52" t="s">
        <v>175</v>
      </c>
      <c r="D330" s="65">
        <v>1995</v>
      </c>
      <c r="E330" s="26">
        <v>7</v>
      </c>
      <c r="F330" s="66">
        <v>7</v>
      </c>
      <c r="G330" s="46">
        <f t="shared" si="82"/>
        <v>189.82</v>
      </c>
      <c r="H330" s="84">
        <v>5852</v>
      </c>
      <c r="I330" s="66"/>
      <c r="K330" s="67">
        <v>40.64</v>
      </c>
      <c r="O330" s="48">
        <f t="shared" si="83"/>
        <v>3.7673043174532732</v>
      </c>
      <c r="R330" s="48">
        <f t="shared" si="84"/>
        <v>1.6089536992758628</v>
      </c>
      <c r="U330" s="48">
        <v>3.7673043174532732</v>
      </c>
      <c r="V330" s="54">
        <v>1.6089536992758628</v>
      </c>
      <c r="W330" s="49">
        <f t="shared" si="85"/>
        <v>1.2134683474972898</v>
      </c>
      <c r="X330" s="49"/>
      <c r="Y330" s="49"/>
      <c r="Z330" s="49"/>
      <c r="AR330" s="70"/>
    </row>
    <row r="331" spans="1:44" s="28" customFormat="1" ht="12.75" customHeight="1">
      <c r="A331" s="64" t="s">
        <v>182</v>
      </c>
      <c r="B331" s="23" t="s">
        <v>183</v>
      </c>
      <c r="C331" s="52" t="s">
        <v>175</v>
      </c>
      <c r="D331" s="65">
        <v>1995</v>
      </c>
      <c r="E331" s="26">
        <v>7</v>
      </c>
      <c r="F331" s="66">
        <v>18</v>
      </c>
      <c r="G331" s="46">
        <f t="shared" si="82"/>
        <v>200.82</v>
      </c>
      <c r="H331" s="84">
        <v>4227</v>
      </c>
      <c r="I331" s="66"/>
      <c r="K331" s="67">
        <v>58.033999999999999</v>
      </c>
      <c r="O331" s="48">
        <f t="shared" si="83"/>
        <v>3.626032247829019</v>
      </c>
      <c r="R331" s="48">
        <f t="shared" si="84"/>
        <v>1.7636825053923546</v>
      </c>
      <c r="U331" s="48">
        <v>3.626032247829019</v>
      </c>
      <c r="V331" s="54">
        <v>1.7636825053923546</v>
      </c>
      <c r="W331" s="49">
        <f t="shared" si="85"/>
        <v>1.1081869994881453</v>
      </c>
      <c r="X331" s="49"/>
      <c r="Y331" s="49"/>
      <c r="Z331" s="49"/>
      <c r="AR331" s="70"/>
    </row>
    <row r="332" spans="1:44" s="28" customFormat="1" ht="12.75" customHeight="1">
      <c r="A332" s="64" t="s">
        <v>182</v>
      </c>
      <c r="B332" s="23" t="s">
        <v>183</v>
      </c>
      <c r="C332" s="52" t="s">
        <v>175</v>
      </c>
      <c r="D332" s="65">
        <v>1995</v>
      </c>
      <c r="E332" s="26">
        <v>7</v>
      </c>
      <c r="F332" s="66">
        <v>18</v>
      </c>
      <c r="G332" s="46">
        <f t="shared" si="82"/>
        <v>200.82</v>
      </c>
      <c r="H332" s="84">
        <v>8453</v>
      </c>
      <c r="I332" s="66"/>
      <c r="K332" s="67">
        <v>44.704000000000001</v>
      </c>
      <c r="O332" s="48">
        <f t="shared" si="83"/>
        <v>3.9270108689756511</v>
      </c>
      <c r="R332" s="48">
        <f t="shared" si="84"/>
        <v>1.650346384434088</v>
      </c>
      <c r="U332" s="48">
        <v>3.9270108689756511</v>
      </c>
      <c r="V332" s="54">
        <v>1.650346384434088</v>
      </c>
      <c r="W332" s="49">
        <f t="shared" si="85"/>
        <v>1.1261478241627392</v>
      </c>
      <c r="X332" s="49"/>
      <c r="Y332" s="49"/>
      <c r="Z332" s="49"/>
      <c r="AR332" s="70"/>
    </row>
    <row r="333" spans="1:44" s="28" customFormat="1" ht="12.75" customHeight="1">
      <c r="A333" s="64" t="s">
        <v>182</v>
      </c>
      <c r="B333" s="23" t="s">
        <v>183</v>
      </c>
      <c r="C333" s="52" t="s">
        <v>175</v>
      </c>
      <c r="D333" s="65">
        <v>1995</v>
      </c>
      <c r="E333" s="26">
        <v>7</v>
      </c>
      <c r="F333" s="66">
        <v>18</v>
      </c>
      <c r="G333" s="46">
        <f t="shared" si="82"/>
        <v>200.82</v>
      </c>
      <c r="H333" s="84">
        <v>5039</v>
      </c>
      <c r="I333" s="66"/>
      <c r="K333" s="67">
        <v>16.256</v>
      </c>
      <c r="O333" s="48">
        <f t="shared" si="83"/>
        <v>3.7023443583557687</v>
      </c>
      <c r="R333" s="48">
        <f t="shared" si="84"/>
        <v>1.2110136906038251</v>
      </c>
      <c r="U333" s="48">
        <v>3.7023443583557687</v>
      </c>
      <c r="V333" s="54">
        <v>1.2110136906038251</v>
      </c>
      <c r="W333" s="49">
        <f t="shared" si="85"/>
        <v>1.6125204275342429</v>
      </c>
      <c r="X333" s="49"/>
      <c r="Y333" s="49"/>
      <c r="Z333" s="49"/>
      <c r="AR333" s="70"/>
    </row>
    <row r="334" spans="1:44" s="28" customFormat="1" ht="12.75" customHeight="1">
      <c r="A334" s="64" t="s">
        <v>182</v>
      </c>
      <c r="B334" s="23" t="s">
        <v>183</v>
      </c>
      <c r="C334" s="52" t="s">
        <v>175</v>
      </c>
      <c r="D334" s="65">
        <v>1995</v>
      </c>
      <c r="E334" s="26">
        <v>7</v>
      </c>
      <c r="F334" s="66">
        <v>18</v>
      </c>
      <c r="G334" s="46">
        <f t="shared" si="82"/>
        <v>200.82</v>
      </c>
      <c r="H334" s="84">
        <v>6665</v>
      </c>
      <c r="I334" s="66"/>
      <c r="K334" s="67">
        <v>32.674999999999997</v>
      </c>
      <c r="O334" s="48">
        <f t="shared" si="83"/>
        <v>3.823800153749878</v>
      </c>
      <c r="R334" s="48">
        <f t="shared" si="84"/>
        <v>1.5142155962525818</v>
      </c>
      <c r="U334" s="48">
        <v>3.823800153749878</v>
      </c>
      <c r="V334" s="54">
        <v>1.5142155962525818</v>
      </c>
      <c r="W334" s="49">
        <f t="shared" si="85"/>
        <v>1.2869171312027914</v>
      </c>
      <c r="X334" s="49"/>
      <c r="Y334" s="49"/>
      <c r="Z334" s="49"/>
      <c r="AR334" s="70"/>
    </row>
    <row r="335" spans="1:44" s="28" customFormat="1" ht="12.75" customHeight="1">
      <c r="A335" s="64" t="s">
        <v>182</v>
      </c>
      <c r="B335" s="23" t="s">
        <v>183</v>
      </c>
      <c r="C335" s="52" t="s">
        <v>175</v>
      </c>
      <c r="D335" s="65">
        <v>1995</v>
      </c>
      <c r="E335" s="26">
        <v>7</v>
      </c>
      <c r="F335" s="66">
        <v>27</v>
      </c>
      <c r="G335" s="46">
        <f t="shared" si="82"/>
        <v>209.82</v>
      </c>
      <c r="H335" s="84">
        <v>6665</v>
      </c>
      <c r="I335" s="66"/>
      <c r="K335" s="67">
        <v>40.802999999999997</v>
      </c>
      <c r="O335" s="48">
        <f t="shared" si="83"/>
        <v>3.823800153749878</v>
      </c>
      <c r="R335" s="48">
        <f t="shared" si="84"/>
        <v>1.6106920953337018</v>
      </c>
      <c r="U335" s="48">
        <v>3.823800153749878</v>
      </c>
      <c r="V335" s="54">
        <v>1.6106920953337018</v>
      </c>
      <c r="W335" s="49">
        <f t="shared" si="85"/>
        <v>1.194888198729311</v>
      </c>
      <c r="X335" s="49"/>
      <c r="Y335" s="49"/>
      <c r="Z335" s="49"/>
      <c r="AR335" s="70"/>
    </row>
    <row r="336" spans="1:44" s="28" customFormat="1" ht="12.75" customHeight="1">
      <c r="A336" s="64" t="s">
        <v>182</v>
      </c>
      <c r="B336" s="23" t="s">
        <v>183</v>
      </c>
      <c r="C336" s="52" t="s">
        <v>175</v>
      </c>
      <c r="D336" s="65">
        <v>1995</v>
      </c>
      <c r="E336" s="26">
        <v>7</v>
      </c>
      <c r="F336" s="66">
        <v>27</v>
      </c>
      <c r="G336" s="46">
        <f t="shared" si="82"/>
        <v>209.82</v>
      </c>
      <c r="H336" s="84">
        <v>4552</v>
      </c>
      <c r="I336" s="66"/>
      <c r="K336" s="67">
        <v>23.896000000000001</v>
      </c>
      <c r="O336" s="48">
        <f t="shared" si="83"/>
        <v>3.6582022533870147</v>
      </c>
      <c r="R336" s="48">
        <f t="shared" si="84"/>
        <v>1.3783252095960719</v>
      </c>
      <c r="U336" s="48">
        <v>3.6582022533870147</v>
      </c>
      <c r="V336" s="54">
        <v>1.3783252095960719</v>
      </c>
      <c r="W336" s="49">
        <f t="shared" si="85"/>
        <v>1.4661436159014627</v>
      </c>
      <c r="X336" s="49"/>
      <c r="Y336" s="49"/>
      <c r="Z336" s="49"/>
      <c r="AR336" s="70"/>
    </row>
    <row r="337" spans="1:44" s="28" customFormat="1" ht="12.75" customHeight="1">
      <c r="A337" s="64" t="s">
        <v>182</v>
      </c>
      <c r="B337" s="23" t="s">
        <v>183</v>
      </c>
      <c r="C337" s="52" t="s">
        <v>175</v>
      </c>
      <c r="D337" s="65">
        <v>1995</v>
      </c>
      <c r="E337" s="26">
        <v>7</v>
      </c>
      <c r="F337" s="66">
        <v>27</v>
      </c>
      <c r="G337" s="46">
        <f t="shared" si="82"/>
        <v>209.82</v>
      </c>
      <c r="H337" s="84">
        <v>4552</v>
      </c>
      <c r="I337" s="66"/>
      <c r="K337" s="67">
        <v>25.359000000000002</v>
      </c>
      <c r="O337" s="48">
        <f t="shared" si="83"/>
        <v>3.6582022533870147</v>
      </c>
      <c r="R337" s="48">
        <f t="shared" si="84"/>
        <v>1.4041321236953135</v>
      </c>
      <c r="U337" s="48">
        <v>3.6582022533870147</v>
      </c>
      <c r="V337" s="54">
        <v>1.4041321236953135</v>
      </c>
      <c r="W337" s="49">
        <f t="shared" si="85"/>
        <v>1.4415264005421962</v>
      </c>
      <c r="X337" s="49"/>
      <c r="Y337" s="49"/>
      <c r="Z337" s="49"/>
      <c r="AR337" s="70"/>
    </row>
    <row r="338" spans="1:44" s="28" customFormat="1" ht="12.75" customHeight="1">
      <c r="A338" s="64" t="s">
        <v>182</v>
      </c>
      <c r="B338" s="23" t="s">
        <v>183</v>
      </c>
      <c r="C338" s="52" t="s">
        <v>175</v>
      </c>
      <c r="D338" s="65">
        <v>1995</v>
      </c>
      <c r="E338" s="26">
        <v>7</v>
      </c>
      <c r="F338" s="66">
        <v>27</v>
      </c>
      <c r="G338" s="46">
        <f t="shared" si="82"/>
        <v>209.82</v>
      </c>
      <c r="H338" s="84">
        <v>5690</v>
      </c>
      <c r="I338" s="66"/>
      <c r="K338" s="67">
        <v>13.167</v>
      </c>
      <c r="O338" s="48">
        <f t="shared" si="83"/>
        <v>3.7551122663950713</v>
      </c>
      <c r="R338" s="48">
        <f t="shared" si="84"/>
        <v>1.1194868355646357</v>
      </c>
      <c r="U338" s="48">
        <v>3.7551122663950713</v>
      </c>
      <c r="V338" s="54">
        <v>1.1194868355646357</v>
      </c>
      <c r="W338" s="49">
        <f t="shared" si="85"/>
        <v>1.6840226080078167</v>
      </c>
      <c r="X338" s="49"/>
      <c r="Y338" s="49"/>
      <c r="Z338" s="49"/>
      <c r="AR338" s="70"/>
    </row>
    <row r="339" spans="1:44" s="28" customFormat="1" ht="12.75" customHeight="1">
      <c r="A339" s="64" t="s">
        <v>182</v>
      </c>
      <c r="B339" s="23" t="s">
        <v>183</v>
      </c>
      <c r="C339" s="52" t="s">
        <v>175</v>
      </c>
      <c r="D339" s="65">
        <v>1995</v>
      </c>
      <c r="E339" s="26">
        <v>8</v>
      </c>
      <c r="F339" s="66">
        <v>5</v>
      </c>
      <c r="G339" s="46">
        <f t="shared" si="82"/>
        <v>218.29</v>
      </c>
      <c r="H339" s="84">
        <v>5364</v>
      </c>
      <c r="I339" s="66"/>
      <c r="K339" s="67">
        <v>26.984999999999999</v>
      </c>
      <c r="O339" s="48">
        <f t="shared" si="83"/>
        <v>3.7294887691795613</v>
      </c>
      <c r="R339" s="48">
        <f t="shared" si="84"/>
        <v>1.4311224224012327</v>
      </c>
      <c r="U339" s="48">
        <v>3.7294887691795613</v>
      </c>
      <c r="V339" s="54">
        <v>1.4311224224012327</v>
      </c>
      <c r="W339" s="49">
        <f t="shared" si="85"/>
        <v>1.3944282894784636</v>
      </c>
      <c r="X339" s="49"/>
      <c r="Y339" s="49"/>
      <c r="Z339" s="49"/>
      <c r="AR339" s="70"/>
    </row>
    <row r="340" spans="1:44" s="28" customFormat="1" ht="12.75" customHeight="1">
      <c r="A340" s="64" t="s">
        <v>182</v>
      </c>
      <c r="B340" s="23" t="s">
        <v>183</v>
      </c>
      <c r="C340" s="52" t="s">
        <v>175</v>
      </c>
      <c r="D340" s="65">
        <v>1995</v>
      </c>
      <c r="E340" s="26">
        <v>8</v>
      </c>
      <c r="F340" s="66">
        <v>5</v>
      </c>
      <c r="G340" s="46">
        <f t="shared" si="82"/>
        <v>218.29</v>
      </c>
      <c r="H340" s="84">
        <v>5364</v>
      </c>
      <c r="I340" s="66"/>
      <c r="K340" s="67">
        <v>42.915999999999997</v>
      </c>
      <c r="O340" s="48">
        <f t="shared" si="83"/>
        <v>3.7294887691795613</v>
      </c>
      <c r="R340" s="48">
        <f t="shared" si="84"/>
        <v>1.6326192366191179</v>
      </c>
      <c r="U340" s="48">
        <v>3.7294887691795613</v>
      </c>
      <c r="V340" s="54">
        <v>1.6326192366191179</v>
      </c>
      <c r="W340" s="49">
        <f t="shared" si="85"/>
        <v>1.2022204783960231</v>
      </c>
      <c r="X340" s="49"/>
      <c r="Y340" s="49"/>
      <c r="Z340" s="49"/>
      <c r="AR340" s="70"/>
    </row>
    <row r="341" spans="1:44" s="28" customFormat="1" ht="12.75" customHeight="1">
      <c r="A341" s="64" t="s">
        <v>182</v>
      </c>
      <c r="B341" s="23" t="s">
        <v>183</v>
      </c>
      <c r="C341" s="52" t="s">
        <v>175</v>
      </c>
      <c r="D341" s="65">
        <v>1995</v>
      </c>
      <c r="E341" s="26">
        <v>8</v>
      </c>
      <c r="F341" s="66">
        <v>5</v>
      </c>
      <c r="G341" s="46">
        <f t="shared" si="82"/>
        <v>218.29</v>
      </c>
      <c r="H341" s="84">
        <v>7640</v>
      </c>
      <c r="I341" s="66"/>
      <c r="K341" s="67">
        <v>47.792999999999999</v>
      </c>
      <c r="O341" s="48">
        <f t="shared" si="83"/>
        <v>3.8830933585756897</v>
      </c>
      <c r="R341" s="48">
        <f t="shared" si="84"/>
        <v>1.6793642923444685</v>
      </c>
      <c r="U341" s="48">
        <v>3.8830933585756897</v>
      </c>
      <c r="V341" s="54">
        <v>1.6793642923444685</v>
      </c>
      <c r="W341" s="49">
        <f t="shared" si="85"/>
        <v>1.1116220165425714</v>
      </c>
      <c r="X341" s="49"/>
      <c r="Y341" s="49"/>
      <c r="Z341" s="49"/>
      <c r="AR341" s="70"/>
    </row>
    <row r="342" spans="1:44" s="28" customFormat="1" ht="12.75" customHeight="1">
      <c r="A342" s="64" t="s">
        <v>182</v>
      </c>
      <c r="B342" s="23" t="s">
        <v>183</v>
      </c>
      <c r="C342" s="52" t="s">
        <v>175</v>
      </c>
      <c r="D342" s="65">
        <v>1995</v>
      </c>
      <c r="E342" s="26">
        <v>8</v>
      </c>
      <c r="F342" s="66">
        <v>5</v>
      </c>
      <c r="G342" s="46">
        <f t="shared" si="82"/>
        <v>218.29</v>
      </c>
      <c r="H342" s="84">
        <v>8453</v>
      </c>
      <c r="I342" s="66"/>
      <c r="K342" s="67">
        <v>66.162000000000006</v>
      </c>
      <c r="O342" s="48">
        <f t="shared" si="83"/>
        <v>3.9270108689756511</v>
      </c>
      <c r="R342" s="48">
        <f t="shared" si="84"/>
        <v>1.8206086249579645</v>
      </c>
      <c r="U342" s="48">
        <v>3.9270108689756511</v>
      </c>
      <c r="V342" s="54">
        <v>1.8206086249579645</v>
      </c>
      <c r="W342" s="49">
        <f t="shared" si="85"/>
        <v>0.96373467292701331</v>
      </c>
      <c r="X342" s="49"/>
      <c r="Y342" s="49"/>
      <c r="Z342" s="49"/>
      <c r="AR342" s="70"/>
    </row>
    <row r="343" spans="1:44" s="28" customFormat="1" ht="12.75" customHeight="1">
      <c r="A343" s="64" t="s">
        <v>182</v>
      </c>
      <c r="B343" s="23" t="s">
        <v>183</v>
      </c>
      <c r="C343" s="52" t="s">
        <v>175</v>
      </c>
      <c r="D343" s="65">
        <v>1995</v>
      </c>
      <c r="E343" s="26">
        <v>8</v>
      </c>
      <c r="F343" s="66">
        <v>19</v>
      </c>
      <c r="G343" s="46">
        <f t="shared" si="82"/>
        <v>232.29</v>
      </c>
      <c r="H343" s="84">
        <v>5364</v>
      </c>
      <c r="I343" s="66"/>
      <c r="K343" s="67">
        <v>24.384</v>
      </c>
      <c r="O343" s="48">
        <f t="shared" si="83"/>
        <v>3.7294887691795613</v>
      </c>
      <c r="R343" s="48">
        <f t="shared" si="84"/>
        <v>1.3871049496595065</v>
      </c>
      <c r="U343" s="48">
        <v>3.7294887691795613</v>
      </c>
      <c r="V343" s="54">
        <v>1.3871049496595065</v>
      </c>
      <c r="W343" s="49">
        <f t="shared" si="85"/>
        <v>1.4364165567267964</v>
      </c>
      <c r="X343" s="49"/>
      <c r="Y343" s="49"/>
      <c r="Z343" s="49"/>
      <c r="AR343" s="70"/>
    </row>
    <row r="344" spans="1:44" s="28" customFormat="1" ht="12.75" customHeight="1">
      <c r="A344" s="64" t="s">
        <v>182</v>
      </c>
      <c r="B344" s="23" t="s">
        <v>183</v>
      </c>
      <c r="C344" s="52" t="s">
        <v>175</v>
      </c>
      <c r="D344" s="65">
        <v>1995</v>
      </c>
      <c r="E344" s="26">
        <v>8</v>
      </c>
      <c r="F344" s="66">
        <v>19</v>
      </c>
      <c r="G344" s="46">
        <f t="shared" si="82"/>
        <v>232.29</v>
      </c>
      <c r="H344" s="84">
        <v>6340</v>
      </c>
      <c r="I344" s="66"/>
      <c r="K344" s="67">
        <v>45.353999999999999</v>
      </c>
      <c r="O344" s="48">
        <f t="shared" si="83"/>
        <v>3.8020892578817329</v>
      </c>
      <c r="R344" s="48">
        <f t="shared" si="84"/>
        <v>1.6566155957251125</v>
      </c>
      <c r="U344" s="48">
        <v>3.8020892578817329</v>
      </c>
      <c r="V344" s="54">
        <v>1.6566155957251125</v>
      </c>
      <c r="W344" s="49">
        <f t="shared" si="85"/>
        <v>1.1575847191064921</v>
      </c>
      <c r="X344" s="49"/>
      <c r="Y344" s="49"/>
      <c r="Z344" s="49"/>
      <c r="AR344" s="70"/>
    </row>
    <row r="345" spans="1:44" s="28" customFormat="1" ht="12.75" customHeight="1">
      <c r="A345" s="64" t="s">
        <v>182</v>
      </c>
      <c r="B345" s="23" t="s">
        <v>183</v>
      </c>
      <c r="C345" s="52" t="s">
        <v>175</v>
      </c>
      <c r="D345" s="65">
        <v>1995</v>
      </c>
      <c r="E345" s="26">
        <v>8</v>
      </c>
      <c r="F345" s="66">
        <v>19</v>
      </c>
      <c r="G345" s="46">
        <f t="shared" si="82"/>
        <v>232.29</v>
      </c>
      <c r="H345" s="84">
        <v>8453</v>
      </c>
      <c r="I345" s="66"/>
      <c r="K345" s="67">
        <v>38.363999999999997</v>
      </c>
      <c r="O345" s="48">
        <f t="shared" si="83"/>
        <v>3.9270108689756511</v>
      </c>
      <c r="R345" s="48">
        <f t="shared" si="84"/>
        <v>1.5839238823193127</v>
      </c>
      <c r="U345" s="48">
        <v>3.9270108689756511</v>
      </c>
      <c r="V345" s="54">
        <v>1.5839238823193127</v>
      </c>
      <c r="W345" s="49">
        <f t="shared" si="85"/>
        <v>1.1895082489300233</v>
      </c>
      <c r="X345" s="49"/>
      <c r="Y345" s="49"/>
      <c r="Z345" s="49"/>
      <c r="AR345" s="70"/>
    </row>
    <row r="346" spans="1:44" s="28" customFormat="1" ht="12.75" customHeight="1">
      <c r="A346" s="64" t="s">
        <v>182</v>
      </c>
      <c r="B346" s="23" t="s">
        <v>183</v>
      </c>
      <c r="C346" s="52" t="s">
        <v>175</v>
      </c>
      <c r="D346" s="65">
        <v>1995</v>
      </c>
      <c r="E346" s="26">
        <v>8</v>
      </c>
      <c r="F346" s="66">
        <v>19</v>
      </c>
      <c r="G346" s="46">
        <f t="shared" si="82"/>
        <v>232.29</v>
      </c>
      <c r="H346" s="84">
        <v>10241</v>
      </c>
      <c r="I346" s="66"/>
      <c r="K346" s="67">
        <v>47.468000000000004</v>
      </c>
      <c r="O346" s="48">
        <f t="shared" si="83"/>
        <v>4.0103423661395681</v>
      </c>
      <c r="R346" s="48">
        <f t="shared" si="84"/>
        <v>1.6764009336930397</v>
      </c>
      <c r="U346" s="48">
        <v>4.0103423661395681</v>
      </c>
      <c r="V346" s="54">
        <v>1.6764009336930397</v>
      </c>
      <c r="W346" s="49">
        <f t="shared" si="85"/>
        <v>1.0763345562692022</v>
      </c>
      <c r="X346" s="49"/>
      <c r="Y346" s="49"/>
      <c r="Z346" s="49"/>
      <c r="AR346" s="70"/>
    </row>
    <row r="347" spans="1:44" s="28" customFormat="1" ht="12.75" customHeight="1">
      <c r="A347" s="64" t="s">
        <v>182</v>
      </c>
      <c r="B347" s="23" t="s">
        <v>183</v>
      </c>
      <c r="C347" s="52" t="s">
        <v>175</v>
      </c>
      <c r="D347" s="65">
        <v>1995</v>
      </c>
      <c r="E347" s="26">
        <v>9</v>
      </c>
      <c r="F347" s="66">
        <v>2</v>
      </c>
      <c r="G347" s="46">
        <f t="shared" si="82"/>
        <v>245.76</v>
      </c>
      <c r="H347" s="84">
        <v>8128</v>
      </c>
      <c r="I347" s="66"/>
      <c r="K347" s="67">
        <v>95.26</v>
      </c>
      <c r="O347" s="48">
        <f t="shared" si="83"/>
        <v>3.9099836949398439</v>
      </c>
      <c r="R347" s="48">
        <f t="shared" si="84"/>
        <v>1.9789105771755717</v>
      </c>
      <c r="U347" s="48">
        <v>3.9099836949398439</v>
      </c>
      <c r="V347" s="54">
        <v>1.9789105771755717</v>
      </c>
      <c r="W347" s="49">
        <f t="shared" si="85"/>
        <v>0.81783049819884335</v>
      </c>
      <c r="X347" s="49"/>
      <c r="Y347" s="49"/>
      <c r="Z347" s="49"/>
      <c r="AR347" s="70"/>
    </row>
    <row r="348" spans="1:44" s="28" customFormat="1" ht="12.75" customHeight="1">
      <c r="A348" s="64" t="s">
        <v>182</v>
      </c>
      <c r="B348" s="23" t="s">
        <v>183</v>
      </c>
      <c r="C348" s="52" t="s">
        <v>175</v>
      </c>
      <c r="D348" s="65">
        <v>1995</v>
      </c>
      <c r="E348" s="26">
        <v>9</v>
      </c>
      <c r="F348" s="66">
        <v>2</v>
      </c>
      <c r="G348" s="46">
        <f t="shared" si="82"/>
        <v>245.76</v>
      </c>
      <c r="H348" s="84">
        <v>12192</v>
      </c>
      <c r="I348" s="66"/>
      <c r="K348" s="67">
        <v>58.683999999999997</v>
      </c>
      <c r="O348" s="48">
        <f t="shared" si="83"/>
        <v>4.0860749539955252</v>
      </c>
      <c r="R348" s="48">
        <f t="shared" si="84"/>
        <v>1.7685197084214459</v>
      </c>
      <c r="U348" s="48">
        <v>4.0860749539955252</v>
      </c>
      <c r="V348" s="54">
        <v>1.7685197084214459</v>
      </c>
      <c r="W348" s="49">
        <f t="shared" si="85"/>
        <v>0.96577868397125455</v>
      </c>
      <c r="X348" s="49"/>
      <c r="Y348" s="49"/>
      <c r="Z348" s="49"/>
      <c r="AR348" s="70"/>
    </row>
    <row r="349" spans="1:44" s="28" customFormat="1" ht="12.75" customHeight="1">
      <c r="A349" s="64" t="s">
        <v>182</v>
      </c>
      <c r="B349" s="23" t="s">
        <v>183</v>
      </c>
      <c r="C349" s="52" t="s">
        <v>175</v>
      </c>
      <c r="D349" s="65">
        <v>1995</v>
      </c>
      <c r="E349" s="26">
        <v>9</v>
      </c>
      <c r="F349" s="66">
        <v>2</v>
      </c>
      <c r="G349" s="46">
        <f t="shared" si="82"/>
        <v>245.76</v>
      </c>
      <c r="H349" s="84">
        <v>10566</v>
      </c>
      <c r="I349" s="66"/>
      <c r="K349" s="67">
        <v>90.058000000000007</v>
      </c>
      <c r="O349" s="48">
        <f t="shared" si="83"/>
        <v>4.0239106063509205</v>
      </c>
      <c r="R349" s="48">
        <f t="shared" si="84"/>
        <v>1.9545222979610413</v>
      </c>
      <c r="U349" s="48">
        <v>4.0239106063509205</v>
      </c>
      <c r="V349" s="54">
        <v>1.9545222979610413</v>
      </c>
      <c r="W349" s="49">
        <f t="shared" si="85"/>
        <v>0.80697056517194587</v>
      </c>
      <c r="X349" s="49"/>
      <c r="Y349" s="49"/>
      <c r="Z349" s="49"/>
      <c r="AR349" s="70"/>
    </row>
    <row r="350" spans="1:44" s="28" customFormat="1" ht="12.75" customHeight="1">
      <c r="A350" s="64" t="s">
        <v>182</v>
      </c>
      <c r="B350" s="23" t="s">
        <v>183</v>
      </c>
      <c r="C350" s="52" t="s">
        <v>175</v>
      </c>
      <c r="D350" s="65">
        <v>1995</v>
      </c>
      <c r="E350" s="26">
        <v>9</v>
      </c>
      <c r="F350" s="66">
        <v>2</v>
      </c>
      <c r="G350" s="46">
        <f t="shared" si="82"/>
        <v>245.76</v>
      </c>
      <c r="H350" s="84">
        <v>5039</v>
      </c>
      <c r="I350" s="66"/>
      <c r="K350" s="67">
        <v>25.196999999999999</v>
      </c>
      <c r="O350" s="48">
        <f t="shared" si="83"/>
        <v>3.7023443583557687</v>
      </c>
      <c r="R350" s="48">
        <f t="shared" si="84"/>
        <v>1.4013488359797801</v>
      </c>
      <c r="U350" s="48">
        <v>3.7023443583557687</v>
      </c>
      <c r="V350" s="54">
        <v>1.4013488359797801</v>
      </c>
      <c r="W350" s="49">
        <f t="shared" si="85"/>
        <v>1.4309597323601193</v>
      </c>
      <c r="X350" s="49"/>
      <c r="Y350" s="49"/>
      <c r="Z350" s="49"/>
      <c r="AR350" s="70"/>
    </row>
    <row r="351" spans="1:44" s="28" customFormat="1" ht="12.75" customHeight="1">
      <c r="A351" s="64" t="s">
        <v>182</v>
      </c>
      <c r="B351" s="23" t="s">
        <v>183</v>
      </c>
      <c r="C351" s="52" t="s">
        <v>175</v>
      </c>
      <c r="D351" s="65">
        <v>1995</v>
      </c>
      <c r="E351" s="26">
        <v>9</v>
      </c>
      <c r="F351" s="66">
        <v>29</v>
      </c>
      <c r="G351" s="46">
        <f t="shared" si="82"/>
        <v>272.76</v>
      </c>
      <c r="H351" s="84">
        <v>5852</v>
      </c>
      <c r="I351" s="66"/>
      <c r="K351" s="67">
        <v>61.448</v>
      </c>
      <c r="O351" s="48">
        <f t="shared" si="83"/>
        <v>3.7673043174532732</v>
      </c>
      <c r="R351" s="48">
        <f t="shared" si="84"/>
        <v>1.7885077521028796</v>
      </c>
      <c r="U351" s="48">
        <v>3.7673043174532732</v>
      </c>
      <c r="V351" s="54">
        <v>1.7885077521028796</v>
      </c>
      <c r="W351" s="49">
        <f t="shared" si="85"/>
        <v>1.0421917365055986</v>
      </c>
      <c r="X351" s="49"/>
      <c r="Y351" s="49"/>
      <c r="Z351" s="49"/>
      <c r="AR351" s="70"/>
    </row>
    <row r="352" spans="1:44" s="28" customFormat="1" ht="12.75" customHeight="1">
      <c r="A352" s="64" t="s">
        <v>182</v>
      </c>
      <c r="B352" s="23" t="s">
        <v>183</v>
      </c>
      <c r="C352" s="52" t="s">
        <v>175</v>
      </c>
      <c r="D352" s="65">
        <v>1995</v>
      </c>
      <c r="E352" s="26">
        <v>9</v>
      </c>
      <c r="F352" s="66">
        <v>29</v>
      </c>
      <c r="G352" s="46">
        <f t="shared" si="82"/>
        <v>272.76</v>
      </c>
      <c r="H352" s="84">
        <v>3901</v>
      </c>
      <c r="I352" s="66"/>
      <c r="K352" s="67">
        <v>30.399000000000001</v>
      </c>
      <c r="O352" s="48">
        <f t="shared" si="83"/>
        <v>3.5911759503117913</v>
      </c>
      <c r="R352" s="48">
        <f t="shared" si="84"/>
        <v>1.4828592973710872</v>
      </c>
      <c r="U352" s="48">
        <v>3.5911759503117913</v>
      </c>
      <c r="V352" s="54">
        <v>1.4828592973710872</v>
      </c>
      <c r="W352" s="49">
        <f t="shared" si="85"/>
        <v>1.3865045761909607</v>
      </c>
      <c r="X352" s="49"/>
      <c r="Y352" s="49"/>
      <c r="Z352" s="49"/>
      <c r="AR352" s="70"/>
    </row>
    <row r="353" spans="1:44" s="28" customFormat="1" ht="12.75" customHeight="1">
      <c r="A353" s="64" t="s">
        <v>182</v>
      </c>
      <c r="B353" s="23" t="s">
        <v>183</v>
      </c>
      <c r="C353" s="52" t="s">
        <v>175</v>
      </c>
      <c r="D353" s="65">
        <v>1995</v>
      </c>
      <c r="E353" s="26">
        <v>9</v>
      </c>
      <c r="F353" s="66">
        <v>29</v>
      </c>
      <c r="G353" s="46">
        <f t="shared" si="82"/>
        <v>272.76</v>
      </c>
      <c r="H353" s="84">
        <v>5690</v>
      </c>
      <c r="I353" s="66"/>
      <c r="K353" s="67">
        <v>62.097999999999999</v>
      </c>
      <c r="O353" s="48">
        <f t="shared" si="83"/>
        <v>3.7551122663950713</v>
      </c>
      <c r="R353" s="48">
        <f t="shared" si="84"/>
        <v>1.7930776130115069</v>
      </c>
      <c r="U353" s="48">
        <v>3.7551122663950713</v>
      </c>
      <c r="V353" s="54">
        <v>1.7930776130115069</v>
      </c>
      <c r="W353" s="49">
        <f t="shared" si="85"/>
        <v>1.0414843654012462</v>
      </c>
      <c r="X353" s="49"/>
      <c r="Y353" s="49"/>
      <c r="Z353" s="49"/>
      <c r="AR353" s="70"/>
    </row>
    <row r="354" spans="1:44" s="28" customFormat="1" ht="12.75" customHeight="1">
      <c r="A354" s="64" t="s">
        <v>182</v>
      </c>
      <c r="B354" s="23" t="s">
        <v>183</v>
      </c>
      <c r="C354" s="52" t="s">
        <v>175</v>
      </c>
      <c r="D354" s="65">
        <v>1995</v>
      </c>
      <c r="E354" s="26">
        <v>9</v>
      </c>
      <c r="F354" s="66">
        <v>29</v>
      </c>
      <c r="G354" s="46">
        <f t="shared" si="82"/>
        <v>272.76</v>
      </c>
      <c r="H354" s="84">
        <v>2764</v>
      </c>
      <c r="I354" s="66"/>
      <c r="K354" s="67">
        <v>32.512</v>
      </c>
      <c r="O354" s="48">
        <f t="shared" si="83"/>
        <v>3.441538038702161</v>
      </c>
      <c r="R354" s="48">
        <f t="shared" si="84"/>
        <v>1.5120436862678064</v>
      </c>
      <c r="U354" s="48">
        <v>3.441538038702161</v>
      </c>
      <c r="V354" s="54">
        <v>1.5120436862678064</v>
      </c>
      <c r="W354" s="49">
        <f t="shared" si="85"/>
        <v>1.4034858232420901</v>
      </c>
      <c r="X354" s="49"/>
      <c r="Y354" s="49"/>
      <c r="Z354" s="49"/>
      <c r="AR354" s="70"/>
    </row>
    <row r="355" spans="1:44" s="28" customFormat="1" ht="12.75" customHeight="1">
      <c r="A355" s="64" t="s">
        <v>182</v>
      </c>
      <c r="B355" s="23" t="s">
        <v>183</v>
      </c>
      <c r="C355" s="52" t="s">
        <v>175</v>
      </c>
      <c r="D355" s="65">
        <v>1995</v>
      </c>
      <c r="E355" s="26">
        <v>10</v>
      </c>
      <c r="F355" s="66">
        <v>21</v>
      </c>
      <c r="G355" s="46">
        <f t="shared" si="82"/>
        <v>295.23</v>
      </c>
      <c r="H355" s="84">
        <v>3251</v>
      </c>
      <c r="I355" s="66"/>
      <c r="K355" s="67">
        <v>25.196999999999999</v>
      </c>
      <c r="O355" s="48">
        <f t="shared" si="83"/>
        <v>3.5120169694961265</v>
      </c>
      <c r="R355" s="48">
        <f t="shared" si="84"/>
        <v>1.4013488359797801</v>
      </c>
      <c r="U355" s="48">
        <v>3.5120169694961265</v>
      </c>
      <c r="V355" s="54">
        <v>1.4013488359797801</v>
      </c>
      <c r="W355" s="49">
        <f t="shared" si="85"/>
        <v>1.487967467377348</v>
      </c>
      <c r="X355" s="49"/>
      <c r="Y355" s="49"/>
      <c r="Z355" s="49"/>
      <c r="AR355" s="70"/>
    </row>
    <row r="356" spans="1:44" s="28" customFormat="1" ht="12.75" customHeight="1">
      <c r="A356" s="64" t="s">
        <v>182</v>
      </c>
      <c r="B356" s="23" t="s">
        <v>183</v>
      </c>
      <c r="C356" s="52" t="s">
        <v>175</v>
      </c>
      <c r="D356" s="65">
        <v>1995</v>
      </c>
      <c r="E356" s="26">
        <v>10</v>
      </c>
      <c r="F356" s="66">
        <v>21</v>
      </c>
      <c r="G356" s="46">
        <f t="shared" si="82"/>
        <v>295.23</v>
      </c>
      <c r="H356" s="84">
        <v>4552</v>
      </c>
      <c r="I356" s="66"/>
      <c r="K356" s="67">
        <v>47.142000000000003</v>
      </c>
      <c r="O356" s="48">
        <f t="shared" si="83"/>
        <v>3.6582022533870147</v>
      </c>
      <c r="R356" s="48">
        <f t="shared" si="84"/>
        <v>1.6734080035285384</v>
      </c>
      <c r="U356" s="48">
        <v>3.6582022533870147</v>
      </c>
      <c r="V356" s="54">
        <v>1.6734080035285384</v>
      </c>
      <c r="W356" s="49">
        <f t="shared" si="85"/>
        <v>1.1846641387692831</v>
      </c>
      <c r="X356" s="49"/>
      <c r="Y356" s="49"/>
      <c r="Z356" s="49"/>
      <c r="AR356" s="70"/>
    </row>
    <row r="357" spans="1:44" s="28" customFormat="1" ht="12.75" customHeight="1">
      <c r="A357" s="64" t="s">
        <v>182</v>
      </c>
      <c r="B357" s="23" t="s">
        <v>183</v>
      </c>
      <c r="C357" s="52" t="s">
        <v>175</v>
      </c>
      <c r="D357" s="65">
        <v>1995</v>
      </c>
      <c r="E357" s="26">
        <v>10</v>
      </c>
      <c r="F357" s="66">
        <v>21</v>
      </c>
      <c r="G357" s="46">
        <f t="shared" si="82"/>
        <v>295.23</v>
      </c>
      <c r="H357" s="84">
        <v>5527</v>
      </c>
      <c r="I357" s="66"/>
      <c r="K357" s="67">
        <v>28.448</v>
      </c>
      <c r="O357" s="48">
        <f t="shared" si="83"/>
        <v>3.7424894645817752</v>
      </c>
      <c r="R357" s="48">
        <f t="shared" si="84"/>
        <v>1.4540517392901198</v>
      </c>
      <c r="U357" s="48">
        <v>3.7424894645817752</v>
      </c>
      <c r="V357" s="54">
        <v>1.4540517392901198</v>
      </c>
      <c r="W357" s="49">
        <f t="shared" si="85"/>
        <v>1.3686619860080844</v>
      </c>
      <c r="X357" s="49"/>
      <c r="Y357" s="49"/>
      <c r="Z357" s="49"/>
      <c r="AR357" s="70"/>
    </row>
    <row r="358" spans="1:44" s="28" customFormat="1" ht="12.75" customHeight="1">
      <c r="A358" s="64" t="s">
        <v>182</v>
      </c>
      <c r="B358" s="23" t="s">
        <v>183</v>
      </c>
      <c r="C358" s="52" t="s">
        <v>175</v>
      </c>
      <c r="D358" s="65">
        <v>1995</v>
      </c>
      <c r="E358" s="26">
        <v>10</v>
      </c>
      <c r="F358" s="66">
        <v>21</v>
      </c>
      <c r="G358" s="46">
        <f t="shared" si="82"/>
        <v>295.23</v>
      </c>
      <c r="H358" s="84">
        <v>7315</v>
      </c>
      <c r="I358" s="66"/>
      <c r="K358" s="67">
        <v>19.832000000000001</v>
      </c>
      <c r="O358" s="48">
        <f t="shared" si="83"/>
        <v>3.8642143304613294</v>
      </c>
      <c r="R358" s="48">
        <f t="shared" si="84"/>
        <v>1.297366513759765</v>
      </c>
      <c r="U358" s="48">
        <v>3.8642143304613294</v>
      </c>
      <c r="V358" s="54">
        <v>1.297366513759765</v>
      </c>
      <c r="W358" s="49">
        <f t="shared" si="85"/>
        <v>1.4816644308788625</v>
      </c>
      <c r="X358" s="49"/>
      <c r="Y358" s="49"/>
      <c r="Z358" s="49"/>
      <c r="AR358" s="70"/>
    </row>
    <row r="359" spans="1:44" s="28" customFormat="1" ht="12.75" customHeight="1">
      <c r="A359" s="64" t="s">
        <v>182</v>
      </c>
      <c r="B359" s="23" t="s">
        <v>183</v>
      </c>
      <c r="C359" s="52" t="s">
        <v>175</v>
      </c>
      <c r="D359" s="65">
        <v>1995</v>
      </c>
      <c r="E359" s="26">
        <v>11</v>
      </c>
      <c r="F359" s="66">
        <v>12</v>
      </c>
      <c r="G359" s="46">
        <f t="shared" ref="G359:G422" si="86">30.47*(E359-1)+F359</f>
        <v>316.7</v>
      </c>
      <c r="H359" s="84">
        <v>4877</v>
      </c>
      <c r="I359" s="66"/>
      <c r="K359" s="67">
        <v>14.956</v>
      </c>
      <c r="O359" s="48">
        <f t="shared" si="83"/>
        <v>3.6881527555915663</v>
      </c>
      <c r="R359" s="48">
        <f t="shared" si="84"/>
        <v>1.174815456482182</v>
      </c>
      <c r="U359" s="48">
        <v>3.6881527555915663</v>
      </c>
      <c r="V359" s="54">
        <v>1.174815456482182</v>
      </c>
      <c r="W359" s="49">
        <f t="shared" ref="W359:W422" si="87">0.9539*(4.064-0.314*U359-V359)</f>
        <v>1.6513006572041851</v>
      </c>
      <c r="X359" s="49"/>
      <c r="Y359" s="49"/>
      <c r="Z359" s="49"/>
      <c r="AR359" s="70"/>
    </row>
    <row r="360" spans="1:44" s="28" customFormat="1" ht="12.75" customHeight="1">
      <c r="A360" s="64" t="s">
        <v>182</v>
      </c>
      <c r="B360" s="23" t="s">
        <v>183</v>
      </c>
      <c r="C360" s="52" t="s">
        <v>175</v>
      </c>
      <c r="D360" s="65">
        <v>1995</v>
      </c>
      <c r="E360" s="26">
        <v>11</v>
      </c>
      <c r="F360" s="66">
        <v>12</v>
      </c>
      <c r="G360" s="46">
        <f t="shared" si="86"/>
        <v>316.7</v>
      </c>
      <c r="H360" s="84">
        <v>7153</v>
      </c>
      <c r="I360" s="66"/>
      <c r="K360" s="67">
        <v>20.32</v>
      </c>
      <c r="O360" s="48">
        <f t="shared" si="83"/>
        <v>3.8544882250444306</v>
      </c>
      <c r="R360" s="48">
        <f t="shared" si="84"/>
        <v>1.3079237036118816</v>
      </c>
      <c r="U360" s="48">
        <v>3.8544882250444306</v>
      </c>
      <c r="V360" s="54">
        <v>1.3079237036118816</v>
      </c>
      <c r="W360" s="49">
        <f t="shared" si="87"/>
        <v>1.4745071353134831</v>
      </c>
      <c r="X360" s="49"/>
      <c r="Y360" s="49"/>
      <c r="Z360" s="49"/>
      <c r="AR360" s="70"/>
    </row>
    <row r="361" spans="1:44" s="28" customFormat="1" ht="12.75" customHeight="1">
      <c r="A361" s="64" t="s">
        <v>182</v>
      </c>
      <c r="B361" s="23" t="s">
        <v>183</v>
      </c>
      <c r="C361" s="52" t="s">
        <v>175</v>
      </c>
      <c r="D361" s="65">
        <v>1995</v>
      </c>
      <c r="E361" s="26">
        <v>11</v>
      </c>
      <c r="F361" s="66">
        <v>12</v>
      </c>
      <c r="G361" s="46">
        <f t="shared" si="86"/>
        <v>316.7</v>
      </c>
      <c r="H361" s="84">
        <v>5039</v>
      </c>
      <c r="I361" s="66"/>
      <c r="K361" s="67">
        <v>11.054</v>
      </c>
      <c r="O361" s="48">
        <f t="shared" si="83"/>
        <v>3.7023443583557687</v>
      </c>
      <c r="R361" s="48">
        <f t="shared" si="84"/>
        <v>1.0435194602457563</v>
      </c>
      <c r="U361" s="48">
        <v>3.7023443583557687</v>
      </c>
      <c r="V361" s="54">
        <v>1.0435194602457563</v>
      </c>
      <c r="W361" s="49">
        <f t="shared" si="87"/>
        <v>1.7722931738728047</v>
      </c>
      <c r="X361" s="49"/>
      <c r="Y361" s="49"/>
      <c r="Z361" s="49"/>
      <c r="AR361" s="70"/>
    </row>
    <row r="362" spans="1:44" s="28" customFormat="1" ht="12.75" customHeight="1">
      <c r="A362" s="64" t="s">
        <v>182</v>
      </c>
      <c r="B362" s="23" t="s">
        <v>183</v>
      </c>
      <c r="C362" s="52" t="s">
        <v>175</v>
      </c>
      <c r="D362" s="65">
        <v>1995</v>
      </c>
      <c r="E362" s="26">
        <v>11</v>
      </c>
      <c r="F362" s="66">
        <v>12</v>
      </c>
      <c r="G362" s="46">
        <f t="shared" si="86"/>
        <v>316.7</v>
      </c>
      <c r="H362" s="84">
        <v>4389</v>
      </c>
      <c r="I362" s="66"/>
      <c r="K362" s="67">
        <v>34.950000000000003</v>
      </c>
      <c r="O362" s="48">
        <f t="shared" si="83"/>
        <v>3.6423655808449733</v>
      </c>
      <c r="R362" s="48">
        <f t="shared" si="84"/>
        <v>1.5434471800817002</v>
      </c>
      <c r="U362" s="48">
        <v>3.6423655808449733</v>
      </c>
      <c r="V362" s="54">
        <v>1.5434471800817002</v>
      </c>
      <c r="W362" s="49">
        <f t="shared" si="87"/>
        <v>1.3133772412637079</v>
      </c>
      <c r="X362" s="49"/>
      <c r="Y362" s="49"/>
      <c r="Z362" s="49"/>
      <c r="AR362" s="70"/>
    </row>
    <row r="363" spans="1:44" s="28" customFormat="1" ht="12.75" customHeight="1">
      <c r="A363" s="64" t="s">
        <v>182</v>
      </c>
      <c r="B363" s="23" t="s">
        <v>183</v>
      </c>
      <c r="C363" s="52" t="s">
        <v>175</v>
      </c>
      <c r="D363" s="65">
        <v>1995</v>
      </c>
      <c r="E363" s="26">
        <v>12</v>
      </c>
      <c r="F363" s="66">
        <v>2</v>
      </c>
      <c r="G363" s="46">
        <f t="shared" si="86"/>
        <v>337.16999999999996</v>
      </c>
      <c r="H363" s="84">
        <v>5852</v>
      </c>
      <c r="I363" s="66"/>
      <c r="K363" s="67">
        <v>26.497</v>
      </c>
      <c r="O363" s="48">
        <f t="shared" si="83"/>
        <v>3.7673043174532732</v>
      </c>
      <c r="R363" s="48">
        <f t="shared" si="84"/>
        <v>1.4231967057406043</v>
      </c>
      <c r="U363" s="48">
        <v>3.7673043174532732</v>
      </c>
      <c r="V363" s="54">
        <v>1.4231967057406043</v>
      </c>
      <c r="W363" s="49">
        <f t="shared" si="87"/>
        <v>1.3906619436305729</v>
      </c>
      <c r="X363" s="49"/>
      <c r="Y363" s="49"/>
      <c r="Z363" s="49"/>
      <c r="AR363" s="70"/>
    </row>
    <row r="364" spans="1:44" s="28" customFormat="1" ht="12.75" customHeight="1">
      <c r="A364" s="64" t="s">
        <v>182</v>
      </c>
      <c r="B364" s="23" t="s">
        <v>183</v>
      </c>
      <c r="C364" s="52" t="s">
        <v>175</v>
      </c>
      <c r="D364" s="65">
        <v>1995</v>
      </c>
      <c r="E364" s="26">
        <v>12</v>
      </c>
      <c r="F364" s="66">
        <v>2</v>
      </c>
      <c r="G364" s="46">
        <f t="shared" si="86"/>
        <v>337.16999999999996</v>
      </c>
      <c r="H364" s="84">
        <v>4552</v>
      </c>
      <c r="I364" s="66"/>
      <c r="K364" s="67">
        <v>34.625</v>
      </c>
      <c r="O364" s="48">
        <f t="shared" si="83"/>
        <v>3.6582022533870147</v>
      </c>
      <c r="R364" s="48">
        <f t="shared" si="84"/>
        <v>1.5393897820725049</v>
      </c>
      <c r="U364" s="48">
        <v>3.6582022533870147</v>
      </c>
      <c r="V364" s="54">
        <v>1.5393897820725049</v>
      </c>
      <c r="W364" s="49">
        <f t="shared" si="87"/>
        <v>1.3125041202161933</v>
      </c>
      <c r="X364" s="49"/>
      <c r="Y364" s="49"/>
      <c r="Z364" s="49"/>
      <c r="AR364" s="70"/>
    </row>
    <row r="365" spans="1:44" s="28" customFormat="1" ht="12.75" customHeight="1">
      <c r="A365" s="64" t="s">
        <v>182</v>
      </c>
      <c r="B365" s="23" t="s">
        <v>183</v>
      </c>
      <c r="C365" s="52" t="s">
        <v>175</v>
      </c>
      <c r="D365" s="65">
        <v>1995</v>
      </c>
      <c r="E365" s="26">
        <v>12</v>
      </c>
      <c r="F365" s="66">
        <v>2</v>
      </c>
      <c r="G365" s="46">
        <f t="shared" si="86"/>
        <v>337.16999999999996</v>
      </c>
      <c r="H365" s="84">
        <v>4714</v>
      </c>
      <c r="I365" s="66"/>
      <c r="K365" s="67">
        <v>15.606</v>
      </c>
      <c r="O365" s="48">
        <f t="shared" si="83"/>
        <v>3.673389578188305</v>
      </c>
      <c r="R365" s="48">
        <f t="shared" si="84"/>
        <v>1.1932916025795164</v>
      </c>
      <c r="U365" s="48">
        <v>3.673389578188305</v>
      </c>
      <c r="V365" s="54">
        <v>1.1932916025795164</v>
      </c>
      <c r="W365" s="49">
        <f t="shared" si="87"/>
        <v>1.6380981962483785</v>
      </c>
      <c r="X365" s="49"/>
      <c r="Y365" s="49"/>
      <c r="Z365" s="49"/>
      <c r="AR365" s="70"/>
    </row>
    <row r="366" spans="1:44" s="28" customFormat="1" ht="12.75" customHeight="1">
      <c r="A366" s="64" t="s">
        <v>182</v>
      </c>
      <c r="B366" s="23" t="s">
        <v>183</v>
      </c>
      <c r="C366" s="52" t="s">
        <v>175</v>
      </c>
      <c r="D366" s="65">
        <v>1995</v>
      </c>
      <c r="E366" s="26">
        <v>12</v>
      </c>
      <c r="F366" s="66">
        <v>2</v>
      </c>
      <c r="G366" s="46">
        <f t="shared" si="86"/>
        <v>337.16999999999996</v>
      </c>
      <c r="H366" s="84">
        <v>8616</v>
      </c>
      <c r="I366" s="66"/>
      <c r="K366" s="67">
        <v>46.491999999999997</v>
      </c>
      <c r="O366" s="48">
        <f t="shared" si="83"/>
        <v>3.9353056902899253</v>
      </c>
      <c r="R366" s="48">
        <f t="shared" si="84"/>
        <v>1.6673782291316994</v>
      </c>
      <c r="U366" s="48">
        <v>3.9353056902899253</v>
      </c>
      <c r="V366" s="54">
        <v>1.6673782291316994</v>
      </c>
      <c r="W366" s="49">
        <f t="shared" si="87"/>
        <v>1.1074166444694582</v>
      </c>
      <c r="X366" s="49"/>
      <c r="Y366" s="49"/>
      <c r="Z366" s="49"/>
      <c r="AR366" s="70"/>
    </row>
    <row r="367" spans="1:44" s="28" customFormat="1" ht="12.75" customHeight="1">
      <c r="A367" s="64" t="s">
        <v>182</v>
      </c>
      <c r="B367" s="23" t="s">
        <v>183</v>
      </c>
      <c r="C367" s="52" t="s">
        <v>175</v>
      </c>
      <c r="D367" s="65">
        <v>1995</v>
      </c>
      <c r="E367" s="26">
        <v>12</v>
      </c>
      <c r="F367" s="66">
        <v>20</v>
      </c>
      <c r="G367" s="46">
        <f t="shared" si="86"/>
        <v>355.16999999999996</v>
      </c>
      <c r="H367" s="84">
        <v>3251</v>
      </c>
      <c r="I367" s="66"/>
      <c r="K367" s="67">
        <v>9.1029999999999998</v>
      </c>
      <c r="O367" s="48">
        <f t="shared" si="83"/>
        <v>3.5120169694961265</v>
      </c>
      <c r="R367" s="48">
        <f t="shared" si="84"/>
        <v>0.95918454273119147</v>
      </c>
      <c r="U367" s="48">
        <v>3.5120169694961265</v>
      </c>
      <c r="V367" s="54">
        <v>0.95918454273119147</v>
      </c>
      <c r="W367" s="49">
        <f t="shared" si="87"/>
        <v>1.9097479867071765</v>
      </c>
      <c r="X367" s="49"/>
      <c r="Y367" s="49"/>
      <c r="Z367" s="49"/>
      <c r="AR367" s="70"/>
    </row>
    <row r="368" spans="1:44" s="28" customFormat="1" ht="12.75" customHeight="1">
      <c r="A368" s="64" t="s">
        <v>182</v>
      </c>
      <c r="B368" s="23" t="s">
        <v>183</v>
      </c>
      <c r="C368" s="52" t="s">
        <v>175</v>
      </c>
      <c r="D368" s="65">
        <v>1995</v>
      </c>
      <c r="E368" s="26">
        <v>12</v>
      </c>
      <c r="F368" s="66">
        <v>20</v>
      </c>
      <c r="G368" s="46">
        <f t="shared" si="86"/>
        <v>355.16999999999996</v>
      </c>
      <c r="H368" s="84">
        <v>4227</v>
      </c>
      <c r="I368" s="66"/>
      <c r="K368" s="67">
        <v>19.02</v>
      </c>
      <c r="O368" s="48">
        <f t="shared" si="83"/>
        <v>3.626032247829019</v>
      </c>
      <c r="R368" s="48">
        <f t="shared" si="84"/>
        <v>1.2792105126013951</v>
      </c>
      <c r="U368" s="48">
        <v>3.626032247829019</v>
      </c>
      <c r="V368" s="54">
        <v>1.2792105126013951</v>
      </c>
      <c r="W368" s="49">
        <f t="shared" si="87"/>
        <v>1.5703248334114415</v>
      </c>
      <c r="X368" s="49"/>
      <c r="Y368" s="49"/>
      <c r="Z368" s="49"/>
      <c r="AR368" s="70"/>
    </row>
    <row r="369" spans="1:44" s="28" customFormat="1" ht="12.75" customHeight="1">
      <c r="A369" s="64" t="s">
        <v>182</v>
      </c>
      <c r="B369" s="23" t="s">
        <v>183</v>
      </c>
      <c r="C369" s="52" t="s">
        <v>175</v>
      </c>
      <c r="D369" s="65">
        <v>1995</v>
      </c>
      <c r="E369" s="26">
        <v>12</v>
      </c>
      <c r="F369" s="66">
        <v>20</v>
      </c>
      <c r="G369" s="46">
        <f t="shared" si="86"/>
        <v>355.16999999999996</v>
      </c>
      <c r="H369" s="84">
        <v>4877</v>
      </c>
      <c r="I369" s="66"/>
      <c r="K369" s="67">
        <v>27.96</v>
      </c>
      <c r="O369" s="48">
        <f t="shared" si="83"/>
        <v>3.6881527555915663</v>
      </c>
      <c r="R369" s="48">
        <f t="shared" si="84"/>
        <v>1.4465371670736438</v>
      </c>
      <c r="U369" s="48">
        <v>3.6881527555915663</v>
      </c>
      <c r="V369" s="54">
        <v>1.4465371670736438</v>
      </c>
      <c r="W369" s="49">
        <f t="shared" si="87"/>
        <v>1.3921053174709896</v>
      </c>
      <c r="X369" s="49"/>
      <c r="Y369" s="49"/>
      <c r="Z369" s="49"/>
      <c r="AR369" s="70"/>
    </row>
    <row r="370" spans="1:44" s="28" customFormat="1" ht="12.75" customHeight="1">
      <c r="A370" s="64" t="s">
        <v>182</v>
      </c>
      <c r="B370" s="23" t="s">
        <v>183</v>
      </c>
      <c r="C370" s="52" t="s">
        <v>175</v>
      </c>
      <c r="D370" s="65">
        <v>1995</v>
      </c>
      <c r="E370" s="26">
        <v>12</v>
      </c>
      <c r="F370" s="66">
        <v>20</v>
      </c>
      <c r="G370" s="46">
        <f t="shared" si="86"/>
        <v>355.16999999999996</v>
      </c>
      <c r="H370" s="84">
        <v>3414</v>
      </c>
      <c r="I370" s="66"/>
      <c r="K370" s="67">
        <v>12.029</v>
      </c>
      <c r="O370" s="48">
        <f t="shared" si="83"/>
        <v>3.5332635167787148</v>
      </c>
      <c r="R370" s="48">
        <f t="shared" si="84"/>
        <v>1.080229524884867</v>
      </c>
      <c r="U370" s="48">
        <v>3.5332635167787148</v>
      </c>
      <c r="V370" s="54">
        <v>1.080229524884867</v>
      </c>
      <c r="W370" s="49">
        <f t="shared" si="87"/>
        <v>1.7879193146545875</v>
      </c>
      <c r="X370" s="49"/>
      <c r="Y370" s="49"/>
      <c r="Z370" s="49"/>
      <c r="AR370" s="70"/>
    </row>
    <row r="371" spans="1:44" s="28" customFormat="1" ht="12.75" customHeight="1">
      <c r="A371" s="64" t="s">
        <v>182</v>
      </c>
      <c r="B371" s="23" t="s">
        <v>183</v>
      </c>
      <c r="C371" s="52" t="s">
        <v>175</v>
      </c>
      <c r="D371" s="65">
        <v>1996</v>
      </c>
      <c r="E371" s="26">
        <v>1</v>
      </c>
      <c r="F371" s="66">
        <v>13</v>
      </c>
      <c r="G371" s="46">
        <f t="shared" si="86"/>
        <v>13</v>
      </c>
      <c r="H371" s="84">
        <v>1951</v>
      </c>
      <c r="I371" s="66"/>
      <c r="K371" s="67">
        <v>10.566000000000001</v>
      </c>
      <c r="O371" s="48">
        <f t="shared" si="83"/>
        <v>3.2902572693945182</v>
      </c>
      <c r="R371" s="48">
        <f t="shared" si="84"/>
        <v>1.0239106063509207</v>
      </c>
      <c r="U371" s="48">
        <v>3.2902572693945182</v>
      </c>
      <c r="V371" s="54">
        <v>1.0239106063509207</v>
      </c>
      <c r="W371" s="49">
        <f t="shared" si="87"/>
        <v>1.9144282800893717</v>
      </c>
      <c r="X371" s="49"/>
      <c r="Y371" s="49"/>
      <c r="Z371" s="49"/>
      <c r="AR371" s="70"/>
    </row>
    <row r="372" spans="1:44" s="28" customFormat="1" ht="12.75" customHeight="1">
      <c r="A372" s="64" t="s">
        <v>182</v>
      </c>
      <c r="B372" s="23" t="s">
        <v>183</v>
      </c>
      <c r="C372" s="52" t="s">
        <v>175</v>
      </c>
      <c r="D372" s="65">
        <v>1996</v>
      </c>
      <c r="E372" s="26">
        <v>1</v>
      </c>
      <c r="F372" s="66">
        <v>13</v>
      </c>
      <c r="G372" s="46">
        <f t="shared" si="86"/>
        <v>13</v>
      </c>
      <c r="H372" s="84">
        <v>6015</v>
      </c>
      <c r="I372" s="66"/>
      <c r="K372" s="67">
        <v>23.408999999999999</v>
      </c>
      <c r="O372" s="48">
        <f t="shared" ref="O372:O455" si="88">LOG10(H372)</f>
        <v>3.7792356316758635</v>
      </c>
      <c r="R372" s="48">
        <f t="shared" ref="R372:R455" si="89">LOG10(K372)</f>
        <v>1.3693828616351975</v>
      </c>
      <c r="U372" s="48">
        <v>3.7792356316758635</v>
      </c>
      <c r="V372" s="54">
        <v>1.3693828616351975</v>
      </c>
      <c r="W372" s="49">
        <f t="shared" si="87"/>
        <v>1.4384212474027247</v>
      </c>
      <c r="X372" s="49"/>
      <c r="Y372" s="49"/>
      <c r="Z372" s="49"/>
      <c r="AR372" s="70"/>
    </row>
    <row r="373" spans="1:44" s="28" customFormat="1" ht="12.75" customHeight="1">
      <c r="A373" s="64" t="s">
        <v>182</v>
      </c>
      <c r="B373" s="23" t="s">
        <v>183</v>
      </c>
      <c r="C373" s="52" t="s">
        <v>175</v>
      </c>
      <c r="D373" s="65">
        <v>1996</v>
      </c>
      <c r="E373" s="26">
        <v>1</v>
      </c>
      <c r="F373" s="66">
        <v>13</v>
      </c>
      <c r="G373" s="46">
        <f t="shared" si="86"/>
        <v>13</v>
      </c>
      <c r="H373" s="84">
        <v>7965</v>
      </c>
      <c r="I373" s="66"/>
      <c r="K373" s="67">
        <v>14.956</v>
      </c>
      <c r="O373" s="48">
        <f t="shared" si="88"/>
        <v>3.9011857801371503</v>
      </c>
      <c r="R373" s="48">
        <f t="shared" si="89"/>
        <v>1.174815456482182</v>
      </c>
      <c r="U373" s="48">
        <v>3.9011857801371503</v>
      </c>
      <c r="V373" s="54">
        <v>1.174815456482182</v>
      </c>
      <c r="W373" s="49">
        <f t="shared" si="87"/>
        <v>1.5874920257403784</v>
      </c>
      <c r="X373" s="49"/>
      <c r="Y373" s="49"/>
      <c r="Z373" s="49"/>
      <c r="AR373" s="70"/>
    </row>
    <row r="374" spans="1:44" s="28" customFormat="1" ht="12.75" customHeight="1">
      <c r="A374" s="64" t="s">
        <v>182</v>
      </c>
      <c r="B374" s="23" t="s">
        <v>183</v>
      </c>
      <c r="C374" s="52" t="s">
        <v>175</v>
      </c>
      <c r="D374" s="65">
        <v>1996</v>
      </c>
      <c r="E374" s="26">
        <v>1</v>
      </c>
      <c r="F374" s="66">
        <v>13</v>
      </c>
      <c r="G374" s="46">
        <f t="shared" si="86"/>
        <v>13</v>
      </c>
      <c r="H374" s="84">
        <v>6340</v>
      </c>
      <c r="I374" s="66"/>
      <c r="K374" s="67">
        <v>19.670000000000002</v>
      </c>
      <c r="O374" s="48">
        <f t="shared" si="88"/>
        <v>3.8020892578817329</v>
      </c>
      <c r="R374" s="48">
        <f t="shared" si="89"/>
        <v>1.2938043599193367</v>
      </c>
      <c r="U374" s="48">
        <v>3.8020892578817329</v>
      </c>
      <c r="V374" s="54">
        <v>1.2938043599193367</v>
      </c>
      <c r="W374" s="49">
        <f t="shared" si="87"/>
        <v>1.5036703569416217</v>
      </c>
      <c r="X374" s="49"/>
      <c r="Y374" s="49"/>
      <c r="Z374" s="49"/>
      <c r="AR374" s="70"/>
    </row>
    <row r="375" spans="1:44" s="28" customFormat="1" ht="12.75" customHeight="1">
      <c r="A375" s="64" t="s">
        <v>182</v>
      </c>
      <c r="B375" s="23" t="s">
        <v>183</v>
      </c>
      <c r="C375" s="52" t="s">
        <v>175</v>
      </c>
      <c r="D375" s="65">
        <v>1996</v>
      </c>
      <c r="E375" s="26">
        <v>2</v>
      </c>
      <c r="F375" s="66">
        <v>17</v>
      </c>
      <c r="G375" s="46">
        <f t="shared" si="86"/>
        <v>47.47</v>
      </c>
      <c r="H375" s="84">
        <v>4877</v>
      </c>
      <c r="I375" s="66"/>
      <c r="K375" s="67">
        <v>16.093</v>
      </c>
      <c r="O375" s="48">
        <f t="shared" si="88"/>
        <v>3.6881527555915663</v>
      </c>
      <c r="R375" s="48">
        <f t="shared" si="89"/>
        <v>1.2066370112835358</v>
      </c>
      <c r="U375" s="48">
        <v>3.6881527555915663</v>
      </c>
      <c r="V375" s="54">
        <v>1.2066370112835358</v>
      </c>
      <c r="W375" s="49">
        <f t="shared" si="87"/>
        <v>1.6209460760791736</v>
      </c>
      <c r="X375" s="49"/>
      <c r="Y375" s="49"/>
      <c r="Z375" s="49"/>
      <c r="AR375" s="70"/>
    </row>
    <row r="376" spans="1:44" s="28" customFormat="1" ht="12.75" customHeight="1">
      <c r="A376" s="64" t="s">
        <v>182</v>
      </c>
      <c r="B376" s="23" t="s">
        <v>183</v>
      </c>
      <c r="C376" s="52" t="s">
        <v>175</v>
      </c>
      <c r="D376" s="65">
        <v>1996</v>
      </c>
      <c r="E376" s="26">
        <v>2</v>
      </c>
      <c r="F376" s="66">
        <v>17</v>
      </c>
      <c r="G376" s="46">
        <f t="shared" si="86"/>
        <v>47.47</v>
      </c>
      <c r="H376" s="84">
        <v>2926</v>
      </c>
      <c r="I376" s="66"/>
      <c r="K376" s="67">
        <v>12.516999999999999</v>
      </c>
      <c r="O376" s="48">
        <f t="shared" si="88"/>
        <v>3.466274321789292</v>
      </c>
      <c r="R376" s="48">
        <f t="shared" si="89"/>
        <v>1.0975002522316866</v>
      </c>
      <c r="U376" s="48">
        <v>3.466274321789292</v>
      </c>
      <c r="V376" s="54">
        <v>1.0975002522316866</v>
      </c>
      <c r="W376" s="49">
        <f t="shared" si="87"/>
        <v>1.7915096796719849</v>
      </c>
      <c r="X376" s="49"/>
      <c r="Y376" s="49"/>
      <c r="Z376" s="49"/>
      <c r="AR376" s="70"/>
    </row>
    <row r="377" spans="1:44" s="28" customFormat="1" ht="12.75" customHeight="1">
      <c r="A377" s="64" t="s">
        <v>182</v>
      </c>
      <c r="B377" s="23" t="s">
        <v>183</v>
      </c>
      <c r="C377" s="52" t="s">
        <v>175</v>
      </c>
      <c r="D377" s="65">
        <v>1996</v>
      </c>
      <c r="E377" s="26">
        <v>2</v>
      </c>
      <c r="F377" s="66">
        <v>17</v>
      </c>
      <c r="G377" s="46">
        <f t="shared" si="86"/>
        <v>47.47</v>
      </c>
      <c r="H377" s="84">
        <v>2764</v>
      </c>
      <c r="I377" s="66"/>
      <c r="K377" s="67">
        <v>13.654999999999999</v>
      </c>
      <c r="O377" s="48">
        <f t="shared" si="88"/>
        <v>3.441538038702161</v>
      </c>
      <c r="R377" s="48">
        <f t="shared" si="89"/>
        <v>1.135291704475752</v>
      </c>
      <c r="U377" s="48">
        <v>3.441538038702161</v>
      </c>
      <c r="V377" s="54">
        <v>1.135291704475752</v>
      </c>
      <c r="W377" s="49">
        <f t="shared" si="87"/>
        <v>1.7628695386735309</v>
      </c>
      <c r="X377" s="49"/>
      <c r="Y377" s="49"/>
      <c r="Z377" s="49"/>
      <c r="AR377" s="70"/>
    </row>
    <row r="378" spans="1:44" s="28" customFormat="1" ht="12.75" customHeight="1">
      <c r="A378" s="64" t="s">
        <v>182</v>
      </c>
      <c r="B378" s="23" t="s">
        <v>183</v>
      </c>
      <c r="C378" s="52" t="s">
        <v>175</v>
      </c>
      <c r="D378" s="65">
        <v>1996</v>
      </c>
      <c r="E378" s="26">
        <v>2</v>
      </c>
      <c r="F378" s="66">
        <v>17</v>
      </c>
      <c r="G378" s="46">
        <f t="shared" si="86"/>
        <v>47.47</v>
      </c>
      <c r="H378" s="84">
        <v>3901</v>
      </c>
      <c r="I378" s="66"/>
      <c r="K378" s="67">
        <v>29.585999999999999</v>
      </c>
      <c r="O378" s="48">
        <f t="shared" si="88"/>
        <v>3.5911759503117913</v>
      </c>
      <c r="R378" s="48">
        <f t="shared" si="89"/>
        <v>1.4710862529147812</v>
      </c>
      <c r="U378" s="48">
        <v>3.5911759503117913</v>
      </c>
      <c r="V378" s="54">
        <v>1.4710862529147812</v>
      </c>
      <c r="W378" s="49">
        <f t="shared" si="87"/>
        <v>1.3977348832978311</v>
      </c>
      <c r="X378" s="49"/>
      <c r="Y378" s="49"/>
      <c r="Z378" s="49"/>
      <c r="AR378" s="70"/>
    </row>
    <row r="379" spans="1:44" s="28" customFormat="1" ht="12.75" customHeight="1">
      <c r="A379" s="64" t="s">
        <v>182</v>
      </c>
      <c r="B379" s="23" t="s">
        <v>183</v>
      </c>
      <c r="C379" s="52" t="s">
        <v>175</v>
      </c>
      <c r="D379" s="65">
        <v>1996</v>
      </c>
      <c r="E379" s="26">
        <v>3</v>
      </c>
      <c r="F379" s="66">
        <v>16</v>
      </c>
      <c r="G379" s="46">
        <f t="shared" si="86"/>
        <v>76.94</v>
      </c>
      <c r="H379" s="84">
        <v>8941</v>
      </c>
      <c r="I379" s="66"/>
      <c r="K379" s="67">
        <v>25.033999999999999</v>
      </c>
      <c r="O379" s="48">
        <f t="shared" si="88"/>
        <v>3.9513860948802928</v>
      </c>
      <c r="R379" s="48">
        <f t="shared" si="89"/>
        <v>1.3985302478956676</v>
      </c>
      <c r="U379" s="48">
        <v>3.9513860948802928</v>
      </c>
      <c r="V379" s="54">
        <v>1.3985302478956676</v>
      </c>
      <c r="W379" s="49">
        <f t="shared" si="87"/>
        <v>1.3590542570177409</v>
      </c>
      <c r="X379" s="49"/>
      <c r="Y379" s="49"/>
      <c r="Z379" s="49"/>
      <c r="AR379" s="70"/>
    </row>
    <row r="380" spans="1:44" s="28" customFormat="1" ht="12.75" customHeight="1">
      <c r="A380" s="64" t="s">
        <v>182</v>
      </c>
      <c r="B380" s="23" t="s">
        <v>183</v>
      </c>
      <c r="C380" s="52" t="s">
        <v>175</v>
      </c>
      <c r="D380" s="65">
        <v>1996</v>
      </c>
      <c r="E380" s="26">
        <v>3</v>
      </c>
      <c r="F380" s="66">
        <v>16</v>
      </c>
      <c r="G380" s="46">
        <f t="shared" si="86"/>
        <v>76.94</v>
      </c>
      <c r="H380" s="84">
        <v>5364</v>
      </c>
      <c r="I380" s="66"/>
      <c r="K380" s="67">
        <v>12.355</v>
      </c>
      <c r="O380" s="48">
        <f t="shared" si="88"/>
        <v>3.7294887691795613</v>
      </c>
      <c r="R380" s="48">
        <f t="shared" si="89"/>
        <v>1.0918427497380983</v>
      </c>
      <c r="U380" s="48">
        <v>3.7294887691795613</v>
      </c>
      <c r="V380" s="54">
        <v>1.0918427497380983</v>
      </c>
      <c r="W380" s="49">
        <f t="shared" si="87"/>
        <v>1.7180671692318277</v>
      </c>
      <c r="X380" s="49"/>
      <c r="Y380" s="49"/>
      <c r="Z380" s="49"/>
      <c r="AR380" s="70"/>
    </row>
    <row r="381" spans="1:44" s="28" customFormat="1" ht="12.75" customHeight="1">
      <c r="A381" s="64" t="s">
        <v>182</v>
      </c>
      <c r="B381" s="23" t="s">
        <v>183</v>
      </c>
      <c r="C381" s="52" t="s">
        <v>175</v>
      </c>
      <c r="D381" s="65">
        <v>1996</v>
      </c>
      <c r="E381" s="26">
        <v>3</v>
      </c>
      <c r="F381" s="66">
        <v>16</v>
      </c>
      <c r="G381" s="46">
        <f t="shared" si="86"/>
        <v>76.94</v>
      </c>
      <c r="H381" s="84">
        <v>4552</v>
      </c>
      <c r="I381" s="66"/>
      <c r="K381" s="67">
        <v>16.419</v>
      </c>
      <c r="O381" s="48">
        <f t="shared" si="88"/>
        <v>3.6582022533870147</v>
      </c>
      <c r="R381" s="48">
        <f t="shared" si="89"/>
        <v>1.2153467028621676</v>
      </c>
      <c r="U381" s="48">
        <v>3.6582022533870147</v>
      </c>
      <c r="V381" s="54">
        <v>1.2153467028621676</v>
      </c>
      <c r="W381" s="49">
        <f t="shared" si="87"/>
        <v>1.621608813474934</v>
      </c>
      <c r="X381" s="49"/>
      <c r="Y381" s="49"/>
      <c r="Z381" s="49"/>
      <c r="AR381" s="70"/>
    </row>
    <row r="382" spans="1:44" s="28" customFormat="1" ht="12.75" customHeight="1">
      <c r="A382" s="64" t="s">
        <v>182</v>
      </c>
      <c r="B382" s="23" t="s">
        <v>183</v>
      </c>
      <c r="C382" s="52" t="s">
        <v>175</v>
      </c>
      <c r="D382" s="65">
        <v>1996</v>
      </c>
      <c r="E382" s="26">
        <v>3</v>
      </c>
      <c r="F382" s="66">
        <v>16</v>
      </c>
      <c r="G382" s="46">
        <f t="shared" si="86"/>
        <v>76.94</v>
      </c>
      <c r="H382" s="84">
        <v>9428</v>
      </c>
      <c r="I382" s="66"/>
      <c r="K382" s="67">
        <v>36.738999999999997</v>
      </c>
      <c r="O382" s="48">
        <f t="shared" si="88"/>
        <v>3.9744195738522863</v>
      </c>
      <c r="R382" s="48">
        <f t="shared" si="89"/>
        <v>1.5651273310554621</v>
      </c>
      <c r="U382" s="48">
        <v>3.9744195738522863</v>
      </c>
      <c r="V382" s="54">
        <v>1.5651273310554621</v>
      </c>
      <c r="W382" s="49">
        <f t="shared" si="87"/>
        <v>1.1932382058159183</v>
      </c>
      <c r="X382" s="49"/>
      <c r="Y382" s="49"/>
      <c r="Z382" s="49"/>
      <c r="AR382" s="70"/>
    </row>
    <row r="383" spans="1:44" s="28" customFormat="1" ht="12.75" customHeight="1">
      <c r="A383" s="64" t="s">
        <v>182</v>
      </c>
      <c r="B383" s="23" t="s">
        <v>183</v>
      </c>
      <c r="C383" s="52" t="s">
        <v>175</v>
      </c>
      <c r="D383" s="65">
        <v>1996</v>
      </c>
      <c r="E383" s="26">
        <v>4</v>
      </c>
      <c r="F383" s="66">
        <v>13</v>
      </c>
      <c r="G383" s="46">
        <f t="shared" si="86"/>
        <v>104.41</v>
      </c>
      <c r="H383" s="84">
        <v>8128</v>
      </c>
      <c r="I383" s="66"/>
      <c r="K383" s="67">
        <v>24.709</v>
      </c>
      <c r="O383" s="48">
        <f t="shared" si="88"/>
        <v>3.9099836949398439</v>
      </c>
      <c r="R383" s="48">
        <f t="shared" si="89"/>
        <v>1.392855169389535</v>
      </c>
      <c r="U383" s="48">
        <v>3.9099836949398439</v>
      </c>
      <c r="V383" s="54">
        <v>1.392855169389535</v>
      </c>
      <c r="W383" s="49">
        <f t="shared" si="87"/>
        <v>1.3768687516859437</v>
      </c>
      <c r="X383" s="49"/>
      <c r="Y383" s="49"/>
      <c r="Z383" s="49"/>
      <c r="AR383" s="70"/>
    </row>
    <row r="384" spans="1:44" s="28" customFormat="1" ht="12.75" customHeight="1">
      <c r="A384" s="64" t="s">
        <v>182</v>
      </c>
      <c r="B384" s="23" t="s">
        <v>183</v>
      </c>
      <c r="C384" s="52" t="s">
        <v>175</v>
      </c>
      <c r="D384" s="65">
        <v>1996</v>
      </c>
      <c r="E384" s="26">
        <v>4</v>
      </c>
      <c r="F384" s="66">
        <v>13</v>
      </c>
      <c r="G384" s="46">
        <f t="shared" si="86"/>
        <v>104.41</v>
      </c>
      <c r="H384" s="84">
        <v>12517</v>
      </c>
      <c r="I384" s="66"/>
      <c r="K384" s="67">
        <v>54.457999999999998</v>
      </c>
      <c r="O384" s="48">
        <f t="shared" si="88"/>
        <v>4.0975002522316863</v>
      </c>
      <c r="R384" s="48">
        <f t="shared" si="89"/>
        <v>1.7360616875931247</v>
      </c>
      <c r="U384" s="48">
        <v>4.0975002522316863</v>
      </c>
      <c r="V384" s="54">
        <v>1.7360616875931247</v>
      </c>
      <c r="W384" s="49">
        <f t="shared" si="87"/>
        <v>0.99331823215532355</v>
      </c>
      <c r="X384" s="49"/>
      <c r="Y384" s="49"/>
      <c r="Z384" s="49"/>
      <c r="AR384" s="70"/>
    </row>
    <row r="385" spans="1:44" s="28" customFormat="1" ht="12.75" customHeight="1">
      <c r="A385" s="64" t="s">
        <v>182</v>
      </c>
      <c r="B385" s="23" t="s">
        <v>183</v>
      </c>
      <c r="C385" s="52" t="s">
        <v>175</v>
      </c>
      <c r="D385" s="65">
        <v>1996</v>
      </c>
      <c r="E385" s="26">
        <v>4</v>
      </c>
      <c r="F385" s="66">
        <v>13</v>
      </c>
      <c r="G385" s="46">
        <f t="shared" si="86"/>
        <v>104.41</v>
      </c>
      <c r="H385" s="84">
        <v>6990</v>
      </c>
      <c r="I385" s="66"/>
      <c r="K385" s="67">
        <v>19.181999999999999</v>
      </c>
      <c r="O385" s="48">
        <f t="shared" si="88"/>
        <v>3.8444771757456815</v>
      </c>
      <c r="R385" s="48">
        <f t="shared" si="89"/>
        <v>1.2828938866553317</v>
      </c>
      <c r="U385" s="48">
        <v>3.8444771757456815</v>
      </c>
      <c r="V385" s="54">
        <v>1.2828938866553317</v>
      </c>
      <c r="W385" s="49">
        <f t="shared" si="87"/>
        <v>1.5013816332451244</v>
      </c>
      <c r="X385" s="49"/>
      <c r="Y385" s="49"/>
      <c r="Z385" s="49"/>
      <c r="AR385" s="70"/>
    </row>
    <row r="386" spans="1:44" s="28" customFormat="1" ht="12.75" customHeight="1">
      <c r="A386" s="64" t="s">
        <v>182</v>
      </c>
      <c r="B386" s="23" t="s">
        <v>183</v>
      </c>
      <c r="C386" s="52" t="s">
        <v>175</v>
      </c>
      <c r="D386" s="65">
        <v>1996</v>
      </c>
      <c r="E386" s="26">
        <v>4</v>
      </c>
      <c r="F386" s="66">
        <v>13</v>
      </c>
      <c r="G386" s="46">
        <f t="shared" si="86"/>
        <v>104.41</v>
      </c>
      <c r="H386" s="84">
        <v>11054</v>
      </c>
      <c r="I386" s="66"/>
      <c r="K386" s="67">
        <v>37.551000000000002</v>
      </c>
      <c r="O386" s="48">
        <f t="shared" si="88"/>
        <v>4.043519460245756</v>
      </c>
      <c r="R386" s="48">
        <f t="shared" si="89"/>
        <v>1.5746215069513489</v>
      </c>
      <c r="U386" s="48">
        <v>4.043519460245756</v>
      </c>
      <c r="V386" s="54">
        <v>1.5746215069513489</v>
      </c>
      <c r="W386" s="49">
        <f t="shared" si="87"/>
        <v>1.1634845955967821</v>
      </c>
      <c r="X386" s="49"/>
      <c r="Y386" s="49"/>
      <c r="Z386" s="49"/>
      <c r="AR386" s="70"/>
    </row>
    <row r="387" spans="1:44" s="28" customFormat="1" ht="12.75" customHeight="1">
      <c r="A387" s="64" t="s">
        <v>182</v>
      </c>
      <c r="B387" s="23" t="s">
        <v>183</v>
      </c>
      <c r="C387" s="52" t="s">
        <v>175</v>
      </c>
      <c r="D387" s="65">
        <v>1996</v>
      </c>
      <c r="E387" s="26">
        <v>5</v>
      </c>
      <c r="F387" s="66">
        <v>4</v>
      </c>
      <c r="G387" s="46">
        <f t="shared" si="86"/>
        <v>125.88</v>
      </c>
      <c r="H387" s="84">
        <v>6340</v>
      </c>
      <c r="I387" s="66"/>
      <c r="K387" s="67">
        <v>25.684000000000001</v>
      </c>
      <c r="O387" s="48">
        <f t="shared" si="88"/>
        <v>3.8020892578817329</v>
      </c>
      <c r="R387" s="48">
        <f t="shared" si="89"/>
        <v>1.4096626612444569</v>
      </c>
      <c r="U387" s="48">
        <v>3.8020892578817329</v>
      </c>
      <c r="V387" s="54">
        <v>1.4096626612444569</v>
      </c>
      <c r="W387" s="49">
        <f t="shared" si="87"/>
        <v>1.3931531233075893</v>
      </c>
      <c r="X387" s="49"/>
      <c r="Y387" s="49"/>
      <c r="Z387" s="49"/>
      <c r="AR387" s="70"/>
    </row>
    <row r="388" spans="1:44" s="28" customFormat="1" ht="12.75" customHeight="1">
      <c r="A388" s="64" t="s">
        <v>182</v>
      </c>
      <c r="B388" s="23" t="s">
        <v>183</v>
      </c>
      <c r="C388" s="52" t="s">
        <v>175</v>
      </c>
      <c r="D388" s="65">
        <v>1996</v>
      </c>
      <c r="E388" s="26">
        <v>5</v>
      </c>
      <c r="F388" s="66">
        <v>4</v>
      </c>
      <c r="G388" s="46">
        <f t="shared" si="86"/>
        <v>125.88</v>
      </c>
      <c r="H388" s="84">
        <v>9428</v>
      </c>
      <c r="I388" s="66"/>
      <c r="K388" s="67">
        <v>25.033999999999999</v>
      </c>
      <c r="O388" s="48">
        <f t="shared" si="88"/>
        <v>3.9744195738522863</v>
      </c>
      <c r="R388" s="48">
        <f t="shared" si="89"/>
        <v>1.3985302478956676</v>
      </c>
      <c r="U388" s="48">
        <v>3.9744195738522863</v>
      </c>
      <c r="V388" s="54">
        <v>1.3985302478956676</v>
      </c>
      <c r="W388" s="49">
        <f t="shared" si="87"/>
        <v>1.3521551634420463</v>
      </c>
      <c r="X388" s="49"/>
      <c r="Y388" s="49"/>
      <c r="Z388" s="49"/>
      <c r="AR388" s="70"/>
    </row>
    <row r="389" spans="1:44" s="28" customFormat="1" ht="12.75" customHeight="1">
      <c r="A389" s="64" t="s">
        <v>182</v>
      </c>
      <c r="B389" s="23" t="s">
        <v>183</v>
      </c>
      <c r="C389" s="52" t="s">
        <v>175</v>
      </c>
      <c r="D389" s="65">
        <v>1996</v>
      </c>
      <c r="E389" s="26">
        <v>5</v>
      </c>
      <c r="F389" s="66">
        <v>4</v>
      </c>
      <c r="G389" s="46">
        <f t="shared" si="86"/>
        <v>125.88</v>
      </c>
      <c r="H389" s="84">
        <v>6177</v>
      </c>
      <c r="I389" s="66"/>
      <c r="K389" s="67">
        <v>33.811999999999998</v>
      </c>
      <c r="O389" s="48">
        <f t="shared" si="88"/>
        <v>3.7907776013376937</v>
      </c>
      <c r="R389" s="48">
        <f t="shared" si="89"/>
        <v>1.5290708603036134</v>
      </c>
      <c r="U389" s="48">
        <v>3.7907776013376937</v>
      </c>
      <c r="V389" s="54">
        <v>1.5290708603036134</v>
      </c>
      <c r="W389" s="49">
        <f t="shared" si="87"/>
        <v>1.282637761626751</v>
      </c>
      <c r="X389" s="49"/>
      <c r="Y389" s="49"/>
      <c r="Z389" s="49"/>
      <c r="AR389" s="70"/>
    </row>
    <row r="390" spans="1:44" s="28" customFormat="1" ht="12.75" customHeight="1">
      <c r="A390" s="64" t="s">
        <v>182</v>
      </c>
      <c r="B390" s="23" t="s">
        <v>183</v>
      </c>
      <c r="C390" s="52" t="s">
        <v>175</v>
      </c>
      <c r="D390" s="65">
        <v>1996</v>
      </c>
      <c r="E390" s="26">
        <v>5</v>
      </c>
      <c r="F390" s="66">
        <v>18</v>
      </c>
      <c r="G390" s="46">
        <f t="shared" si="86"/>
        <v>139.88</v>
      </c>
      <c r="H390" s="84">
        <v>13330</v>
      </c>
      <c r="I390" s="66"/>
      <c r="K390" s="67">
        <v>42.753</v>
      </c>
      <c r="O390" s="48">
        <f t="shared" si="88"/>
        <v>4.1248301494138593</v>
      </c>
      <c r="R390" s="48">
        <f t="shared" si="89"/>
        <v>1.6309665948006276</v>
      </c>
      <c r="U390" s="48">
        <v>4.1248301494138593</v>
      </c>
      <c r="V390" s="54">
        <v>1.6309665948006276</v>
      </c>
      <c r="W390" s="49">
        <f t="shared" si="87"/>
        <v>1.0853824646485553</v>
      </c>
      <c r="X390" s="49"/>
      <c r="Y390" s="49"/>
      <c r="Z390" s="49"/>
      <c r="AR390" s="70"/>
    </row>
    <row r="391" spans="1:44" s="28" customFormat="1" ht="12.75" customHeight="1">
      <c r="A391" s="64" t="s">
        <v>182</v>
      </c>
      <c r="B391" s="23" t="s">
        <v>183</v>
      </c>
      <c r="C391" s="52" t="s">
        <v>175</v>
      </c>
      <c r="D391" s="65">
        <v>1996</v>
      </c>
      <c r="E391" s="26">
        <v>5</v>
      </c>
      <c r="F391" s="66">
        <v>18</v>
      </c>
      <c r="G391" s="46">
        <f t="shared" si="86"/>
        <v>139.88</v>
      </c>
      <c r="H391" s="84">
        <v>12029</v>
      </c>
      <c r="I391" s="66"/>
      <c r="K391" s="67">
        <v>40.802999999999997</v>
      </c>
      <c r="O391" s="48">
        <f t="shared" si="88"/>
        <v>4.0802295248848672</v>
      </c>
      <c r="R391" s="48">
        <f t="shared" si="89"/>
        <v>1.6106920953337018</v>
      </c>
      <c r="U391" s="48">
        <v>4.0802295248848672</v>
      </c>
      <c r="V391" s="54">
        <v>1.6106920953337018</v>
      </c>
      <c r="W391" s="49">
        <f t="shared" si="87"/>
        <v>1.1180812939118523</v>
      </c>
      <c r="X391" s="49"/>
      <c r="Y391" s="49"/>
      <c r="Z391" s="49"/>
      <c r="AR391" s="70"/>
    </row>
    <row r="392" spans="1:44" s="28" customFormat="1" ht="12.75" customHeight="1">
      <c r="A392" s="64" t="s">
        <v>182</v>
      </c>
      <c r="B392" s="23" t="s">
        <v>183</v>
      </c>
      <c r="C392" s="52" t="s">
        <v>175</v>
      </c>
      <c r="D392" s="65">
        <v>1996</v>
      </c>
      <c r="E392" s="26">
        <v>5</v>
      </c>
      <c r="F392" s="66">
        <v>18</v>
      </c>
      <c r="G392" s="46">
        <f t="shared" si="86"/>
        <v>139.88</v>
      </c>
      <c r="H392" s="84">
        <v>10404</v>
      </c>
      <c r="I392" s="66"/>
      <c r="K392" s="67">
        <v>31.699000000000002</v>
      </c>
      <c r="O392" s="48">
        <f t="shared" si="88"/>
        <v>4.017200343523835</v>
      </c>
      <c r="R392" s="48">
        <f t="shared" si="89"/>
        <v>1.5010455618602714</v>
      </c>
      <c r="U392" s="48">
        <v>4.017200343523835</v>
      </c>
      <c r="V392" s="54">
        <v>1.5010455618602714</v>
      </c>
      <c r="W392" s="49">
        <f t="shared" si="87"/>
        <v>1.2415519125276477</v>
      </c>
      <c r="X392" s="49"/>
      <c r="Y392" s="49"/>
      <c r="Z392" s="49"/>
      <c r="AR392" s="70"/>
    </row>
    <row r="393" spans="1:44" s="28" customFormat="1" ht="12.75" customHeight="1">
      <c r="A393" s="64" t="s">
        <v>182</v>
      </c>
      <c r="B393" s="23" t="s">
        <v>183</v>
      </c>
      <c r="C393" s="52" t="s">
        <v>175</v>
      </c>
      <c r="D393" s="65">
        <v>1996</v>
      </c>
      <c r="E393" s="26">
        <v>5</v>
      </c>
      <c r="F393" s="66">
        <v>18</v>
      </c>
      <c r="G393" s="46">
        <f t="shared" si="86"/>
        <v>139.88</v>
      </c>
      <c r="H393" s="84">
        <v>9591</v>
      </c>
      <c r="I393" s="66"/>
      <c r="K393" s="67">
        <v>34.787999999999997</v>
      </c>
      <c r="O393" s="48">
        <f t="shared" si="88"/>
        <v>3.9818638909913502</v>
      </c>
      <c r="R393" s="48">
        <f t="shared" si="89"/>
        <v>1.5414294614026223</v>
      </c>
      <c r="U393" s="48">
        <v>3.9818638909913502</v>
      </c>
      <c r="V393" s="54">
        <v>1.5414294614026223</v>
      </c>
      <c r="W393" s="49">
        <f t="shared" si="87"/>
        <v>1.2136138475644112</v>
      </c>
      <c r="X393" s="49"/>
      <c r="Y393" s="49"/>
      <c r="Z393" s="49"/>
      <c r="AR393" s="70"/>
    </row>
    <row r="394" spans="1:44" s="28" customFormat="1" ht="12.75" customHeight="1">
      <c r="A394" s="64" t="s">
        <v>182</v>
      </c>
      <c r="B394" s="23" t="s">
        <v>183</v>
      </c>
      <c r="C394" s="52" t="s">
        <v>175</v>
      </c>
      <c r="D394" s="65">
        <v>1996</v>
      </c>
      <c r="E394" s="26">
        <v>6</v>
      </c>
      <c r="F394" s="66">
        <v>1</v>
      </c>
      <c r="G394" s="46">
        <f t="shared" si="86"/>
        <v>153.35</v>
      </c>
      <c r="H394" s="84">
        <v>7153</v>
      </c>
      <c r="I394" s="66"/>
      <c r="K394" s="67">
        <v>46.817</v>
      </c>
      <c r="O394" s="48">
        <f t="shared" si="88"/>
        <v>3.8544882250444306</v>
      </c>
      <c r="R394" s="48">
        <f t="shared" si="89"/>
        <v>1.670403580971269</v>
      </c>
      <c r="U394" s="48">
        <v>3.8544882250444306</v>
      </c>
      <c r="V394" s="54">
        <v>1.670403580971269</v>
      </c>
      <c r="W394" s="49">
        <f t="shared" si="87"/>
        <v>1.1287375803003634</v>
      </c>
      <c r="X394" s="49"/>
      <c r="Y394" s="49"/>
      <c r="Z394" s="49"/>
      <c r="AR394" s="70"/>
    </row>
    <row r="395" spans="1:44" s="28" customFormat="1" ht="12.75" customHeight="1">
      <c r="A395" s="64" t="s">
        <v>182</v>
      </c>
      <c r="B395" s="23" t="s">
        <v>183</v>
      </c>
      <c r="C395" s="52" t="s">
        <v>175</v>
      </c>
      <c r="D395" s="65">
        <v>1996</v>
      </c>
      <c r="E395" s="26">
        <v>6</v>
      </c>
      <c r="F395" s="66">
        <v>1</v>
      </c>
      <c r="G395" s="46">
        <f t="shared" si="86"/>
        <v>153.35</v>
      </c>
      <c r="H395" s="84">
        <v>6340</v>
      </c>
      <c r="I395" s="66"/>
      <c r="K395" s="67">
        <v>38.851999999999997</v>
      </c>
      <c r="O395" s="48">
        <f t="shared" si="88"/>
        <v>3.8020892578817329</v>
      </c>
      <c r="R395" s="48">
        <f t="shared" si="89"/>
        <v>1.589413380063756</v>
      </c>
      <c r="U395" s="48">
        <v>3.8020892578817329</v>
      </c>
      <c r="V395" s="54">
        <v>1.589413380063756</v>
      </c>
      <c r="W395" s="49">
        <f t="shared" si="87"/>
        <v>1.2216889126258601</v>
      </c>
      <c r="X395" s="49"/>
      <c r="Y395" s="49"/>
      <c r="Z395" s="49"/>
      <c r="AR395" s="70"/>
    </row>
    <row r="396" spans="1:44" s="28" customFormat="1" ht="12.75" customHeight="1">
      <c r="A396" s="64" t="s">
        <v>182</v>
      </c>
      <c r="B396" s="23" t="s">
        <v>183</v>
      </c>
      <c r="C396" s="52" t="s">
        <v>175</v>
      </c>
      <c r="D396" s="65">
        <v>1996</v>
      </c>
      <c r="E396" s="26">
        <v>6</v>
      </c>
      <c r="F396" s="66">
        <v>1</v>
      </c>
      <c r="G396" s="46">
        <f t="shared" si="86"/>
        <v>153.35</v>
      </c>
      <c r="H396" s="84">
        <v>7153</v>
      </c>
      <c r="I396" s="66"/>
      <c r="K396" s="67">
        <v>40.476999999999997</v>
      </c>
      <c r="O396" s="48">
        <f t="shared" si="88"/>
        <v>3.8544882250444306</v>
      </c>
      <c r="R396" s="48">
        <f t="shared" si="89"/>
        <v>1.6072083167831537</v>
      </c>
      <c r="U396" s="48">
        <v>3.8544882250444306</v>
      </c>
      <c r="V396" s="54">
        <v>1.6072083167831537</v>
      </c>
      <c r="W396" s="49">
        <f t="shared" si="87"/>
        <v>1.1890195428094066</v>
      </c>
      <c r="X396" s="49"/>
      <c r="Y396" s="49"/>
      <c r="Z396" s="49"/>
      <c r="AR396" s="70"/>
    </row>
    <row r="397" spans="1:44" s="28" customFormat="1" ht="12.75" customHeight="1">
      <c r="A397" s="64" t="s">
        <v>182</v>
      </c>
      <c r="B397" s="23" t="s">
        <v>183</v>
      </c>
      <c r="C397" s="52" t="s">
        <v>175</v>
      </c>
      <c r="D397" s="65">
        <v>1996</v>
      </c>
      <c r="E397" s="26">
        <v>6</v>
      </c>
      <c r="F397" s="66">
        <v>1</v>
      </c>
      <c r="G397" s="46">
        <f t="shared" si="86"/>
        <v>153.35</v>
      </c>
      <c r="H397" s="84">
        <v>6177</v>
      </c>
      <c r="I397" s="66"/>
      <c r="K397" s="67">
        <v>25.196999999999999</v>
      </c>
      <c r="O397" s="48">
        <f t="shared" si="88"/>
        <v>3.7907776013376937</v>
      </c>
      <c r="R397" s="48">
        <f t="shared" si="89"/>
        <v>1.4013488359797801</v>
      </c>
      <c r="U397" s="48">
        <v>3.7907776013376937</v>
      </c>
      <c r="V397" s="54">
        <v>1.4013488359797801</v>
      </c>
      <c r="W397" s="49">
        <f t="shared" si="87"/>
        <v>1.4044718006292556</v>
      </c>
      <c r="X397" s="49"/>
      <c r="Y397" s="49"/>
      <c r="Z397" s="49"/>
      <c r="AR397" s="70"/>
    </row>
    <row r="398" spans="1:44" s="28" customFormat="1" ht="12.75" customHeight="1">
      <c r="A398" s="64" t="s">
        <v>182</v>
      </c>
      <c r="B398" s="23" t="s">
        <v>183</v>
      </c>
      <c r="C398" s="52" t="s">
        <v>175</v>
      </c>
      <c r="D398" s="65">
        <v>1996</v>
      </c>
      <c r="E398" s="26">
        <v>6</v>
      </c>
      <c r="F398" s="66">
        <v>15</v>
      </c>
      <c r="G398" s="46">
        <f t="shared" si="86"/>
        <v>167.35</v>
      </c>
      <c r="H398" s="84">
        <v>3576</v>
      </c>
      <c r="I398" s="66"/>
      <c r="K398" s="67">
        <v>21.457999999999998</v>
      </c>
      <c r="O398" s="48">
        <f t="shared" si="88"/>
        <v>3.5533975101238799</v>
      </c>
      <c r="R398" s="48">
        <f t="shared" si="89"/>
        <v>1.3315892409551369</v>
      </c>
      <c r="U398" s="48">
        <v>3.5533975101238799</v>
      </c>
      <c r="V398" s="54">
        <v>1.3315892409551369</v>
      </c>
      <c r="W398" s="49">
        <f t="shared" si="87"/>
        <v>1.542116655192044</v>
      </c>
      <c r="X398" s="49"/>
      <c r="Y398" s="49"/>
      <c r="Z398" s="49"/>
      <c r="AR398" s="70"/>
    </row>
    <row r="399" spans="1:44" s="28" customFormat="1" ht="12.75" customHeight="1">
      <c r="A399" s="64" t="s">
        <v>182</v>
      </c>
      <c r="B399" s="23" t="s">
        <v>183</v>
      </c>
      <c r="C399" s="52" t="s">
        <v>175</v>
      </c>
      <c r="D399" s="65">
        <v>1996</v>
      </c>
      <c r="E399" s="26">
        <v>6</v>
      </c>
      <c r="F399" s="66">
        <v>15</v>
      </c>
      <c r="G399" s="46">
        <f t="shared" si="86"/>
        <v>167.35</v>
      </c>
      <c r="H399" s="84">
        <v>6177</v>
      </c>
      <c r="I399" s="66"/>
      <c r="K399" s="67">
        <v>37.225999999999999</v>
      </c>
      <c r="O399" s="48">
        <f t="shared" si="88"/>
        <v>3.7907776013376937</v>
      </c>
      <c r="R399" s="48">
        <f t="shared" si="89"/>
        <v>1.570846373009805</v>
      </c>
      <c r="U399" s="48">
        <v>3.7907776013376937</v>
      </c>
      <c r="V399" s="54">
        <v>1.570846373009805</v>
      </c>
      <c r="W399" s="49">
        <f t="shared" si="87"/>
        <v>1.2427881000563148</v>
      </c>
      <c r="X399" s="49"/>
      <c r="Y399" s="49"/>
      <c r="Z399" s="49"/>
      <c r="AR399" s="70"/>
    </row>
    <row r="400" spans="1:44" s="28" customFormat="1" ht="12.75" customHeight="1">
      <c r="A400" s="64" t="s">
        <v>182</v>
      </c>
      <c r="B400" s="23" t="s">
        <v>183</v>
      </c>
      <c r="C400" s="52" t="s">
        <v>175</v>
      </c>
      <c r="D400" s="65">
        <v>1996</v>
      </c>
      <c r="E400" s="26">
        <v>6</v>
      </c>
      <c r="F400" s="66">
        <v>15</v>
      </c>
      <c r="G400" s="46">
        <f t="shared" si="86"/>
        <v>167.35</v>
      </c>
      <c r="H400" s="84">
        <v>4064</v>
      </c>
      <c r="I400" s="66"/>
      <c r="K400" s="67">
        <v>37.551000000000002</v>
      </c>
      <c r="O400" s="48">
        <f t="shared" si="88"/>
        <v>3.6089536992758626</v>
      </c>
      <c r="R400" s="48">
        <f t="shared" si="89"/>
        <v>1.5746215069513489</v>
      </c>
      <c r="U400" s="48">
        <v>3.6089536992758626</v>
      </c>
      <c r="V400" s="54">
        <v>1.5746215069513489</v>
      </c>
      <c r="W400" s="49">
        <f t="shared" si="87"/>
        <v>1.2936477313249852</v>
      </c>
      <c r="X400" s="49"/>
      <c r="Y400" s="49"/>
      <c r="Z400" s="49"/>
      <c r="AR400" s="70"/>
    </row>
    <row r="401" spans="1:44" s="28" customFormat="1" ht="12.75" customHeight="1">
      <c r="A401" s="64" t="s">
        <v>182</v>
      </c>
      <c r="B401" s="23" t="s">
        <v>183</v>
      </c>
      <c r="C401" s="52" t="s">
        <v>175</v>
      </c>
      <c r="D401" s="65">
        <v>1996</v>
      </c>
      <c r="E401" s="26">
        <v>6</v>
      </c>
      <c r="F401" s="66">
        <v>15</v>
      </c>
      <c r="G401" s="46">
        <f t="shared" si="86"/>
        <v>167.35</v>
      </c>
      <c r="H401" s="84">
        <v>4064</v>
      </c>
      <c r="I401" s="66"/>
      <c r="K401" s="67">
        <v>37.551000000000002</v>
      </c>
      <c r="O401" s="48">
        <f t="shared" si="88"/>
        <v>3.6089536992758626</v>
      </c>
      <c r="R401" s="48">
        <f t="shared" si="89"/>
        <v>1.5746215069513489</v>
      </c>
      <c r="U401" s="48">
        <v>3.6089536992758626</v>
      </c>
      <c r="V401" s="54">
        <v>1.5746215069513489</v>
      </c>
      <c r="W401" s="49">
        <f t="shared" si="87"/>
        <v>1.2936477313249852</v>
      </c>
      <c r="X401" s="49"/>
      <c r="Y401" s="49"/>
      <c r="Z401" s="49"/>
      <c r="AR401" s="70"/>
    </row>
    <row r="402" spans="1:44" s="28" customFormat="1" ht="12.75" customHeight="1">
      <c r="A402" s="64" t="s">
        <v>182</v>
      </c>
      <c r="B402" s="23" t="s">
        <v>183</v>
      </c>
      <c r="C402" s="52" t="s">
        <v>175</v>
      </c>
      <c r="D402" s="65">
        <v>1996</v>
      </c>
      <c r="E402" s="26">
        <v>7</v>
      </c>
      <c r="F402" s="66">
        <v>27</v>
      </c>
      <c r="G402" s="46">
        <f t="shared" si="86"/>
        <v>209.82</v>
      </c>
      <c r="H402" s="84">
        <v>5690</v>
      </c>
      <c r="I402" s="66"/>
      <c r="K402" s="67">
        <v>33.811999999999998</v>
      </c>
      <c r="O402" s="48">
        <f t="shared" si="88"/>
        <v>3.7551122663950713</v>
      </c>
      <c r="R402" s="48">
        <f t="shared" si="89"/>
        <v>1.5290708603036134</v>
      </c>
      <c r="U402" s="48">
        <v>3.7551122663950713</v>
      </c>
      <c r="V402" s="54">
        <v>1.5290708603036134</v>
      </c>
      <c r="W402" s="49">
        <f t="shared" si="87"/>
        <v>1.293320406809306</v>
      </c>
      <c r="X402" s="49"/>
      <c r="Y402" s="49"/>
      <c r="Z402" s="49"/>
      <c r="AR402" s="70"/>
    </row>
    <row r="403" spans="1:44" s="28" customFormat="1" ht="12.75" customHeight="1">
      <c r="A403" s="64" t="s">
        <v>182</v>
      </c>
      <c r="B403" s="23" t="s">
        <v>183</v>
      </c>
      <c r="C403" s="52" t="s">
        <v>175</v>
      </c>
      <c r="D403" s="65">
        <v>1996</v>
      </c>
      <c r="E403" s="26">
        <v>7</v>
      </c>
      <c r="F403" s="66">
        <v>27</v>
      </c>
      <c r="G403" s="46">
        <f t="shared" si="86"/>
        <v>209.82</v>
      </c>
      <c r="H403" s="84">
        <v>6502</v>
      </c>
      <c r="I403" s="66"/>
      <c r="K403" s="67">
        <v>38.201999999999998</v>
      </c>
      <c r="O403" s="48">
        <f t="shared" si="88"/>
        <v>3.8130469651601078</v>
      </c>
      <c r="R403" s="48">
        <f t="shared" si="89"/>
        <v>1.5820861002474853</v>
      </c>
      <c r="U403" s="48">
        <v>3.8130469651601078</v>
      </c>
      <c r="V403" s="54">
        <v>1.5820861002474853</v>
      </c>
      <c r="W403" s="49">
        <f t="shared" si="87"/>
        <v>1.2253963019531287</v>
      </c>
      <c r="X403" s="49"/>
      <c r="Y403" s="49"/>
      <c r="Z403" s="49"/>
      <c r="AR403" s="70"/>
    </row>
    <row r="404" spans="1:44" s="28" customFormat="1" ht="12.75" customHeight="1">
      <c r="A404" s="64" t="s">
        <v>182</v>
      </c>
      <c r="B404" s="23" t="s">
        <v>183</v>
      </c>
      <c r="C404" s="52" t="s">
        <v>175</v>
      </c>
      <c r="D404" s="65">
        <v>1996</v>
      </c>
      <c r="E404" s="26">
        <v>7</v>
      </c>
      <c r="F404" s="66">
        <v>27</v>
      </c>
      <c r="G404" s="46">
        <f t="shared" si="86"/>
        <v>209.82</v>
      </c>
      <c r="H404" s="84">
        <v>6015</v>
      </c>
      <c r="I404" s="66"/>
      <c r="K404" s="67">
        <v>45.517000000000003</v>
      </c>
      <c r="O404" s="48">
        <f t="shared" si="88"/>
        <v>3.7792356316758635</v>
      </c>
      <c r="R404" s="48">
        <f t="shared" si="89"/>
        <v>1.6581736302239891</v>
      </c>
      <c r="U404" s="48">
        <v>3.7792356316758635</v>
      </c>
      <c r="V404" s="54">
        <v>1.6581736302239891</v>
      </c>
      <c r="W404" s="49">
        <f t="shared" si="87"/>
        <v>1.1629437332458765</v>
      </c>
      <c r="X404" s="49"/>
      <c r="Y404" s="49"/>
      <c r="Z404" s="49"/>
      <c r="AR404" s="70"/>
    </row>
    <row r="405" spans="1:44" s="28" customFormat="1" ht="12.75" customHeight="1">
      <c r="A405" s="64" t="s">
        <v>182</v>
      </c>
      <c r="B405" s="23" t="s">
        <v>183</v>
      </c>
      <c r="C405" s="52" t="s">
        <v>175</v>
      </c>
      <c r="D405" s="65">
        <v>1996</v>
      </c>
      <c r="E405" s="26">
        <v>7</v>
      </c>
      <c r="F405" s="66">
        <v>27</v>
      </c>
      <c r="G405" s="46">
        <f t="shared" si="86"/>
        <v>209.82</v>
      </c>
      <c r="H405" s="84">
        <v>6177</v>
      </c>
      <c r="I405" s="66"/>
      <c r="K405" s="67">
        <v>40.476999999999997</v>
      </c>
      <c r="O405" s="48">
        <f t="shared" si="88"/>
        <v>3.7907776013376937</v>
      </c>
      <c r="R405" s="48">
        <f t="shared" si="89"/>
        <v>1.6072083167831537</v>
      </c>
      <c r="U405" s="48">
        <v>3.7907776013376937</v>
      </c>
      <c r="V405" s="54">
        <v>1.6072083167831537</v>
      </c>
      <c r="W405" s="49">
        <f t="shared" si="87"/>
        <v>1.2081024418909176</v>
      </c>
      <c r="X405" s="49"/>
      <c r="Y405" s="49"/>
      <c r="Z405" s="49"/>
      <c r="AR405" s="70"/>
    </row>
    <row r="406" spans="1:44" s="28" customFormat="1" ht="12.75" customHeight="1">
      <c r="A406" s="64" t="s">
        <v>182</v>
      </c>
      <c r="B406" s="23" t="s">
        <v>183</v>
      </c>
      <c r="C406" s="52" t="s">
        <v>175</v>
      </c>
      <c r="D406" s="65">
        <v>1996</v>
      </c>
      <c r="E406" s="26">
        <v>8</v>
      </c>
      <c r="F406" s="66">
        <v>24</v>
      </c>
      <c r="G406" s="46">
        <f t="shared" si="86"/>
        <v>237.29</v>
      </c>
      <c r="H406" s="84">
        <v>5364</v>
      </c>
      <c r="I406" s="66"/>
      <c r="K406" s="67">
        <v>50.719000000000001</v>
      </c>
      <c r="O406" s="48">
        <f t="shared" si="88"/>
        <v>3.7294887691795613</v>
      </c>
      <c r="R406" s="48">
        <f t="shared" si="89"/>
        <v>1.7051706822008992</v>
      </c>
      <c r="U406" s="48">
        <v>3.7294887691795613</v>
      </c>
      <c r="V406" s="54">
        <v>1.7051706822008992</v>
      </c>
      <c r="W406" s="49">
        <f t="shared" si="87"/>
        <v>1.1330136544555618</v>
      </c>
      <c r="X406" s="49"/>
      <c r="Y406" s="49"/>
      <c r="Z406" s="49"/>
      <c r="AR406" s="70"/>
    </row>
    <row r="407" spans="1:44" s="28" customFormat="1" ht="12.75" customHeight="1">
      <c r="A407" s="64" t="s">
        <v>182</v>
      </c>
      <c r="B407" s="23" t="s">
        <v>183</v>
      </c>
      <c r="C407" s="52" t="s">
        <v>175</v>
      </c>
      <c r="D407" s="65">
        <v>1996</v>
      </c>
      <c r="E407" s="26">
        <v>8</v>
      </c>
      <c r="F407" s="66">
        <v>24</v>
      </c>
      <c r="G407" s="46">
        <f t="shared" si="86"/>
        <v>237.29</v>
      </c>
      <c r="H407" s="84">
        <v>11054</v>
      </c>
      <c r="I407" s="66"/>
      <c r="K407" s="67">
        <v>75.427999999999997</v>
      </c>
      <c r="O407" s="48">
        <f t="shared" si="88"/>
        <v>4.043519460245756</v>
      </c>
      <c r="R407" s="48">
        <f t="shared" si="89"/>
        <v>1.8775325923973814</v>
      </c>
      <c r="U407" s="48">
        <v>4.043519460245756</v>
      </c>
      <c r="V407" s="54">
        <v>1.8775325923973814</v>
      </c>
      <c r="W407" s="49">
        <f t="shared" si="87"/>
        <v>0.87453771118981172</v>
      </c>
      <c r="X407" s="49"/>
      <c r="Y407" s="49"/>
      <c r="Z407" s="49"/>
      <c r="AR407" s="70"/>
    </row>
    <row r="408" spans="1:44" s="28" customFormat="1" ht="12.75" customHeight="1">
      <c r="A408" s="64" t="s">
        <v>182</v>
      </c>
      <c r="B408" s="23" t="s">
        <v>183</v>
      </c>
      <c r="C408" s="52" t="s">
        <v>175</v>
      </c>
      <c r="D408" s="65">
        <v>1996</v>
      </c>
      <c r="E408" s="26">
        <v>8</v>
      </c>
      <c r="F408" s="66">
        <v>24</v>
      </c>
      <c r="G408" s="46">
        <f t="shared" si="86"/>
        <v>237.29</v>
      </c>
      <c r="H408" s="84">
        <v>4877</v>
      </c>
      <c r="I408" s="66"/>
      <c r="K408" s="67">
        <v>39.664999999999999</v>
      </c>
      <c r="O408" s="48">
        <f t="shared" si="88"/>
        <v>3.6881527555915663</v>
      </c>
      <c r="R408" s="48">
        <f t="shared" si="89"/>
        <v>1.5984074586221964</v>
      </c>
      <c r="U408" s="48">
        <v>3.6881527555915663</v>
      </c>
      <c r="V408" s="54">
        <v>1.5984074586221964</v>
      </c>
      <c r="W408" s="49">
        <f t="shared" si="87"/>
        <v>1.2472362463628255</v>
      </c>
      <c r="X408" s="49"/>
      <c r="Y408" s="49"/>
      <c r="Z408" s="49"/>
      <c r="AR408" s="70"/>
    </row>
    <row r="409" spans="1:44" s="28" customFormat="1" ht="12.75" customHeight="1">
      <c r="A409" s="64" t="s">
        <v>182</v>
      </c>
      <c r="B409" s="23" t="s">
        <v>183</v>
      </c>
      <c r="C409" s="52" t="s">
        <v>175</v>
      </c>
      <c r="D409" s="65">
        <v>1996</v>
      </c>
      <c r="E409" s="26">
        <v>8</v>
      </c>
      <c r="F409" s="66">
        <v>24</v>
      </c>
      <c r="G409" s="46">
        <f t="shared" si="86"/>
        <v>237.29</v>
      </c>
      <c r="H409" s="84">
        <v>6340</v>
      </c>
      <c r="I409" s="66"/>
      <c r="K409" s="67">
        <v>34.463000000000001</v>
      </c>
      <c r="O409" s="48">
        <f t="shared" si="88"/>
        <v>3.8020892578817329</v>
      </c>
      <c r="R409" s="48">
        <f t="shared" si="89"/>
        <v>1.5373530800399302</v>
      </c>
      <c r="U409" s="48">
        <v>3.8020892578817329</v>
      </c>
      <c r="V409" s="54">
        <v>1.5373530800399302</v>
      </c>
      <c r="W409" s="49">
        <f t="shared" si="87"/>
        <v>1.2713492328185874</v>
      </c>
      <c r="X409" s="49"/>
      <c r="Y409" s="49"/>
      <c r="Z409" s="49"/>
      <c r="AR409" s="70"/>
    </row>
    <row r="410" spans="1:44" s="28" customFormat="1" ht="12.75" customHeight="1">
      <c r="A410" s="64" t="s">
        <v>182</v>
      </c>
      <c r="B410" s="23" t="s">
        <v>183</v>
      </c>
      <c r="C410" s="52" t="s">
        <v>175</v>
      </c>
      <c r="D410" s="65">
        <v>1996</v>
      </c>
      <c r="E410" s="26">
        <v>10</v>
      </c>
      <c r="F410" s="66">
        <v>12</v>
      </c>
      <c r="G410" s="46">
        <f t="shared" si="86"/>
        <v>286.23</v>
      </c>
      <c r="H410" s="84">
        <v>8616</v>
      </c>
      <c r="I410" s="66"/>
      <c r="K410" s="67">
        <v>37.551000000000002</v>
      </c>
      <c r="O410" s="48">
        <f t="shared" si="88"/>
        <v>3.9353056902899253</v>
      </c>
      <c r="R410" s="48">
        <f t="shared" si="89"/>
        <v>1.5746215069513489</v>
      </c>
      <c r="U410" s="48">
        <v>3.9353056902899253</v>
      </c>
      <c r="V410" s="54">
        <v>1.5746215069513489</v>
      </c>
      <c r="W410" s="49">
        <f t="shared" si="87"/>
        <v>1.1958972817572944</v>
      </c>
      <c r="X410" s="49"/>
      <c r="Y410" s="49"/>
      <c r="Z410" s="49"/>
      <c r="AR410" s="70"/>
    </row>
    <row r="411" spans="1:44" s="28" customFormat="1" ht="12.75" customHeight="1">
      <c r="A411" s="64" t="s">
        <v>182</v>
      </c>
      <c r="B411" s="23" t="s">
        <v>183</v>
      </c>
      <c r="C411" s="52" t="s">
        <v>175</v>
      </c>
      <c r="D411" s="65">
        <v>1996</v>
      </c>
      <c r="E411" s="26">
        <v>10</v>
      </c>
      <c r="F411" s="66">
        <v>12</v>
      </c>
      <c r="G411" s="46">
        <f t="shared" si="86"/>
        <v>286.23</v>
      </c>
      <c r="H411" s="84">
        <v>7153</v>
      </c>
      <c r="I411" s="66"/>
      <c r="K411" s="67">
        <v>52.506999999999998</v>
      </c>
      <c r="O411" s="48">
        <f t="shared" si="88"/>
        <v>3.8544882250444306</v>
      </c>
      <c r="R411" s="48">
        <f t="shared" si="89"/>
        <v>1.720217205476825</v>
      </c>
      <c r="U411" s="48">
        <v>3.8544882250444306</v>
      </c>
      <c r="V411" s="54">
        <v>1.720217205476825</v>
      </c>
      <c r="W411" s="49">
        <f t="shared" si="87"/>
        <v>1.0812203638845135</v>
      </c>
      <c r="X411" s="49"/>
      <c r="Y411" s="49"/>
      <c r="Z411" s="49"/>
      <c r="AR411" s="70"/>
    </row>
    <row r="412" spans="1:44" s="28" customFormat="1" ht="12.75" customHeight="1">
      <c r="A412" s="64" t="s">
        <v>182</v>
      </c>
      <c r="B412" s="23" t="s">
        <v>183</v>
      </c>
      <c r="C412" s="52" t="s">
        <v>175</v>
      </c>
      <c r="D412" s="65">
        <v>1996</v>
      </c>
      <c r="E412" s="26">
        <v>10</v>
      </c>
      <c r="F412" s="66">
        <v>12</v>
      </c>
      <c r="G412" s="46">
        <f t="shared" si="86"/>
        <v>286.23</v>
      </c>
      <c r="H412" s="84">
        <v>7965</v>
      </c>
      <c r="I412" s="66"/>
      <c r="K412" s="67">
        <v>25.196999999999999</v>
      </c>
      <c r="O412" s="48">
        <f t="shared" si="88"/>
        <v>3.9011857801371503</v>
      </c>
      <c r="R412" s="48">
        <f t="shared" si="89"/>
        <v>1.4013488359797801</v>
      </c>
      <c r="U412" s="48">
        <v>3.9011857801371503</v>
      </c>
      <c r="V412" s="54">
        <v>1.4013488359797801</v>
      </c>
      <c r="W412" s="49">
        <f t="shared" si="87"/>
        <v>1.3714018350376196</v>
      </c>
      <c r="X412" s="49"/>
      <c r="Y412" s="49"/>
      <c r="Z412" s="49"/>
      <c r="AR412" s="70"/>
    </row>
    <row r="413" spans="1:44" s="28" customFormat="1" ht="12.75" customHeight="1">
      <c r="A413" s="64" t="s">
        <v>182</v>
      </c>
      <c r="B413" s="23" t="s">
        <v>183</v>
      </c>
      <c r="C413" s="52" t="s">
        <v>175</v>
      </c>
      <c r="D413" s="65">
        <v>1996</v>
      </c>
      <c r="E413" s="26">
        <v>10</v>
      </c>
      <c r="F413" s="66">
        <v>12</v>
      </c>
      <c r="G413" s="46">
        <f t="shared" si="86"/>
        <v>286.23</v>
      </c>
      <c r="H413" s="84">
        <v>8128</v>
      </c>
      <c r="I413" s="66"/>
      <c r="K413" s="67">
        <v>41.128</v>
      </c>
      <c r="O413" s="48">
        <f t="shared" si="88"/>
        <v>3.9099836949398439</v>
      </c>
      <c r="R413" s="48">
        <f t="shared" si="89"/>
        <v>1.6141375908589775</v>
      </c>
      <c r="U413" s="48">
        <v>3.9099836949398439</v>
      </c>
      <c r="V413" s="54">
        <v>1.6141375908589775</v>
      </c>
      <c r="W413" s="49">
        <f t="shared" si="87"/>
        <v>1.1657874498462426</v>
      </c>
      <c r="X413" s="49"/>
      <c r="Y413" s="49"/>
      <c r="Z413" s="49"/>
      <c r="AR413" s="70"/>
    </row>
    <row r="414" spans="1:44" s="28" customFormat="1" ht="12.75" customHeight="1">
      <c r="A414" s="64" t="s">
        <v>182</v>
      </c>
      <c r="B414" s="23" t="s">
        <v>183</v>
      </c>
      <c r="C414" s="52" t="s">
        <v>175</v>
      </c>
      <c r="D414" s="65">
        <v>1996</v>
      </c>
      <c r="E414" s="26">
        <v>12</v>
      </c>
      <c r="F414" s="66">
        <v>7</v>
      </c>
      <c r="G414" s="46">
        <f t="shared" si="86"/>
        <v>342.16999999999996</v>
      </c>
      <c r="H414" s="84">
        <v>6015</v>
      </c>
      <c r="I414" s="66"/>
      <c r="K414" s="67">
        <v>24.709</v>
      </c>
      <c r="O414" s="48">
        <f t="shared" si="88"/>
        <v>3.7792356316758635</v>
      </c>
      <c r="R414" s="48">
        <f t="shared" si="89"/>
        <v>1.392855169389535</v>
      </c>
      <c r="U414" s="48">
        <v>3.7792356316758635</v>
      </c>
      <c r="V414" s="54">
        <v>1.392855169389535</v>
      </c>
      <c r="W414" s="49">
        <f t="shared" si="87"/>
        <v>1.4160310130358622</v>
      </c>
      <c r="X414" s="49"/>
      <c r="Y414" s="49"/>
      <c r="Z414" s="49"/>
      <c r="AR414" s="70"/>
    </row>
    <row r="415" spans="1:44" s="28" customFormat="1" ht="12.75" customHeight="1">
      <c r="A415" s="64" t="s">
        <v>182</v>
      </c>
      <c r="B415" s="23" t="s">
        <v>183</v>
      </c>
      <c r="C415" s="52" t="s">
        <v>175</v>
      </c>
      <c r="D415" s="65">
        <v>1996</v>
      </c>
      <c r="E415" s="26">
        <v>12</v>
      </c>
      <c r="F415" s="66">
        <v>7</v>
      </c>
      <c r="G415" s="46">
        <f t="shared" si="86"/>
        <v>342.16999999999996</v>
      </c>
      <c r="H415" s="84">
        <v>4064</v>
      </c>
      <c r="I415" s="66"/>
      <c r="K415" s="67">
        <v>30.724</v>
      </c>
      <c r="O415" s="48">
        <f t="shared" si="88"/>
        <v>3.6089536992758626</v>
      </c>
      <c r="R415" s="48">
        <f t="shared" si="89"/>
        <v>1.4874777564388986</v>
      </c>
      <c r="U415" s="48">
        <v>3.6089536992758626</v>
      </c>
      <c r="V415" s="54">
        <v>1.4874777564388986</v>
      </c>
      <c r="W415" s="49">
        <f t="shared" si="87"/>
        <v>1.3767741549388117</v>
      </c>
      <c r="X415" s="49"/>
      <c r="Y415" s="49"/>
      <c r="Z415" s="49"/>
      <c r="AR415" s="70"/>
    </row>
    <row r="416" spans="1:44" s="28" customFormat="1" ht="12.75" customHeight="1">
      <c r="A416" s="64" t="s">
        <v>182</v>
      </c>
      <c r="B416" s="23" t="s">
        <v>183</v>
      </c>
      <c r="C416" s="52" t="s">
        <v>175</v>
      </c>
      <c r="D416" s="65">
        <v>1996</v>
      </c>
      <c r="E416" s="26">
        <v>12</v>
      </c>
      <c r="F416" s="66">
        <v>7</v>
      </c>
      <c r="G416" s="46">
        <f t="shared" si="86"/>
        <v>342.16999999999996</v>
      </c>
      <c r="H416" s="84">
        <v>3414</v>
      </c>
      <c r="I416" s="66"/>
      <c r="K416" s="67">
        <v>10.891999999999999</v>
      </c>
      <c r="O416" s="48">
        <f t="shared" si="88"/>
        <v>3.5332635167787148</v>
      </c>
      <c r="R416" s="48">
        <f t="shared" si="89"/>
        <v>1.0371076326679269</v>
      </c>
      <c r="U416" s="48">
        <v>3.5332635167787148</v>
      </c>
      <c r="V416" s="54">
        <v>1.0371076326679269</v>
      </c>
      <c r="W416" s="49">
        <f t="shared" si="87"/>
        <v>1.8290532876403267</v>
      </c>
      <c r="X416" s="49"/>
      <c r="Y416" s="49"/>
      <c r="Z416" s="49"/>
      <c r="AR416" s="70"/>
    </row>
    <row r="417" spans="1:44" s="28" customFormat="1" ht="12.75" customHeight="1">
      <c r="A417" s="64" t="s">
        <v>182</v>
      </c>
      <c r="B417" s="23" t="s">
        <v>183</v>
      </c>
      <c r="C417" s="52" t="s">
        <v>175</v>
      </c>
      <c r="D417" s="65">
        <v>1996</v>
      </c>
      <c r="E417" s="26">
        <v>12</v>
      </c>
      <c r="F417" s="66">
        <v>7</v>
      </c>
      <c r="G417" s="46">
        <f t="shared" si="86"/>
        <v>342.16999999999996</v>
      </c>
      <c r="H417" s="84">
        <v>5527</v>
      </c>
      <c r="I417" s="66"/>
      <c r="K417" s="67">
        <v>19.832000000000001</v>
      </c>
      <c r="O417" s="48">
        <f t="shared" si="88"/>
        <v>3.7424894645817752</v>
      </c>
      <c r="R417" s="48">
        <f t="shared" si="89"/>
        <v>1.297366513759765</v>
      </c>
      <c r="U417" s="48">
        <v>3.7424894645817752</v>
      </c>
      <c r="V417" s="54">
        <v>1.297366513759765</v>
      </c>
      <c r="W417" s="49">
        <f t="shared" si="87"/>
        <v>1.5181240226414898</v>
      </c>
      <c r="X417" s="49"/>
      <c r="Y417" s="49"/>
      <c r="Z417" s="49"/>
      <c r="AR417" s="70"/>
    </row>
    <row r="418" spans="1:44" s="28" customFormat="1" ht="12.75" customHeight="1">
      <c r="A418" s="64" t="s">
        <v>182</v>
      </c>
      <c r="B418" s="23" t="s">
        <v>183</v>
      </c>
      <c r="C418" s="52" t="s">
        <v>175</v>
      </c>
      <c r="D418" s="65">
        <v>1997</v>
      </c>
      <c r="E418" s="26">
        <v>1</v>
      </c>
      <c r="F418" s="66">
        <v>4</v>
      </c>
      <c r="G418" s="46">
        <f t="shared" si="86"/>
        <v>4</v>
      </c>
      <c r="H418" s="84">
        <v>3414</v>
      </c>
      <c r="I418" s="66"/>
      <c r="K418" s="67">
        <v>15.768000000000001</v>
      </c>
      <c r="O418" s="48">
        <f t="shared" si="88"/>
        <v>3.5332635167787148</v>
      </c>
      <c r="R418" s="48">
        <f t="shared" si="89"/>
        <v>1.1977766112713868</v>
      </c>
      <c r="U418" s="48">
        <v>3.5332635167787148</v>
      </c>
      <c r="V418" s="54">
        <v>1.1977766112713868</v>
      </c>
      <c r="W418" s="49">
        <f t="shared" si="87"/>
        <v>1.6757911489504862</v>
      </c>
      <c r="X418" s="49"/>
      <c r="Y418" s="49"/>
      <c r="Z418" s="49"/>
      <c r="AR418" s="70"/>
    </row>
    <row r="419" spans="1:44" s="28" customFormat="1" ht="12.75" customHeight="1">
      <c r="A419" s="64" t="s">
        <v>182</v>
      </c>
      <c r="B419" s="23" t="s">
        <v>183</v>
      </c>
      <c r="C419" s="52" t="s">
        <v>175</v>
      </c>
      <c r="D419" s="65">
        <v>1997</v>
      </c>
      <c r="E419" s="26">
        <v>1</v>
      </c>
      <c r="F419" s="66">
        <v>4</v>
      </c>
      <c r="G419" s="46">
        <f t="shared" si="86"/>
        <v>4</v>
      </c>
      <c r="H419" s="84">
        <v>6828</v>
      </c>
      <c r="I419" s="66"/>
      <c r="K419" s="67">
        <v>25.196999999999999</v>
      </c>
      <c r="O419" s="48">
        <f t="shared" si="88"/>
        <v>3.834293512442696</v>
      </c>
      <c r="R419" s="48">
        <f t="shared" si="89"/>
        <v>1.4013488359797801</v>
      </c>
      <c r="U419" s="48">
        <v>3.834293512442696</v>
      </c>
      <c r="V419" s="54">
        <v>1.4013488359797801</v>
      </c>
      <c r="W419" s="49">
        <f t="shared" si="87"/>
        <v>1.3914377147618942</v>
      </c>
      <c r="X419" s="49"/>
      <c r="Y419" s="49"/>
      <c r="Z419" s="49"/>
      <c r="AR419" s="70"/>
    </row>
    <row r="420" spans="1:44" s="28" customFormat="1" ht="12.75" customHeight="1">
      <c r="A420" s="64" t="s">
        <v>182</v>
      </c>
      <c r="B420" s="23" t="s">
        <v>183</v>
      </c>
      <c r="C420" s="52" t="s">
        <v>175</v>
      </c>
      <c r="D420" s="65">
        <v>1997</v>
      </c>
      <c r="E420" s="26">
        <v>1</v>
      </c>
      <c r="F420" s="66">
        <v>4</v>
      </c>
      <c r="G420" s="46">
        <f t="shared" si="86"/>
        <v>4</v>
      </c>
      <c r="H420" s="84">
        <v>4552</v>
      </c>
      <c r="I420" s="66"/>
      <c r="K420" s="67">
        <v>13.33</v>
      </c>
      <c r="O420" s="48">
        <f t="shared" si="88"/>
        <v>3.6582022533870147</v>
      </c>
      <c r="R420" s="48">
        <f t="shared" si="89"/>
        <v>1.1248301494138593</v>
      </c>
      <c r="U420" s="48">
        <v>3.6582022533870147</v>
      </c>
      <c r="V420" s="54">
        <v>1.1248301494138593</v>
      </c>
      <c r="W420" s="49">
        <f t="shared" si="87"/>
        <v>1.7079525538092755</v>
      </c>
      <c r="X420" s="49"/>
      <c r="Y420" s="49"/>
      <c r="Z420" s="49"/>
      <c r="AR420" s="70"/>
    </row>
    <row r="421" spans="1:44" s="28" customFormat="1" ht="12.75" customHeight="1">
      <c r="A421" s="64" t="s">
        <v>182</v>
      </c>
      <c r="B421" s="23" t="s">
        <v>183</v>
      </c>
      <c r="C421" s="52" t="s">
        <v>175</v>
      </c>
      <c r="D421" s="65">
        <v>1997</v>
      </c>
      <c r="E421" s="26">
        <v>1</v>
      </c>
      <c r="F421" s="66">
        <v>4</v>
      </c>
      <c r="G421" s="46">
        <f t="shared" si="86"/>
        <v>4</v>
      </c>
      <c r="H421" s="84">
        <v>975</v>
      </c>
      <c r="I421" s="66"/>
      <c r="K421" s="67">
        <v>4.0640000000000001</v>
      </c>
      <c r="O421" s="48">
        <f t="shared" si="88"/>
        <v>2.989004615698537</v>
      </c>
      <c r="R421" s="48">
        <f t="shared" si="89"/>
        <v>0.60895369927586285</v>
      </c>
      <c r="U421" s="48">
        <v>2.989004615698537</v>
      </c>
      <c r="V421" s="54">
        <v>0.60895369927586285</v>
      </c>
      <c r="W421" s="49">
        <f t="shared" si="87"/>
        <v>2.4004882543454964</v>
      </c>
      <c r="X421" s="49"/>
      <c r="Y421" s="49"/>
      <c r="Z421" s="49"/>
      <c r="AR421" s="70"/>
    </row>
    <row r="422" spans="1:44" s="28" customFormat="1" ht="12.75" customHeight="1">
      <c r="A422" s="64" t="s">
        <v>182</v>
      </c>
      <c r="B422" s="23" t="s">
        <v>183</v>
      </c>
      <c r="C422" s="52" t="s">
        <v>175</v>
      </c>
      <c r="D422" s="65">
        <v>1997</v>
      </c>
      <c r="E422" s="26">
        <v>2</v>
      </c>
      <c r="F422" s="66">
        <v>1</v>
      </c>
      <c r="G422" s="46">
        <f t="shared" si="86"/>
        <v>31.47</v>
      </c>
      <c r="H422" s="84">
        <v>1788</v>
      </c>
      <c r="I422" s="66"/>
      <c r="K422" s="67">
        <v>5.69</v>
      </c>
      <c r="O422" s="48">
        <f t="shared" si="88"/>
        <v>3.2523675144598987</v>
      </c>
      <c r="R422" s="48">
        <f t="shared" si="89"/>
        <v>0.75511226639507123</v>
      </c>
      <c r="U422" s="48">
        <v>3.2523675144598987</v>
      </c>
      <c r="V422" s="54">
        <v>0.75511226639507123</v>
      </c>
      <c r="W422" s="49">
        <f t="shared" si="87"/>
        <v>2.1821839302641464</v>
      </c>
      <c r="X422" s="49"/>
      <c r="Y422" s="49"/>
      <c r="Z422" s="49"/>
      <c r="AR422" s="70"/>
    </row>
    <row r="423" spans="1:44" s="28" customFormat="1" ht="12.75" customHeight="1">
      <c r="A423" s="64" t="s">
        <v>182</v>
      </c>
      <c r="B423" s="23" t="s">
        <v>183</v>
      </c>
      <c r="C423" s="52" t="s">
        <v>175</v>
      </c>
      <c r="D423" s="65">
        <v>1997</v>
      </c>
      <c r="E423" s="26">
        <v>2</v>
      </c>
      <c r="F423" s="66">
        <v>1</v>
      </c>
      <c r="G423" s="46">
        <f t="shared" ref="G423:G506" si="90">30.47*(E423-1)+F423</f>
        <v>31.47</v>
      </c>
      <c r="H423" s="84">
        <v>6828</v>
      </c>
      <c r="I423" s="66"/>
      <c r="K423" s="67">
        <v>11.054</v>
      </c>
      <c r="O423" s="48">
        <f t="shared" si="88"/>
        <v>3.834293512442696</v>
      </c>
      <c r="R423" s="48">
        <f t="shared" si="89"/>
        <v>1.0435194602457563</v>
      </c>
      <c r="U423" s="48">
        <v>3.834293512442696</v>
      </c>
      <c r="V423" s="54">
        <v>1.0435194602457563</v>
      </c>
      <c r="W423" s="49">
        <f t="shared" ref="W423:W506" si="91">0.9539*(4.064-0.314*U423-V423)</f>
        <v>1.7327711562745793</v>
      </c>
      <c r="X423" s="49"/>
      <c r="Y423" s="49"/>
      <c r="Z423" s="49"/>
      <c r="AR423" s="70"/>
    </row>
    <row r="424" spans="1:44" s="28" customFormat="1" ht="12.75" customHeight="1">
      <c r="A424" s="64" t="s">
        <v>182</v>
      </c>
      <c r="B424" s="23" t="s">
        <v>183</v>
      </c>
      <c r="C424" s="52" t="s">
        <v>175</v>
      </c>
      <c r="D424" s="65">
        <v>1997</v>
      </c>
      <c r="E424" s="26">
        <v>2</v>
      </c>
      <c r="F424" s="66">
        <v>1</v>
      </c>
      <c r="G424" s="46">
        <f t="shared" si="90"/>
        <v>31.47</v>
      </c>
      <c r="H424" s="84">
        <v>6015</v>
      </c>
      <c r="I424" s="66"/>
      <c r="K424" s="67">
        <v>22.271000000000001</v>
      </c>
      <c r="O424" s="48">
        <f t="shared" si="88"/>
        <v>3.7792356316758635</v>
      </c>
      <c r="R424" s="48">
        <f t="shared" si="89"/>
        <v>1.3477397179200523</v>
      </c>
      <c r="U424" s="48">
        <v>3.7792356316758635</v>
      </c>
      <c r="V424" s="54">
        <v>1.3477397179200523</v>
      </c>
      <c r="W424" s="49">
        <f t="shared" si="91"/>
        <v>1.4590666421926017</v>
      </c>
      <c r="X424" s="49"/>
      <c r="Y424" s="49"/>
      <c r="Z424" s="49"/>
      <c r="AR424" s="70"/>
    </row>
    <row r="425" spans="1:44" s="28" customFormat="1" ht="12.75" customHeight="1">
      <c r="A425" s="64" t="s">
        <v>182</v>
      </c>
      <c r="B425" s="23" t="s">
        <v>183</v>
      </c>
      <c r="C425" s="52" t="s">
        <v>175</v>
      </c>
      <c r="D425" s="65">
        <v>1997</v>
      </c>
      <c r="E425" s="26">
        <v>2</v>
      </c>
      <c r="F425" s="66">
        <v>1</v>
      </c>
      <c r="G425" s="46">
        <f t="shared" si="90"/>
        <v>31.47</v>
      </c>
      <c r="H425" s="84">
        <v>4227</v>
      </c>
      <c r="I425" s="66"/>
      <c r="K425" s="67">
        <v>19.181999999999999</v>
      </c>
      <c r="O425" s="48">
        <f t="shared" si="88"/>
        <v>3.626032247829019</v>
      </c>
      <c r="R425" s="48">
        <f t="shared" si="89"/>
        <v>1.2828938866553317</v>
      </c>
      <c r="U425" s="48">
        <v>3.626032247829019</v>
      </c>
      <c r="V425" s="54">
        <v>1.2828938866553317</v>
      </c>
      <c r="W425" s="49">
        <f t="shared" si="91"/>
        <v>1.5668112629013913</v>
      </c>
      <c r="X425" s="49"/>
      <c r="Y425" s="49"/>
      <c r="Z425" s="49"/>
      <c r="AR425" s="70"/>
    </row>
    <row r="426" spans="1:44" s="28" customFormat="1" ht="12.75" customHeight="1">
      <c r="A426" s="64" t="s">
        <v>182</v>
      </c>
      <c r="B426" s="23" t="s">
        <v>183</v>
      </c>
      <c r="C426" s="52" t="s">
        <v>175</v>
      </c>
      <c r="D426" s="65">
        <v>1997</v>
      </c>
      <c r="E426" s="26">
        <v>6</v>
      </c>
      <c r="F426" s="66">
        <v>30</v>
      </c>
      <c r="G426" s="46">
        <f t="shared" si="90"/>
        <v>182.35</v>
      </c>
      <c r="H426" s="84">
        <v>14793</v>
      </c>
      <c r="I426" s="66"/>
      <c r="K426" s="67">
        <v>131.67400000000001</v>
      </c>
      <c r="O426" s="48">
        <f t="shared" si="88"/>
        <v>4.1700562572508</v>
      </c>
      <c r="R426" s="48">
        <f t="shared" si="89"/>
        <v>2.1195000287866401</v>
      </c>
      <c r="U426" s="48">
        <v>4.1700562572508</v>
      </c>
      <c r="V426" s="54">
        <v>2.1195000287866401</v>
      </c>
      <c r="W426" s="49">
        <f t="shared" si="91"/>
        <v>0.60582409010988114</v>
      </c>
      <c r="X426" s="49"/>
      <c r="Y426" s="49"/>
      <c r="Z426" s="49"/>
      <c r="AR426" s="70"/>
    </row>
    <row r="427" spans="1:44" s="28" customFormat="1" ht="12.75" customHeight="1">
      <c r="A427" s="64" t="s">
        <v>182</v>
      </c>
      <c r="B427" s="23" t="s">
        <v>183</v>
      </c>
      <c r="C427" s="52" t="s">
        <v>175</v>
      </c>
      <c r="D427" s="65">
        <v>1997</v>
      </c>
      <c r="E427" s="26">
        <v>6</v>
      </c>
      <c r="F427" s="66">
        <v>30</v>
      </c>
      <c r="G427" s="46">
        <f t="shared" si="90"/>
        <v>182.35</v>
      </c>
      <c r="H427" s="84">
        <v>9103</v>
      </c>
      <c r="I427" s="66"/>
      <c r="K427" s="67">
        <v>80.141999999999996</v>
      </c>
      <c r="O427" s="48">
        <f t="shared" si="88"/>
        <v>3.9591845427311916</v>
      </c>
      <c r="R427" s="48">
        <f t="shared" si="89"/>
        <v>1.9038601763562966</v>
      </c>
      <c r="U427" s="48">
        <v>3.9591845427311916</v>
      </c>
      <c r="V427" s="54">
        <v>1.9038601763562966</v>
      </c>
      <c r="W427" s="49">
        <f t="shared" si="91"/>
        <v>0.87468421128598561</v>
      </c>
      <c r="X427" s="49"/>
      <c r="Y427" s="49"/>
      <c r="Z427" s="49"/>
      <c r="AR427" s="70"/>
    </row>
    <row r="428" spans="1:44" s="28" customFormat="1" ht="12.75" customHeight="1">
      <c r="A428" s="64" t="s">
        <v>182</v>
      </c>
      <c r="B428" s="23" t="s">
        <v>183</v>
      </c>
      <c r="C428" s="52" t="s">
        <v>175</v>
      </c>
      <c r="D428" s="65">
        <v>1997</v>
      </c>
      <c r="E428" s="26">
        <v>6</v>
      </c>
      <c r="F428" s="66">
        <v>30</v>
      </c>
      <c r="G428" s="46">
        <f t="shared" si="90"/>
        <v>182.35</v>
      </c>
      <c r="H428" s="84">
        <v>10404</v>
      </c>
      <c r="I428" s="66"/>
      <c r="K428" s="67">
        <v>96.885999999999996</v>
      </c>
      <c r="O428" s="48">
        <f t="shared" si="88"/>
        <v>4.017200343523835</v>
      </c>
      <c r="R428" s="48">
        <f t="shared" si="89"/>
        <v>1.9862610261527931</v>
      </c>
      <c r="U428" s="48">
        <v>4.017200343523835</v>
      </c>
      <c r="V428" s="54">
        <v>1.9862610261527931</v>
      </c>
      <c r="W428" s="49">
        <f t="shared" si="91"/>
        <v>0.77870488113901137</v>
      </c>
      <c r="X428" s="49"/>
      <c r="Y428" s="49"/>
      <c r="Z428" s="49"/>
      <c r="AR428" s="70"/>
    </row>
    <row r="429" spans="1:44" s="28" customFormat="1" ht="12.75" customHeight="1">
      <c r="A429" s="64" t="s">
        <v>182</v>
      </c>
      <c r="B429" s="23" t="s">
        <v>183</v>
      </c>
      <c r="C429" s="52" t="s">
        <v>175</v>
      </c>
      <c r="D429" s="65">
        <v>1997</v>
      </c>
      <c r="E429" s="26">
        <v>6</v>
      </c>
      <c r="F429" s="66">
        <v>30</v>
      </c>
      <c r="G429" s="46">
        <f t="shared" si="90"/>
        <v>182.35</v>
      </c>
      <c r="H429" s="84">
        <v>12842</v>
      </c>
      <c r="I429" s="66"/>
      <c r="K429" s="67">
        <v>118.181</v>
      </c>
      <c r="O429" s="48">
        <f t="shared" si="88"/>
        <v>4.1086326655804761</v>
      </c>
      <c r="R429" s="48">
        <f t="shared" si="89"/>
        <v>2.0725476604840987</v>
      </c>
      <c r="U429" s="48">
        <v>4.1086326655804761</v>
      </c>
      <c r="V429" s="54">
        <v>2.0725476604840987</v>
      </c>
      <c r="W429" s="49">
        <f t="shared" si="91"/>
        <v>0.66900983095929212</v>
      </c>
      <c r="X429" s="49"/>
      <c r="Y429" s="49"/>
      <c r="Z429" s="49"/>
      <c r="AR429" s="70"/>
    </row>
    <row r="430" spans="1:44" s="28" customFormat="1" ht="12.75" customHeight="1">
      <c r="A430" s="64" t="s">
        <v>182</v>
      </c>
      <c r="B430" s="23" t="s">
        <v>183</v>
      </c>
      <c r="C430" s="52" t="s">
        <v>175</v>
      </c>
      <c r="D430" s="65">
        <v>1997</v>
      </c>
      <c r="E430" s="26">
        <v>7</v>
      </c>
      <c r="F430" s="66">
        <v>11</v>
      </c>
      <c r="G430" s="46">
        <f t="shared" ref="G430:G449" si="92">30.47*(E430-1)+F430</f>
        <v>193.82</v>
      </c>
      <c r="H430" s="84">
        <v>1788</v>
      </c>
      <c r="I430" s="66"/>
      <c r="K430" s="67">
        <v>5.69</v>
      </c>
      <c r="O430" s="48">
        <f t="shared" ref="O430:O449" si="93">LOG10(H430)</f>
        <v>3.2523675144598987</v>
      </c>
      <c r="R430" s="48">
        <f t="shared" ref="R430:R449" si="94">LOG10(K430)</f>
        <v>0.75511226639507123</v>
      </c>
      <c r="U430" s="48">
        <v>3.2523675144598987</v>
      </c>
      <c r="V430" s="54">
        <v>0.75511226639507123</v>
      </c>
      <c r="W430" s="49">
        <f t="shared" ref="W430:W449" si="95">0.9539*(4.064-0.314*U430-V430)</f>
        <v>2.1821839302641464</v>
      </c>
      <c r="X430" s="49"/>
      <c r="Y430" s="49"/>
      <c r="Z430" s="49"/>
      <c r="AR430" s="70"/>
    </row>
    <row r="431" spans="1:44" s="28" customFormat="1" ht="12.75" customHeight="1">
      <c r="A431" s="64" t="s">
        <v>182</v>
      </c>
      <c r="B431" s="23" t="s">
        <v>183</v>
      </c>
      <c r="C431" s="52" t="s">
        <v>175</v>
      </c>
      <c r="D431" s="65">
        <v>1997</v>
      </c>
      <c r="E431" s="26">
        <v>7</v>
      </c>
      <c r="F431" s="66">
        <v>11</v>
      </c>
      <c r="G431" s="46">
        <f t="shared" si="92"/>
        <v>193.82</v>
      </c>
      <c r="H431" s="84">
        <v>6828</v>
      </c>
      <c r="I431" s="66"/>
      <c r="K431" s="67">
        <v>11.054</v>
      </c>
      <c r="O431" s="48">
        <f t="shared" si="93"/>
        <v>3.834293512442696</v>
      </c>
      <c r="R431" s="48">
        <f t="shared" si="94"/>
        <v>1.0435194602457563</v>
      </c>
      <c r="U431" s="48">
        <v>3.834293512442696</v>
      </c>
      <c r="V431" s="54">
        <v>1.0435194602457563</v>
      </c>
      <c r="W431" s="49">
        <f t="shared" si="95"/>
        <v>1.7327711562745793</v>
      </c>
      <c r="X431" s="49"/>
      <c r="Y431" s="49"/>
      <c r="Z431" s="49"/>
      <c r="AR431" s="70"/>
    </row>
    <row r="432" spans="1:44" s="28" customFormat="1" ht="12.75" customHeight="1">
      <c r="A432" s="64" t="s">
        <v>182</v>
      </c>
      <c r="B432" s="23" t="s">
        <v>183</v>
      </c>
      <c r="C432" s="52" t="s">
        <v>175</v>
      </c>
      <c r="D432" s="65">
        <v>1997</v>
      </c>
      <c r="E432" s="26">
        <v>7</v>
      </c>
      <c r="F432" s="66">
        <v>11</v>
      </c>
      <c r="G432" s="46">
        <f t="shared" si="92"/>
        <v>193.82</v>
      </c>
      <c r="H432" s="84">
        <v>6015</v>
      </c>
      <c r="I432" s="66"/>
      <c r="K432" s="67">
        <v>22.271000000000001</v>
      </c>
      <c r="O432" s="48">
        <f t="shared" si="93"/>
        <v>3.7792356316758635</v>
      </c>
      <c r="R432" s="48">
        <f t="shared" si="94"/>
        <v>1.3477397179200523</v>
      </c>
      <c r="U432" s="48">
        <v>3.7792356316758635</v>
      </c>
      <c r="V432" s="54">
        <v>1.3477397179200523</v>
      </c>
      <c r="W432" s="49">
        <f t="shared" si="95"/>
        <v>1.4590666421926017</v>
      </c>
      <c r="X432" s="49"/>
      <c r="Y432" s="49"/>
      <c r="Z432" s="49"/>
      <c r="AR432" s="70"/>
    </row>
    <row r="433" spans="1:44" s="28" customFormat="1" ht="12.75" customHeight="1">
      <c r="A433" s="64" t="s">
        <v>182</v>
      </c>
      <c r="B433" s="23" t="s">
        <v>183</v>
      </c>
      <c r="C433" s="52" t="s">
        <v>175</v>
      </c>
      <c r="D433" s="65">
        <v>1997</v>
      </c>
      <c r="E433" s="26">
        <v>7</v>
      </c>
      <c r="F433" s="66">
        <v>11</v>
      </c>
      <c r="G433" s="46">
        <f t="shared" si="92"/>
        <v>193.82</v>
      </c>
      <c r="H433" s="84">
        <v>4227</v>
      </c>
      <c r="I433" s="66"/>
      <c r="K433" s="67">
        <v>19.181999999999999</v>
      </c>
      <c r="O433" s="48">
        <f t="shared" si="93"/>
        <v>3.626032247829019</v>
      </c>
      <c r="R433" s="48">
        <f t="shared" si="94"/>
        <v>1.2828938866553317</v>
      </c>
      <c r="U433" s="48">
        <v>3.626032247829019</v>
      </c>
      <c r="V433" s="54">
        <v>1.2828938866553317</v>
      </c>
      <c r="W433" s="49">
        <f t="shared" si="95"/>
        <v>1.5668112629013913</v>
      </c>
      <c r="X433" s="49"/>
      <c r="Y433" s="49"/>
      <c r="Z433" s="49"/>
      <c r="AR433" s="70"/>
    </row>
    <row r="434" spans="1:44" s="28" customFormat="1" ht="12.75" customHeight="1">
      <c r="A434" s="64" t="s">
        <v>182</v>
      </c>
      <c r="B434" s="23" t="s">
        <v>183</v>
      </c>
      <c r="C434" s="52" t="s">
        <v>175</v>
      </c>
      <c r="D434" s="65">
        <v>1997</v>
      </c>
      <c r="E434" s="26">
        <v>7</v>
      </c>
      <c r="F434" s="66">
        <v>11</v>
      </c>
      <c r="G434" s="46">
        <f t="shared" si="92"/>
        <v>193.82</v>
      </c>
      <c r="H434" s="84">
        <v>7965</v>
      </c>
      <c r="I434" s="66"/>
      <c r="K434" s="67">
        <v>23.896000000000001</v>
      </c>
      <c r="O434" s="48">
        <f t="shared" si="93"/>
        <v>3.9011857801371503</v>
      </c>
      <c r="R434" s="48">
        <f t="shared" si="94"/>
        <v>1.3783252095960719</v>
      </c>
      <c r="U434" s="48">
        <v>3.9011857801371503</v>
      </c>
      <c r="V434" s="54">
        <v>1.3783252095960719</v>
      </c>
      <c r="W434" s="49">
        <f t="shared" si="95"/>
        <v>1.3933640722450389</v>
      </c>
      <c r="X434" s="49"/>
      <c r="Y434" s="49"/>
      <c r="Z434" s="49"/>
      <c r="AR434" s="70"/>
    </row>
    <row r="435" spans="1:44" s="28" customFormat="1" ht="12.75" customHeight="1">
      <c r="A435" s="64" t="s">
        <v>182</v>
      </c>
      <c r="B435" s="23" t="s">
        <v>183</v>
      </c>
      <c r="C435" s="52" t="s">
        <v>175</v>
      </c>
      <c r="D435" s="65">
        <v>1997</v>
      </c>
      <c r="E435" s="26">
        <v>7</v>
      </c>
      <c r="F435" s="66">
        <v>11</v>
      </c>
      <c r="G435" s="46">
        <f t="shared" si="92"/>
        <v>193.82</v>
      </c>
      <c r="H435" s="84">
        <v>11867</v>
      </c>
      <c r="I435" s="66"/>
      <c r="K435" s="67">
        <v>78.028999999999996</v>
      </c>
      <c r="O435" s="48">
        <f t="shared" si="93"/>
        <v>4.0743409423650769</v>
      </c>
      <c r="R435" s="48">
        <f t="shared" si="94"/>
        <v>1.8922560411425657</v>
      </c>
      <c r="U435" s="48">
        <v>4.0743409423650769</v>
      </c>
      <c r="V435" s="54">
        <v>1.8922560411425657</v>
      </c>
      <c r="W435" s="49">
        <f t="shared" si="95"/>
        <v>0.85126122132858362</v>
      </c>
      <c r="X435" s="49"/>
      <c r="Y435" s="49"/>
      <c r="Z435" s="49"/>
      <c r="AR435" s="70"/>
    </row>
    <row r="436" spans="1:44" s="28" customFormat="1" ht="12.75" customHeight="1">
      <c r="A436" s="64" t="s">
        <v>182</v>
      </c>
      <c r="B436" s="23" t="s">
        <v>183</v>
      </c>
      <c r="C436" s="52" t="s">
        <v>175</v>
      </c>
      <c r="D436" s="65">
        <v>1997</v>
      </c>
      <c r="E436" s="26">
        <v>7</v>
      </c>
      <c r="F436" s="66">
        <v>11</v>
      </c>
      <c r="G436" s="46">
        <f t="shared" si="92"/>
        <v>193.82</v>
      </c>
      <c r="H436" s="84">
        <v>4064</v>
      </c>
      <c r="I436" s="66"/>
      <c r="K436" s="67">
        <v>18.369</v>
      </c>
      <c r="O436" s="48">
        <f t="shared" si="93"/>
        <v>3.6089536992758626</v>
      </c>
      <c r="R436" s="48">
        <f t="shared" si="94"/>
        <v>1.2640855141553953</v>
      </c>
      <c r="U436" s="48">
        <v>3.6089536992758626</v>
      </c>
      <c r="V436" s="54">
        <v>1.2640855141553953</v>
      </c>
      <c r="W436" s="49">
        <f t="shared" si="95"/>
        <v>1.5898680148530455</v>
      </c>
      <c r="X436" s="49"/>
      <c r="Y436" s="49"/>
      <c r="Z436" s="49"/>
      <c r="AR436" s="70"/>
    </row>
    <row r="437" spans="1:44" s="28" customFormat="1" ht="12.75" customHeight="1">
      <c r="A437" s="64" t="s">
        <v>182</v>
      </c>
      <c r="B437" s="23" t="s">
        <v>183</v>
      </c>
      <c r="C437" s="52" t="s">
        <v>175</v>
      </c>
      <c r="D437" s="65">
        <v>1997</v>
      </c>
      <c r="E437" s="26">
        <v>7</v>
      </c>
      <c r="F437" s="66">
        <v>11</v>
      </c>
      <c r="G437" s="46">
        <f t="shared" si="92"/>
        <v>193.82</v>
      </c>
      <c r="H437" s="84">
        <v>6015</v>
      </c>
      <c r="I437" s="66"/>
      <c r="K437" s="67">
        <v>42.427999999999997</v>
      </c>
      <c r="O437" s="48">
        <f t="shared" si="93"/>
        <v>3.7792356316758635</v>
      </c>
      <c r="R437" s="48">
        <f t="shared" si="94"/>
        <v>1.6276525601796361</v>
      </c>
      <c r="U437" s="48">
        <v>3.7792356316758635</v>
      </c>
      <c r="V437" s="54">
        <v>1.6276525601796361</v>
      </c>
      <c r="W437" s="49">
        <f t="shared" si="95"/>
        <v>1.1920577819611848</v>
      </c>
      <c r="X437" s="49"/>
      <c r="Y437" s="49"/>
      <c r="Z437" s="49"/>
      <c r="AR437" s="70"/>
    </row>
    <row r="438" spans="1:44" s="28" customFormat="1" ht="12.75" customHeight="1">
      <c r="A438" s="64" t="s">
        <v>182</v>
      </c>
      <c r="B438" s="23" t="s">
        <v>183</v>
      </c>
      <c r="C438" s="52" t="s">
        <v>175</v>
      </c>
      <c r="D438" s="65">
        <v>1997</v>
      </c>
      <c r="E438" s="26">
        <v>11</v>
      </c>
      <c r="F438" s="66">
        <v>8</v>
      </c>
      <c r="G438" s="46">
        <f t="shared" si="92"/>
        <v>312.7</v>
      </c>
      <c r="H438" s="84">
        <v>3089</v>
      </c>
      <c r="I438" s="66"/>
      <c r="K438" s="67">
        <v>28.285</v>
      </c>
      <c r="O438" s="48">
        <f t="shared" si="93"/>
        <v>3.4898179083014504</v>
      </c>
      <c r="R438" s="48">
        <f t="shared" si="94"/>
        <v>1.4515561830764281</v>
      </c>
      <c r="U438" s="48">
        <v>3.4898179083014504</v>
      </c>
      <c r="V438" s="54">
        <v>1.4515561830764281</v>
      </c>
      <c r="W438" s="49">
        <f t="shared" si="95"/>
        <v>1.4467238439065664</v>
      </c>
      <c r="X438" s="49"/>
      <c r="Y438" s="49"/>
      <c r="Z438" s="49"/>
      <c r="AR438" s="70"/>
    </row>
    <row r="439" spans="1:44" s="28" customFormat="1" ht="12.75" customHeight="1">
      <c r="A439" s="64" t="s">
        <v>182</v>
      </c>
      <c r="B439" s="23" t="s">
        <v>183</v>
      </c>
      <c r="C439" s="52" t="s">
        <v>175</v>
      </c>
      <c r="D439" s="65">
        <v>1997</v>
      </c>
      <c r="E439" s="26">
        <v>11</v>
      </c>
      <c r="F439" s="66">
        <v>8</v>
      </c>
      <c r="G439" s="46">
        <f t="shared" si="92"/>
        <v>312.7</v>
      </c>
      <c r="H439" s="84">
        <v>5039</v>
      </c>
      <c r="I439" s="66"/>
      <c r="K439" s="67">
        <v>49.093000000000004</v>
      </c>
      <c r="O439" s="48">
        <f t="shared" si="93"/>
        <v>3.7023443583557687</v>
      </c>
      <c r="R439" s="48">
        <f t="shared" si="94"/>
        <v>1.6910195719987544</v>
      </c>
      <c r="U439" s="48">
        <v>3.7023443583557687</v>
      </c>
      <c r="V439" s="54">
        <v>1.6910195719987544</v>
      </c>
      <c r="W439" s="49">
        <f t="shared" si="95"/>
        <v>1.1546428172716199</v>
      </c>
      <c r="X439" s="49"/>
      <c r="Y439" s="49"/>
      <c r="Z439" s="49"/>
      <c r="AR439" s="70"/>
    </row>
    <row r="440" spans="1:44" s="28" customFormat="1" ht="12.75" customHeight="1">
      <c r="A440" s="64" t="s">
        <v>182</v>
      </c>
      <c r="B440" s="23" t="s">
        <v>183</v>
      </c>
      <c r="C440" s="52" t="s">
        <v>175</v>
      </c>
      <c r="D440" s="65">
        <v>1997</v>
      </c>
      <c r="E440" s="26">
        <v>11</v>
      </c>
      <c r="F440" s="66">
        <v>8</v>
      </c>
      <c r="G440" s="46">
        <f t="shared" si="92"/>
        <v>312.7</v>
      </c>
      <c r="H440" s="84">
        <v>5202</v>
      </c>
      <c r="I440" s="66"/>
      <c r="K440" s="67">
        <v>35.762999999999998</v>
      </c>
      <c r="O440" s="48">
        <f t="shared" si="93"/>
        <v>3.7161703478598538</v>
      </c>
      <c r="R440" s="48">
        <f t="shared" si="94"/>
        <v>1.5534339426965202</v>
      </c>
      <c r="U440" s="48">
        <v>3.7161703478598538</v>
      </c>
      <c r="V440" s="54">
        <v>1.5534339426965202</v>
      </c>
      <c r="W440" s="49">
        <f t="shared" si="95"/>
        <v>1.2817445250872059</v>
      </c>
      <c r="X440" s="49"/>
      <c r="Y440" s="49"/>
      <c r="Z440" s="49"/>
      <c r="AR440" s="70"/>
    </row>
    <row r="441" spans="1:44" s="28" customFormat="1" ht="12.75" customHeight="1">
      <c r="A441" s="64" t="s">
        <v>182</v>
      </c>
      <c r="B441" s="23" t="s">
        <v>183</v>
      </c>
      <c r="C441" s="52" t="s">
        <v>175</v>
      </c>
      <c r="D441" s="65">
        <v>1997</v>
      </c>
      <c r="E441" s="26">
        <v>11</v>
      </c>
      <c r="F441" s="66">
        <v>8</v>
      </c>
      <c r="G441" s="46">
        <f t="shared" si="92"/>
        <v>312.7</v>
      </c>
      <c r="H441" s="84">
        <v>3901</v>
      </c>
      <c r="I441" s="66"/>
      <c r="K441" s="67">
        <v>45.192</v>
      </c>
      <c r="O441" s="48">
        <f t="shared" si="93"/>
        <v>3.5911759503117913</v>
      </c>
      <c r="R441" s="48">
        <f t="shared" si="94"/>
        <v>1.6550615617282709</v>
      </c>
      <c r="U441" s="48">
        <v>3.5911759503117913</v>
      </c>
      <c r="V441" s="54">
        <v>1.6550615617282709</v>
      </c>
      <c r="W441" s="49">
        <f t="shared" si="95"/>
        <v>1.2222408362206432</v>
      </c>
      <c r="X441" s="49"/>
      <c r="Y441" s="49"/>
      <c r="Z441" s="49"/>
      <c r="AR441" s="70"/>
    </row>
    <row r="442" spans="1:44" s="28" customFormat="1" ht="12.75" customHeight="1">
      <c r="A442" s="64" t="s">
        <v>182</v>
      </c>
      <c r="B442" s="23" t="s">
        <v>183</v>
      </c>
      <c r="C442" s="52" t="s">
        <v>175</v>
      </c>
      <c r="D442" s="65">
        <v>1998</v>
      </c>
      <c r="E442" s="26">
        <v>2</v>
      </c>
      <c r="F442" s="66">
        <v>28</v>
      </c>
      <c r="G442" s="46">
        <f t="shared" si="92"/>
        <v>58.47</v>
      </c>
      <c r="H442" s="84">
        <v>10079</v>
      </c>
      <c r="I442" s="66"/>
      <c r="K442" s="67">
        <v>21.783000000000001</v>
      </c>
      <c r="O442" s="48">
        <f t="shared" si="93"/>
        <v>4.003417445202194</v>
      </c>
      <c r="R442" s="48">
        <f t="shared" si="94"/>
        <v>1.3381176914768582</v>
      </c>
      <c r="U442" s="48">
        <v>4.003417445202194</v>
      </c>
      <c r="V442" s="54">
        <v>1.3381176914768582</v>
      </c>
      <c r="W442" s="49">
        <f t="shared" si="95"/>
        <v>1.4010971251930158</v>
      </c>
      <c r="X442" s="49"/>
      <c r="Y442" s="49"/>
      <c r="Z442" s="49"/>
      <c r="AR442" s="70"/>
    </row>
    <row r="443" spans="1:44" s="28" customFormat="1" ht="12.75" customHeight="1">
      <c r="A443" s="64" t="s">
        <v>182</v>
      </c>
      <c r="B443" s="23" t="s">
        <v>183</v>
      </c>
      <c r="C443" s="52" t="s">
        <v>175</v>
      </c>
      <c r="D443" s="65">
        <v>1998</v>
      </c>
      <c r="E443" s="26">
        <v>2</v>
      </c>
      <c r="F443" s="66">
        <v>28</v>
      </c>
      <c r="G443" s="46">
        <f t="shared" si="92"/>
        <v>58.47</v>
      </c>
      <c r="H443" s="84">
        <v>2764</v>
      </c>
      <c r="I443" s="66"/>
      <c r="K443" s="67">
        <v>16.256</v>
      </c>
      <c r="O443" s="48">
        <f t="shared" si="93"/>
        <v>3.441538038702161</v>
      </c>
      <c r="R443" s="48">
        <f t="shared" si="94"/>
        <v>1.2110136906038251</v>
      </c>
      <c r="U443" s="48">
        <v>3.441538038702161</v>
      </c>
      <c r="V443" s="54">
        <v>1.2110136906038251</v>
      </c>
      <c r="W443" s="49">
        <f t="shared" si="95"/>
        <v>1.690638336105962</v>
      </c>
      <c r="X443" s="49"/>
      <c r="Y443" s="49"/>
      <c r="Z443" s="49"/>
      <c r="AR443" s="70"/>
    </row>
    <row r="444" spans="1:44" s="28" customFormat="1" ht="12.75" customHeight="1">
      <c r="A444" s="64" t="s">
        <v>182</v>
      </c>
      <c r="B444" s="23" t="s">
        <v>183</v>
      </c>
      <c r="C444" s="52" t="s">
        <v>175</v>
      </c>
      <c r="D444" s="65">
        <v>1998</v>
      </c>
      <c r="E444" s="26">
        <v>2</v>
      </c>
      <c r="F444" s="66">
        <v>28</v>
      </c>
      <c r="G444" s="46">
        <f t="shared" si="92"/>
        <v>58.47</v>
      </c>
      <c r="H444" s="84">
        <v>9591</v>
      </c>
      <c r="I444" s="66"/>
      <c r="K444" s="67">
        <v>17.719000000000001</v>
      </c>
      <c r="O444" s="48">
        <f t="shared" si="93"/>
        <v>3.9818638909913502</v>
      </c>
      <c r="R444" s="48">
        <f t="shared" si="94"/>
        <v>1.2484392081415103</v>
      </c>
      <c r="U444" s="48">
        <v>3.9818638909913502</v>
      </c>
      <c r="V444" s="54">
        <v>1.2484392081415103</v>
      </c>
      <c r="W444" s="49">
        <f t="shared" si="95"/>
        <v>1.4930972501501858</v>
      </c>
      <c r="X444" s="49"/>
      <c r="Y444" s="49"/>
      <c r="Z444" s="49"/>
      <c r="AR444" s="70"/>
    </row>
    <row r="445" spans="1:44" s="28" customFormat="1" ht="12.75" customHeight="1">
      <c r="A445" s="64" t="s">
        <v>182</v>
      </c>
      <c r="B445" s="23" t="s">
        <v>183</v>
      </c>
      <c r="C445" s="52" t="s">
        <v>175</v>
      </c>
      <c r="D445" s="65">
        <v>1998</v>
      </c>
      <c r="E445" s="26">
        <v>2</v>
      </c>
      <c r="F445" s="66">
        <v>28</v>
      </c>
      <c r="G445" s="46">
        <f t="shared" si="92"/>
        <v>58.47</v>
      </c>
      <c r="H445" s="84">
        <v>5364</v>
      </c>
      <c r="I445" s="66"/>
      <c r="K445" s="67">
        <v>7.4779999999999998</v>
      </c>
      <c r="O445" s="48">
        <f t="shared" si="93"/>
        <v>3.7294887691795613</v>
      </c>
      <c r="R445" s="48">
        <f t="shared" si="94"/>
        <v>0.87378546081820074</v>
      </c>
      <c r="U445" s="48">
        <v>3.7294887691795613</v>
      </c>
      <c r="V445" s="54">
        <v>0.87378546081820074</v>
      </c>
      <c r="W445" s="49">
        <f t="shared" si="95"/>
        <v>1.9260720171325179</v>
      </c>
      <c r="X445" s="49"/>
      <c r="Y445" s="49"/>
      <c r="Z445" s="49"/>
      <c r="AR445" s="70"/>
    </row>
    <row r="446" spans="1:44" s="28" customFormat="1" ht="12.75" customHeight="1">
      <c r="A446" s="64" t="s">
        <v>182</v>
      </c>
      <c r="B446" s="23" t="s">
        <v>183</v>
      </c>
      <c r="C446" s="52" t="s">
        <v>175</v>
      </c>
      <c r="D446" s="65">
        <v>1998</v>
      </c>
      <c r="E446" s="26">
        <v>2</v>
      </c>
      <c r="F446" s="66">
        <v>28</v>
      </c>
      <c r="G446" s="46">
        <f t="shared" si="92"/>
        <v>58.47</v>
      </c>
      <c r="H446" s="84">
        <v>13655</v>
      </c>
      <c r="I446" s="66"/>
      <c r="K446" s="67">
        <v>16.256</v>
      </c>
      <c r="O446" s="48">
        <f t="shared" si="93"/>
        <v>4.135291704475752</v>
      </c>
      <c r="R446" s="48">
        <f t="shared" si="94"/>
        <v>1.2110136906038251</v>
      </c>
      <c r="U446" s="48">
        <v>4.135291704475752</v>
      </c>
      <c r="V446" s="54">
        <v>1.2110136906038251</v>
      </c>
      <c r="W446" s="49">
        <f t="shared" si="95"/>
        <v>1.4828420468665935</v>
      </c>
      <c r="X446" s="49"/>
      <c r="Y446" s="49"/>
      <c r="Z446" s="49"/>
      <c r="AR446" s="70"/>
    </row>
    <row r="447" spans="1:44" s="28" customFormat="1" ht="12.75" customHeight="1">
      <c r="A447" s="64" t="s">
        <v>182</v>
      </c>
      <c r="B447" s="23" t="s">
        <v>183</v>
      </c>
      <c r="C447" s="52" t="s">
        <v>175</v>
      </c>
      <c r="D447" s="65">
        <v>1998</v>
      </c>
      <c r="E447" s="26">
        <v>2</v>
      </c>
      <c r="F447" s="66">
        <v>28</v>
      </c>
      <c r="G447" s="46">
        <f t="shared" si="92"/>
        <v>58.47</v>
      </c>
      <c r="H447" s="84">
        <v>12192</v>
      </c>
      <c r="I447" s="66"/>
      <c r="K447" s="67">
        <v>12.516999999999999</v>
      </c>
      <c r="O447" s="48">
        <f t="shared" si="93"/>
        <v>4.0860749539955252</v>
      </c>
      <c r="R447" s="48">
        <f t="shared" si="94"/>
        <v>1.0975002522316866</v>
      </c>
      <c r="U447" s="48">
        <v>4.0860749539955252</v>
      </c>
      <c r="V447" s="54">
        <v>1.0975002522316866</v>
      </c>
      <c r="W447" s="49">
        <f t="shared" si="95"/>
        <v>1.605864143230666</v>
      </c>
      <c r="X447" s="49"/>
      <c r="Y447" s="49"/>
      <c r="Z447" s="49"/>
      <c r="AR447" s="70"/>
    </row>
    <row r="448" spans="1:44" s="28" customFormat="1" ht="12.75" customHeight="1">
      <c r="A448" s="64" t="s">
        <v>182</v>
      </c>
      <c r="B448" s="23" t="s">
        <v>183</v>
      </c>
      <c r="C448" s="52" t="s">
        <v>175</v>
      </c>
      <c r="D448" s="65">
        <v>1998</v>
      </c>
      <c r="E448" s="26">
        <v>2</v>
      </c>
      <c r="F448" s="66">
        <v>28</v>
      </c>
      <c r="G448" s="46">
        <f t="shared" si="92"/>
        <v>58.47</v>
      </c>
      <c r="H448" s="84">
        <v>15118</v>
      </c>
      <c r="I448" s="66"/>
      <c r="K448" s="67">
        <v>21.457999999999998</v>
      </c>
      <c r="O448" s="48">
        <f t="shared" si="93"/>
        <v>4.1794943410054497</v>
      </c>
      <c r="R448" s="48">
        <f t="shared" si="94"/>
        <v>1.3315892409551369</v>
      </c>
      <c r="U448" s="48">
        <v>4.1794943410054497</v>
      </c>
      <c r="V448" s="54">
        <v>1.3315892409551369</v>
      </c>
      <c r="W448" s="49">
        <f t="shared" si="95"/>
        <v>1.3545852523609743</v>
      </c>
      <c r="X448" s="49"/>
      <c r="Y448" s="49"/>
      <c r="Z448" s="49"/>
      <c r="AR448" s="70"/>
    </row>
    <row r="449" spans="1:44" s="28" customFormat="1" ht="12.75" customHeight="1">
      <c r="A449" s="64" t="s">
        <v>182</v>
      </c>
      <c r="B449" s="23" t="s">
        <v>183</v>
      </c>
      <c r="C449" s="52" t="s">
        <v>175</v>
      </c>
      <c r="D449" s="65">
        <v>1998</v>
      </c>
      <c r="E449" s="26">
        <v>2</v>
      </c>
      <c r="F449" s="66">
        <v>28</v>
      </c>
      <c r="G449" s="46">
        <f t="shared" si="92"/>
        <v>58.47</v>
      </c>
      <c r="H449" s="84">
        <v>4227</v>
      </c>
      <c r="I449" s="66"/>
      <c r="K449" s="67">
        <v>16.581</v>
      </c>
      <c r="O449" s="48">
        <f t="shared" si="93"/>
        <v>3.626032247829019</v>
      </c>
      <c r="R449" s="48">
        <f t="shared" si="94"/>
        <v>1.2196107193014376</v>
      </c>
      <c r="U449" s="48">
        <v>3.626032247829019</v>
      </c>
      <c r="V449" s="54">
        <v>1.2196107193014376</v>
      </c>
      <c r="W449" s="49">
        <f t="shared" si="95"/>
        <v>1.6271770762402709</v>
      </c>
      <c r="X449" s="49"/>
      <c r="Y449" s="49"/>
      <c r="Z449" s="49"/>
      <c r="AR449" s="70"/>
    </row>
    <row r="450" spans="1:44" s="28" customFormat="1" ht="12.75" customHeight="1">
      <c r="A450" s="64" t="s">
        <v>182</v>
      </c>
      <c r="B450" s="23" t="s">
        <v>183</v>
      </c>
      <c r="C450" s="77" t="s">
        <v>176</v>
      </c>
      <c r="D450" s="78">
        <v>1990</v>
      </c>
      <c r="E450" s="26">
        <v>3</v>
      </c>
      <c r="F450" s="66">
        <v>19</v>
      </c>
      <c r="G450" s="46">
        <f t="shared" si="90"/>
        <v>79.94</v>
      </c>
      <c r="H450" s="120">
        <v>1780.13</v>
      </c>
      <c r="I450" s="66"/>
      <c r="J450" s="79"/>
      <c r="K450" s="80">
        <v>35.505502000000007</v>
      </c>
      <c r="O450" s="48">
        <f t="shared" si="88"/>
        <v>3.2504517192870228</v>
      </c>
      <c r="R450" s="48">
        <f t="shared" si="89"/>
        <v>1.55029565736749</v>
      </c>
      <c r="U450" s="48">
        <v>3.2504517192870228</v>
      </c>
      <c r="V450" s="54">
        <v>1.55029565736749</v>
      </c>
      <c r="W450" s="49">
        <f t="shared" si="91"/>
        <v>1.4242323213983932</v>
      </c>
      <c r="X450" s="49"/>
      <c r="Y450" s="49"/>
      <c r="Z450" s="49"/>
      <c r="AQ450" s="29"/>
    </row>
    <row r="451" spans="1:44" s="28" customFormat="1" ht="12.75" customHeight="1">
      <c r="A451" s="64" t="s">
        <v>182</v>
      </c>
      <c r="B451" s="23" t="s">
        <v>183</v>
      </c>
      <c r="C451" s="77" t="s">
        <v>176</v>
      </c>
      <c r="D451" s="78">
        <v>1990</v>
      </c>
      <c r="E451" s="26">
        <v>3</v>
      </c>
      <c r="F451" s="66">
        <v>19</v>
      </c>
      <c r="G451" s="46">
        <f t="shared" si="90"/>
        <v>79.94</v>
      </c>
      <c r="H451" s="120">
        <v>647.32000000000005</v>
      </c>
      <c r="I451" s="66"/>
      <c r="J451" s="79"/>
      <c r="K451" s="80">
        <v>7.0396049999999999</v>
      </c>
      <c r="O451" s="48">
        <f t="shared" si="88"/>
        <v>2.81111902545676</v>
      </c>
      <c r="R451" s="48">
        <f t="shared" si="89"/>
        <v>0.84754829108343488</v>
      </c>
      <c r="U451" s="48">
        <v>2.81111902545676</v>
      </c>
      <c r="V451" s="54">
        <v>0.84754829108343488</v>
      </c>
      <c r="W451" s="49">
        <f t="shared" si="91"/>
        <v>2.2261739834831853</v>
      </c>
      <c r="X451" s="49"/>
      <c r="Y451" s="49"/>
      <c r="Z451" s="49"/>
      <c r="AQ451" s="29"/>
    </row>
    <row r="452" spans="1:44" s="28" customFormat="1" ht="12.75" customHeight="1">
      <c r="A452" s="64" t="s">
        <v>182</v>
      </c>
      <c r="B452" s="23" t="s">
        <v>183</v>
      </c>
      <c r="C452" s="77" t="s">
        <v>176</v>
      </c>
      <c r="D452" s="78">
        <v>1990</v>
      </c>
      <c r="E452" s="26">
        <v>3</v>
      </c>
      <c r="F452" s="66">
        <v>19</v>
      </c>
      <c r="G452" s="46">
        <f t="shared" si="90"/>
        <v>79.94</v>
      </c>
      <c r="H452" s="120">
        <v>2589.2800000000002</v>
      </c>
      <c r="I452" s="66"/>
      <c r="J452" s="79"/>
      <c r="K452" s="80">
        <v>34.550705000000001</v>
      </c>
      <c r="O452" s="48">
        <f t="shared" si="88"/>
        <v>3.4131790167847225</v>
      </c>
      <c r="R452" s="48">
        <f t="shared" si="89"/>
        <v>1.5384569134898403</v>
      </c>
      <c r="U452" s="48">
        <v>3.4131790167847225</v>
      </c>
      <c r="V452" s="54">
        <v>1.5384569134898403</v>
      </c>
      <c r="W452" s="49">
        <f t="shared" si="91"/>
        <v>1.3867844704912042</v>
      </c>
      <c r="X452" s="49"/>
      <c r="Y452" s="49"/>
      <c r="Z452" s="49"/>
      <c r="AQ452" s="29"/>
    </row>
    <row r="453" spans="1:44" s="28" customFormat="1" ht="12.75" customHeight="1">
      <c r="A453" s="64" t="s">
        <v>182</v>
      </c>
      <c r="B453" s="23" t="s">
        <v>183</v>
      </c>
      <c r="C453" s="77" t="s">
        <v>176</v>
      </c>
      <c r="D453" s="78">
        <v>1990</v>
      </c>
      <c r="E453" s="26">
        <v>3</v>
      </c>
      <c r="F453" s="66">
        <v>19</v>
      </c>
      <c r="G453" s="46">
        <f t="shared" si="90"/>
        <v>79.94</v>
      </c>
      <c r="H453" s="120">
        <v>1294.6400000000001</v>
      </c>
      <c r="I453" s="66"/>
      <c r="J453" s="79"/>
      <c r="K453" s="80">
        <v>17.590921000000002</v>
      </c>
      <c r="O453" s="48">
        <f t="shared" si="88"/>
        <v>3.1121490211207412</v>
      </c>
      <c r="R453" s="48">
        <f t="shared" si="89"/>
        <v>1.2452885782150922</v>
      </c>
      <c r="U453" s="48">
        <v>3.1121490211207412</v>
      </c>
      <c r="V453" s="54">
        <v>1.2452885782150922</v>
      </c>
      <c r="W453" s="49">
        <f t="shared" si="91"/>
        <v>1.7566036345490417</v>
      </c>
      <c r="X453" s="49"/>
      <c r="Y453" s="49"/>
      <c r="Z453" s="49"/>
      <c r="AQ453" s="29"/>
    </row>
    <row r="454" spans="1:44" s="28" customFormat="1" ht="12.75" customHeight="1">
      <c r="A454" s="64" t="s">
        <v>182</v>
      </c>
      <c r="B454" s="23" t="s">
        <v>183</v>
      </c>
      <c r="C454" s="77" t="s">
        <v>176</v>
      </c>
      <c r="D454" s="78">
        <v>1990</v>
      </c>
      <c r="E454" s="26">
        <v>5</v>
      </c>
      <c r="F454" s="66">
        <v>5</v>
      </c>
      <c r="G454" s="46">
        <f t="shared" si="90"/>
        <v>126.88</v>
      </c>
      <c r="H454" s="121">
        <v>1132.81</v>
      </c>
      <c r="I454" s="66"/>
      <c r="J454" s="29"/>
      <c r="K454" s="80">
        <v>11.328100000000003</v>
      </c>
      <c r="O454" s="48">
        <f t="shared" si="88"/>
        <v>3.0541570741430544</v>
      </c>
      <c r="R454" s="48">
        <f t="shared" si="89"/>
        <v>1.0541570741430546</v>
      </c>
      <c r="U454" s="48">
        <v>3.0541570741430544</v>
      </c>
      <c r="V454" s="54">
        <v>1.0541570741430546</v>
      </c>
      <c r="W454" s="49">
        <f t="shared" si="91"/>
        <v>1.9562939910050712</v>
      </c>
      <c r="X454" s="49"/>
      <c r="Y454" s="49"/>
      <c r="Z454" s="49"/>
      <c r="AQ454" s="29"/>
    </row>
    <row r="455" spans="1:44" s="28" customFormat="1" ht="12.75" customHeight="1">
      <c r="A455" s="64" t="s">
        <v>182</v>
      </c>
      <c r="B455" s="23" t="s">
        <v>183</v>
      </c>
      <c r="C455" s="77" t="s">
        <v>176</v>
      </c>
      <c r="D455" s="78">
        <v>1990</v>
      </c>
      <c r="E455" s="26">
        <v>5</v>
      </c>
      <c r="F455" s="66">
        <v>5</v>
      </c>
      <c r="G455" s="46">
        <f t="shared" si="90"/>
        <v>126.88</v>
      </c>
      <c r="H455" s="121">
        <v>809.15</v>
      </c>
      <c r="I455" s="66"/>
      <c r="J455" s="29"/>
      <c r="K455" s="80">
        <v>11.473747000000001</v>
      </c>
      <c r="O455" s="48">
        <f t="shared" si="88"/>
        <v>2.9080290384648162</v>
      </c>
      <c r="R455" s="48">
        <f t="shared" si="89"/>
        <v>1.059705269311864</v>
      </c>
      <c r="U455" s="48">
        <v>2.9080290384648162</v>
      </c>
      <c r="V455" s="54">
        <v>1.059705269311864</v>
      </c>
      <c r="W455" s="49">
        <f t="shared" si="91"/>
        <v>1.9947705090688543</v>
      </c>
      <c r="X455" s="49"/>
      <c r="Y455" s="49"/>
      <c r="Z455" s="49"/>
      <c r="AQ455" s="29"/>
    </row>
    <row r="456" spans="1:44" s="28" customFormat="1" ht="12.75" customHeight="1">
      <c r="A456" s="64" t="s">
        <v>182</v>
      </c>
      <c r="B456" s="23" t="s">
        <v>183</v>
      </c>
      <c r="C456" s="77" t="s">
        <v>176</v>
      </c>
      <c r="D456" s="78">
        <v>1990</v>
      </c>
      <c r="E456" s="26">
        <v>5</v>
      </c>
      <c r="F456" s="66">
        <v>5</v>
      </c>
      <c r="G456" s="46">
        <f t="shared" si="90"/>
        <v>126.88</v>
      </c>
      <c r="H456" s="121">
        <v>809.15</v>
      </c>
      <c r="I456" s="66"/>
      <c r="J456" s="29"/>
      <c r="K456" s="80">
        <v>24.776173000000004</v>
      </c>
      <c r="O456" s="48">
        <f t="shared" ref="O456:O519" si="96">LOG10(H456)</f>
        <v>2.9080290384648162</v>
      </c>
      <c r="R456" s="48">
        <f t="shared" ref="R456:R519" si="97">LOG10(K456)</f>
        <v>1.3940342248270587</v>
      </c>
      <c r="U456" s="48">
        <v>2.9080290384648162</v>
      </c>
      <c r="V456" s="54">
        <v>1.3940342248270587</v>
      </c>
      <c r="W456" s="49">
        <f t="shared" si="91"/>
        <v>1.6758541184029101</v>
      </c>
      <c r="X456" s="49"/>
      <c r="Y456" s="49"/>
      <c r="Z456" s="49"/>
      <c r="AQ456" s="29"/>
    </row>
    <row r="457" spans="1:44" s="28" customFormat="1" ht="12.75" customHeight="1">
      <c r="A457" s="64" t="s">
        <v>182</v>
      </c>
      <c r="B457" s="23" t="s">
        <v>183</v>
      </c>
      <c r="C457" s="77" t="s">
        <v>176</v>
      </c>
      <c r="D457" s="78">
        <v>1990</v>
      </c>
      <c r="E457" s="26">
        <v>5</v>
      </c>
      <c r="F457" s="66">
        <v>5</v>
      </c>
      <c r="G457" s="46">
        <f t="shared" si="90"/>
        <v>126.88</v>
      </c>
      <c r="H457" s="121">
        <v>809.15</v>
      </c>
      <c r="I457" s="66"/>
      <c r="J457" s="29"/>
      <c r="K457" s="80">
        <v>8.6255389999999998</v>
      </c>
      <c r="O457" s="48">
        <f t="shared" si="96"/>
        <v>2.9080290384648162</v>
      </c>
      <c r="R457" s="48">
        <f t="shared" si="97"/>
        <v>0.93578624315536985</v>
      </c>
      <c r="U457" s="48">
        <v>2.9080290384648162</v>
      </c>
      <c r="V457" s="54">
        <v>0.93578624315536985</v>
      </c>
      <c r="W457" s="49">
        <f t="shared" si="91"/>
        <v>2.1129768681195342</v>
      </c>
      <c r="X457" s="49"/>
      <c r="Y457" s="49"/>
      <c r="Z457" s="49"/>
      <c r="AQ457" s="29"/>
    </row>
    <row r="458" spans="1:44" s="28" customFormat="1" ht="12.75" customHeight="1">
      <c r="A458" s="64" t="s">
        <v>182</v>
      </c>
      <c r="B458" s="23" t="s">
        <v>183</v>
      </c>
      <c r="C458" s="77" t="s">
        <v>176</v>
      </c>
      <c r="D458" s="78">
        <v>1990</v>
      </c>
      <c r="E458" s="26">
        <v>7</v>
      </c>
      <c r="F458" s="66">
        <v>2</v>
      </c>
      <c r="G458" s="46">
        <f t="shared" si="90"/>
        <v>184.82</v>
      </c>
      <c r="H458" s="121">
        <v>2751.11</v>
      </c>
      <c r="I458" s="66"/>
      <c r="J458" s="29"/>
      <c r="K458" s="80">
        <v>17.542372</v>
      </c>
      <c r="O458" s="48">
        <f t="shared" si="96"/>
        <v>3.4395079555070716</v>
      </c>
      <c r="R458" s="48">
        <f t="shared" si="97"/>
        <v>1.2440883163311658</v>
      </c>
      <c r="U458" s="48">
        <v>3.4395079555070716</v>
      </c>
      <c r="V458" s="54">
        <v>1.2440883163311658</v>
      </c>
      <c r="W458" s="49">
        <f t="shared" si="91"/>
        <v>1.6596965104816277</v>
      </c>
      <c r="X458" s="49"/>
      <c r="Y458" s="49"/>
      <c r="Z458" s="49"/>
      <c r="AQ458" s="29"/>
    </row>
    <row r="459" spans="1:44" s="28" customFormat="1" ht="12.75" customHeight="1">
      <c r="A459" s="64" t="s">
        <v>182</v>
      </c>
      <c r="B459" s="23" t="s">
        <v>183</v>
      </c>
      <c r="C459" s="77" t="s">
        <v>176</v>
      </c>
      <c r="D459" s="78">
        <v>1990</v>
      </c>
      <c r="E459" s="26">
        <v>7</v>
      </c>
      <c r="F459" s="66">
        <v>2</v>
      </c>
      <c r="G459" s="46">
        <f t="shared" si="90"/>
        <v>184.82</v>
      </c>
      <c r="H459" s="121">
        <v>2103.79</v>
      </c>
      <c r="I459" s="66"/>
      <c r="J459" s="29"/>
      <c r="K459" s="80">
        <v>13.982112000000003</v>
      </c>
      <c r="O459" s="48">
        <f t="shared" si="96"/>
        <v>3.3230023864356344</v>
      </c>
      <c r="R459" s="48">
        <f t="shared" si="97"/>
        <v>1.1455727766076909</v>
      </c>
      <c r="U459" s="48">
        <v>3.3230023864356344</v>
      </c>
      <c r="V459" s="54">
        <v>1.1455727766076909</v>
      </c>
      <c r="W459" s="49">
        <f t="shared" si="91"/>
        <v>1.788566767797745</v>
      </c>
      <c r="X459" s="49"/>
      <c r="Y459" s="49"/>
      <c r="Z459" s="49"/>
      <c r="AQ459" s="29"/>
    </row>
    <row r="460" spans="1:44" s="28" customFormat="1" ht="12.75" customHeight="1">
      <c r="A460" s="64" t="s">
        <v>182</v>
      </c>
      <c r="B460" s="23" t="s">
        <v>183</v>
      </c>
      <c r="C460" s="77" t="s">
        <v>176</v>
      </c>
      <c r="D460" s="78">
        <v>1990</v>
      </c>
      <c r="E460" s="26">
        <v>7</v>
      </c>
      <c r="F460" s="66">
        <v>2</v>
      </c>
      <c r="G460" s="46">
        <f t="shared" si="90"/>
        <v>184.82</v>
      </c>
      <c r="H460" s="121">
        <v>2589.2800000000002</v>
      </c>
      <c r="I460" s="66"/>
      <c r="J460" s="29"/>
      <c r="K460" s="80">
        <v>21.361560000000004</v>
      </c>
      <c r="O460" s="48">
        <f t="shared" si="96"/>
        <v>3.4131790167847225</v>
      </c>
      <c r="R460" s="48">
        <f t="shared" si="97"/>
        <v>1.3296329653346475</v>
      </c>
      <c r="U460" s="48">
        <v>3.4131790167847225</v>
      </c>
      <c r="V460" s="54">
        <v>1.3296329653346475</v>
      </c>
      <c r="W460" s="49">
        <f t="shared" si="91"/>
        <v>1.5859816346364426</v>
      </c>
      <c r="X460" s="49"/>
      <c r="Y460" s="49"/>
      <c r="Z460" s="49"/>
      <c r="AQ460" s="29"/>
    </row>
    <row r="461" spans="1:44" s="28" customFormat="1" ht="12.75" customHeight="1">
      <c r="A461" s="64" t="s">
        <v>182</v>
      </c>
      <c r="B461" s="23" t="s">
        <v>183</v>
      </c>
      <c r="C461" s="77" t="s">
        <v>176</v>
      </c>
      <c r="D461" s="78">
        <v>1990</v>
      </c>
      <c r="E461" s="26">
        <v>7</v>
      </c>
      <c r="F461" s="66">
        <v>2</v>
      </c>
      <c r="G461" s="46">
        <f t="shared" si="90"/>
        <v>184.82</v>
      </c>
      <c r="H461" s="121">
        <v>2265.62</v>
      </c>
      <c r="I461" s="66"/>
      <c r="J461" s="29"/>
      <c r="K461" s="80">
        <v>16.717039000000003</v>
      </c>
      <c r="O461" s="48">
        <f t="shared" si="96"/>
        <v>3.3551870698070356</v>
      </c>
      <c r="R461" s="48">
        <f t="shared" si="97"/>
        <v>1.2231593556484182</v>
      </c>
      <c r="U461" s="48">
        <v>3.3551870698070356</v>
      </c>
      <c r="V461" s="54">
        <v>1.2231593556484182</v>
      </c>
      <c r="W461" s="49">
        <f t="shared" si="91"/>
        <v>1.7049168256378493</v>
      </c>
      <c r="X461" s="49"/>
      <c r="Y461" s="49"/>
      <c r="Z461" s="49"/>
      <c r="AQ461" s="29"/>
    </row>
    <row r="462" spans="1:44" s="28" customFormat="1" ht="12.75" customHeight="1">
      <c r="A462" s="64" t="s">
        <v>182</v>
      </c>
      <c r="B462" s="23" t="s">
        <v>183</v>
      </c>
      <c r="C462" s="77" t="s">
        <v>176</v>
      </c>
      <c r="D462" s="78">
        <v>1990</v>
      </c>
      <c r="E462" s="26">
        <v>9</v>
      </c>
      <c r="F462" s="66">
        <v>10</v>
      </c>
      <c r="G462" s="46">
        <f t="shared" si="90"/>
        <v>253.76</v>
      </c>
      <c r="H462" s="121">
        <v>2103.79</v>
      </c>
      <c r="I462" s="66"/>
      <c r="J462" s="29"/>
      <c r="K462" s="80">
        <v>28.093688000000004</v>
      </c>
      <c r="O462" s="48">
        <f t="shared" si="96"/>
        <v>3.3230023864356344</v>
      </c>
      <c r="R462" s="48">
        <f t="shared" si="97"/>
        <v>1.4486087549692708</v>
      </c>
      <c r="U462" s="48">
        <v>3.3230023864356344</v>
      </c>
      <c r="V462" s="54">
        <v>1.4486087549692708</v>
      </c>
      <c r="W462" s="49">
        <f t="shared" si="91"/>
        <v>1.499500748038634</v>
      </c>
      <c r="X462" s="49"/>
      <c r="Y462" s="49"/>
      <c r="Z462" s="49"/>
      <c r="AQ462" s="29"/>
    </row>
    <row r="463" spans="1:44" s="28" customFormat="1" ht="12.75" customHeight="1">
      <c r="A463" s="64" t="s">
        <v>182</v>
      </c>
      <c r="B463" s="23" t="s">
        <v>183</v>
      </c>
      <c r="C463" s="77" t="s">
        <v>176</v>
      </c>
      <c r="D463" s="78">
        <v>1990</v>
      </c>
      <c r="E463" s="26">
        <v>9</v>
      </c>
      <c r="F463" s="66">
        <v>10</v>
      </c>
      <c r="G463" s="46">
        <f t="shared" si="90"/>
        <v>253.76</v>
      </c>
      <c r="H463" s="121">
        <v>2265.62</v>
      </c>
      <c r="I463" s="66"/>
      <c r="J463" s="29"/>
      <c r="K463" s="80">
        <v>31.475935000000003</v>
      </c>
      <c r="O463" s="48">
        <f t="shared" si="96"/>
        <v>3.3551870698070356</v>
      </c>
      <c r="R463" s="48">
        <f t="shared" si="97"/>
        <v>1.4979786397905241</v>
      </c>
      <c r="U463" s="48">
        <v>3.3551870698070356</v>
      </c>
      <c r="V463" s="54">
        <v>1.4979786397905241</v>
      </c>
      <c r="W463" s="49">
        <f t="shared" si="91"/>
        <v>1.4427667104946944</v>
      </c>
      <c r="X463" s="49"/>
      <c r="Y463" s="49"/>
      <c r="Z463" s="49"/>
      <c r="AQ463" s="29"/>
    </row>
    <row r="464" spans="1:44" s="28" customFormat="1" ht="12.75" customHeight="1">
      <c r="A464" s="64" t="s">
        <v>182</v>
      </c>
      <c r="B464" s="23" t="s">
        <v>183</v>
      </c>
      <c r="C464" s="77" t="s">
        <v>176</v>
      </c>
      <c r="D464" s="78">
        <v>1990</v>
      </c>
      <c r="E464" s="26">
        <v>9</v>
      </c>
      <c r="F464" s="66">
        <v>10</v>
      </c>
      <c r="G464" s="46">
        <f t="shared" si="90"/>
        <v>253.76</v>
      </c>
      <c r="H464" s="121">
        <v>3560.26</v>
      </c>
      <c r="I464" s="66"/>
      <c r="J464" s="29"/>
      <c r="K464" s="80">
        <v>29.016119</v>
      </c>
      <c r="O464" s="48">
        <f t="shared" si="96"/>
        <v>3.5514817149510036</v>
      </c>
      <c r="R464" s="48">
        <f t="shared" si="97"/>
        <v>1.4626393236909805</v>
      </c>
      <c r="U464" s="48">
        <v>3.5514817149510036</v>
      </c>
      <c r="V464" s="54">
        <v>1.4626393236909805</v>
      </c>
      <c r="W464" s="49">
        <f t="shared" si="91"/>
        <v>1.4176818090531602</v>
      </c>
      <c r="X464" s="49"/>
      <c r="Y464" s="49"/>
      <c r="Z464" s="49"/>
      <c r="AQ464" s="29"/>
    </row>
    <row r="465" spans="1:43" s="28" customFormat="1" ht="12.75" customHeight="1">
      <c r="A465" s="64" t="s">
        <v>182</v>
      </c>
      <c r="B465" s="23" t="s">
        <v>183</v>
      </c>
      <c r="C465" s="77" t="s">
        <v>176</v>
      </c>
      <c r="D465" s="78">
        <v>1990</v>
      </c>
      <c r="E465" s="26">
        <v>9</v>
      </c>
      <c r="F465" s="66">
        <v>10</v>
      </c>
      <c r="G465" s="46">
        <f t="shared" si="90"/>
        <v>253.76</v>
      </c>
      <c r="H465" s="121">
        <v>4045.75</v>
      </c>
      <c r="I465" s="66"/>
      <c r="J465" s="29"/>
      <c r="K465" s="80">
        <v>26.993244000000004</v>
      </c>
      <c r="O465" s="48">
        <f t="shared" si="96"/>
        <v>3.6069990428008354</v>
      </c>
      <c r="R465" s="48">
        <f t="shared" si="97"/>
        <v>1.4312550804305175</v>
      </c>
      <c r="U465" s="48">
        <v>3.6069990428008354</v>
      </c>
      <c r="V465" s="54">
        <v>1.4312550804305175</v>
      </c>
      <c r="W465" s="49">
        <f t="shared" si="91"/>
        <v>1.4309904332820262</v>
      </c>
      <c r="X465" s="49"/>
      <c r="Y465" s="49"/>
      <c r="Z465" s="49"/>
      <c r="AQ465" s="29"/>
    </row>
    <row r="466" spans="1:43" s="28" customFormat="1" ht="12.75" customHeight="1">
      <c r="A466" s="64" t="s">
        <v>182</v>
      </c>
      <c r="B466" s="23" t="s">
        <v>183</v>
      </c>
      <c r="C466" s="77" t="s">
        <v>176</v>
      </c>
      <c r="D466" s="78">
        <v>1990</v>
      </c>
      <c r="E466" s="26">
        <v>11</v>
      </c>
      <c r="F466" s="66">
        <v>13</v>
      </c>
      <c r="G466" s="46">
        <f t="shared" si="90"/>
        <v>317.7</v>
      </c>
      <c r="H466" s="120">
        <v>2427.4499999999998</v>
      </c>
      <c r="I466" s="66"/>
      <c r="J466" s="81"/>
      <c r="K466" s="80">
        <v>12.396178000000001</v>
      </c>
      <c r="O466" s="48">
        <f t="shared" si="96"/>
        <v>3.3851502931844788</v>
      </c>
      <c r="R466" s="48">
        <f t="shared" si="97"/>
        <v>1.0932878037614016</v>
      </c>
      <c r="U466" s="48">
        <v>3.3851502931844788</v>
      </c>
      <c r="V466" s="54">
        <v>1.0932878037614016</v>
      </c>
      <c r="W466" s="49">
        <f t="shared" si="91"/>
        <v>1.8198265764860353</v>
      </c>
      <c r="X466" s="49"/>
      <c r="Y466" s="49"/>
      <c r="Z466" s="49"/>
      <c r="AQ466" s="29"/>
    </row>
    <row r="467" spans="1:43" s="28" customFormat="1" ht="12.75" customHeight="1">
      <c r="A467" s="64" t="s">
        <v>182</v>
      </c>
      <c r="B467" s="23" t="s">
        <v>183</v>
      </c>
      <c r="C467" s="77" t="s">
        <v>176</v>
      </c>
      <c r="D467" s="78">
        <v>1990</v>
      </c>
      <c r="E467" s="26">
        <v>11</v>
      </c>
      <c r="F467" s="66">
        <v>13</v>
      </c>
      <c r="G467" s="46">
        <f t="shared" si="90"/>
        <v>317.7</v>
      </c>
      <c r="H467" s="120">
        <v>2427.4499999999998</v>
      </c>
      <c r="I467" s="66"/>
      <c r="J467" s="81"/>
      <c r="K467" s="80">
        <v>9.4346890000000005</v>
      </c>
      <c r="O467" s="48">
        <f t="shared" si="96"/>
        <v>3.3851502931844788</v>
      </c>
      <c r="R467" s="48">
        <f t="shared" si="97"/>
        <v>0.97472758888781164</v>
      </c>
      <c r="U467" s="48">
        <v>3.3851502931844788</v>
      </c>
      <c r="V467" s="54">
        <v>0.97472758888781164</v>
      </c>
      <c r="W467" s="49">
        <f t="shared" si="91"/>
        <v>1.9329211654539526</v>
      </c>
      <c r="X467" s="49"/>
      <c r="Y467" s="49"/>
      <c r="Z467" s="49"/>
      <c r="AQ467" s="29"/>
    </row>
    <row r="468" spans="1:43" s="28" customFormat="1" ht="12.75" customHeight="1">
      <c r="A468" s="64" t="s">
        <v>182</v>
      </c>
      <c r="B468" s="23" t="s">
        <v>183</v>
      </c>
      <c r="C468" s="77" t="s">
        <v>176</v>
      </c>
      <c r="D468" s="78">
        <v>1990</v>
      </c>
      <c r="E468" s="26">
        <v>11</v>
      </c>
      <c r="F468" s="66">
        <v>13</v>
      </c>
      <c r="G468" s="46">
        <f t="shared" si="90"/>
        <v>317.7</v>
      </c>
      <c r="H468" s="120">
        <v>2103.79</v>
      </c>
      <c r="I468" s="66"/>
      <c r="J468" s="81"/>
      <c r="K468" s="80">
        <v>13.286243000000002</v>
      </c>
      <c r="O468" s="48">
        <f t="shared" si="96"/>
        <v>3.3230023864356344</v>
      </c>
      <c r="R468" s="48">
        <f t="shared" si="97"/>
        <v>1.1234021912482384</v>
      </c>
      <c r="U468" s="48">
        <v>3.3230023864356344</v>
      </c>
      <c r="V468" s="54">
        <v>1.1234021912482384</v>
      </c>
      <c r="W468" s="49">
        <f t="shared" si="91"/>
        <v>1.8097152891721267</v>
      </c>
      <c r="X468" s="49"/>
      <c r="Y468" s="49"/>
      <c r="Z468" s="49"/>
      <c r="AQ468" s="29"/>
    </row>
    <row r="469" spans="1:43" s="28" customFormat="1" ht="12.75" customHeight="1">
      <c r="A469" s="64" t="s">
        <v>182</v>
      </c>
      <c r="B469" s="23" t="s">
        <v>183</v>
      </c>
      <c r="C469" s="77" t="s">
        <v>176</v>
      </c>
      <c r="D469" s="78">
        <v>1990</v>
      </c>
      <c r="E469" s="26">
        <v>11</v>
      </c>
      <c r="F469" s="66">
        <v>13</v>
      </c>
      <c r="G469" s="46">
        <f t="shared" si="90"/>
        <v>317.7</v>
      </c>
      <c r="H469" s="120">
        <v>3236.6</v>
      </c>
      <c r="I469" s="66"/>
      <c r="J469" s="81"/>
      <c r="K469" s="80">
        <v>14.451419000000001</v>
      </c>
      <c r="O469" s="48">
        <f t="shared" si="96"/>
        <v>3.5100890297927787</v>
      </c>
      <c r="R469" s="48">
        <f t="shared" si="97"/>
        <v>1.1599104930173441</v>
      </c>
      <c r="U469" s="48">
        <v>3.5100890297927787</v>
      </c>
      <c r="V469" s="54">
        <v>1.1599104930173441</v>
      </c>
      <c r="W469" s="49">
        <f t="shared" si="91"/>
        <v>1.7188529680976852</v>
      </c>
      <c r="X469" s="49"/>
      <c r="Y469" s="49"/>
      <c r="Z469" s="49"/>
      <c r="AQ469" s="29"/>
    </row>
    <row r="470" spans="1:43" s="28" customFormat="1" ht="12.75" customHeight="1">
      <c r="A470" s="64" t="s">
        <v>182</v>
      </c>
      <c r="B470" s="23" t="s">
        <v>183</v>
      </c>
      <c r="C470" s="77" t="s">
        <v>176</v>
      </c>
      <c r="D470" s="78">
        <v>1991</v>
      </c>
      <c r="E470" s="26">
        <v>2</v>
      </c>
      <c r="F470" s="66">
        <v>8</v>
      </c>
      <c r="G470" s="46">
        <f t="shared" si="90"/>
        <v>38.47</v>
      </c>
      <c r="H470" s="121">
        <v>1132.81</v>
      </c>
      <c r="I470" s="66"/>
      <c r="J470" s="29"/>
      <c r="K470" s="80">
        <v>5.3403900000000011</v>
      </c>
      <c r="O470" s="48">
        <f t="shared" si="96"/>
        <v>3.0541570741430544</v>
      </c>
      <c r="R470" s="48">
        <f t="shared" si="97"/>
        <v>0.72757297400668508</v>
      </c>
      <c r="U470" s="48">
        <v>3.0541570741430544</v>
      </c>
      <c r="V470" s="54">
        <v>0.72757297400668508</v>
      </c>
      <c r="W470" s="49">
        <f t="shared" si="91"/>
        <v>2.2678225641251544</v>
      </c>
      <c r="X470" s="49"/>
      <c r="Y470" s="49"/>
      <c r="Z470" s="49"/>
      <c r="AQ470" s="29"/>
    </row>
    <row r="471" spans="1:43" s="28" customFormat="1" ht="12.75" customHeight="1">
      <c r="A471" s="64" t="s">
        <v>182</v>
      </c>
      <c r="B471" s="23" t="s">
        <v>183</v>
      </c>
      <c r="C471" s="77" t="s">
        <v>176</v>
      </c>
      <c r="D471" s="78">
        <v>1991</v>
      </c>
      <c r="E471" s="26">
        <v>2</v>
      </c>
      <c r="F471" s="66">
        <v>8</v>
      </c>
      <c r="G471" s="46">
        <f t="shared" si="90"/>
        <v>38.47</v>
      </c>
      <c r="H471" s="121">
        <v>1456.47</v>
      </c>
      <c r="I471" s="66"/>
      <c r="J471" s="29"/>
      <c r="K471" s="80">
        <v>9.4185060000000007</v>
      </c>
      <c r="O471" s="48">
        <f t="shared" si="96"/>
        <v>3.1633015435681227</v>
      </c>
      <c r="R471" s="48">
        <f t="shared" si="97"/>
        <v>0.97398201877868607</v>
      </c>
      <c r="U471" s="48">
        <v>3.1633015435681227</v>
      </c>
      <c r="V471" s="54">
        <v>0.97398201877868607</v>
      </c>
      <c r="W471" s="49">
        <f t="shared" si="91"/>
        <v>2.0000815227703868</v>
      </c>
      <c r="X471" s="49"/>
      <c r="Y471" s="49"/>
      <c r="Z471" s="49"/>
      <c r="AQ471" s="29"/>
    </row>
    <row r="472" spans="1:43" s="28" customFormat="1" ht="12.75" customHeight="1">
      <c r="A472" s="64" t="s">
        <v>182</v>
      </c>
      <c r="B472" s="23" t="s">
        <v>183</v>
      </c>
      <c r="C472" s="77" t="s">
        <v>176</v>
      </c>
      <c r="D472" s="78">
        <v>1991</v>
      </c>
      <c r="E472" s="26">
        <v>2</v>
      </c>
      <c r="F472" s="66">
        <v>8</v>
      </c>
      <c r="G472" s="46">
        <f t="shared" si="90"/>
        <v>38.47</v>
      </c>
      <c r="H472" s="121">
        <v>3722.09</v>
      </c>
      <c r="I472" s="66"/>
      <c r="J472" s="29"/>
      <c r="K472" s="80">
        <v>8.0915000000000017</v>
      </c>
      <c r="O472" s="48">
        <f t="shared" si="96"/>
        <v>3.5707868701463905</v>
      </c>
      <c r="R472" s="48">
        <f t="shared" si="97"/>
        <v>0.90802903846481642</v>
      </c>
      <c r="U472" s="48">
        <v>3.5707868701463905</v>
      </c>
      <c r="V472" s="54">
        <v>0.90802903846481642</v>
      </c>
      <c r="W472" s="49">
        <f t="shared" si="91"/>
        <v>1.9409421912425617</v>
      </c>
      <c r="X472" s="49"/>
      <c r="Y472" s="49"/>
      <c r="Z472" s="49"/>
      <c r="AQ472" s="29"/>
    </row>
    <row r="473" spans="1:43" s="28" customFormat="1" ht="12.75" customHeight="1">
      <c r="A473" s="64" t="s">
        <v>182</v>
      </c>
      <c r="B473" s="23" t="s">
        <v>183</v>
      </c>
      <c r="C473" s="77" t="s">
        <v>176</v>
      </c>
      <c r="D473" s="78">
        <v>1991</v>
      </c>
      <c r="E473" s="26">
        <v>2</v>
      </c>
      <c r="F473" s="66">
        <v>8</v>
      </c>
      <c r="G473" s="46">
        <f t="shared" si="90"/>
        <v>38.47</v>
      </c>
      <c r="H473" s="121">
        <v>647.32000000000005</v>
      </c>
      <c r="I473" s="66"/>
      <c r="J473" s="29"/>
      <c r="K473" s="80">
        <v>3.6088090000000004</v>
      </c>
      <c r="O473" s="48">
        <f t="shared" si="96"/>
        <v>2.81111902545676</v>
      </c>
      <c r="R473" s="48">
        <f t="shared" si="97"/>
        <v>0.55736389717695822</v>
      </c>
      <c r="U473" s="48">
        <v>2.81111902545676</v>
      </c>
      <c r="V473" s="54">
        <v>0.55736389717695822</v>
      </c>
      <c r="W473" s="49">
        <f t="shared" si="91"/>
        <v>2.5029808768305735</v>
      </c>
      <c r="X473" s="49"/>
      <c r="Y473" s="49"/>
      <c r="Z473" s="49"/>
      <c r="AQ473" s="29"/>
    </row>
    <row r="474" spans="1:43" s="28" customFormat="1" ht="12.75" customHeight="1">
      <c r="A474" s="64" t="s">
        <v>182</v>
      </c>
      <c r="B474" s="23" t="s">
        <v>183</v>
      </c>
      <c r="C474" s="77" t="s">
        <v>176</v>
      </c>
      <c r="D474" s="78">
        <v>1991</v>
      </c>
      <c r="E474" s="26">
        <v>4</v>
      </c>
      <c r="F474" s="66">
        <v>8</v>
      </c>
      <c r="G474" s="46">
        <f t="shared" si="90"/>
        <v>99.41</v>
      </c>
      <c r="H474" s="121">
        <v>1294.6400000000001</v>
      </c>
      <c r="I474" s="66"/>
      <c r="J474" s="29"/>
      <c r="K474" s="80">
        <v>8.7064540000000008</v>
      </c>
      <c r="O474" s="48">
        <f t="shared" si="96"/>
        <v>3.1121490211207412</v>
      </c>
      <c r="R474" s="48">
        <f t="shared" si="97"/>
        <v>0.93984130979518676</v>
      </c>
      <c r="U474" s="48">
        <v>3.1121490211207412</v>
      </c>
      <c r="V474" s="54">
        <v>0.93984130979518676</v>
      </c>
      <c r="W474" s="49">
        <f t="shared" si="91"/>
        <v>2.0479697838947897</v>
      </c>
      <c r="X474" s="49"/>
      <c r="Y474" s="49"/>
      <c r="Z474" s="49"/>
      <c r="AQ474" s="29"/>
    </row>
    <row r="475" spans="1:43" s="28" customFormat="1" ht="12.75" customHeight="1">
      <c r="A475" s="64" t="s">
        <v>182</v>
      </c>
      <c r="B475" s="23" t="s">
        <v>183</v>
      </c>
      <c r="C475" s="77" t="s">
        <v>176</v>
      </c>
      <c r="D475" s="78">
        <v>1991</v>
      </c>
      <c r="E475" s="26">
        <v>4</v>
      </c>
      <c r="F475" s="66">
        <v>8</v>
      </c>
      <c r="G475" s="46">
        <f t="shared" si="90"/>
        <v>99.41</v>
      </c>
      <c r="H475" s="121">
        <v>1294.6400000000001</v>
      </c>
      <c r="I475" s="66"/>
      <c r="J475" s="29"/>
      <c r="K475" s="80">
        <v>9.4994210000000017</v>
      </c>
      <c r="O475" s="48">
        <f t="shared" si="96"/>
        <v>3.1121490211207412</v>
      </c>
      <c r="R475" s="48">
        <f t="shared" si="97"/>
        <v>0.97769713537641212</v>
      </c>
      <c r="U475" s="48">
        <v>3.1121490211207412</v>
      </c>
      <c r="V475" s="54">
        <v>0.97769713537641212</v>
      </c>
      <c r="W475" s="49">
        <f t="shared" si="91"/>
        <v>2.0118591118728584</v>
      </c>
      <c r="X475" s="49"/>
      <c r="Y475" s="49"/>
      <c r="Z475" s="49"/>
      <c r="AQ475" s="29"/>
    </row>
    <row r="476" spans="1:43" s="28" customFormat="1" ht="12.75" customHeight="1">
      <c r="A476" s="64" t="s">
        <v>182</v>
      </c>
      <c r="B476" s="23" t="s">
        <v>183</v>
      </c>
      <c r="C476" s="77" t="s">
        <v>176</v>
      </c>
      <c r="D476" s="78">
        <v>1991</v>
      </c>
      <c r="E476" s="26">
        <v>4</v>
      </c>
      <c r="F476" s="66">
        <v>8</v>
      </c>
      <c r="G476" s="46">
        <f t="shared" si="90"/>
        <v>99.41</v>
      </c>
      <c r="H476" s="121">
        <v>1456.47</v>
      </c>
      <c r="I476" s="66"/>
      <c r="J476" s="29"/>
      <c r="K476" s="80">
        <v>12.509459</v>
      </c>
      <c r="O476" s="48">
        <f t="shared" si="96"/>
        <v>3.1633015435681227</v>
      </c>
      <c r="R476" s="48">
        <f t="shared" si="97"/>
        <v>1.0972385280471224</v>
      </c>
      <c r="U476" s="48">
        <v>3.1633015435681227</v>
      </c>
      <c r="V476" s="54">
        <v>1.0972385280471224</v>
      </c>
      <c r="W476" s="49">
        <f t="shared" si="91"/>
        <v>1.8825071385792256</v>
      </c>
      <c r="X476" s="49"/>
      <c r="Y476" s="49"/>
      <c r="Z476" s="49"/>
      <c r="AQ476" s="29"/>
    </row>
    <row r="477" spans="1:43" s="28" customFormat="1" ht="12.75" customHeight="1">
      <c r="A477" s="64" t="s">
        <v>182</v>
      </c>
      <c r="B477" s="23" t="s">
        <v>183</v>
      </c>
      <c r="C477" s="77" t="s">
        <v>176</v>
      </c>
      <c r="D477" s="78">
        <v>1991</v>
      </c>
      <c r="E477" s="26">
        <v>4</v>
      </c>
      <c r="F477" s="66">
        <v>8</v>
      </c>
      <c r="G477" s="46">
        <f t="shared" si="90"/>
        <v>99.41</v>
      </c>
      <c r="H477" s="121">
        <v>1132.81</v>
      </c>
      <c r="I477" s="66"/>
      <c r="J477" s="29"/>
      <c r="K477" s="80">
        <v>10.405669</v>
      </c>
      <c r="O477" s="48">
        <f t="shared" si="96"/>
        <v>3.0541570741430544</v>
      </c>
      <c r="R477" s="48">
        <f t="shared" si="97"/>
        <v>1.0172700070530196</v>
      </c>
      <c r="U477" s="48">
        <v>3.0541570741430544</v>
      </c>
      <c r="V477" s="54">
        <v>1.0172700070530196</v>
      </c>
      <c r="W477" s="49">
        <f t="shared" si="91"/>
        <v>1.9914805643022557</v>
      </c>
      <c r="X477" s="49"/>
      <c r="Y477" s="49"/>
      <c r="Z477" s="49"/>
      <c r="AQ477" s="29"/>
    </row>
    <row r="478" spans="1:43" s="28" customFormat="1" ht="12.75" customHeight="1">
      <c r="A478" s="64" t="s">
        <v>182</v>
      </c>
      <c r="B478" s="23" t="s">
        <v>183</v>
      </c>
      <c r="C478" s="77" t="s">
        <v>176</v>
      </c>
      <c r="D478" s="78">
        <v>1991</v>
      </c>
      <c r="E478" s="26">
        <v>5</v>
      </c>
      <c r="F478" s="66">
        <v>21</v>
      </c>
      <c r="G478" s="46">
        <f t="shared" si="90"/>
        <v>142.88</v>
      </c>
      <c r="H478" s="121">
        <v>485.49</v>
      </c>
      <c r="I478" s="66"/>
      <c r="J478" s="29"/>
      <c r="K478" s="80">
        <v>5.3889390000000006</v>
      </c>
      <c r="O478" s="48">
        <f t="shared" si="96"/>
        <v>2.6861802888484601</v>
      </c>
      <c r="R478" s="48">
        <f t="shared" si="97"/>
        <v>0.73150326763511753</v>
      </c>
      <c r="U478" s="48">
        <v>2.6861802888484601</v>
      </c>
      <c r="V478" s="54">
        <v>0.73150326763511753</v>
      </c>
      <c r="W478" s="49">
        <f t="shared" si="91"/>
        <v>2.3742915564576417</v>
      </c>
      <c r="X478" s="49"/>
      <c r="Y478" s="49"/>
      <c r="Z478" s="49"/>
      <c r="AQ478" s="29"/>
    </row>
    <row r="479" spans="1:43" s="28" customFormat="1" ht="12.75" customHeight="1">
      <c r="A479" s="64" t="s">
        <v>182</v>
      </c>
      <c r="B479" s="23" t="s">
        <v>183</v>
      </c>
      <c r="C479" s="77" t="s">
        <v>176</v>
      </c>
      <c r="D479" s="78">
        <v>1991</v>
      </c>
      <c r="E479" s="26">
        <v>5</v>
      </c>
      <c r="F479" s="66">
        <v>21</v>
      </c>
      <c r="G479" s="46">
        <f t="shared" si="90"/>
        <v>142.88</v>
      </c>
      <c r="H479" s="121">
        <v>970.98</v>
      </c>
      <c r="I479" s="66"/>
      <c r="J479" s="29"/>
      <c r="K479" s="80">
        <v>24.2745</v>
      </c>
      <c r="O479" s="48">
        <f t="shared" si="96"/>
        <v>2.9872102845124413</v>
      </c>
      <c r="R479" s="48">
        <f t="shared" si="97"/>
        <v>1.3851502931844788</v>
      </c>
      <c r="U479" s="48">
        <v>2.9872102845124413</v>
      </c>
      <c r="V479" s="54">
        <v>1.3851502931844788</v>
      </c>
      <c r="W479" s="49">
        <f t="shared" si="91"/>
        <v>1.6606117697468508</v>
      </c>
      <c r="X479" s="49"/>
      <c r="Y479" s="49"/>
      <c r="Z479" s="49"/>
      <c r="AQ479" s="29"/>
    </row>
    <row r="480" spans="1:43" s="28" customFormat="1" ht="12.75" customHeight="1">
      <c r="A480" s="64" t="s">
        <v>182</v>
      </c>
      <c r="B480" s="23" t="s">
        <v>183</v>
      </c>
      <c r="C480" s="77" t="s">
        <v>176</v>
      </c>
      <c r="D480" s="78">
        <v>1991</v>
      </c>
      <c r="E480" s="26">
        <v>5</v>
      </c>
      <c r="F480" s="66">
        <v>21</v>
      </c>
      <c r="G480" s="46">
        <f t="shared" si="90"/>
        <v>142.88</v>
      </c>
      <c r="H480" s="121">
        <v>2265.62</v>
      </c>
      <c r="I480" s="66"/>
      <c r="J480" s="29"/>
      <c r="K480" s="80">
        <v>110.04440000000001</v>
      </c>
      <c r="O480" s="48">
        <f t="shared" si="96"/>
        <v>3.3551870698070356</v>
      </c>
      <c r="R480" s="48">
        <f t="shared" si="97"/>
        <v>2.0415679468350341</v>
      </c>
      <c r="U480" s="48">
        <v>3.3551870698070356</v>
      </c>
      <c r="V480" s="54">
        <v>2.0415679468350341</v>
      </c>
      <c r="W480" s="49">
        <f t="shared" si="91"/>
        <v>0.92423687050493653</v>
      </c>
      <c r="X480" s="49"/>
      <c r="Y480" s="49"/>
      <c r="Z480" s="49"/>
      <c r="AQ480" s="29"/>
    </row>
    <row r="481" spans="1:43" s="28" customFormat="1" ht="12.75" customHeight="1">
      <c r="A481" s="64" t="s">
        <v>182</v>
      </c>
      <c r="B481" s="23" t="s">
        <v>183</v>
      </c>
      <c r="C481" s="77" t="s">
        <v>176</v>
      </c>
      <c r="D481" s="78">
        <v>1991</v>
      </c>
      <c r="E481" s="26">
        <v>5</v>
      </c>
      <c r="F481" s="66">
        <v>21</v>
      </c>
      <c r="G481" s="46">
        <f t="shared" si="90"/>
        <v>142.88</v>
      </c>
      <c r="H481" s="121">
        <v>1456.47</v>
      </c>
      <c r="I481" s="66"/>
      <c r="J481" s="29"/>
      <c r="K481" s="80">
        <v>10.810244000000001</v>
      </c>
      <c r="O481" s="48">
        <f t="shared" si="96"/>
        <v>3.1633015435681227</v>
      </c>
      <c r="R481" s="48">
        <f t="shared" si="97"/>
        <v>1.0338354966043433</v>
      </c>
      <c r="U481" s="48">
        <v>3.1633015435681227</v>
      </c>
      <c r="V481" s="54">
        <v>1.0338354966043433</v>
      </c>
      <c r="W481" s="49">
        <f t="shared" si="91"/>
        <v>1.9429872902724925</v>
      </c>
      <c r="X481" s="49"/>
      <c r="Y481" s="49"/>
      <c r="Z481" s="49"/>
      <c r="AQ481" s="29"/>
    </row>
    <row r="482" spans="1:43" s="28" customFormat="1" ht="12.75" customHeight="1">
      <c r="A482" s="64" t="s">
        <v>182</v>
      </c>
      <c r="B482" s="23" t="s">
        <v>183</v>
      </c>
      <c r="C482" s="77" t="s">
        <v>176</v>
      </c>
      <c r="D482" s="78">
        <v>1991</v>
      </c>
      <c r="E482" s="26">
        <v>7</v>
      </c>
      <c r="F482" s="66">
        <v>16</v>
      </c>
      <c r="G482" s="46">
        <f t="shared" si="90"/>
        <v>198.82</v>
      </c>
      <c r="H482" s="121">
        <v>2589.2800000000002</v>
      </c>
      <c r="I482" s="66"/>
      <c r="J482" s="29"/>
      <c r="K482" s="80">
        <v>21.523390000000003</v>
      </c>
      <c r="O482" s="48">
        <f t="shared" si="96"/>
        <v>3.4131790167847225</v>
      </c>
      <c r="R482" s="48">
        <f t="shared" si="97"/>
        <v>1.3329106750958835</v>
      </c>
      <c r="U482" s="48">
        <v>3.4131790167847225</v>
      </c>
      <c r="V482" s="54">
        <v>1.3329106750958835</v>
      </c>
      <c r="W482" s="49">
        <f t="shared" si="91"/>
        <v>1.5828550272951996</v>
      </c>
      <c r="X482" s="49"/>
      <c r="Y482" s="49"/>
      <c r="Z482" s="49"/>
      <c r="AQ482" s="29"/>
    </row>
    <row r="483" spans="1:43" s="28" customFormat="1" ht="12.75" customHeight="1">
      <c r="A483" s="64" t="s">
        <v>182</v>
      </c>
      <c r="B483" s="23" t="s">
        <v>183</v>
      </c>
      <c r="C483" s="77" t="s">
        <v>176</v>
      </c>
      <c r="D483" s="78">
        <v>1991</v>
      </c>
      <c r="E483" s="26">
        <v>7</v>
      </c>
      <c r="F483" s="66">
        <v>16</v>
      </c>
      <c r="G483" s="46">
        <f t="shared" si="90"/>
        <v>198.82</v>
      </c>
      <c r="H483" s="121">
        <v>3398.43</v>
      </c>
      <c r="I483" s="66"/>
      <c r="J483" s="29"/>
      <c r="K483" s="80">
        <v>23.174056</v>
      </c>
      <c r="O483" s="48">
        <f t="shared" si="96"/>
        <v>3.531278328862717</v>
      </c>
      <c r="R483" s="48">
        <f t="shared" si="97"/>
        <v>1.3650020521006343</v>
      </c>
      <c r="U483" s="48">
        <v>3.531278328862717</v>
      </c>
      <c r="V483" s="54">
        <v>1.3650020521006343</v>
      </c>
      <c r="W483" s="49">
        <f t="shared" si="91"/>
        <v>1.516869413559931</v>
      </c>
      <c r="X483" s="49"/>
      <c r="Y483" s="49"/>
      <c r="Z483" s="49"/>
      <c r="AQ483" s="29"/>
    </row>
    <row r="484" spans="1:43" s="28" customFormat="1" ht="12.75" customHeight="1">
      <c r="A484" s="64" t="s">
        <v>182</v>
      </c>
      <c r="B484" s="23" t="s">
        <v>183</v>
      </c>
      <c r="C484" s="77" t="s">
        <v>176</v>
      </c>
      <c r="D484" s="78">
        <v>1991</v>
      </c>
      <c r="E484" s="26">
        <v>7</v>
      </c>
      <c r="F484" s="66">
        <v>16</v>
      </c>
      <c r="G484" s="46">
        <f t="shared" si="90"/>
        <v>198.82</v>
      </c>
      <c r="H484" s="121">
        <v>1456.47</v>
      </c>
      <c r="I484" s="66"/>
      <c r="J484" s="29"/>
      <c r="K484" s="80">
        <v>12.169616000000001</v>
      </c>
      <c r="O484" s="48">
        <f t="shared" si="96"/>
        <v>3.1633015435681227</v>
      </c>
      <c r="R484" s="48">
        <f t="shared" si="97"/>
        <v>1.0852768747204398</v>
      </c>
      <c r="U484" s="48">
        <v>3.1633015435681227</v>
      </c>
      <c r="V484" s="54">
        <v>1.0852768747204398</v>
      </c>
      <c r="W484" s="49">
        <f t="shared" si="91"/>
        <v>1.893917359687548</v>
      </c>
      <c r="X484" s="49"/>
      <c r="Y484" s="49"/>
      <c r="Z484" s="49"/>
      <c r="AQ484" s="29"/>
    </row>
    <row r="485" spans="1:43" s="28" customFormat="1" ht="12.75" customHeight="1">
      <c r="A485" s="64" t="s">
        <v>182</v>
      </c>
      <c r="B485" s="23" t="s">
        <v>183</v>
      </c>
      <c r="C485" s="77" t="s">
        <v>176</v>
      </c>
      <c r="D485" s="78">
        <v>1991</v>
      </c>
      <c r="E485" s="26">
        <v>7</v>
      </c>
      <c r="F485" s="66">
        <v>16</v>
      </c>
      <c r="G485" s="46">
        <f t="shared" si="90"/>
        <v>198.82</v>
      </c>
      <c r="H485" s="121">
        <v>2589.2800000000002</v>
      </c>
      <c r="I485" s="66"/>
      <c r="J485" s="29"/>
      <c r="K485" s="80">
        <v>11.522296000000001</v>
      </c>
      <c r="O485" s="48">
        <f t="shared" si="96"/>
        <v>3.4131790167847225</v>
      </c>
      <c r="R485" s="48">
        <f t="shared" si="97"/>
        <v>1.061539027765654</v>
      </c>
      <c r="U485" s="48">
        <v>3.4131790167847225</v>
      </c>
      <c r="V485" s="54">
        <v>1.061539027765654</v>
      </c>
      <c r="W485" s="49">
        <f t="shared" si="91"/>
        <v>1.8417164416835055</v>
      </c>
      <c r="X485" s="49"/>
      <c r="Y485" s="49"/>
      <c r="Z485" s="49"/>
      <c r="AQ485" s="29"/>
    </row>
    <row r="486" spans="1:43" s="28" customFormat="1" ht="12.75" customHeight="1">
      <c r="A486" s="64" t="s">
        <v>182</v>
      </c>
      <c r="B486" s="23" t="s">
        <v>183</v>
      </c>
      <c r="C486" s="77" t="s">
        <v>176</v>
      </c>
      <c r="D486" s="78">
        <v>1991</v>
      </c>
      <c r="E486" s="26">
        <v>10</v>
      </c>
      <c r="F486" s="66">
        <v>2</v>
      </c>
      <c r="G486" s="46">
        <f t="shared" si="90"/>
        <v>276.23</v>
      </c>
      <c r="H486" s="121">
        <v>5825.88</v>
      </c>
      <c r="I486" s="66"/>
      <c r="J486" s="29"/>
      <c r="K486" s="80">
        <v>112.08345800000001</v>
      </c>
      <c r="O486" s="48">
        <f t="shared" si="96"/>
        <v>3.7653615348960847</v>
      </c>
      <c r="R486" s="48">
        <f t="shared" si="97"/>
        <v>2.0495415213422397</v>
      </c>
      <c r="U486" s="48">
        <v>3.7653615348960847</v>
      </c>
      <c r="V486" s="54">
        <v>2.0495415213422397</v>
      </c>
      <c r="W486" s="49">
        <f t="shared" si="91"/>
        <v>0.79377353519650151</v>
      </c>
      <c r="X486" s="49"/>
      <c r="Y486" s="49"/>
      <c r="Z486" s="49"/>
      <c r="AQ486" s="29"/>
    </row>
    <row r="487" spans="1:43" s="28" customFormat="1" ht="12.75" customHeight="1">
      <c r="A487" s="64" t="s">
        <v>182</v>
      </c>
      <c r="B487" s="23" t="s">
        <v>183</v>
      </c>
      <c r="C487" s="77" t="s">
        <v>176</v>
      </c>
      <c r="D487" s="78">
        <v>1991</v>
      </c>
      <c r="E487" s="26">
        <v>10</v>
      </c>
      <c r="F487" s="66">
        <v>2</v>
      </c>
      <c r="G487" s="46">
        <f t="shared" si="90"/>
        <v>276.23</v>
      </c>
      <c r="H487" s="121">
        <v>6635.03</v>
      </c>
      <c r="I487" s="66"/>
      <c r="J487" s="29"/>
      <c r="K487" s="80">
        <v>120.919376</v>
      </c>
      <c r="O487" s="48">
        <f t="shared" si="96"/>
        <v>3.8218428908485329</v>
      </c>
      <c r="R487" s="48">
        <f t="shared" si="97"/>
        <v>2.0824958973508343</v>
      </c>
      <c r="U487" s="48">
        <v>3.8218428908485329</v>
      </c>
      <c r="V487" s="54">
        <v>2.0824958973508343</v>
      </c>
      <c r="W487" s="49">
        <f t="shared" si="91"/>
        <v>0.74542080037278868</v>
      </c>
      <c r="X487" s="49"/>
      <c r="Y487" s="49"/>
      <c r="Z487" s="49"/>
      <c r="AQ487" s="29"/>
    </row>
    <row r="488" spans="1:43" s="28" customFormat="1" ht="12.75" customHeight="1">
      <c r="A488" s="64" t="s">
        <v>182</v>
      </c>
      <c r="B488" s="23" t="s">
        <v>183</v>
      </c>
      <c r="C488" s="77" t="s">
        <v>176</v>
      </c>
      <c r="D488" s="78">
        <v>1991</v>
      </c>
      <c r="E488" s="26">
        <v>10</v>
      </c>
      <c r="F488" s="66">
        <v>2</v>
      </c>
      <c r="G488" s="46">
        <f t="shared" si="90"/>
        <v>276.23</v>
      </c>
      <c r="H488" s="121">
        <v>3398.43</v>
      </c>
      <c r="I488" s="66"/>
      <c r="J488" s="29"/>
      <c r="K488" s="80">
        <v>95.997556000000003</v>
      </c>
      <c r="O488" s="48">
        <f t="shared" si="96"/>
        <v>3.531278328862717</v>
      </c>
      <c r="R488" s="48">
        <f t="shared" si="97"/>
        <v>1.982260176485142</v>
      </c>
      <c r="U488" s="48">
        <v>3.531278328862717</v>
      </c>
      <c r="V488" s="54">
        <v>1.982260176485142</v>
      </c>
      <c r="W488" s="49">
        <f t="shared" si="91"/>
        <v>0.92806688870954912</v>
      </c>
      <c r="X488" s="49"/>
      <c r="Y488" s="49"/>
      <c r="Z488" s="49"/>
      <c r="AQ488" s="29"/>
    </row>
    <row r="489" spans="1:43" s="28" customFormat="1" ht="12.75" customHeight="1">
      <c r="A489" s="64" t="s">
        <v>182</v>
      </c>
      <c r="B489" s="23" t="s">
        <v>183</v>
      </c>
      <c r="C489" s="77" t="s">
        <v>176</v>
      </c>
      <c r="D489" s="78">
        <v>1991</v>
      </c>
      <c r="E489" s="26">
        <v>10</v>
      </c>
      <c r="F489" s="66">
        <v>2</v>
      </c>
      <c r="G489" s="46">
        <f t="shared" si="90"/>
        <v>276.23</v>
      </c>
      <c r="H489" s="121">
        <v>5340.39</v>
      </c>
      <c r="I489" s="66"/>
      <c r="J489" s="29"/>
      <c r="K489" s="80">
        <v>81.691784000000013</v>
      </c>
      <c r="O489" s="48">
        <f t="shared" si="96"/>
        <v>3.727572974006685</v>
      </c>
      <c r="R489" s="48">
        <f t="shared" si="97"/>
        <v>1.9121783803648755</v>
      </c>
      <c r="U489" s="48">
        <v>3.727572974006685</v>
      </c>
      <c r="V489" s="54">
        <v>1.9121783803648755</v>
      </c>
      <c r="W489" s="49">
        <f t="shared" si="91"/>
        <v>0.93612283895978232</v>
      </c>
      <c r="X489" s="49"/>
      <c r="Y489" s="49"/>
      <c r="Z489" s="49"/>
      <c r="AQ489" s="29"/>
    </row>
    <row r="490" spans="1:43" s="28" customFormat="1" ht="12.75" customHeight="1">
      <c r="A490" s="64" t="s">
        <v>182</v>
      </c>
      <c r="B490" s="23" t="s">
        <v>183</v>
      </c>
      <c r="C490" s="77" t="s">
        <v>176</v>
      </c>
      <c r="D490" s="78">
        <v>1991</v>
      </c>
      <c r="E490" s="26">
        <v>11</v>
      </c>
      <c r="F490" s="66">
        <v>29</v>
      </c>
      <c r="G490" s="46">
        <f t="shared" si="90"/>
        <v>333.7</v>
      </c>
      <c r="H490" s="121">
        <v>2912.94</v>
      </c>
      <c r="I490" s="66"/>
      <c r="J490" s="29"/>
      <c r="K490" s="80">
        <v>67.062352000000004</v>
      </c>
      <c r="O490" s="48">
        <f t="shared" si="96"/>
        <v>3.4643315392321035</v>
      </c>
      <c r="R490" s="48">
        <f t="shared" si="97"/>
        <v>1.8264787808659741</v>
      </c>
      <c r="U490" s="48">
        <v>3.4643315392321035</v>
      </c>
      <c r="V490" s="54">
        <v>1.8264787808659741</v>
      </c>
      <c r="W490" s="49">
        <f t="shared" si="91"/>
        <v>1.0967189723760675</v>
      </c>
      <c r="X490" s="49"/>
      <c r="Y490" s="49"/>
      <c r="Z490" s="49"/>
      <c r="AQ490" s="29"/>
    </row>
    <row r="491" spans="1:43" s="28" customFormat="1" ht="12.75" customHeight="1">
      <c r="A491" s="64" t="s">
        <v>182</v>
      </c>
      <c r="B491" s="23" t="s">
        <v>183</v>
      </c>
      <c r="C491" s="77" t="s">
        <v>176</v>
      </c>
      <c r="D491" s="78">
        <v>1991</v>
      </c>
      <c r="E491" s="26">
        <v>11</v>
      </c>
      <c r="F491" s="66">
        <v>29</v>
      </c>
      <c r="G491" s="46">
        <f t="shared" si="90"/>
        <v>333.7</v>
      </c>
      <c r="H491" s="121">
        <v>4207.58</v>
      </c>
      <c r="I491" s="66"/>
      <c r="J491" s="29"/>
      <c r="K491" s="80">
        <v>68.551187999999996</v>
      </c>
      <c r="O491" s="48">
        <f t="shared" si="96"/>
        <v>3.6240323820996156</v>
      </c>
      <c r="R491" s="48">
        <f t="shared" si="97"/>
        <v>1.8360149855642449</v>
      </c>
      <c r="U491" s="48">
        <v>3.6240323820996156</v>
      </c>
      <c r="V491" s="54">
        <v>1.8360149855642449</v>
      </c>
      <c r="W491" s="49">
        <f t="shared" si="91"/>
        <v>1.0397880556348322</v>
      </c>
      <c r="X491" s="49"/>
      <c r="Y491" s="49"/>
      <c r="Z491" s="49"/>
      <c r="AQ491" s="29"/>
    </row>
    <row r="492" spans="1:43" s="28" customFormat="1" ht="12.75" customHeight="1">
      <c r="A492" s="64" t="s">
        <v>182</v>
      </c>
      <c r="B492" s="23" t="s">
        <v>183</v>
      </c>
      <c r="C492" s="77" t="s">
        <v>176</v>
      </c>
      <c r="D492" s="78">
        <v>1991</v>
      </c>
      <c r="E492" s="26">
        <v>11</v>
      </c>
      <c r="F492" s="66">
        <v>29</v>
      </c>
      <c r="G492" s="46">
        <f t="shared" si="90"/>
        <v>333.7</v>
      </c>
      <c r="H492" s="121">
        <v>5016.7299999999996</v>
      </c>
      <c r="I492" s="66"/>
      <c r="J492" s="29"/>
      <c r="K492" s="80">
        <v>48.905026000000007</v>
      </c>
      <c r="O492" s="48">
        <f t="shared" si="96"/>
        <v>3.7004207279630701</v>
      </c>
      <c r="R492" s="48">
        <f t="shared" si="97"/>
        <v>1.6893534941318042</v>
      </c>
      <c r="U492" s="48">
        <v>3.7004207279630701</v>
      </c>
      <c r="V492" s="54">
        <v>1.6893534941318042</v>
      </c>
      <c r="W492" s="49">
        <f t="shared" si="91"/>
        <v>1.1568082635728245</v>
      </c>
      <c r="X492" s="49"/>
      <c r="Y492" s="49"/>
      <c r="Z492" s="49"/>
      <c r="AQ492" s="29"/>
    </row>
    <row r="493" spans="1:43" s="28" customFormat="1" ht="12.75" customHeight="1">
      <c r="A493" s="64" t="s">
        <v>182</v>
      </c>
      <c r="B493" s="23" t="s">
        <v>183</v>
      </c>
      <c r="C493" s="77" t="s">
        <v>176</v>
      </c>
      <c r="D493" s="78">
        <v>1991</v>
      </c>
      <c r="E493" s="26">
        <v>11</v>
      </c>
      <c r="F493" s="66">
        <v>29</v>
      </c>
      <c r="G493" s="46">
        <f t="shared" si="90"/>
        <v>333.7</v>
      </c>
      <c r="H493" s="121">
        <v>7444.18</v>
      </c>
      <c r="I493" s="66"/>
      <c r="J493" s="29"/>
      <c r="K493" s="80">
        <v>91.158839000000015</v>
      </c>
      <c r="O493" s="48">
        <f t="shared" si="96"/>
        <v>3.8718168658103718</v>
      </c>
      <c r="R493" s="48">
        <f t="shared" si="97"/>
        <v>1.9597987853641483</v>
      </c>
      <c r="U493" s="48">
        <v>3.8718168658103718</v>
      </c>
      <c r="V493" s="54">
        <v>1.9597987853641483</v>
      </c>
      <c r="W493" s="49">
        <f t="shared" si="91"/>
        <v>0.84749314063603354</v>
      </c>
      <c r="X493" s="49"/>
      <c r="Y493" s="49"/>
      <c r="Z493" s="49"/>
      <c r="AQ493" s="29"/>
    </row>
    <row r="494" spans="1:43" s="28" customFormat="1" ht="12.75" customHeight="1">
      <c r="A494" s="64" t="s">
        <v>182</v>
      </c>
      <c r="B494" s="23" t="s">
        <v>183</v>
      </c>
      <c r="C494" s="77" t="s">
        <v>176</v>
      </c>
      <c r="D494" s="78">
        <v>1992</v>
      </c>
      <c r="E494" s="26">
        <v>1</v>
      </c>
      <c r="F494" s="66">
        <v>30</v>
      </c>
      <c r="G494" s="46">
        <f t="shared" si="90"/>
        <v>30</v>
      </c>
      <c r="H494" s="121">
        <v>3883.92</v>
      </c>
      <c r="I494" s="66"/>
      <c r="J494" s="29"/>
      <c r="K494" s="80">
        <v>8.5446240000000007</v>
      </c>
      <c r="O494" s="48">
        <f t="shared" si="96"/>
        <v>3.5892702758404034</v>
      </c>
      <c r="R494" s="48">
        <f t="shared" si="97"/>
        <v>0.93169295666260987</v>
      </c>
      <c r="U494" s="48">
        <v>3.5892702758404034</v>
      </c>
      <c r="V494" s="54">
        <v>0.93169295666260987</v>
      </c>
      <c r="W494" s="49">
        <f t="shared" si="91"/>
        <v>1.9128329449765498</v>
      </c>
      <c r="X494" s="49"/>
      <c r="Y494" s="49"/>
      <c r="Z494" s="49"/>
      <c r="AQ494" s="29"/>
    </row>
    <row r="495" spans="1:43" s="28" customFormat="1" ht="12.75" customHeight="1">
      <c r="A495" s="64" t="s">
        <v>182</v>
      </c>
      <c r="B495" s="23" t="s">
        <v>183</v>
      </c>
      <c r="C495" s="77" t="s">
        <v>176</v>
      </c>
      <c r="D495" s="78">
        <v>1992</v>
      </c>
      <c r="E495" s="26">
        <v>1</v>
      </c>
      <c r="F495" s="66">
        <v>30</v>
      </c>
      <c r="G495" s="46">
        <f t="shared" si="90"/>
        <v>30</v>
      </c>
      <c r="H495" s="121">
        <v>2912.94</v>
      </c>
      <c r="I495" s="66"/>
      <c r="J495" s="29"/>
      <c r="K495" s="80">
        <v>9.1595779999999998</v>
      </c>
      <c r="O495" s="48">
        <f t="shared" si="96"/>
        <v>3.4643315392321035</v>
      </c>
      <c r="R495" s="48">
        <f t="shared" si="97"/>
        <v>0.96187546531706902</v>
      </c>
      <c r="U495" s="48">
        <v>3.4643315392321035</v>
      </c>
      <c r="V495" s="54">
        <v>0.96187546531706902</v>
      </c>
      <c r="W495" s="49">
        <f t="shared" si="91"/>
        <v>1.9214640750781682</v>
      </c>
      <c r="X495" s="49"/>
      <c r="Y495" s="49"/>
      <c r="Z495" s="49"/>
      <c r="AQ495" s="29"/>
    </row>
    <row r="496" spans="1:43" s="28" customFormat="1" ht="12.75" customHeight="1">
      <c r="A496" s="64" t="s">
        <v>182</v>
      </c>
      <c r="B496" s="23" t="s">
        <v>183</v>
      </c>
      <c r="C496" s="77" t="s">
        <v>176</v>
      </c>
      <c r="D496" s="78">
        <v>1992</v>
      </c>
      <c r="E496" s="26">
        <v>1</v>
      </c>
      <c r="F496" s="66">
        <v>30</v>
      </c>
      <c r="G496" s="46">
        <f t="shared" si="90"/>
        <v>30</v>
      </c>
      <c r="H496" s="121">
        <v>3883.92</v>
      </c>
      <c r="I496" s="66"/>
      <c r="J496" s="29"/>
      <c r="K496" s="80">
        <v>10.988257000000001</v>
      </c>
      <c r="O496" s="48">
        <f t="shared" si="96"/>
        <v>3.5892702758404034</v>
      </c>
      <c r="R496" s="48">
        <f t="shared" si="97"/>
        <v>1.0409288084092994</v>
      </c>
      <c r="U496" s="48">
        <v>3.5892702758404034</v>
      </c>
      <c r="V496" s="54">
        <v>1.0409288084092994</v>
      </c>
      <c r="W496" s="49">
        <f t="shared" si="91"/>
        <v>1.8086328659953828</v>
      </c>
      <c r="X496" s="49"/>
      <c r="Y496" s="49"/>
      <c r="Z496" s="49"/>
      <c r="AQ496" s="29"/>
    </row>
    <row r="497" spans="1:43" s="28" customFormat="1" ht="12.75" customHeight="1">
      <c r="A497" s="64" t="s">
        <v>182</v>
      </c>
      <c r="B497" s="23" t="s">
        <v>183</v>
      </c>
      <c r="C497" s="77" t="s">
        <v>176</v>
      </c>
      <c r="D497" s="78">
        <v>1992</v>
      </c>
      <c r="E497" s="26">
        <v>1</v>
      </c>
      <c r="F497" s="66">
        <v>30</v>
      </c>
      <c r="G497" s="46">
        <f t="shared" si="90"/>
        <v>30</v>
      </c>
      <c r="H497" s="121">
        <v>4854.8999999999996</v>
      </c>
      <c r="I497" s="66"/>
      <c r="J497" s="29"/>
      <c r="K497" s="80">
        <v>21.054083000000002</v>
      </c>
      <c r="O497" s="48">
        <f t="shared" si="96"/>
        <v>3.6861802888484601</v>
      </c>
      <c r="R497" s="48">
        <f t="shared" si="97"/>
        <v>1.3233363306903838</v>
      </c>
      <c r="U497" s="48">
        <v>3.6861802888484601</v>
      </c>
      <c r="V497" s="54">
        <v>1.3233363306903838</v>
      </c>
      <c r="W497" s="49">
        <f t="shared" si="91"/>
        <v>1.5102173976092232</v>
      </c>
      <c r="X497" s="49"/>
      <c r="Y497" s="49"/>
      <c r="Z497" s="49"/>
      <c r="AQ497" s="29"/>
    </row>
    <row r="498" spans="1:43" s="28" customFormat="1" ht="12.75" customHeight="1">
      <c r="A498" s="64" t="s">
        <v>182</v>
      </c>
      <c r="B498" s="23" t="s">
        <v>183</v>
      </c>
      <c r="C498" s="77" t="s">
        <v>176</v>
      </c>
      <c r="D498" s="78">
        <v>1992</v>
      </c>
      <c r="E498" s="26">
        <v>4</v>
      </c>
      <c r="F498" s="66">
        <v>9</v>
      </c>
      <c r="G498" s="46">
        <f t="shared" si="90"/>
        <v>100.41</v>
      </c>
      <c r="H498" s="121">
        <v>9709.7999999999993</v>
      </c>
      <c r="I498" s="66"/>
      <c r="J498" s="29"/>
      <c r="K498" s="80">
        <v>60.152211000000001</v>
      </c>
      <c r="O498" s="48">
        <f t="shared" si="96"/>
        <v>3.9872102845124413</v>
      </c>
      <c r="R498" s="48">
        <f t="shared" si="97"/>
        <v>1.7792515952245234</v>
      </c>
      <c r="U498" s="48">
        <v>3.9872102845124413</v>
      </c>
      <c r="V498" s="54">
        <v>1.7792515952245234</v>
      </c>
      <c r="W498" s="49">
        <f t="shared" si="91"/>
        <v>0.98515393773085214</v>
      </c>
      <c r="X498" s="49"/>
      <c r="Y498" s="49"/>
      <c r="Z498" s="49"/>
      <c r="AQ498" s="29"/>
    </row>
    <row r="499" spans="1:43" s="28" customFormat="1" ht="12.75" customHeight="1">
      <c r="A499" s="64" t="s">
        <v>182</v>
      </c>
      <c r="B499" s="23" t="s">
        <v>183</v>
      </c>
      <c r="C499" s="77" t="s">
        <v>176</v>
      </c>
      <c r="D499" s="78">
        <v>1992</v>
      </c>
      <c r="E499" s="26">
        <v>4</v>
      </c>
      <c r="F499" s="66">
        <v>9</v>
      </c>
      <c r="G499" s="46">
        <f t="shared" si="90"/>
        <v>100.41</v>
      </c>
      <c r="H499" s="121">
        <v>6149.54</v>
      </c>
      <c r="I499" s="66"/>
      <c r="J499" s="29"/>
      <c r="K499" s="80">
        <v>22.607651000000001</v>
      </c>
      <c r="O499" s="48">
        <f t="shared" si="96"/>
        <v>3.7888426307456076</v>
      </c>
      <c r="R499" s="48">
        <f t="shared" si="97"/>
        <v>1.3542554402429794</v>
      </c>
      <c r="U499" s="48">
        <v>3.7888426307456076</v>
      </c>
      <c r="V499" s="54">
        <v>1.3542554402429794</v>
      </c>
      <c r="W499" s="49">
        <f t="shared" si="91"/>
        <v>1.449973762115196</v>
      </c>
      <c r="X499" s="49"/>
      <c r="Y499" s="49"/>
      <c r="Z499" s="49"/>
      <c r="AQ499" s="29"/>
    </row>
    <row r="500" spans="1:43" s="28" customFormat="1" ht="12.75" customHeight="1">
      <c r="A500" s="64" t="s">
        <v>182</v>
      </c>
      <c r="B500" s="23" t="s">
        <v>183</v>
      </c>
      <c r="C500" s="77" t="s">
        <v>176</v>
      </c>
      <c r="D500" s="78">
        <v>1992</v>
      </c>
      <c r="E500" s="26">
        <v>4</v>
      </c>
      <c r="F500" s="66">
        <v>9</v>
      </c>
      <c r="G500" s="46">
        <f t="shared" si="90"/>
        <v>100.41</v>
      </c>
      <c r="H500" s="121">
        <v>9062.48</v>
      </c>
      <c r="I500" s="66"/>
      <c r="J500" s="29"/>
      <c r="K500" s="80">
        <v>68.227528000000007</v>
      </c>
      <c r="O500" s="48">
        <f t="shared" si="96"/>
        <v>3.9572470611349981</v>
      </c>
      <c r="R500" s="48">
        <f t="shared" si="97"/>
        <v>1.8339596363332877</v>
      </c>
      <c r="U500" s="48">
        <v>3.9572470611349981</v>
      </c>
      <c r="V500" s="54">
        <v>1.8339596363332877</v>
      </c>
      <c r="W500" s="49">
        <f t="shared" si="91"/>
        <v>0.94194265981404102</v>
      </c>
      <c r="X500" s="49"/>
      <c r="Y500" s="49"/>
      <c r="Z500" s="49"/>
      <c r="AQ500" s="29"/>
    </row>
    <row r="501" spans="1:43" s="28" customFormat="1" ht="12.75" customHeight="1">
      <c r="A501" s="64" t="s">
        <v>182</v>
      </c>
      <c r="B501" s="23" t="s">
        <v>183</v>
      </c>
      <c r="C501" s="77" t="s">
        <v>176</v>
      </c>
      <c r="D501" s="78">
        <v>1992</v>
      </c>
      <c r="E501" s="26">
        <v>4</v>
      </c>
      <c r="F501" s="66">
        <v>9</v>
      </c>
      <c r="G501" s="46">
        <f t="shared" si="90"/>
        <v>100.41</v>
      </c>
      <c r="H501" s="121">
        <v>7444.18</v>
      </c>
      <c r="I501" s="66"/>
      <c r="J501" s="29"/>
      <c r="K501" s="80">
        <v>33.612090999999999</v>
      </c>
      <c r="O501" s="48">
        <f t="shared" si="96"/>
        <v>3.8718168658103718</v>
      </c>
      <c r="R501" s="48">
        <f t="shared" si="97"/>
        <v>1.5264955306638968</v>
      </c>
      <c r="U501" s="48">
        <v>3.8718168658103718</v>
      </c>
      <c r="V501" s="54">
        <v>1.5264955306638968</v>
      </c>
      <c r="W501" s="49">
        <f t="shared" si="91"/>
        <v>1.2608211152946034</v>
      </c>
      <c r="X501" s="49"/>
      <c r="Y501" s="49"/>
      <c r="Z501" s="49"/>
      <c r="AQ501" s="29"/>
    </row>
    <row r="502" spans="1:43" s="28" customFormat="1" ht="12.75" customHeight="1">
      <c r="A502" s="64" t="s">
        <v>182</v>
      </c>
      <c r="B502" s="23" t="s">
        <v>183</v>
      </c>
      <c r="C502" s="77" t="s">
        <v>176</v>
      </c>
      <c r="D502" s="78">
        <v>1992</v>
      </c>
      <c r="E502" s="26">
        <v>6</v>
      </c>
      <c r="F502" s="66">
        <v>24</v>
      </c>
      <c r="G502" s="46">
        <f t="shared" si="90"/>
        <v>176.35</v>
      </c>
      <c r="H502" s="122">
        <v>970.98</v>
      </c>
      <c r="I502" s="66"/>
      <c r="J502" s="82"/>
      <c r="K502" s="80">
        <v>3.0100379999999998</v>
      </c>
      <c r="O502" s="48">
        <f t="shared" si="96"/>
        <v>2.9872102845124413</v>
      </c>
      <c r="R502" s="48">
        <f t="shared" si="97"/>
        <v>0.47857197834671383</v>
      </c>
      <c r="U502" s="48">
        <v>2.9872102845124413</v>
      </c>
      <c r="V502" s="54">
        <v>0.47857197834671383</v>
      </c>
      <c r="W502" s="49">
        <f t="shared" si="91"/>
        <v>2.5253968242705946</v>
      </c>
      <c r="X502" s="49"/>
      <c r="Y502" s="49"/>
      <c r="Z502" s="49"/>
      <c r="AQ502" s="29"/>
    </row>
    <row r="503" spans="1:43" s="28" customFormat="1" ht="12.75" customHeight="1">
      <c r="A503" s="64" t="s">
        <v>182</v>
      </c>
      <c r="B503" s="23" t="s">
        <v>183</v>
      </c>
      <c r="C503" s="77" t="s">
        <v>176</v>
      </c>
      <c r="D503" s="78">
        <v>1992</v>
      </c>
      <c r="E503" s="26">
        <v>6</v>
      </c>
      <c r="F503" s="66">
        <v>24</v>
      </c>
      <c r="G503" s="46">
        <f t="shared" si="90"/>
        <v>176.35</v>
      </c>
      <c r="H503" s="122">
        <v>647.32000000000005</v>
      </c>
      <c r="I503" s="66"/>
      <c r="J503" s="82"/>
      <c r="K503" s="80">
        <v>5.0167299999999999</v>
      </c>
      <c r="O503" s="48">
        <f t="shared" si="96"/>
        <v>2.81111902545676</v>
      </c>
      <c r="R503" s="48">
        <f t="shared" si="97"/>
        <v>0.7004207279630702</v>
      </c>
      <c r="U503" s="48">
        <v>2.81111902545676</v>
      </c>
      <c r="V503" s="54">
        <v>0.7004207279630702</v>
      </c>
      <c r="W503" s="49">
        <f t="shared" si="91"/>
        <v>2.3665189659437016</v>
      </c>
      <c r="X503" s="49"/>
      <c r="Y503" s="49"/>
      <c r="Z503" s="49"/>
      <c r="AQ503" s="29"/>
    </row>
    <row r="504" spans="1:43" s="28" customFormat="1" ht="12.75" customHeight="1">
      <c r="A504" s="64" t="s">
        <v>182</v>
      </c>
      <c r="B504" s="23" t="s">
        <v>183</v>
      </c>
      <c r="C504" s="77" t="s">
        <v>176</v>
      </c>
      <c r="D504" s="78">
        <v>1992</v>
      </c>
      <c r="E504" s="26">
        <v>6</v>
      </c>
      <c r="F504" s="66">
        <v>24</v>
      </c>
      <c r="G504" s="46">
        <f t="shared" si="90"/>
        <v>176.35</v>
      </c>
      <c r="H504" s="122">
        <v>970.98</v>
      </c>
      <c r="I504" s="66"/>
      <c r="J504" s="82"/>
      <c r="K504" s="80">
        <v>5.0652790000000003</v>
      </c>
      <c r="O504" s="48">
        <f t="shared" si="96"/>
        <v>2.9872102845124413</v>
      </c>
      <c r="R504" s="48">
        <f t="shared" si="97"/>
        <v>0.70460337167524612</v>
      </c>
      <c r="U504" s="48">
        <v>2.9872102845124413</v>
      </c>
      <c r="V504" s="54">
        <v>0.70460337167524612</v>
      </c>
      <c r="W504" s="49">
        <f t="shared" si="91"/>
        <v>2.3097854781745077</v>
      </c>
      <c r="X504" s="49"/>
      <c r="Y504" s="49"/>
      <c r="Z504" s="49"/>
      <c r="AQ504" s="29"/>
    </row>
    <row r="505" spans="1:43" s="28" customFormat="1" ht="12.75" customHeight="1">
      <c r="A505" s="64" t="s">
        <v>182</v>
      </c>
      <c r="B505" s="23" t="s">
        <v>183</v>
      </c>
      <c r="C505" s="77" t="s">
        <v>176</v>
      </c>
      <c r="D505" s="78">
        <v>1992</v>
      </c>
      <c r="E505" s="26">
        <v>6</v>
      </c>
      <c r="F505" s="66">
        <v>24</v>
      </c>
      <c r="G505" s="46">
        <f t="shared" si="90"/>
        <v>176.35</v>
      </c>
      <c r="H505" s="122">
        <v>2589.2800000000002</v>
      </c>
      <c r="I505" s="66"/>
      <c r="J505" s="82"/>
      <c r="K505" s="80">
        <v>7.2176180000000008</v>
      </c>
      <c r="O505" s="48">
        <f t="shared" si="96"/>
        <v>3.4131790167847225</v>
      </c>
      <c r="R505" s="48">
        <f t="shared" si="97"/>
        <v>0.85839389284093948</v>
      </c>
      <c r="U505" s="48">
        <v>3.4131790167847225</v>
      </c>
      <c r="V505" s="54">
        <v>0.85839389284093948</v>
      </c>
      <c r="W505" s="49">
        <f t="shared" si="91"/>
        <v>2.0354965858881906</v>
      </c>
      <c r="X505" s="49"/>
      <c r="Y505" s="49"/>
      <c r="Z505" s="49"/>
      <c r="AQ505" s="29"/>
    </row>
    <row r="506" spans="1:43" s="28" customFormat="1" ht="12.75" customHeight="1">
      <c r="A506" s="64" t="s">
        <v>182</v>
      </c>
      <c r="B506" s="23" t="s">
        <v>183</v>
      </c>
      <c r="C506" s="77" t="s">
        <v>176</v>
      </c>
      <c r="D506" s="78">
        <v>1992</v>
      </c>
      <c r="E506" s="26">
        <v>8</v>
      </c>
      <c r="F506" s="66">
        <v>17</v>
      </c>
      <c r="G506" s="46">
        <f t="shared" si="90"/>
        <v>230.29</v>
      </c>
      <c r="H506" s="121">
        <v>2103.79</v>
      </c>
      <c r="I506" s="66"/>
      <c r="J506" s="29"/>
      <c r="K506" s="80">
        <v>12.994949</v>
      </c>
      <c r="O506" s="48">
        <f t="shared" si="96"/>
        <v>3.3230023864356344</v>
      </c>
      <c r="R506" s="48">
        <f t="shared" si="97"/>
        <v>1.1137745794074785</v>
      </c>
      <c r="U506" s="48">
        <v>3.3230023864356344</v>
      </c>
      <c r="V506" s="54">
        <v>1.1137745794074785</v>
      </c>
      <c r="W506" s="49">
        <f t="shared" si="91"/>
        <v>1.8188990681070276</v>
      </c>
      <c r="X506" s="49"/>
      <c r="Y506" s="49"/>
      <c r="Z506" s="49"/>
      <c r="AQ506" s="29"/>
    </row>
    <row r="507" spans="1:43" s="28" customFormat="1" ht="12.75" customHeight="1">
      <c r="A507" s="64" t="s">
        <v>182</v>
      </c>
      <c r="B507" s="23" t="s">
        <v>183</v>
      </c>
      <c r="C507" s="77" t="s">
        <v>176</v>
      </c>
      <c r="D507" s="78">
        <v>1992</v>
      </c>
      <c r="E507" s="26">
        <v>8</v>
      </c>
      <c r="F507" s="66">
        <v>17</v>
      </c>
      <c r="G507" s="46">
        <f t="shared" ref="G507:G570" si="98">30.47*(E507-1)+F507</f>
        <v>230.29</v>
      </c>
      <c r="H507" s="121">
        <v>3722.09</v>
      </c>
      <c r="I507" s="66"/>
      <c r="J507" s="29"/>
      <c r="K507" s="80">
        <v>17.785117</v>
      </c>
      <c r="O507" s="48">
        <f t="shared" si="96"/>
        <v>3.5707868701463905</v>
      </c>
      <c r="R507" s="48">
        <f t="shared" si="97"/>
        <v>1.2500567265522882</v>
      </c>
      <c r="U507" s="48">
        <v>3.5707868701463905</v>
      </c>
      <c r="V507" s="54">
        <v>1.2500567265522882</v>
      </c>
      <c r="W507" s="49">
        <f t="shared" ref="W507:W570" si="99">0.9539*(4.064-0.314*U507-V507)</f>
        <v>1.6146819795759226</v>
      </c>
      <c r="X507" s="49"/>
      <c r="Y507" s="49"/>
      <c r="Z507" s="49"/>
      <c r="AQ507" s="29"/>
    </row>
    <row r="508" spans="1:43" s="28" customFormat="1" ht="12.75" customHeight="1">
      <c r="A508" s="64" t="s">
        <v>182</v>
      </c>
      <c r="B508" s="23" t="s">
        <v>183</v>
      </c>
      <c r="C508" s="77" t="s">
        <v>176</v>
      </c>
      <c r="D508" s="78">
        <v>1992</v>
      </c>
      <c r="E508" s="26">
        <v>8</v>
      </c>
      <c r="F508" s="66">
        <v>17</v>
      </c>
      <c r="G508" s="46">
        <f t="shared" si="98"/>
        <v>230.29</v>
      </c>
      <c r="H508" s="121">
        <v>2103.79</v>
      </c>
      <c r="I508" s="66"/>
      <c r="J508" s="29"/>
      <c r="K508" s="80">
        <v>18.157326000000001</v>
      </c>
      <c r="O508" s="48">
        <f t="shared" si="96"/>
        <v>3.3230023864356344</v>
      </c>
      <c r="R508" s="48">
        <f t="shared" si="97"/>
        <v>1.2590518910489401</v>
      </c>
      <c r="U508" s="48">
        <v>3.3230023864356344</v>
      </c>
      <c r="V508" s="54">
        <v>1.2590518910489401</v>
      </c>
      <c r="W508" s="49">
        <f t="shared" si="99"/>
        <v>1.6803190405322375</v>
      </c>
      <c r="X508" s="49"/>
      <c r="Y508" s="49"/>
      <c r="Z508" s="49"/>
      <c r="AQ508" s="29"/>
    </row>
    <row r="509" spans="1:43" s="28" customFormat="1" ht="12.75" customHeight="1">
      <c r="A509" s="64" t="s">
        <v>182</v>
      </c>
      <c r="B509" s="23" t="s">
        <v>183</v>
      </c>
      <c r="C509" s="77" t="s">
        <v>176</v>
      </c>
      <c r="D509" s="78">
        <v>1992</v>
      </c>
      <c r="E509" s="26">
        <v>8</v>
      </c>
      <c r="F509" s="66">
        <v>17</v>
      </c>
      <c r="G509" s="46">
        <f t="shared" si="98"/>
        <v>230.29</v>
      </c>
      <c r="H509" s="121">
        <v>3074.77</v>
      </c>
      <c r="I509" s="66"/>
      <c r="J509" s="29"/>
      <c r="K509" s="80">
        <v>23.432984000000005</v>
      </c>
      <c r="O509" s="48">
        <f t="shared" si="96"/>
        <v>3.4878126350816263</v>
      </c>
      <c r="R509" s="48">
        <f t="shared" si="97"/>
        <v>1.3698275959899258</v>
      </c>
      <c r="U509" s="48">
        <v>3.4878126350816263</v>
      </c>
      <c r="V509" s="54">
        <v>1.3698275959899258</v>
      </c>
      <c r="W509" s="49">
        <f t="shared" si="99"/>
        <v>1.5252853717874397</v>
      </c>
      <c r="X509" s="49"/>
      <c r="Y509" s="49"/>
      <c r="Z509" s="49"/>
      <c r="AQ509" s="29"/>
    </row>
    <row r="510" spans="1:43" s="28" customFormat="1" ht="12.75" customHeight="1">
      <c r="A510" s="64" t="s">
        <v>182</v>
      </c>
      <c r="B510" s="23" t="s">
        <v>183</v>
      </c>
      <c r="C510" s="77" t="s">
        <v>176</v>
      </c>
      <c r="D510" s="78">
        <v>1992</v>
      </c>
      <c r="E510" s="26">
        <v>10</v>
      </c>
      <c r="F510" s="66">
        <v>6</v>
      </c>
      <c r="G510" s="46">
        <f t="shared" si="98"/>
        <v>280.23</v>
      </c>
      <c r="H510" s="121">
        <v>1132.81</v>
      </c>
      <c r="I510" s="66"/>
      <c r="J510" s="29"/>
      <c r="K510" s="80">
        <v>8.965382</v>
      </c>
      <c r="O510" s="48">
        <f t="shared" si="96"/>
        <v>3.0541570741430544</v>
      </c>
      <c r="R510" s="48">
        <f t="shared" si="97"/>
        <v>0.95256879885722734</v>
      </c>
      <c r="U510" s="48">
        <v>3.0541570741430544</v>
      </c>
      <c r="V510" s="54">
        <v>0.95256879885722734</v>
      </c>
      <c r="W510" s="49">
        <f t="shared" si="99"/>
        <v>2.0531990468002221</v>
      </c>
      <c r="X510" s="49"/>
      <c r="Y510" s="49"/>
      <c r="Z510" s="49"/>
      <c r="AQ510" s="29"/>
    </row>
    <row r="511" spans="1:43" s="28" customFormat="1" ht="12.75" customHeight="1">
      <c r="A511" s="64" t="s">
        <v>182</v>
      </c>
      <c r="B511" s="23" t="s">
        <v>183</v>
      </c>
      <c r="C511" s="77" t="s">
        <v>176</v>
      </c>
      <c r="D511" s="78">
        <v>1992</v>
      </c>
      <c r="E511" s="26">
        <v>10</v>
      </c>
      <c r="F511" s="66">
        <v>6</v>
      </c>
      <c r="G511" s="46">
        <f t="shared" si="98"/>
        <v>280.23</v>
      </c>
      <c r="H511" s="121">
        <v>1780.13</v>
      </c>
      <c r="I511" s="66"/>
      <c r="J511" s="29"/>
      <c r="K511" s="80">
        <v>14.5647</v>
      </c>
      <c r="O511" s="48">
        <f t="shared" si="96"/>
        <v>3.2504517192870228</v>
      </c>
      <c r="R511" s="48">
        <f t="shared" si="97"/>
        <v>1.1633015435681224</v>
      </c>
      <c r="U511" s="48">
        <v>3.2504517192870228</v>
      </c>
      <c r="V511" s="54">
        <v>1.1633015435681224</v>
      </c>
      <c r="W511" s="49">
        <f t="shared" si="99"/>
        <v>1.7933860065516098</v>
      </c>
      <c r="X511" s="49"/>
      <c r="Y511" s="49"/>
      <c r="Z511" s="49"/>
      <c r="AQ511" s="29"/>
    </row>
    <row r="512" spans="1:43" s="28" customFormat="1" ht="12.75" customHeight="1">
      <c r="A512" s="64" t="s">
        <v>182</v>
      </c>
      <c r="B512" s="23" t="s">
        <v>183</v>
      </c>
      <c r="C512" s="77" t="s">
        <v>176</v>
      </c>
      <c r="D512" s="78">
        <v>1992</v>
      </c>
      <c r="E512" s="26">
        <v>10</v>
      </c>
      <c r="F512" s="66">
        <v>6</v>
      </c>
      <c r="G512" s="46">
        <f t="shared" si="98"/>
        <v>280.23</v>
      </c>
      <c r="H512" s="121">
        <v>2265.62</v>
      </c>
      <c r="I512" s="66"/>
      <c r="J512" s="29"/>
      <c r="K512" s="80">
        <v>13.124413000000002</v>
      </c>
      <c r="O512" s="48">
        <f t="shared" si="96"/>
        <v>3.3551870698070356</v>
      </c>
      <c r="R512" s="48">
        <f t="shared" si="97"/>
        <v>1.1180798883399536</v>
      </c>
      <c r="U512" s="48">
        <v>3.3551870698070356</v>
      </c>
      <c r="V512" s="54">
        <v>1.1180798883399536</v>
      </c>
      <c r="W512" s="49">
        <f t="shared" si="99"/>
        <v>1.8051521295033937</v>
      </c>
      <c r="X512" s="49"/>
      <c r="Y512" s="49"/>
      <c r="Z512" s="49"/>
      <c r="AQ512" s="29"/>
    </row>
    <row r="513" spans="1:43" s="28" customFormat="1" ht="12.75" customHeight="1">
      <c r="A513" s="64" t="s">
        <v>182</v>
      </c>
      <c r="B513" s="23" t="s">
        <v>183</v>
      </c>
      <c r="C513" s="77" t="s">
        <v>176</v>
      </c>
      <c r="D513" s="78">
        <v>1992</v>
      </c>
      <c r="E513" s="26">
        <v>10</v>
      </c>
      <c r="F513" s="66">
        <v>6</v>
      </c>
      <c r="G513" s="46">
        <f t="shared" si="98"/>
        <v>280.23</v>
      </c>
      <c r="H513" s="121">
        <v>1294.6400000000001</v>
      </c>
      <c r="I513" s="66"/>
      <c r="J513" s="29"/>
      <c r="K513" s="80">
        <v>10.826427000000001</v>
      </c>
      <c r="O513" s="48">
        <f t="shared" si="96"/>
        <v>3.1121490211207412</v>
      </c>
      <c r="R513" s="48">
        <f t="shared" si="97"/>
        <v>1.0344851518966207</v>
      </c>
      <c r="U513" s="48">
        <v>3.1121490211207412</v>
      </c>
      <c r="V513" s="54">
        <v>1.0344851518966207</v>
      </c>
      <c r="W513" s="49">
        <f t="shared" si="99"/>
        <v>1.9576890229142316</v>
      </c>
      <c r="X513" s="49"/>
      <c r="Y513" s="49"/>
      <c r="Z513" s="49"/>
      <c r="AQ513" s="29"/>
    </row>
    <row r="514" spans="1:43" s="28" customFormat="1" ht="12.75" customHeight="1">
      <c r="A514" s="64" t="s">
        <v>182</v>
      </c>
      <c r="B514" s="23" t="s">
        <v>183</v>
      </c>
      <c r="C514" s="77" t="s">
        <v>176</v>
      </c>
      <c r="D514" s="78">
        <v>1992</v>
      </c>
      <c r="E514" s="26">
        <v>12</v>
      </c>
      <c r="F514" s="66">
        <v>18</v>
      </c>
      <c r="G514" s="46">
        <f t="shared" si="98"/>
        <v>353.16999999999996</v>
      </c>
      <c r="H514" s="121">
        <v>970.98</v>
      </c>
      <c r="I514" s="66"/>
      <c r="J514" s="29"/>
      <c r="K514" s="80">
        <v>5.1785600000000009</v>
      </c>
      <c r="O514" s="48">
        <f t="shared" si="96"/>
        <v>2.9872102845124413</v>
      </c>
      <c r="R514" s="48">
        <f t="shared" si="97"/>
        <v>0.71420901244870361</v>
      </c>
      <c r="U514" s="48">
        <v>2.9872102845124413</v>
      </c>
      <c r="V514" s="54">
        <v>0.71420901244870361</v>
      </c>
      <c r="W514" s="49">
        <f t="shared" si="99"/>
        <v>2.3006226574407065</v>
      </c>
      <c r="X514" s="49"/>
      <c r="Y514" s="49"/>
      <c r="Z514" s="49"/>
      <c r="AQ514" s="29"/>
    </row>
    <row r="515" spans="1:43" s="28" customFormat="1" ht="12.75" customHeight="1">
      <c r="A515" s="64" t="s">
        <v>182</v>
      </c>
      <c r="B515" s="23" t="s">
        <v>183</v>
      </c>
      <c r="C515" s="77" t="s">
        <v>176</v>
      </c>
      <c r="D515" s="78">
        <v>1992</v>
      </c>
      <c r="E515" s="26">
        <v>12</v>
      </c>
      <c r="F515" s="66">
        <v>18</v>
      </c>
      <c r="G515" s="46">
        <f t="shared" si="98"/>
        <v>353.16999999999996</v>
      </c>
      <c r="H515" s="121">
        <v>485.49</v>
      </c>
      <c r="I515" s="66"/>
      <c r="J515" s="29"/>
      <c r="K515" s="80">
        <v>3.0100379999999998</v>
      </c>
      <c r="O515" s="48">
        <f t="shared" si="96"/>
        <v>2.6861802888484601</v>
      </c>
      <c r="R515" s="48">
        <f t="shared" si="97"/>
        <v>0.47857197834671383</v>
      </c>
      <c r="U515" s="48">
        <v>2.6861802888484601</v>
      </c>
      <c r="V515" s="54">
        <v>0.47857197834671383</v>
      </c>
      <c r="W515" s="49">
        <f t="shared" si="99"/>
        <v>2.61556271330985</v>
      </c>
      <c r="X515" s="49"/>
      <c r="Y515" s="49"/>
      <c r="Z515" s="49"/>
      <c r="AQ515" s="29"/>
    </row>
    <row r="516" spans="1:43" s="28" customFormat="1" ht="12.75" customHeight="1">
      <c r="A516" s="64" t="s">
        <v>182</v>
      </c>
      <c r="B516" s="23" t="s">
        <v>183</v>
      </c>
      <c r="C516" s="77" t="s">
        <v>176</v>
      </c>
      <c r="D516" s="78">
        <v>1992</v>
      </c>
      <c r="E516" s="26">
        <v>12</v>
      </c>
      <c r="F516" s="66">
        <v>18</v>
      </c>
      <c r="G516" s="46">
        <f t="shared" si="98"/>
        <v>353.16999999999996</v>
      </c>
      <c r="H516" s="121">
        <v>809.15</v>
      </c>
      <c r="I516" s="66"/>
      <c r="J516" s="29"/>
      <c r="K516" s="80">
        <v>4.6768869999999998</v>
      </c>
      <c r="O516" s="48">
        <f t="shared" si="96"/>
        <v>2.9080290384648162</v>
      </c>
      <c r="R516" s="48">
        <f t="shared" si="97"/>
        <v>0.66995687688534544</v>
      </c>
      <c r="U516" s="48">
        <v>2.9080290384648162</v>
      </c>
      <c r="V516" s="54">
        <v>0.66995687688534544</v>
      </c>
      <c r="W516" s="49">
        <f t="shared" si="99"/>
        <v>2.3665515006045101</v>
      </c>
      <c r="X516" s="49"/>
      <c r="Y516" s="49"/>
      <c r="Z516" s="49"/>
      <c r="AQ516" s="29"/>
    </row>
    <row r="517" spans="1:43" s="28" customFormat="1" ht="12.75" customHeight="1">
      <c r="A517" s="64" t="s">
        <v>182</v>
      </c>
      <c r="B517" s="23" t="s">
        <v>183</v>
      </c>
      <c r="C517" s="77" t="s">
        <v>176</v>
      </c>
      <c r="D517" s="78">
        <v>1993</v>
      </c>
      <c r="E517" s="26">
        <v>2</v>
      </c>
      <c r="F517" s="66">
        <v>16</v>
      </c>
      <c r="G517" s="46">
        <f t="shared" si="98"/>
        <v>46.47</v>
      </c>
      <c r="H517" s="121">
        <v>809.15</v>
      </c>
      <c r="I517" s="66"/>
      <c r="J517" s="29"/>
      <c r="K517" s="80">
        <v>6.14954</v>
      </c>
      <c r="O517" s="48">
        <f t="shared" si="96"/>
        <v>2.9080290384648162</v>
      </c>
      <c r="R517" s="48">
        <f t="shared" si="97"/>
        <v>0.78884263074560768</v>
      </c>
      <c r="U517" s="48">
        <v>2.9080290384648162</v>
      </c>
      <c r="V517" s="54">
        <v>0.78884263074560768</v>
      </c>
      <c r="W517" s="49">
        <f t="shared" si="99"/>
        <v>2.2531463799972062</v>
      </c>
      <c r="X517" s="49"/>
      <c r="Y517" s="49"/>
      <c r="Z517" s="49"/>
      <c r="AQ517" s="29"/>
    </row>
    <row r="518" spans="1:43" s="28" customFormat="1" ht="12.75" customHeight="1">
      <c r="A518" s="64" t="s">
        <v>182</v>
      </c>
      <c r="B518" s="23" t="s">
        <v>183</v>
      </c>
      <c r="C518" s="77" t="s">
        <v>176</v>
      </c>
      <c r="D518" s="78">
        <v>1993</v>
      </c>
      <c r="E518" s="26">
        <v>2</v>
      </c>
      <c r="F518" s="66">
        <v>16</v>
      </c>
      <c r="G518" s="46">
        <f t="shared" si="98"/>
        <v>46.47</v>
      </c>
      <c r="H518" s="121">
        <v>4693.07</v>
      </c>
      <c r="I518" s="66"/>
      <c r="J518" s="29"/>
      <c r="K518" s="80">
        <v>18.756097</v>
      </c>
      <c r="O518" s="48">
        <f t="shared" si="96"/>
        <v>3.6714570320277535</v>
      </c>
      <c r="R518" s="48">
        <f t="shared" si="97"/>
        <v>1.2731424700923935</v>
      </c>
      <c r="U518" s="48">
        <v>3.6714570320277535</v>
      </c>
      <c r="V518" s="54">
        <v>1.2731424700923935</v>
      </c>
      <c r="W518" s="49">
        <f t="shared" si="99"/>
        <v>1.5625072988435655</v>
      </c>
      <c r="X518" s="49"/>
      <c r="Y518" s="49"/>
      <c r="Z518" s="49"/>
      <c r="AQ518" s="29"/>
    </row>
    <row r="519" spans="1:43" s="28" customFormat="1" ht="12.75" customHeight="1">
      <c r="A519" s="64" t="s">
        <v>182</v>
      </c>
      <c r="B519" s="23" t="s">
        <v>183</v>
      </c>
      <c r="C519" s="77" t="s">
        <v>176</v>
      </c>
      <c r="D519" s="78">
        <v>1993</v>
      </c>
      <c r="E519" s="26">
        <v>2</v>
      </c>
      <c r="F519" s="66">
        <v>16</v>
      </c>
      <c r="G519" s="46">
        <f t="shared" si="98"/>
        <v>46.47</v>
      </c>
      <c r="H519" s="121">
        <v>2751.11</v>
      </c>
      <c r="I519" s="66"/>
      <c r="J519" s="29"/>
      <c r="K519" s="80">
        <v>11.765041000000002</v>
      </c>
      <c r="O519" s="48">
        <f t="shared" si="96"/>
        <v>3.4395079555070716</v>
      </c>
      <c r="R519" s="48">
        <f t="shared" si="97"/>
        <v>1.0705934449878354</v>
      </c>
      <c r="U519" s="48">
        <v>3.4395079555070716</v>
      </c>
      <c r="V519" s="54">
        <v>1.0705934449878354</v>
      </c>
      <c r="W519" s="49">
        <f t="shared" si="99"/>
        <v>1.8251932682560306</v>
      </c>
      <c r="X519" s="49"/>
      <c r="Y519" s="49"/>
      <c r="Z519" s="49"/>
      <c r="AQ519" s="29"/>
    </row>
    <row r="520" spans="1:43" s="28" customFormat="1" ht="12.75" customHeight="1">
      <c r="A520" s="64" t="s">
        <v>182</v>
      </c>
      <c r="B520" s="23" t="s">
        <v>183</v>
      </c>
      <c r="C520" s="77" t="s">
        <v>176</v>
      </c>
      <c r="D520" s="78">
        <v>1993</v>
      </c>
      <c r="E520" s="26">
        <v>2</v>
      </c>
      <c r="F520" s="66">
        <v>16</v>
      </c>
      <c r="G520" s="46">
        <f t="shared" si="98"/>
        <v>46.47</v>
      </c>
      <c r="H520" s="121">
        <v>3722.09</v>
      </c>
      <c r="I520" s="66"/>
      <c r="J520" s="29"/>
      <c r="K520" s="80">
        <v>14.208674000000002</v>
      </c>
      <c r="O520" s="48">
        <f t="shared" ref="O520:O583" si="100">LOG10(H520)</f>
        <v>3.5707868701463905</v>
      </c>
      <c r="R520" s="48">
        <f t="shared" ref="R520:R583" si="101">LOG10(K520)</f>
        <v>1.1525535500349002</v>
      </c>
      <c r="U520" s="48">
        <v>3.5707868701463905</v>
      </c>
      <c r="V520" s="54">
        <v>1.1525535500349002</v>
      </c>
      <c r="W520" s="49">
        <f t="shared" si="99"/>
        <v>1.707690259655859</v>
      </c>
      <c r="X520" s="49"/>
      <c r="Y520" s="49"/>
      <c r="Z520" s="49"/>
      <c r="AQ520" s="29"/>
    </row>
    <row r="521" spans="1:43" s="28" customFormat="1" ht="12.75" customHeight="1">
      <c r="A521" s="64" t="s">
        <v>182</v>
      </c>
      <c r="B521" s="23" t="s">
        <v>183</v>
      </c>
      <c r="C521" s="77" t="s">
        <v>176</v>
      </c>
      <c r="D521" s="78">
        <v>1993</v>
      </c>
      <c r="E521" s="26">
        <v>5</v>
      </c>
      <c r="F521" s="66">
        <v>21</v>
      </c>
      <c r="G521" s="46">
        <f t="shared" si="98"/>
        <v>142.88</v>
      </c>
      <c r="H521" s="121">
        <v>1780.13</v>
      </c>
      <c r="I521" s="66"/>
      <c r="J521" s="29"/>
      <c r="K521" s="80">
        <v>8.156232000000001</v>
      </c>
      <c r="O521" s="48">
        <f t="shared" si="100"/>
        <v>3.2504517192870228</v>
      </c>
      <c r="R521" s="48">
        <f t="shared" si="101"/>
        <v>0.91148957057432289</v>
      </c>
      <c r="U521" s="48">
        <v>3.2504517192870228</v>
      </c>
      <c r="V521" s="54">
        <v>0.91148957057432289</v>
      </c>
      <c r="W521" s="49">
        <f t="shared" si="99"/>
        <v>2.0335894475903955</v>
      </c>
      <c r="X521" s="49"/>
      <c r="Y521" s="49"/>
      <c r="Z521" s="49"/>
      <c r="AQ521" s="29"/>
    </row>
    <row r="522" spans="1:43" s="28" customFormat="1" ht="12.75" customHeight="1">
      <c r="A522" s="64" t="s">
        <v>182</v>
      </c>
      <c r="B522" s="23" t="s">
        <v>183</v>
      </c>
      <c r="C522" s="77" t="s">
        <v>176</v>
      </c>
      <c r="D522" s="78">
        <v>1993</v>
      </c>
      <c r="E522" s="26">
        <v>5</v>
      </c>
      <c r="F522" s="66">
        <v>21</v>
      </c>
      <c r="G522" s="46">
        <f t="shared" si="98"/>
        <v>142.88</v>
      </c>
      <c r="H522" s="121">
        <v>2751.11</v>
      </c>
      <c r="I522" s="66"/>
      <c r="J522" s="29"/>
      <c r="K522" s="80">
        <v>20.989351000000003</v>
      </c>
      <c r="O522" s="48">
        <f t="shared" si="100"/>
        <v>3.4395079555070716</v>
      </c>
      <c r="R522" s="48">
        <f t="shared" si="101"/>
        <v>1.3219990102128778</v>
      </c>
      <c r="U522" s="48">
        <v>3.4395079555070716</v>
      </c>
      <c r="V522" s="54">
        <v>1.3219990102128778</v>
      </c>
      <c r="W522" s="49">
        <f t="shared" si="99"/>
        <v>1.5853774995878624</v>
      </c>
      <c r="X522" s="49"/>
      <c r="Y522" s="49"/>
      <c r="Z522" s="49"/>
      <c r="AQ522" s="29"/>
    </row>
    <row r="523" spans="1:43" s="28" customFormat="1" ht="12.75" customHeight="1">
      <c r="A523" s="64" t="s">
        <v>182</v>
      </c>
      <c r="B523" s="23" t="s">
        <v>183</v>
      </c>
      <c r="C523" s="77" t="s">
        <v>176</v>
      </c>
      <c r="D523" s="78">
        <v>1993</v>
      </c>
      <c r="E523" s="26">
        <v>5</v>
      </c>
      <c r="F523" s="66">
        <v>21</v>
      </c>
      <c r="G523" s="46">
        <f t="shared" si="98"/>
        <v>142.88</v>
      </c>
      <c r="H523" s="121">
        <v>4207.58</v>
      </c>
      <c r="I523" s="66"/>
      <c r="J523" s="29"/>
      <c r="K523" s="80">
        <v>38.35371</v>
      </c>
      <c r="O523" s="48">
        <f t="shared" si="100"/>
        <v>3.6240323820996156</v>
      </c>
      <c r="R523" s="48">
        <f t="shared" si="101"/>
        <v>1.5838073801389014</v>
      </c>
      <c r="U523" s="48">
        <v>3.6240323820996156</v>
      </c>
      <c r="V523" s="54">
        <v>1.5838073801389014</v>
      </c>
      <c r="W523" s="49">
        <f t="shared" si="99"/>
        <v>1.2803688904500674</v>
      </c>
      <c r="X523" s="49"/>
      <c r="Y523" s="49"/>
      <c r="Z523" s="49"/>
      <c r="AQ523" s="29"/>
    </row>
    <row r="524" spans="1:43" s="28" customFormat="1" ht="12.75" customHeight="1">
      <c r="A524" s="64" t="s">
        <v>182</v>
      </c>
      <c r="B524" s="23" t="s">
        <v>183</v>
      </c>
      <c r="C524" s="77" t="s">
        <v>176</v>
      </c>
      <c r="D524" s="78">
        <v>1993</v>
      </c>
      <c r="E524" s="26">
        <v>5</v>
      </c>
      <c r="F524" s="66">
        <v>21</v>
      </c>
      <c r="G524" s="46">
        <f t="shared" si="98"/>
        <v>142.88</v>
      </c>
      <c r="H524" s="121">
        <v>1780.13</v>
      </c>
      <c r="I524" s="66"/>
      <c r="J524" s="29"/>
      <c r="K524" s="80">
        <v>5.3727560000000008</v>
      </c>
      <c r="O524" s="48">
        <f t="shared" si="100"/>
        <v>3.2504517192870228</v>
      </c>
      <c r="R524" s="48">
        <f t="shared" si="101"/>
        <v>0.73019711783283392</v>
      </c>
      <c r="U524" s="48">
        <v>3.2504517192870228</v>
      </c>
      <c r="V524" s="54">
        <v>0.73019711783283392</v>
      </c>
      <c r="W524" s="49">
        <f t="shared" si="99"/>
        <v>2.2065243182605019</v>
      </c>
      <c r="X524" s="49"/>
      <c r="Y524" s="49"/>
      <c r="Z524" s="49"/>
      <c r="AQ524" s="29"/>
    </row>
    <row r="525" spans="1:43" s="28" customFormat="1" ht="12.75" customHeight="1">
      <c r="A525" s="64" t="s">
        <v>182</v>
      </c>
      <c r="B525" s="23" t="s">
        <v>183</v>
      </c>
      <c r="C525" s="77" t="s">
        <v>176</v>
      </c>
      <c r="D525" s="78">
        <v>1993</v>
      </c>
      <c r="E525" s="26">
        <v>8</v>
      </c>
      <c r="F525" s="66">
        <v>25</v>
      </c>
      <c r="G525" s="46">
        <f t="shared" si="98"/>
        <v>238.29</v>
      </c>
      <c r="H525" s="121">
        <v>19581.43</v>
      </c>
      <c r="I525" s="66"/>
      <c r="J525" s="29"/>
      <c r="K525" s="80">
        <v>114.25198</v>
      </c>
      <c r="O525" s="48">
        <f t="shared" si="100"/>
        <v>4.2918444044452473</v>
      </c>
      <c r="R525" s="48">
        <f t="shared" si="101"/>
        <v>2.0578637351806015</v>
      </c>
      <c r="U525" s="48">
        <v>4.2918444044452473</v>
      </c>
      <c r="V525" s="54">
        <v>2.0578637351806015</v>
      </c>
      <c r="W525" s="49">
        <f t="shared" si="99"/>
        <v>0.62814040450752329</v>
      </c>
      <c r="X525" s="49"/>
      <c r="Y525" s="49"/>
      <c r="Z525" s="49"/>
      <c r="AQ525" s="29"/>
    </row>
    <row r="526" spans="1:43" s="28" customFormat="1" ht="12.75" customHeight="1">
      <c r="A526" s="64" t="s">
        <v>182</v>
      </c>
      <c r="B526" s="23" t="s">
        <v>183</v>
      </c>
      <c r="C526" s="77" t="s">
        <v>176</v>
      </c>
      <c r="D526" s="78">
        <v>1993</v>
      </c>
      <c r="E526" s="26">
        <v>8</v>
      </c>
      <c r="F526" s="66">
        <v>25</v>
      </c>
      <c r="G526" s="46">
        <f t="shared" si="98"/>
        <v>238.29</v>
      </c>
      <c r="H526" s="121">
        <v>8576.99</v>
      </c>
      <c r="I526" s="66"/>
      <c r="J526" s="29"/>
      <c r="K526" s="80">
        <v>49.714176000000002</v>
      </c>
      <c r="O526" s="48">
        <f t="shared" si="100"/>
        <v>3.9333349037295866</v>
      </c>
      <c r="R526" s="48">
        <f t="shared" si="101"/>
        <v>1.6964802454882719</v>
      </c>
      <c r="U526" s="48">
        <v>3.9333349037295866</v>
      </c>
      <c r="V526" s="54">
        <v>1.6964802454882719</v>
      </c>
      <c r="W526" s="49">
        <f t="shared" si="99"/>
        <v>1.0802465301230941</v>
      </c>
      <c r="X526" s="49"/>
      <c r="Y526" s="49"/>
      <c r="Z526" s="49"/>
      <c r="AQ526" s="29"/>
    </row>
    <row r="527" spans="1:43" s="28" customFormat="1" ht="12.75" customHeight="1">
      <c r="A527" s="64" t="s">
        <v>182</v>
      </c>
      <c r="B527" s="23" t="s">
        <v>183</v>
      </c>
      <c r="C527" s="77" t="s">
        <v>176</v>
      </c>
      <c r="D527" s="78">
        <v>1993</v>
      </c>
      <c r="E527" s="26">
        <v>8</v>
      </c>
      <c r="F527" s="66">
        <v>25</v>
      </c>
      <c r="G527" s="46">
        <f t="shared" si="98"/>
        <v>238.29</v>
      </c>
      <c r="H527" s="121">
        <v>10518.95</v>
      </c>
      <c r="I527" s="66"/>
      <c r="J527" s="29"/>
      <c r="K527" s="80">
        <v>68.615920000000003</v>
      </c>
      <c r="O527" s="48">
        <f t="shared" si="100"/>
        <v>4.0219723907716531</v>
      </c>
      <c r="R527" s="48">
        <f t="shared" si="101"/>
        <v>1.8364248907215301</v>
      </c>
      <c r="U527" s="48">
        <v>4.0219723907716531</v>
      </c>
      <c r="V527" s="54">
        <v>1.8364248907215301</v>
      </c>
      <c r="W527" s="49">
        <f t="shared" si="99"/>
        <v>0.92020422518380907</v>
      </c>
      <c r="X527" s="49"/>
      <c r="Y527" s="49"/>
      <c r="Z527" s="49"/>
      <c r="AQ527" s="29"/>
    </row>
    <row r="528" spans="1:43" s="28" customFormat="1" ht="12.75" customHeight="1">
      <c r="A528" s="64" t="s">
        <v>182</v>
      </c>
      <c r="B528" s="23" t="s">
        <v>183</v>
      </c>
      <c r="C528" s="77" t="s">
        <v>176</v>
      </c>
      <c r="D528" s="78">
        <v>1993</v>
      </c>
      <c r="E528" s="26">
        <v>8</v>
      </c>
      <c r="F528" s="66">
        <v>25</v>
      </c>
      <c r="G528" s="46">
        <f t="shared" si="98"/>
        <v>238.29</v>
      </c>
      <c r="H528" s="121">
        <v>10842.61</v>
      </c>
      <c r="I528" s="66"/>
      <c r="J528" s="29"/>
      <c r="K528" s="80">
        <v>100.46406400000001</v>
      </c>
      <c r="O528" s="48">
        <f t="shared" si="100"/>
        <v>4.0351338368296243</v>
      </c>
      <c r="R528" s="48">
        <f t="shared" si="101"/>
        <v>2.0020107423789297</v>
      </c>
      <c r="U528" s="48">
        <v>4.0351338368296243</v>
      </c>
      <c r="V528" s="54">
        <v>2.0020107423789297</v>
      </c>
      <c r="W528" s="49">
        <f t="shared" si="99"/>
        <v>0.7583097044218805</v>
      </c>
      <c r="X528" s="49"/>
      <c r="Y528" s="49"/>
      <c r="Z528" s="49"/>
      <c r="AQ528" s="29"/>
    </row>
    <row r="529" spans="1:43" s="28" customFormat="1" ht="12.75" customHeight="1">
      <c r="A529" s="64" t="s">
        <v>182</v>
      </c>
      <c r="B529" s="23" t="s">
        <v>183</v>
      </c>
      <c r="C529" s="77" t="s">
        <v>176</v>
      </c>
      <c r="D529" s="78">
        <v>1993</v>
      </c>
      <c r="E529" s="26">
        <v>12</v>
      </c>
      <c r="F529" s="66">
        <v>16</v>
      </c>
      <c r="G529" s="46">
        <f t="shared" si="98"/>
        <v>351.16999999999996</v>
      </c>
      <c r="H529" s="121">
        <v>970.98</v>
      </c>
      <c r="I529" s="66"/>
      <c r="J529" s="29"/>
      <c r="K529" s="80">
        <v>0.67968600000000001</v>
      </c>
      <c r="O529" s="48">
        <f t="shared" si="100"/>
        <v>2.9872102845124413</v>
      </c>
      <c r="R529" s="48">
        <f t="shared" si="101"/>
        <v>-0.16769167547330197</v>
      </c>
      <c r="U529" s="48">
        <v>2.9872102845124413</v>
      </c>
      <c r="V529" s="54">
        <v>-0.16769167547330197</v>
      </c>
      <c r="W529" s="49">
        <f t="shared" si="99"/>
        <v>3.1418677236495074</v>
      </c>
      <c r="X529" s="49"/>
      <c r="Y529" s="49"/>
      <c r="Z529" s="49"/>
      <c r="AQ529" s="29"/>
    </row>
    <row r="530" spans="1:43" s="28" customFormat="1" ht="12.75" customHeight="1">
      <c r="A530" s="64" t="s">
        <v>182</v>
      </c>
      <c r="B530" s="23" t="s">
        <v>183</v>
      </c>
      <c r="C530" s="77" t="s">
        <v>176</v>
      </c>
      <c r="D530" s="78">
        <v>1993</v>
      </c>
      <c r="E530" s="26">
        <v>12</v>
      </c>
      <c r="F530" s="66">
        <v>16</v>
      </c>
      <c r="G530" s="46">
        <f t="shared" si="98"/>
        <v>351.16999999999996</v>
      </c>
      <c r="H530" s="121">
        <v>3722.09</v>
      </c>
      <c r="I530" s="66"/>
      <c r="J530" s="29"/>
      <c r="K530" s="80">
        <v>9.0624800000000008</v>
      </c>
      <c r="O530" s="48">
        <f t="shared" si="100"/>
        <v>3.5707868701463905</v>
      </c>
      <c r="R530" s="48">
        <f t="shared" si="101"/>
        <v>0.95724706113499802</v>
      </c>
      <c r="U530" s="48">
        <v>3.5707868701463905</v>
      </c>
      <c r="V530" s="54">
        <v>0.95724706113499802</v>
      </c>
      <c r="W530" s="49">
        <f t="shared" si="99"/>
        <v>1.8939931194174757</v>
      </c>
      <c r="X530" s="49"/>
      <c r="Y530" s="49"/>
      <c r="Z530" s="49"/>
      <c r="AQ530" s="29"/>
    </row>
    <row r="531" spans="1:43" s="28" customFormat="1" ht="12.75" customHeight="1">
      <c r="A531" s="64" t="s">
        <v>182</v>
      </c>
      <c r="B531" s="23" t="s">
        <v>183</v>
      </c>
      <c r="C531" s="77" t="s">
        <v>176</v>
      </c>
      <c r="D531" s="78">
        <v>1993</v>
      </c>
      <c r="E531" s="26">
        <v>12</v>
      </c>
      <c r="F531" s="66">
        <v>16</v>
      </c>
      <c r="G531" s="46">
        <f t="shared" si="98"/>
        <v>351.16999999999996</v>
      </c>
      <c r="H531" s="121">
        <v>4045.75</v>
      </c>
      <c r="I531" s="66"/>
      <c r="J531" s="29"/>
      <c r="K531" s="80">
        <v>6.6350300000000004</v>
      </c>
      <c r="O531" s="48">
        <f t="shared" si="100"/>
        <v>3.6069990428008354</v>
      </c>
      <c r="R531" s="48">
        <f t="shared" si="101"/>
        <v>0.82184289084853313</v>
      </c>
      <c r="U531" s="48">
        <v>3.6069990428008354</v>
      </c>
      <c r="V531" s="54">
        <v>0.82184289084853313</v>
      </c>
      <c r="W531" s="49">
        <f t="shared" si="99"/>
        <v>2.0123087209242811</v>
      </c>
      <c r="X531" s="49"/>
      <c r="Y531" s="49"/>
      <c r="Z531" s="49"/>
      <c r="AQ531" s="29"/>
    </row>
    <row r="532" spans="1:43" s="28" customFormat="1" ht="12.75" customHeight="1">
      <c r="A532" s="64" t="s">
        <v>182</v>
      </c>
      <c r="B532" s="23" t="s">
        <v>183</v>
      </c>
      <c r="C532" s="77" t="s">
        <v>176</v>
      </c>
      <c r="D532" s="78">
        <v>1993</v>
      </c>
      <c r="E532" s="26">
        <v>12</v>
      </c>
      <c r="F532" s="66">
        <v>16</v>
      </c>
      <c r="G532" s="46">
        <f t="shared" si="98"/>
        <v>351.16999999999996</v>
      </c>
      <c r="H532" s="121">
        <v>3074.77</v>
      </c>
      <c r="I532" s="66"/>
      <c r="J532" s="29"/>
      <c r="K532" s="80">
        <v>4.0457500000000008</v>
      </c>
      <c r="O532" s="48">
        <f t="shared" si="100"/>
        <v>3.4878126350816263</v>
      </c>
      <c r="R532" s="48">
        <f t="shared" si="101"/>
        <v>0.60699904280083528</v>
      </c>
      <c r="U532" s="48">
        <v>3.4878126350816263</v>
      </c>
      <c r="V532" s="54">
        <v>0.60699904280083528</v>
      </c>
      <c r="W532" s="49">
        <f t="shared" si="99"/>
        <v>2.2529475286745129</v>
      </c>
      <c r="X532" s="49"/>
      <c r="Y532" s="49"/>
      <c r="Z532" s="49"/>
      <c r="AQ532" s="29"/>
    </row>
    <row r="533" spans="1:43" s="28" customFormat="1" ht="12.75" customHeight="1">
      <c r="A533" s="64" t="s">
        <v>182</v>
      </c>
      <c r="B533" s="23" t="s">
        <v>183</v>
      </c>
      <c r="C533" s="77" t="s">
        <v>176</v>
      </c>
      <c r="D533" s="78">
        <v>1994</v>
      </c>
      <c r="E533" s="26">
        <v>3</v>
      </c>
      <c r="F533" s="66">
        <v>10</v>
      </c>
      <c r="G533" s="46">
        <f t="shared" si="98"/>
        <v>70.94</v>
      </c>
      <c r="H533" s="121">
        <v>2265.62</v>
      </c>
      <c r="I533" s="66"/>
      <c r="J533" s="29"/>
      <c r="K533" s="80">
        <v>5.5669520000000006</v>
      </c>
      <c r="O533" s="48">
        <f t="shared" si="100"/>
        <v>3.3551870698070356</v>
      </c>
      <c r="R533" s="48">
        <f t="shared" si="101"/>
        <v>0.74561747670032774</v>
      </c>
      <c r="U533" s="48">
        <v>3.3551870698070356</v>
      </c>
      <c r="V533" s="54">
        <v>0.74561747670032774</v>
      </c>
      <c r="W533" s="49">
        <f t="shared" si="99"/>
        <v>2.1604440239664329</v>
      </c>
      <c r="X533" s="49"/>
      <c r="Y533" s="49"/>
      <c r="Z533" s="49"/>
      <c r="AQ533" s="29"/>
    </row>
    <row r="534" spans="1:43" s="28" customFormat="1" ht="12.75" customHeight="1">
      <c r="A534" s="64" t="s">
        <v>182</v>
      </c>
      <c r="B534" s="23" t="s">
        <v>183</v>
      </c>
      <c r="C534" s="77" t="s">
        <v>176</v>
      </c>
      <c r="D534" s="78">
        <v>1994</v>
      </c>
      <c r="E534" s="26">
        <v>3</v>
      </c>
      <c r="F534" s="66">
        <v>10</v>
      </c>
      <c r="G534" s="46">
        <f t="shared" si="98"/>
        <v>70.94</v>
      </c>
      <c r="H534" s="121">
        <v>1780.13</v>
      </c>
      <c r="I534" s="66"/>
      <c r="J534" s="29"/>
      <c r="K534" s="80">
        <v>5.1785600000000009</v>
      </c>
      <c r="O534" s="48">
        <f t="shared" si="100"/>
        <v>3.2504517192870228</v>
      </c>
      <c r="R534" s="48">
        <f t="shared" si="101"/>
        <v>0.71420901244870361</v>
      </c>
      <c r="U534" s="48">
        <v>3.2504517192870228</v>
      </c>
      <c r="V534" s="54">
        <v>0.71420901244870361</v>
      </c>
      <c r="W534" s="49">
        <f t="shared" si="99"/>
        <v>2.2217753719864235</v>
      </c>
      <c r="X534" s="49"/>
      <c r="Y534" s="49"/>
      <c r="Z534" s="49"/>
      <c r="AQ534" s="29"/>
    </row>
    <row r="535" spans="1:43" s="28" customFormat="1" ht="12.75" customHeight="1">
      <c r="A535" s="64" t="s">
        <v>182</v>
      </c>
      <c r="B535" s="23" t="s">
        <v>183</v>
      </c>
      <c r="C535" s="77" t="s">
        <v>176</v>
      </c>
      <c r="D535" s="78">
        <v>1994</v>
      </c>
      <c r="E535" s="26">
        <v>3</v>
      </c>
      <c r="F535" s="66">
        <v>10</v>
      </c>
      <c r="G535" s="46">
        <f t="shared" si="98"/>
        <v>70.94</v>
      </c>
      <c r="H535" s="121">
        <v>2427.4499999999998</v>
      </c>
      <c r="I535" s="66"/>
      <c r="J535" s="29"/>
      <c r="K535" s="80">
        <v>4.7254360000000002</v>
      </c>
      <c r="O535" s="48">
        <f t="shared" si="100"/>
        <v>3.3851502931844788</v>
      </c>
      <c r="R535" s="48">
        <f t="shared" si="101"/>
        <v>0.67444188557721585</v>
      </c>
      <c r="U535" s="48">
        <v>3.3851502931844788</v>
      </c>
      <c r="V535" s="54">
        <v>0.67444188557721585</v>
      </c>
      <c r="W535" s="49">
        <f t="shared" si="99"/>
        <v>2.21936369784193</v>
      </c>
      <c r="X535" s="49"/>
      <c r="Y535" s="49"/>
      <c r="Z535" s="49"/>
      <c r="AQ535" s="29"/>
    </row>
    <row r="536" spans="1:43" s="28" customFormat="1" ht="12.75" customHeight="1">
      <c r="A536" s="64" t="s">
        <v>182</v>
      </c>
      <c r="B536" s="23" t="s">
        <v>183</v>
      </c>
      <c r="C536" s="77" t="s">
        <v>176</v>
      </c>
      <c r="D536" s="78">
        <v>1994</v>
      </c>
      <c r="E536" s="26">
        <v>3</v>
      </c>
      <c r="F536" s="66">
        <v>10</v>
      </c>
      <c r="G536" s="46">
        <f t="shared" si="98"/>
        <v>70.94</v>
      </c>
      <c r="H536" s="121">
        <v>323.66000000000003</v>
      </c>
      <c r="I536" s="66"/>
      <c r="J536" s="29"/>
      <c r="K536" s="80">
        <v>0.58258799999999999</v>
      </c>
      <c r="O536" s="48">
        <f t="shared" si="100"/>
        <v>2.5100890297927787</v>
      </c>
      <c r="R536" s="48">
        <f t="shared" si="101"/>
        <v>-0.23463846510391517</v>
      </c>
      <c r="U536" s="48">
        <v>2.5100890297927787</v>
      </c>
      <c r="V536" s="54">
        <v>-0.23463846510391517</v>
      </c>
      <c r="W536" s="49">
        <f t="shared" si="99"/>
        <v>3.3486378192495545</v>
      </c>
      <c r="X536" s="49"/>
      <c r="Y536" s="49"/>
      <c r="Z536" s="49"/>
      <c r="AQ536" s="29"/>
    </row>
    <row r="537" spans="1:43" s="28" customFormat="1" ht="12.75" customHeight="1">
      <c r="A537" s="64" t="s">
        <v>182</v>
      </c>
      <c r="B537" s="23" t="s">
        <v>183</v>
      </c>
      <c r="C537" s="77" t="s">
        <v>176</v>
      </c>
      <c r="D537" s="78">
        <v>1994</v>
      </c>
      <c r="E537" s="26">
        <v>5</v>
      </c>
      <c r="F537" s="66">
        <v>31</v>
      </c>
      <c r="G537" s="46">
        <f t="shared" si="98"/>
        <v>152.88</v>
      </c>
      <c r="H537" s="121">
        <v>1456.47</v>
      </c>
      <c r="I537" s="66"/>
      <c r="J537" s="29"/>
      <c r="K537" s="80">
        <v>9.9849110000000003</v>
      </c>
      <c r="O537" s="48">
        <f t="shared" si="100"/>
        <v>3.1633015435681227</v>
      </c>
      <c r="R537" s="48">
        <f t="shared" si="101"/>
        <v>0.99934419816203923</v>
      </c>
      <c r="U537" s="48">
        <v>3.1633015435681227</v>
      </c>
      <c r="V537" s="54">
        <v>0.99934419816203923</v>
      </c>
      <c r="W537" s="49">
        <f t="shared" si="99"/>
        <v>1.9758885398566062</v>
      </c>
      <c r="X537" s="49"/>
      <c r="Y537" s="49"/>
      <c r="Z537" s="49"/>
      <c r="AQ537" s="29"/>
    </row>
    <row r="538" spans="1:43" s="28" customFormat="1" ht="12.75" customHeight="1">
      <c r="A538" s="64" t="s">
        <v>182</v>
      </c>
      <c r="B538" s="23" t="s">
        <v>183</v>
      </c>
      <c r="C538" s="77" t="s">
        <v>176</v>
      </c>
      <c r="D538" s="78">
        <v>1994</v>
      </c>
      <c r="E538" s="26">
        <v>5</v>
      </c>
      <c r="F538" s="66">
        <v>31</v>
      </c>
      <c r="G538" s="46">
        <f t="shared" si="98"/>
        <v>152.88</v>
      </c>
      <c r="H538" s="121">
        <v>3236.6</v>
      </c>
      <c r="I538" s="66"/>
      <c r="J538" s="29"/>
      <c r="K538" s="80">
        <v>22.105978</v>
      </c>
      <c r="O538" s="48">
        <f t="shared" si="100"/>
        <v>3.5100890297927787</v>
      </c>
      <c r="R538" s="48">
        <f t="shared" si="101"/>
        <v>1.3445097334743112</v>
      </c>
      <c r="U538" s="48">
        <v>3.5100890297927787</v>
      </c>
      <c r="V538" s="54">
        <v>1.3445097334743112</v>
      </c>
      <c r="W538" s="49">
        <f t="shared" si="99"/>
        <v>1.5427637526257842</v>
      </c>
      <c r="X538" s="49"/>
      <c r="Y538" s="49"/>
      <c r="Z538" s="49"/>
      <c r="AQ538" s="29"/>
    </row>
    <row r="539" spans="1:43" s="28" customFormat="1" ht="12.75" customHeight="1">
      <c r="A539" s="64" t="s">
        <v>182</v>
      </c>
      <c r="B539" s="23" t="s">
        <v>183</v>
      </c>
      <c r="C539" s="77" t="s">
        <v>176</v>
      </c>
      <c r="D539" s="78">
        <v>1994</v>
      </c>
      <c r="E539" s="26">
        <v>5</v>
      </c>
      <c r="F539" s="66">
        <v>31</v>
      </c>
      <c r="G539" s="46">
        <f t="shared" si="98"/>
        <v>152.88</v>
      </c>
      <c r="H539" s="121">
        <v>5825.88</v>
      </c>
      <c r="I539" s="66"/>
      <c r="J539" s="29"/>
      <c r="K539" s="80">
        <v>49.115405000000003</v>
      </c>
      <c r="O539" s="48">
        <f t="shared" si="100"/>
        <v>3.7653615348960847</v>
      </c>
      <c r="R539" s="48">
        <f t="shared" si="101"/>
        <v>1.6912177295400739</v>
      </c>
      <c r="U539" s="48">
        <v>3.7653615348960847</v>
      </c>
      <c r="V539" s="54">
        <v>1.6912177295400739</v>
      </c>
      <c r="W539" s="49">
        <f t="shared" si="99"/>
        <v>1.1355786001965875</v>
      </c>
      <c r="X539" s="49"/>
      <c r="Y539" s="49"/>
      <c r="Z539" s="49"/>
      <c r="AQ539" s="29"/>
    </row>
    <row r="540" spans="1:43" s="28" customFormat="1" ht="12.75" customHeight="1">
      <c r="A540" s="64" t="s">
        <v>182</v>
      </c>
      <c r="B540" s="23" t="s">
        <v>183</v>
      </c>
      <c r="C540" s="77" t="s">
        <v>176</v>
      </c>
      <c r="D540" s="78">
        <v>1994</v>
      </c>
      <c r="E540" s="26">
        <v>5</v>
      </c>
      <c r="F540" s="66">
        <v>31</v>
      </c>
      <c r="G540" s="46">
        <f t="shared" si="98"/>
        <v>152.88</v>
      </c>
      <c r="H540" s="121">
        <v>3236.6</v>
      </c>
      <c r="I540" s="66"/>
      <c r="J540" s="29"/>
      <c r="K540" s="80">
        <v>30.424040000000002</v>
      </c>
      <c r="O540" s="48">
        <f t="shared" si="100"/>
        <v>3.5100890297927787</v>
      </c>
      <c r="R540" s="48">
        <f t="shared" si="101"/>
        <v>1.4832168833924775</v>
      </c>
      <c r="U540" s="48">
        <v>3.5100890297927787</v>
      </c>
      <c r="V540" s="54">
        <v>1.4832168833924775</v>
      </c>
      <c r="W540" s="49">
        <f t="shared" si="99"/>
        <v>1.4104510023188455</v>
      </c>
      <c r="X540" s="49"/>
      <c r="Y540" s="49"/>
      <c r="Z540" s="49"/>
      <c r="AQ540" s="29"/>
    </row>
    <row r="541" spans="1:43" s="28" customFormat="1" ht="12.75" customHeight="1">
      <c r="A541" s="64" t="s">
        <v>182</v>
      </c>
      <c r="B541" s="23" t="s">
        <v>183</v>
      </c>
      <c r="C541" s="77" t="s">
        <v>176</v>
      </c>
      <c r="D541" s="78">
        <v>1994</v>
      </c>
      <c r="E541" s="26">
        <v>9</v>
      </c>
      <c r="F541" s="66">
        <v>12</v>
      </c>
      <c r="G541" s="46">
        <f t="shared" si="98"/>
        <v>255.76</v>
      </c>
      <c r="H541" s="121">
        <v>4207.58</v>
      </c>
      <c r="I541" s="66"/>
      <c r="J541" s="29"/>
      <c r="K541" s="80">
        <v>62.563478000000003</v>
      </c>
      <c r="O541" s="48">
        <f t="shared" si="100"/>
        <v>3.6240323820996156</v>
      </c>
      <c r="R541" s="48">
        <f t="shared" si="101"/>
        <v>1.7963208838213318</v>
      </c>
      <c r="U541" s="48">
        <v>3.6240323820996156</v>
      </c>
      <c r="V541" s="54">
        <v>1.7963208838213318</v>
      </c>
      <c r="W541" s="49">
        <f t="shared" si="99"/>
        <v>1.0776522592873972</v>
      </c>
      <c r="X541" s="49"/>
      <c r="Y541" s="49"/>
      <c r="Z541" s="49"/>
      <c r="AQ541" s="29"/>
    </row>
    <row r="542" spans="1:43" s="28" customFormat="1" ht="12.75" customHeight="1">
      <c r="A542" s="64" t="s">
        <v>182</v>
      </c>
      <c r="B542" s="23" t="s">
        <v>183</v>
      </c>
      <c r="C542" s="77" t="s">
        <v>176</v>
      </c>
      <c r="D542" s="78">
        <v>1994</v>
      </c>
      <c r="E542" s="26">
        <v>9</v>
      </c>
      <c r="F542" s="66">
        <v>12</v>
      </c>
      <c r="G542" s="46">
        <f t="shared" si="98"/>
        <v>255.76</v>
      </c>
      <c r="H542" s="121">
        <v>6796.86</v>
      </c>
      <c r="I542" s="66"/>
      <c r="J542" s="29"/>
      <c r="K542" s="80">
        <v>83.277717999999993</v>
      </c>
      <c r="O542" s="48">
        <f t="shared" si="100"/>
        <v>3.8323083245266978</v>
      </c>
      <c r="R542" s="48">
        <f t="shared" si="101"/>
        <v>1.9205288160031253</v>
      </c>
      <c r="U542" s="48">
        <v>3.8323083245266978</v>
      </c>
      <c r="V542" s="54">
        <v>1.9205288160031253</v>
      </c>
      <c r="W542" s="49">
        <f t="shared" si="99"/>
        <v>0.89678654443408945</v>
      </c>
      <c r="X542" s="49"/>
      <c r="Y542" s="49"/>
      <c r="Z542" s="49"/>
      <c r="AQ542" s="29"/>
    </row>
    <row r="543" spans="1:43" s="28" customFormat="1" ht="12.75" customHeight="1">
      <c r="A543" s="64" t="s">
        <v>182</v>
      </c>
      <c r="B543" s="23" t="s">
        <v>183</v>
      </c>
      <c r="C543" s="77" t="s">
        <v>176</v>
      </c>
      <c r="D543" s="78">
        <v>1994</v>
      </c>
      <c r="E543" s="26">
        <v>9</v>
      </c>
      <c r="F543" s="66">
        <v>12</v>
      </c>
      <c r="G543" s="46">
        <f t="shared" si="98"/>
        <v>255.76</v>
      </c>
      <c r="H543" s="121">
        <v>7606.01</v>
      </c>
      <c r="I543" s="66"/>
      <c r="J543" s="29"/>
      <c r="K543" s="80">
        <v>90.705715000000012</v>
      </c>
      <c r="O543" s="48">
        <f t="shared" si="100"/>
        <v>3.881156892064515</v>
      </c>
      <c r="R543" s="48">
        <f t="shared" si="101"/>
        <v>1.9576346510597895</v>
      </c>
      <c r="U543" s="48">
        <v>3.881156892064515</v>
      </c>
      <c r="V543" s="54">
        <v>1.9576346510597895</v>
      </c>
      <c r="W543" s="49">
        <f t="shared" si="99"/>
        <v>0.84675994072120009</v>
      </c>
      <c r="X543" s="49"/>
      <c r="Y543" s="49"/>
      <c r="Z543" s="49"/>
      <c r="AQ543" s="29"/>
    </row>
    <row r="544" spans="1:43" s="28" customFormat="1" ht="12.75" customHeight="1">
      <c r="A544" s="64" t="s">
        <v>182</v>
      </c>
      <c r="B544" s="23" t="s">
        <v>183</v>
      </c>
      <c r="C544" s="77" t="s">
        <v>176</v>
      </c>
      <c r="D544" s="78">
        <v>1994</v>
      </c>
      <c r="E544" s="26">
        <v>9</v>
      </c>
      <c r="F544" s="66">
        <v>12</v>
      </c>
      <c r="G544" s="46">
        <f t="shared" si="98"/>
        <v>255.76</v>
      </c>
      <c r="H544" s="121">
        <v>5340.39</v>
      </c>
      <c r="I544" s="66"/>
      <c r="J544" s="29"/>
      <c r="K544" s="80">
        <v>37.010521000000004</v>
      </c>
      <c r="O544" s="48">
        <f t="shared" si="100"/>
        <v>3.727572974006685</v>
      </c>
      <c r="R544" s="48">
        <f t="shared" si="101"/>
        <v>1.568325198735546</v>
      </c>
      <c r="U544" s="48">
        <v>3.727572974006685</v>
      </c>
      <c r="V544" s="54">
        <v>1.568325198735546</v>
      </c>
      <c r="W544" s="49">
        <f t="shared" si="99"/>
        <v>1.2641243889159999</v>
      </c>
      <c r="X544" s="49"/>
      <c r="Y544" s="49"/>
      <c r="Z544" s="49"/>
      <c r="AQ544" s="29"/>
    </row>
    <row r="545" spans="1:43" s="28" customFormat="1" ht="12.75" customHeight="1">
      <c r="A545" s="64" t="s">
        <v>182</v>
      </c>
      <c r="B545" s="23" t="s">
        <v>183</v>
      </c>
      <c r="C545" s="77" t="s">
        <v>176</v>
      </c>
      <c r="D545" s="78">
        <v>1994</v>
      </c>
      <c r="E545" s="26">
        <v>12</v>
      </c>
      <c r="F545" s="66">
        <v>5</v>
      </c>
      <c r="G545" s="46">
        <f t="shared" si="98"/>
        <v>340.16999999999996</v>
      </c>
      <c r="H545" s="121">
        <v>1780.13</v>
      </c>
      <c r="I545" s="66"/>
      <c r="J545" s="29"/>
      <c r="K545" s="80">
        <v>5.2918410000000007</v>
      </c>
      <c r="O545" s="48">
        <f t="shared" si="100"/>
        <v>3.2504517192870228</v>
      </c>
      <c r="R545" s="48">
        <f t="shared" si="101"/>
        <v>0.72360678678908363</v>
      </c>
      <c r="U545" s="48">
        <v>3.2504517192870228</v>
      </c>
      <c r="V545" s="54">
        <v>0.72360678678908363</v>
      </c>
      <c r="W545" s="49">
        <f t="shared" si="99"/>
        <v>2.2128108350431348</v>
      </c>
      <c r="X545" s="49"/>
      <c r="Y545" s="49"/>
      <c r="Z545" s="49"/>
      <c r="AQ545" s="29"/>
    </row>
    <row r="546" spans="1:43" s="28" customFormat="1" ht="12.75" customHeight="1">
      <c r="A546" s="64" t="s">
        <v>182</v>
      </c>
      <c r="B546" s="23" t="s">
        <v>183</v>
      </c>
      <c r="C546" s="77" t="s">
        <v>176</v>
      </c>
      <c r="D546" s="78">
        <v>1994</v>
      </c>
      <c r="E546" s="26">
        <v>12</v>
      </c>
      <c r="F546" s="66">
        <v>5</v>
      </c>
      <c r="G546" s="46">
        <f t="shared" si="98"/>
        <v>340.16999999999996</v>
      </c>
      <c r="H546" s="121">
        <v>1941.96</v>
      </c>
      <c r="I546" s="66"/>
      <c r="J546" s="29"/>
      <c r="K546" s="80">
        <v>4.4017759999999999</v>
      </c>
      <c r="O546" s="48">
        <f t="shared" si="100"/>
        <v>3.2882402801764226</v>
      </c>
      <c r="R546" s="48">
        <f t="shared" si="101"/>
        <v>0.64362793816299624</v>
      </c>
      <c r="U546" s="48">
        <v>3.2882402801764226</v>
      </c>
      <c r="V546" s="54">
        <v>0.64362793816299624</v>
      </c>
      <c r="W546" s="49">
        <f t="shared" si="99"/>
        <v>2.277784055162587</v>
      </c>
      <c r="X546" s="49"/>
      <c r="Y546" s="49"/>
      <c r="Z546" s="49"/>
      <c r="AQ546" s="29"/>
    </row>
    <row r="547" spans="1:43" s="28" customFormat="1" ht="12.75" customHeight="1">
      <c r="A547" s="64" t="s">
        <v>182</v>
      </c>
      <c r="B547" s="23" t="s">
        <v>183</v>
      </c>
      <c r="C547" s="77" t="s">
        <v>176</v>
      </c>
      <c r="D547" s="78">
        <v>1994</v>
      </c>
      <c r="E547" s="26">
        <v>12</v>
      </c>
      <c r="F547" s="66">
        <v>5</v>
      </c>
      <c r="G547" s="46">
        <f t="shared" si="98"/>
        <v>340.16999999999996</v>
      </c>
      <c r="H547" s="121">
        <v>809.15</v>
      </c>
      <c r="I547" s="66"/>
      <c r="J547" s="29"/>
      <c r="K547" s="80">
        <v>1.3755550000000003</v>
      </c>
      <c r="O547" s="48">
        <f t="shared" si="100"/>
        <v>2.9080290384648162</v>
      </c>
      <c r="R547" s="48">
        <f t="shared" si="101"/>
        <v>0.13847795984309039</v>
      </c>
      <c r="U547" s="48">
        <v>2.9080290384648162</v>
      </c>
      <c r="V547" s="54">
        <v>0.13847795984309039</v>
      </c>
      <c r="W547" s="49">
        <f t="shared" si="99"/>
        <v>2.8735292395711176</v>
      </c>
      <c r="X547" s="49"/>
      <c r="Y547" s="49"/>
      <c r="Z547" s="49"/>
      <c r="AQ547" s="29"/>
    </row>
    <row r="548" spans="1:43" s="28" customFormat="1" ht="12.75" customHeight="1">
      <c r="A548" s="64" t="s">
        <v>182</v>
      </c>
      <c r="B548" s="23" t="s">
        <v>183</v>
      </c>
      <c r="C548" s="77" t="s">
        <v>176</v>
      </c>
      <c r="D548" s="78">
        <v>1994</v>
      </c>
      <c r="E548" s="26">
        <v>12</v>
      </c>
      <c r="F548" s="66">
        <v>5</v>
      </c>
      <c r="G548" s="46">
        <f t="shared" si="98"/>
        <v>340.16999999999996</v>
      </c>
      <c r="H548" s="121">
        <v>3236.6</v>
      </c>
      <c r="I548" s="66"/>
      <c r="J548" s="29"/>
      <c r="K548" s="80">
        <v>37.625475000000002</v>
      </c>
      <c r="O548" s="48">
        <f t="shared" si="100"/>
        <v>3.5100890297927787</v>
      </c>
      <c r="R548" s="48">
        <f t="shared" si="101"/>
        <v>1.5754819913547704</v>
      </c>
      <c r="U548" s="48">
        <v>3.5100890297927787</v>
      </c>
      <c r="V548" s="54">
        <v>1.5754819913547704</v>
      </c>
      <c r="W548" s="49">
        <f t="shared" si="99"/>
        <v>1.3224393158336143</v>
      </c>
      <c r="X548" s="49"/>
      <c r="Y548" s="49"/>
      <c r="Z548" s="49"/>
      <c r="AQ548" s="29"/>
    </row>
    <row r="549" spans="1:43" s="28" customFormat="1" ht="12.75" customHeight="1">
      <c r="A549" s="64" t="s">
        <v>182</v>
      </c>
      <c r="B549" s="23" t="s">
        <v>183</v>
      </c>
      <c r="C549" s="77" t="s">
        <v>176</v>
      </c>
      <c r="D549" s="78">
        <v>1995</v>
      </c>
      <c r="E549" s="26">
        <v>3</v>
      </c>
      <c r="F549" s="66">
        <v>15</v>
      </c>
      <c r="G549" s="46">
        <f t="shared" si="98"/>
        <v>75.94</v>
      </c>
      <c r="H549" s="121">
        <v>1294.6400000000001</v>
      </c>
      <c r="I549" s="66"/>
      <c r="J549" s="29"/>
      <c r="K549" s="80">
        <v>32.576379000000003</v>
      </c>
      <c r="O549" s="48">
        <f t="shared" si="100"/>
        <v>3.1121490211207412</v>
      </c>
      <c r="R549" s="48">
        <f t="shared" si="101"/>
        <v>1.5129028090174521</v>
      </c>
      <c r="U549" s="48">
        <v>3.1121490211207412</v>
      </c>
      <c r="V549" s="54">
        <v>1.5129028090174521</v>
      </c>
      <c r="W549" s="49">
        <f t="shared" si="99"/>
        <v>1.5013264197866707</v>
      </c>
      <c r="X549" s="49"/>
      <c r="Y549" s="49"/>
      <c r="Z549" s="49"/>
      <c r="AQ549" s="29"/>
    </row>
    <row r="550" spans="1:43" s="28" customFormat="1" ht="12.75" customHeight="1">
      <c r="A550" s="64" t="s">
        <v>182</v>
      </c>
      <c r="B550" s="23" t="s">
        <v>183</v>
      </c>
      <c r="C550" s="77" t="s">
        <v>176</v>
      </c>
      <c r="D550" s="78">
        <v>1995</v>
      </c>
      <c r="E550" s="26">
        <v>3</v>
      </c>
      <c r="F550" s="66">
        <v>15</v>
      </c>
      <c r="G550" s="46">
        <f t="shared" si="98"/>
        <v>75.94</v>
      </c>
      <c r="H550" s="121">
        <v>1294.6400000000001</v>
      </c>
      <c r="I550" s="66"/>
      <c r="J550" s="29"/>
      <c r="K550" s="80">
        <v>2.3627180000000001</v>
      </c>
      <c r="O550" s="48">
        <f t="shared" si="100"/>
        <v>3.1121490211207412</v>
      </c>
      <c r="R550" s="48">
        <f t="shared" si="101"/>
        <v>0.37341188991323465</v>
      </c>
      <c r="U550" s="48">
        <v>3.1121490211207412</v>
      </c>
      <c r="V550" s="54">
        <v>0.37341188991323465</v>
      </c>
      <c r="W550" s="49">
        <f t="shared" si="99"/>
        <v>2.5882868075201837</v>
      </c>
      <c r="X550" s="49"/>
      <c r="Y550" s="49"/>
      <c r="Z550" s="49"/>
      <c r="AQ550" s="29"/>
    </row>
    <row r="551" spans="1:43" s="28" customFormat="1" ht="12.75" customHeight="1">
      <c r="A551" s="64" t="s">
        <v>182</v>
      </c>
      <c r="B551" s="23" t="s">
        <v>183</v>
      </c>
      <c r="C551" s="77" t="s">
        <v>176</v>
      </c>
      <c r="D551" s="78">
        <v>1995</v>
      </c>
      <c r="E551" s="26">
        <v>3</v>
      </c>
      <c r="F551" s="66">
        <v>15</v>
      </c>
      <c r="G551" s="46">
        <f t="shared" si="98"/>
        <v>75.94</v>
      </c>
      <c r="H551" s="121">
        <v>647.32000000000005</v>
      </c>
      <c r="I551" s="66"/>
      <c r="J551" s="29"/>
      <c r="K551" s="80">
        <v>1.3755550000000003</v>
      </c>
      <c r="O551" s="48">
        <f t="shared" si="100"/>
        <v>2.81111902545676</v>
      </c>
      <c r="R551" s="48">
        <f t="shared" si="101"/>
        <v>0.13847795984309039</v>
      </c>
      <c r="U551" s="48">
        <v>2.81111902545676</v>
      </c>
      <c r="V551" s="54">
        <v>0.13847795984309039</v>
      </c>
      <c r="W551" s="49">
        <f t="shared" si="99"/>
        <v>2.90255617245335</v>
      </c>
      <c r="X551" s="49"/>
      <c r="Y551" s="49"/>
      <c r="Z551" s="49"/>
      <c r="AQ551" s="29"/>
    </row>
    <row r="552" spans="1:43" s="28" customFormat="1" ht="12.75" customHeight="1">
      <c r="A552" s="64" t="s">
        <v>182</v>
      </c>
      <c r="B552" s="23" t="s">
        <v>183</v>
      </c>
      <c r="C552" s="77" t="s">
        <v>176</v>
      </c>
      <c r="D552" s="78">
        <v>1995</v>
      </c>
      <c r="E552" s="26">
        <v>3</v>
      </c>
      <c r="F552" s="66">
        <v>15</v>
      </c>
      <c r="G552" s="46">
        <f t="shared" si="98"/>
        <v>75.94</v>
      </c>
      <c r="H552" s="121">
        <v>647.32000000000005</v>
      </c>
      <c r="I552" s="66"/>
      <c r="J552" s="29"/>
      <c r="K552" s="80">
        <v>2.0066920000000001</v>
      </c>
      <c r="O552" s="48">
        <f t="shared" si="100"/>
        <v>2.81111902545676</v>
      </c>
      <c r="R552" s="48">
        <f t="shared" si="101"/>
        <v>0.30248071929103265</v>
      </c>
      <c r="U552" s="48">
        <v>2.81111902545676</v>
      </c>
      <c r="V552" s="54">
        <v>0.30248071929103265</v>
      </c>
      <c r="W552" s="49">
        <f t="shared" si="99"/>
        <v>2.7461139402159578</v>
      </c>
      <c r="X552" s="49"/>
      <c r="Y552" s="49"/>
      <c r="Z552" s="49"/>
      <c r="AQ552" s="29"/>
    </row>
    <row r="553" spans="1:43" s="28" customFormat="1" ht="12.75" customHeight="1">
      <c r="A553" s="64" t="s">
        <v>182</v>
      </c>
      <c r="B553" s="23" t="s">
        <v>183</v>
      </c>
      <c r="C553" s="77" t="s">
        <v>176</v>
      </c>
      <c r="D553" s="78">
        <v>1995</v>
      </c>
      <c r="E553" s="26">
        <v>6</v>
      </c>
      <c r="F553" s="66">
        <v>15</v>
      </c>
      <c r="G553" s="46">
        <f t="shared" si="98"/>
        <v>167.35</v>
      </c>
      <c r="H553" s="121">
        <v>2427.4499999999998</v>
      </c>
      <c r="I553" s="66"/>
      <c r="J553" s="29"/>
      <c r="K553" s="80">
        <v>24.193585000000002</v>
      </c>
      <c r="O553" s="48">
        <f t="shared" si="100"/>
        <v>3.3851502931844788</v>
      </c>
      <c r="R553" s="48">
        <f t="shared" si="101"/>
        <v>1.383700226789246</v>
      </c>
      <c r="U553" s="48">
        <v>3.3851502931844788</v>
      </c>
      <c r="V553" s="54">
        <v>1.383700226789246</v>
      </c>
      <c r="W553" s="49">
        <f t="shared" si="99"/>
        <v>1.5428021661597744</v>
      </c>
      <c r="X553" s="49"/>
      <c r="Y553" s="49"/>
      <c r="Z553" s="49"/>
      <c r="AQ553" s="29"/>
    </row>
    <row r="554" spans="1:43" s="28" customFormat="1" ht="12.75" customHeight="1">
      <c r="A554" s="64" t="s">
        <v>182</v>
      </c>
      <c r="B554" s="23" t="s">
        <v>183</v>
      </c>
      <c r="C554" s="77" t="s">
        <v>176</v>
      </c>
      <c r="D554" s="78">
        <v>1995</v>
      </c>
      <c r="E554" s="26">
        <v>6</v>
      </c>
      <c r="F554" s="66">
        <v>15</v>
      </c>
      <c r="G554" s="46">
        <f t="shared" si="98"/>
        <v>167.35</v>
      </c>
      <c r="H554" s="121">
        <v>2912.94</v>
      </c>
      <c r="I554" s="66"/>
      <c r="J554" s="29"/>
      <c r="K554" s="80">
        <v>26.135545000000004</v>
      </c>
      <c r="O554" s="48">
        <f t="shared" si="100"/>
        <v>3.4643315392321035</v>
      </c>
      <c r="R554" s="48">
        <f t="shared" si="101"/>
        <v>1.4172315607959194</v>
      </c>
      <c r="U554" s="48">
        <v>3.4643315392321035</v>
      </c>
      <c r="V554" s="54">
        <v>1.4172315607959194</v>
      </c>
      <c r="W554" s="49">
        <f t="shared" si="99"/>
        <v>1.4870998956008927</v>
      </c>
      <c r="X554" s="49"/>
      <c r="Y554" s="49"/>
      <c r="Z554" s="49"/>
      <c r="AQ554" s="29"/>
    </row>
    <row r="555" spans="1:43" s="28" customFormat="1" ht="12.75" customHeight="1">
      <c r="A555" s="64" t="s">
        <v>182</v>
      </c>
      <c r="B555" s="23" t="s">
        <v>183</v>
      </c>
      <c r="C555" s="77" t="s">
        <v>176</v>
      </c>
      <c r="D555" s="78">
        <v>1995</v>
      </c>
      <c r="E555" s="26">
        <v>6</v>
      </c>
      <c r="F555" s="66">
        <v>15</v>
      </c>
      <c r="G555" s="46">
        <f t="shared" si="98"/>
        <v>167.35</v>
      </c>
      <c r="H555" s="121">
        <v>3883.92</v>
      </c>
      <c r="I555" s="66"/>
      <c r="J555" s="29"/>
      <c r="K555" s="80">
        <v>28.514446000000003</v>
      </c>
      <c r="O555" s="48">
        <f t="shared" si="100"/>
        <v>3.5892702758404034</v>
      </c>
      <c r="R555" s="48">
        <f t="shared" si="101"/>
        <v>1.4550649382048266</v>
      </c>
      <c r="U555" s="48">
        <v>3.5892702758404034</v>
      </c>
      <c r="V555" s="54">
        <v>1.4550649382048266</v>
      </c>
      <c r="W555" s="49">
        <f t="shared" si="99"/>
        <v>1.4135884117834292</v>
      </c>
      <c r="X555" s="49"/>
      <c r="Y555" s="49"/>
      <c r="Z555" s="49"/>
      <c r="AQ555" s="29"/>
    </row>
    <row r="556" spans="1:43" s="28" customFormat="1" ht="12.75" customHeight="1">
      <c r="A556" s="64" t="s">
        <v>182</v>
      </c>
      <c r="B556" s="23" t="s">
        <v>183</v>
      </c>
      <c r="C556" s="77" t="s">
        <v>176</v>
      </c>
      <c r="D556" s="78">
        <v>1995</v>
      </c>
      <c r="E556" s="26">
        <v>6</v>
      </c>
      <c r="F556" s="66">
        <v>15</v>
      </c>
      <c r="G556" s="46">
        <f t="shared" si="98"/>
        <v>167.35</v>
      </c>
      <c r="H556" s="121">
        <v>3074.77</v>
      </c>
      <c r="I556" s="66"/>
      <c r="J556" s="29"/>
      <c r="K556" s="80">
        <v>26.799048000000003</v>
      </c>
      <c r="O556" s="48">
        <f t="shared" si="100"/>
        <v>3.4878126350816263</v>
      </c>
      <c r="R556" s="48">
        <f t="shared" si="101"/>
        <v>1.428119366577659</v>
      </c>
      <c r="U556" s="48">
        <v>3.4878126350816263</v>
      </c>
      <c r="V556" s="54">
        <v>1.428119366577659</v>
      </c>
      <c r="W556" s="49">
        <f t="shared" si="99"/>
        <v>1.4696808518238009</v>
      </c>
      <c r="X556" s="49"/>
      <c r="Y556" s="49"/>
      <c r="Z556" s="49"/>
      <c r="AQ556" s="29"/>
    </row>
    <row r="557" spans="1:43" s="28" customFormat="1" ht="12.75" customHeight="1">
      <c r="A557" s="64" t="s">
        <v>182</v>
      </c>
      <c r="B557" s="23" t="s">
        <v>183</v>
      </c>
      <c r="C557" s="77" t="s">
        <v>176</v>
      </c>
      <c r="D557" s="78">
        <v>1995</v>
      </c>
      <c r="E557" s="26">
        <v>12</v>
      </c>
      <c r="F557" s="66">
        <v>4</v>
      </c>
      <c r="G557" s="46">
        <f t="shared" si="98"/>
        <v>339.16999999999996</v>
      </c>
      <c r="H557" s="121">
        <v>5825.88</v>
      </c>
      <c r="I557" s="66"/>
      <c r="J557" s="29"/>
      <c r="K557" s="80">
        <v>5.3403900000000011</v>
      </c>
      <c r="O557" s="48">
        <f t="shared" si="100"/>
        <v>3.7653615348960847</v>
      </c>
      <c r="R557" s="48">
        <f t="shared" si="101"/>
        <v>0.72757297400668508</v>
      </c>
      <c r="U557" s="48">
        <v>3.7653615348960847</v>
      </c>
      <c r="V557" s="54">
        <v>0.72757297400668508</v>
      </c>
      <c r="W557" s="49">
        <f t="shared" si="99"/>
        <v>2.0547993324998872</v>
      </c>
      <c r="X557" s="49"/>
      <c r="Y557" s="49"/>
      <c r="Z557" s="49"/>
      <c r="AQ557" s="29"/>
    </row>
    <row r="558" spans="1:43" s="28" customFormat="1" ht="12.75" customHeight="1">
      <c r="A558" s="64" t="s">
        <v>182</v>
      </c>
      <c r="B558" s="23" t="s">
        <v>183</v>
      </c>
      <c r="C558" s="77" t="s">
        <v>176</v>
      </c>
      <c r="D558" s="78">
        <v>1995</v>
      </c>
      <c r="E558" s="26">
        <v>12</v>
      </c>
      <c r="F558" s="66">
        <v>4</v>
      </c>
      <c r="G558" s="46">
        <f t="shared" si="98"/>
        <v>339.16999999999996</v>
      </c>
      <c r="H558" s="121">
        <v>3883.92</v>
      </c>
      <c r="I558" s="66"/>
      <c r="J558" s="29"/>
      <c r="K558" s="80">
        <v>5.0167299999999999</v>
      </c>
      <c r="O558" s="48">
        <f t="shared" si="100"/>
        <v>3.5892702758404034</v>
      </c>
      <c r="R558" s="48">
        <f t="shared" si="101"/>
        <v>0.7004207279630702</v>
      </c>
      <c r="U558" s="48">
        <v>3.5892702758404034</v>
      </c>
      <c r="V558" s="54">
        <v>0.7004207279630702</v>
      </c>
      <c r="W558" s="49">
        <f t="shared" si="99"/>
        <v>2.1334435239330407</v>
      </c>
      <c r="X558" s="49"/>
      <c r="Y558" s="49"/>
      <c r="Z558" s="49"/>
      <c r="AQ558" s="29"/>
    </row>
    <row r="559" spans="1:43" s="28" customFormat="1" ht="12.75" customHeight="1">
      <c r="A559" s="64" t="s">
        <v>182</v>
      </c>
      <c r="B559" s="23" t="s">
        <v>183</v>
      </c>
      <c r="C559" s="77" t="s">
        <v>176</v>
      </c>
      <c r="D559" s="78">
        <v>1995</v>
      </c>
      <c r="E559" s="26">
        <v>12</v>
      </c>
      <c r="F559" s="66">
        <v>4</v>
      </c>
      <c r="G559" s="46">
        <f t="shared" si="98"/>
        <v>339.16999999999996</v>
      </c>
      <c r="H559" s="121">
        <v>2751.11</v>
      </c>
      <c r="I559" s="66"/>
      <c r="J559" s="29"/>
      <c r="K559" s="80">
        <v>6.3113700000000001</v>
      </c>
      <c r="O559" s="48">
        <f t="shared" si="100"/>
        <v>3.4395079555070716</v>
      </c>
      <c r="R559" s="48">
        <f t="shared" si="101"/>
        <v>0.80012364115529677</v>
      </c>
      <c r="U559" s="48">
        <v>3.4395079555070716</v>
      </c>
      <c r="V559" s="54">
        <v>0.80012364115529677</v>
      </c>
      <c r="W559" s="49">
        <f t="shared" si="99"/>
        <v>2.083194414131889</v>
      </c>
      <c r="X559" s="49"/>
      <c r="Y559" s="49"/>
      <c r="Z559" s="49"/>
      <c r="AQ559" s="29"/>
    </row>
    <row r="560" spans="1:43" s="28" customFormat="1" ht="12.75" customHeight="1">
      <c r="A560" s="64" t="s">
        <v>182</v>
      </c>
      <c r="B560" s="23" t="s">
        <v>183</v>
      </c>
      <c r="C560" s="77" t="s">
        <v>176</v>
      </c>
      <c r="D560" s="78">
        <v>1995</v>
      </c>
      <c r="E560" s="26">
        <v>12</v>
      </c>
      <c r="F560" s="66">
        <v>4</v>
      </c>
      <c r="G560" s="46">
        <f t="shared" si="98"/>
        <v>339.16999999999996</v>
      </c>
      <c r="H560" s="121">
        <v>6796.86</v>
      </c>
      <c r="I560" s="66"/>
      <c r="J560" s="29"/>
      <c r="K560" s="80">
        <v>8.2533300000000001</v>
      </c>
      <c r="O560" s="48">
        <f t="shared" si="100"/>
        <v>3.8323083245266978</v>
      </c>
      <c r="R560" s="48">
        <f t="shared" si="101"/>
        <v>0.91662921022673394</v>
      </c>
      <c r="U560" s="48">
        <v>3.8323083245266978</v>
      </c>
      <c r="V560" s="54">
        <v>0.91662921022673394</v>
      </c>
      <c r="W560" s="49">
        <f t="shared" si="99"/>
        <v>1.8544063783841891</v>
      </c>
      <c r="X560" s="49"/>
      <c r="Y560" s="49"/>
      <c r="Z560" s="49"/>
      <c r="AQ560" s="29"/>
    </row>
    <row r="561" spans="1:43" s="28" customFormat="1" ht="12.75" customHeight="1">
      <c r="A561" s="64" t="s">
        <v>182</v>
      </c>
      <c r="B561" s="23" t="s">
        <v>183</v>
      </c>
      <c r="C561" s="77" t="s">
        <v>177</v>
      </c>
      <c r="D561" s="78">
        <v>1989</v>
      </c>
      <c r="E561" s="26">
        <v>12</v>
      </c>
      <c r="F561" s="66">
        <v>6</v>
      </c>
      <c r="G561" s="46">
        <f t="shared" si="98"/>
        <v>341.16999999999996</v>
      </c>
      <c r="H561" s="121">
        <v>3236.6</v>
      </c>
      <c r="I561" s="66"/>
      <c r="J561" s="29"/>
      <c r="K561" s="80">
        <v>52.578567000000007</v>
      </c>
      <c r="O561" s="48">
        <f t="shared" si="100"/>
        <v>3.5100890297927787</v>
      </c>
      <c r="R561" s="48">
        <f t="shared" si="101"/>
        <v>1.7208087454737804</v>
      </c>
      <c r="U561" s="48">
        <v>3.5100890297927787</v>
      </c>
      <c r="V561" s="54">
        <v>1.7208087454737804</v>
      </c>
      <c r="W561" s="49">
        <f t="shared" si="99"/>
        <v>1.1838121250794906</v>
      </c>
      <c r="X561" s="49"/>
      <c r="Y561" s="49"/>
      <c r="Z561" s="49"/>
      <c r="AQ561" s="29"/>
    </row>
    <row r="562" spans="1:43" s="28" customFormat="1" ht="12.75" customHeight="1">
      <c r="A562" s="64" t="s">
        <v>182</v>
      </c>
      <c r="B562" s="23" t="s">
        <v>183</v>
      </c>
      <c r="C562" s="77" t="s">
        <v>177</v>
      </c>
      <c r="D562" s="78">
        <v>1989</v>
      </c>
      <c r="E562" s="26">
        <v>12</v>
      </c>
      <c r="F562" s="66">
        <v>6</v>
      </c>
      <c r="G562" s="46">
        <f t="shared" si="98"/>
        <v>341.16999999999996</v>
      </c>
      <c r="H562" s="121">
        <v>4045.75</v>
      </c>
      <c r="I562" s="66"/>
      <c r="J562" s="29"/>
      <c r="K562" s="80">
        <v>55.896082</v>
      </c>
      <c r="O562" s="48">
        <f t="shared" si="100"/>
        <v>3.6069990428008354</v>
      </c>
      <c r="R562" s="48">
        <f t="shared" si="101"/>
        <v>1.7473813673602376</v>
      </c>
      <c r="U562" s="48">
        <v>3.6069990428008354</v>
      </c>
      <c r="V562" s="54">
        <v>1.7473813673602376</v>
      </c>
      <c r="W562" s="49">
        <f t="shared" si="99"/>
        <v>1.1294375681797661</v>
      </c>
      <c r="X562" s="49"/>
      <c r="Y562" s="49"/>
      <c r="Z562" s="49"/>
      <c r="AQ562" s="29"/>
    </row>
    <row r="563" spans="1:43" s="28" customFormat="1" ht="12.75" customHeight="1">
      <c r="A563" s="64" t="s">
        <v>182</v>
      </c>
      <c r="B563" s="23" t="s">
        <v>183</v>
      </c>
      <c r="C563" s="77" t="s">
        <v>177</v>
      </c>
      <c r="D563" s="78">
        <v>1989</v>
      </c>
      <c r="E563" s="26">
        <v>12</v>
      </c>
      <c r="F563" s="66">
        <v>6</v>
      </c>
      <c r="G563" s="46">
        <f t="shared" si="98"/>
        <v>341.16999999999996</v>
      </c>
      <c r="H563" s="121">
        <v>2589.2800000000002</v>
      </c>
      <c r="I563" s="66"/>
      <c r="J563" s="29"/>
      <c r="K563" s="80">
        <v>24.581977000000002</v>
      </c>
      <c r="O563" s="48">
        <f t="shared" si="100"/>
        <v>3.4131790167847225</v>
      </c>
      <c r="R563" s="48">
        <f t="shared" si="101"/>
        <v>1.3906168079915839</v>
      </c>
      <c r="U563" s="48">
        <v>3.4131790167847225</v>
      </c>
      <c r="V563" s="54">
        <v>1.3906168079915839</v>
      </c>
      <c r="W563" s="49">
        <f t="shared" si="99"/>
        <v>1.5278091471259909</v>
      </c>
      <c r="X563" s="49"/>
      <c r="Y563" s="49"/>
      <c r="Z563" s="49"/>
      <c r="AQ563" s="29"/>
    </row>
    <row r="564" spans="1:43" s="28" customFormat="1" ht="12.75" customHeight="1">
      <c r="A564" s="64" t="s">
        <v>182</v>
      </c>
      <c r="B564" s="23" t="s">
        <v>183</v>
      </c>
      <c r="C564" s="77" t="s">
        <v>177</v>
      </c>
      <c r="D564" s="78">
        <v>1989</v>
      </c>
      <c r="E564" s="26">
        <v>12</v>
      </c>
      <c r="F564" s="66">
        <v>6</v>
      </c>
      <c r="G564" s="46">
        <f t="shared" si="98"/>
        <v>341.16999999999996</v>
      </c>
      <c r="H564" s="121">
        <v>3074.77</v>
      </c>
      <c r="I564" s="66"/>
      <c r="J564" s="29"/>
      <c r="K564" s="80">
        <v>38.288978</v>
      </c>
      <c r="O564" s="48">
        <f t="shared" si="100"/>
        <v>3.4878126350816263</v>
      </c>
      <c r="R564" s="48">
        <f t="shared" si="101"/>
        <v>1.5830737744207091</v>
      </c>
      <c r="U564" s="48">
        <v>3.4878126350816263</v>
      </c>
      <c r="V564" s="54">
        <v>1.5830737744207091</v>
      </c>
      <c r="W564" s="49">
        <f t="shared" si="99"/>
        <v>1.3218698421823156</v>
      </c>
      <c r="X564" s="49"/>
      <c r="Y564" s="49"/>
      <c r="Z564" s="49"/>
      <c r="AQ564" s="29"/>
    </row>
    <row r="565" spans="1:43" s="28" customFormat="1" ht="12.75" customHeight="1">
      <c r="A565" s="64" t="s">
        <v>182</v>
      </c>
      <c r="B565" s="23" t="s">
        <v>183</v>
      </c>
      <c r="C565" s="77" t="s">
        <v>177</v>
      </c>
      <c r="D565" s="78">
        <v>1990</v>
      </c>
      <c r="E565" s="26">
        <v>1</v>
      </c>
      <c r="F565" s="66">
        <v>26</v>
      </c>
      <c r="G565" s="46">
        <f t="shared" si="98"/>
        <v>26</v>
      </c>
      <c r="H565" s="121">
        <v>4854.8999999999996</v>
      </c>
      <c r="I565" s="66"/>
      <c r="J565" s="29"/>
      <c r="K565" s="80">
        <v>62.887138000000007</v>
      </c>
      <c r="O565" s="48">
        <f t="shared" si="100"/>
        <v>3.6861802888484601</v>
      </c>
      <c r="R565" s="48">
        <f t="shared" si="101"/>
        <v>1.7985618303925612</v>
      </c>
      <c r="U565" s="48">
        <v>3.6861802888484601</v>
      </c>
      <c r="V565" s="54">
        <v>1.7985618303925612</v>
      </c>
      <c r="W565" s="49">
        <f t="shared" si="99"/>
        <v>1.0568997934433162</v>
      </c>
      <c r="X565" s="49"/>
      <c r="Y565" s="49"/>
      <c r="Z565" s="49"/>
      <c r="AQ565" s="29"/>
    </row>
    <row r="566" spans="1:43" s="28" customFormat="1" ht="12.75" customHeight="1">
      <c r="A566" s="64" t="s">
        <v>182</v>
      </c>
      <c r="B566" s="23" t="s">
        <v>183</v>
      </c>
      <c r="C566" s="77" t="s">
        <v>177</v>
      </c>
      <c r="D566" s="78">
        <v>1990</v>
      </c>
      <c r="E566" s="26">
        <v>1</v>
      </c>
      <c r="F566" s="66">
        <v>26</v>
      </c>
      <c r="G566" s="46">
        <f t="shared" si="98"/>
        <v>26</v>
      </c>
      <c r="H566" s="121">
        <v>5016.7299999999996</v>
      </c>
      <c r="I566" s="66"/>
      <c r="J566" s="29"/>
      <c r="K566" s="80">
        <v>67.580208000000013</v>
      </c>
      <c r="O566" s="48">
        <f t="shared" si="100"/>
        <v>3.7004207279630701</v>
      </c>
      <c r="R566" s="48">
        <f t="shared" si="101"/>
        <v>1.8298195241230033</v>
      </c>
      <c r="U566" s="48">
        <v>3.7004207279630701</v>
      </c>
      <c r="V566" s="54">
        <v>1.8298195241230033</v>
      </c>
      <c r="W566" s="49">
        <f t="shared" si="99"/>
        <v>1.0228177175642199</v>
      </c>
      <c r="X566" s="49"/>
      <c r="Y566" s="49"/>
      <c r="Z566" s="49"/>
      <c r="AQ566" s="29"/>
    </row>
    <row r="567" spans="1:43" s="28" customFormat="1" ht="12.75" customHeight="1">
      <c r="A567" s="64" t="s">
        <v>182</v>
      </c>
      <c r="B567" s="23" t="s">
        <v>183</v>
      </c>
      <c r="C567" s="77" t="s">
        <v>177</v>
      </c>
      <c r="D567" s="78">
        <v>1990</v>
      </c>
      <c r="E567" s="26">
        <v>1</v>
      </c>
      <c r="F567" s="66">
        <v>26</v>
      </c>
      <c r="G567" s="46">
        <f t="shared" si="98"/>
        <v>26</v>
      </c>
      <c r="H567" s="121">
        <v>7120.52</v>
      </c>
      <c r="I567" s="66"/>
      <c r="J567" s="29"/>
      <c r="K567" s="80">
        <v>99.476901000000012</v>
      </c>
      <c r="O567" s="48">
        <f t="shared" si="100"/>
        <v>3.8525117106149849</v>
      </c>
      <c r="R567" s="48">
        <f t="shared" si="101"/>
        <v>1.997722247249655</v>
      </c>
      <c r="U567" s="48">
        <v>3.8525117106149849</v>
      </c>
      <c r="V567" s="54">
        <v>1.997722247249655</v>
      </c>
      <c r="W567" s="49">
        <f t="shared" si="99"/>
        <v>0.81710031923128523</v>
      </c>
      <c r="X567" s="49"/>
      <c r="Y567" s="49"/>
      <c r="Z567" s="49"/>
      <c r="AQ567" s="29"/>
    </row>
    <row r="568" spans="1:43" s="28" customFormat="1" ht="12.75" customHeight="1">
      <c r="A568" s="64" t="s">
        <v>182</v>
      </c>
      <c r="B568" s="23" t="s">
        <v>183</v>
      </c>
      <c r="C568" s="77" t="s">
        <v>177</v>
      </c>
      <c r="D568" s="78">
        <v>1990</v>
      </c>
      <c r="E568" s="26">
        <v>1</v>
      </c>
      <c r="F568" s="66">
        <v>26</v>
      </c>
      <c r="G568" s="46">
        <f t="shared" si="98"/>
        <v>26</v>
      </c>
      <c r="H568" s="121">
        <v>3722.09</v>
      </c>
      <c r="I568" s="66"/>
      <c r="J568" s="29"/>
      <c r="K568" s="80">
        <v>24.145036000000001</v>
      </c>
      <c r="O568" s="48">
        <f t="shared" si="100"/>
        <v>3.5707868701463905</v>
      </c>
      <c r="R568" s="48">
        <f t="shared" si="101"/>
        <v>1.3828278572654475</v>
      </c>
      <c r="U568" s="48">
        <v>3.5707868701463905</v>
      </c>
      <c r="V568" s="54">
        <v>1.3828278572654475</v>
      </c>
      <c r="W568" s="49">
        <f t="shared" si="99"/>
        <v>1.48803159798864</v>
      </c>
      <c r="X568" s="49"/>
      <c r="Y568" s="49"/>
      <c r="Z568" s="49"/>
      <c r="AQ568" s="29"/>
    </row>
    <row r="569" spans="1:43" s="28" customFormat="1" ht="12.75" customHeight="1">
      <c r="A569" s="64" t="s">
        <v>182</v>
      </c>
      <c r="B569" s="23" t="s">
        <v>183</v>
      </c>
      <c r="C569" s="77" t="s">
        <v>177</v>
      </c>
      <c r="D569" s="78">
        <v>1990</v>
      </c>
      <c r="E569" s="26">
        <v>3</v>
      </c>
      <c r="F569" s="66">
        <v>16</v>
      </c>
      <c r="G569" s="46">
        <f t="shared" si="98"/>
        <v>76.94</v>
      </c>
      <c r="H569" s="121">
        <v>3883.92</v>
      </c>
      <c r="I569" s="66"/>
      <c r="J569" s="29"/>
      <c r="K569" s="80">
        <v>76.933982</v>
      </c>
      <c r="O569" s="48">
        <f t="shared" si="100"/>
        <v>3.5892702758404034</v>
      </c>
      <c r="R569" s="48">
        <f t="shared" si="101"/>
        <v>1.8861182115209589</v>
      </c>
      <c r="U569" s="48">
        <v>3.5892702758404034</v>
      </c>
      <c r="V569" s="54">
        <v>1.8861182115209589</v>
      </c>
      <c r="W569" s="49">
        <f t="shared" si="99"/>
        <v>1.0024066943671706</v>
      </c>
      <c r="X569" s="49"/>
      <c r="Y569" s="49"/>
      <c r="Z569" s="49"/>
      <c r="AQ569" s="29"/>
    </row>
    <row r="570" spans="1:43" s="28" customFormat="1" ht="12.75" customHeight="1">
      <c r="A570" s="64" t="s">
        <v>182</v>
      </c>
      <c r="B570" s="23" t="s">
        <v>183</v>
      </c>
      <c r="C570" s="77" t="s">
        <v>177</v>
      </c>
      <c r="D570" s="78">
        <v>1990</v>
      </c>
      <c r="E570" s="26">
        <v>3</v>
      </c>
      <c r="F570" s="66">
        <v>16</v>
      </c>
      <c r="G570" s="46">
        <f t="shared" si="98"/>
        <v>76.94</v>
      </c>
      <c r="H570" s="121">
        <v>3722.09</v>
      </c>
      <c r="I570" s="66"/>
      <c r="J570" s="29"/>
      <c r="K570" s="80">
        <v>70.57406300000001</v>
      </c>
      <c r="O570" s="48">
        <f t="shared" si="100"/>
        <v>3.5707868701463905</v>
      </c>
      <c r="R570" s="48">
        <f t="shared" si="101"/>
        <v>1.8486451208022241</v>
      </c>
      <c r="U570" s="48">
        <v>3.5707868701463905</v>
      </c>
      <c r="V570" s="54">
        <v>1.8486451208022241</v>
      </c>
      <c r="W570" s="49">
        <f t="shared" si="99"/>
        <v>1.0436885103009088</v>
      </c>
      <c r="X570" s="49"/>
      <c r="Y570" s="49"/>
      <c r="Z570" s="49"/>
      <c r="AQ570" s="29"/>
    </row>
    <row r="571" spans="1:43" s="28" customFormat="1" ht="12.75" customHeight="1">
      <c r="A571" s="64" t="s">
        <v>182</v>
      </c>
      <c r="B571" s="23" t="s">
        <v>183</v>
      </c>
      <c r="C571" s="77" t="s">
        <v>177</v>
      </c>
      <c r="D571" s="78">
        <v>1990</v>
      </c>
      <c r="E571" s="26">
        <v>3</v>
      </c>
      <c r="F571" s="66">
        <v>16</v>
      </c>
      <c r="G571" s="46">
        <f t="shared" ref="G571:G634" si="102">30.47*(E571-1)+F571</f>
        <v>76.94</v>
      </c>
      <c r="H571" s="121">
        <v>2265.62</v>
      </c>
      <c r="I571" s="66"/>
      <c r="J571" s="29"/>
      <c r="K571" s="80">
        <v>76.027734000000009</v>
      </c>
      <c r="O571" s="48">
        <f t="shared" si="100"/>
        <v>3.3551870698070356</v>
      </c>
      <c r="R571" s="48">
        <f t="shared" si="101"/>
        <v>1.8809720465703847</v>
      </c>
      <c r="U571" s="48">
        <v>3.3551870698070356</v>
      </c>
      <c r="V571" s="54">
        <v>1.8809720465703847</v>
      </c>
      <c r="W571" s="49">
        <f t="shared" ref="W571:W634" si="103">0.9539*(4.064-0.314*U571-V571)</f>
        <v>1.0774292997673856</v>
      </c>
      <c r="X571" s="49"/>
      <c r="Y571" s="49"/>
      <c r="Z571" s="49"/>
      <c r="AQ571" s="29"/>
    </row>
    <row r="572" spans="1:43" s="28" customFormat="1" ht="12.75" customHeight="1">
      <c r="A572" s="64" t="s">
        <v>182</v>
      </c>
      <c r="B572" s="23" t="s">
        <v>183</v>
      </c>
      <c r="C572" s="77" t="s">
        <v>177</v>
      </c>
      <c r="D572" s="78">
        <v>1990</v>
      </c>
      <c r="E572" s="26">
        <v>3</v>
      </c>
      <c r="F572" s="66">
        <v>16</v>
      </c>
      <c r="G572" s="46">
        <f t="shared" si="102"/>
        <v>76.94</v>
      </c>
      <c r="H572" s="121">
        <v>3236.6</v>
      </c>
      <c r="I572" s="66"/>
      <c r="J572" s="29"/>
      <c r="K572" s="80">
        <v>36.994337999999999</v>
      </c>
      <c r="O572" s="48">
        <f t="shared" si="100"/>
        <v>3.5100890297927787</v>
      </c>
      <c r="R572" s="48">
        <f t="shared" si="101"/>
        <v>1.5681352601880605</v>
      </c>
      <c r="U572" s="48">
        <v>3.5100890297927787</v>
      </c>
      <c r="V572" s="54">
        <v>1.5681352601880605</v>
      </c>
      <c r="W572" s="49">
        <f t="shared" si="103"/>
        <v>1.3294473626935388</v>
      </c>
      <c r="X572" s="49"/>
      <c r="Y572" s="49"/>
      <c r="Z572" s="49"/>
      <c r="AQ572" s="29"/>
    </row>
    <row r="573" spans="1:43" s="28" customFormat="1" ht="12.75" customHeight="1">
      <c r="A573" s="64" t="s">
        <v>182</v>
      </c>
      <c r="B573" s="23" t="s">
        <v>183</v>
      </c>
      <c r="C573" s="77" t="s">
        <v>177</v>
      </c>
      <c r="D573" s="78">
        <v>1990</v>
      </c>
      <c r="E573" s="26">
        <v>5</v>
      </c>
      <c r="F573" s="66">
        <v>17</v>
      </c>
      <c r="G573" s="46">
        <f t="shared" si="102"/>
        <v>138.88</v>
      </c>
      <c r="H573" s="121">
        <v>5987.71</v>
      </c>
      <c r="I573" s="66"/>
      <c r="J573" s="29"/>
      <c r="K573" s="80">
        <v>110.28714500000001</v>
      </c>
      <c r="O573" s="48">
        <f t="shared" si="100"/>
        <v>3.7772607581957924</v>
      </c>
      <c r="R573" s="48">
        <f t="shared" si="101"/>
        <v>2.0425248942994898</v>
      </c>
      <c r="U573" s="48">
        <v>3.7772607581957924</v>
      </c>
      <c r="V573" s="54">
        <v>2.0425248942994898</v>
      </c>
      <c r="W573" s="49">
        <f t="shared" si="103"/>
        <v>0.79690258563342509</v>
      </c>
      <c r="X573" s="49"/>
      <c r="Y573" s="49"/>
      <c r="Z573" s="49"/>
      <c r="AQ573" s="29"/>
    </row>
    <row r="574" spans="1:43" s="28" customFormat="1" ht="12.75" customHeight="1">
      <c r="A574" s="64" t="s">
        <v>182</v>
      </c>
      <c r="B574" s="23" t="s">
        <v>183</v>
      </c>
      <c r="C574" s="77" t="s">
        <v>177</v>
      </c>
      <c r="D574" s="78">
        <v>1990</v>
      </c>
      <c r="E574" s="26">
        <v>5</v>
      </c>
      <c r="F574" s="66">
        <v>17</v>
      </c>
      <c r="G574" s="46">
        <f t="shared" si="102"/>
        <v>138.88</v>
      </c>
      <c r="H574" s="121">
        <v>7606.01</v>
      </c>
      <c r="I574" s="66"/>
      <c r="J574" s="29"/>
      <c r="K574" s="80">
        <v>123.36300900000001</v>
      </c>
      <c r="O574" s="48">
        <f t="shared" si="100"/>
        <v>3.881156892064515</v>
      </c>
      <c r="R574" s="48">
        <f t="shared" si="101"/>
        <v>2.0911849538988294</v>
      </c>
      <c r="U574" s="48">
        <v>3.881156892064515</v>
      </c>
      <c r="V574" s="54">
        <v>2.0911849538988294</v>
      </c>
      <c r="W574" s="49">
        <f t="shared" si="103"/>
        <v>0.71936630684303993</v>
      </c>
      <c r="X574" s="49"/>
      <c r="Y574" s="49"/>
      <c r="Z574" s="49"/>
      <c r="AQ574" s="29"/>
    </row>
    <row r="575" spans="1:43" s="28" customFormat="1" ht="12.75" customHeight="1">
      <c r="A575" s="64" t="s">
        <v>182</v>
      </c>
      <c r="B575" s="23" t="s">
        <v>183</v>
      </c>
      <c r="C575" s="77" t="s">
        <v>177</v>
      </c>
      <c r="D575" s="78">
        <v>1990</v>
      </c>
      <c r="E575" s="26">
        <v>5</v>
      </c>
      <c r="F575" s="66">
        <v>17</v>
      </c>
      <c r="G575" s="46">
        <f t="shared" si="102"/>
        <v>138.88</v>
      </c>
      <c r="H575" s="121">
        <v>5987.71</v>
      </c>
      <c r="I575" s="66"/>
      <c r="J575" s="29"/>
      <c r="K575" s="80">
        <v>133.15372400000001</v>
      </c>
      <c r="O575" s="48">
        <f t="shared" si="100"/>
        <v>3.7772607581957924</v>
      </c>
      <c r="R575" s="48">
        <f t="shared" si="101"/>
        <v>2.1243533171514839</v>
      </c>
      <c r="U575" s="48">
        <v>3.7772607581957924</v>
      </c>
      <c r="V575" s="54">
        <v>2.1243533171514839</v>
      </c>
      <c r="W575" s="49">
        <f t="shared" si="103"/>
        <v>0.71884645307490791</v>
      </c>
      <c r="X575" s="49"/>
      <c r="Y575" s="49"/>
      <c r="Z575" s="49"/>
      <c r="AQ575" s="29"/>
    </row>
    <row r="576" spans="1:43" s="28" customFormat="1" ht="12.75" customHeight="1">
      <c r="A576" s="64" t="s">
        <v>182</v>
      </c>
      <c r="B576" s="23" t="s">
        <v>183</v>
      </c>
      <c r="C576" s="77" t="s">
        <v>177</v>
      </c>
      <c r="D576" s="78">
        <v>1990</v>
      </c>
      <c r="E576" s="26">
        <v>5</v>
      </c>
      <c r="F576" s="66">
        <v>17</v>
      </c>
      <c r="G576" s="46">
        <f t="shared" si="102"/>
        <v>138.88</v>
      </c>
      <c r="H576" s="121">
        <v>4854.8999999999996</v>
      </c>
      <c r="I576" s="66"/>
      <c r="J576" s="29"/>
      <c r="K576" s="80">
        <v>85.446240000000017</v>
      </c>
      <c r="O576" s="48">
        <f t="shared" si="100"/>
        <v>3.6861802888484601</v>
      </c>
      <c r="R576" s="48">
        <f t="shared" si="101"/>
        <v>1.93169295666261</v>
      </c>
      <c r="U576" s="48">
        <v>3.6861802888484601</v>
      </c>
      <c r="V576" s="54">
        <v>1.93169295666261</v>
      </c>
      <c r="W576" s="49">
        <f t="shared" si="103"/>
        <v>0.92990601209431667</v>
      </c>
      <c r="X576" s="49"/>
      <c r="Y576" s="49"/>
      <c r="Z576" s="49"/>
      <c r="AQ576" s="29"/>
    </row>
    <row r="577" spans="1:43" s="28" customFormat="1" ht="12.75" customHeight="1">
      <c r="A577" s="64" t="s">
        <v>182</v>
      </c>
      <c r="B577" s="23" t="s">
        <v>183</v>
      </c>
      <c r="C577" s="77" t="s">
        <v>177</v>
      </c>
      <c r="D577" s="78">
        <v>1990</v>
      </c>
      <c r="E577" s="26">
        <v>7</v>
      </c>
      <c r="F577" s="66">
        <v>2</v>
      </c>
      <c r="G577" s="46">
        <f t="shared" si="102"/>
        <v>184.82</v>
      </c>
      <c r="H577" s="121">
        <v>1780.13</v>
      </c>
      <c r="I577" s="66"/>
      <c r="J577" s="29"/>
      <c r="K577" s="80">
        <v>52.610933000000003</v>
      </c>
      <c r="O577" s="48">
        <f t="shared" si="100"/>
        <v>3.2504517192870228</v>
      </c>
      <c r="R577" s="48">
        <f t="shared" si="101"/>
        <v>1.7210760036249242</v>
      </c>
      <c r="U577" s="48">
        <v>3.2504517192870228</v>
      </c>
      <c r="V577" s="54">
        <v>1.7210760036249242</v>
      </c>
      <c r="W577" s="49">
        <f t="shared" si="103"/>
        <v>1.2613249491034269</v>
      </c>
      <c r="X577" s="49"/>
      <c r="Y577" s="49"/>
      <c r="Z577" s="49"/>
      <c r="AQ577" s="29"/>
    </row>
    <row r="578" spans="1:43" s="28" customFormat="1" ht="12.75" customHeight="1">
      <c r="A578" s="64" t="s">
        <v>182</v>
      </c>
      <c r="B578" s="23" t="s">
        <v>183</v>
      </c>
      <c r="C578" s="77" t="s">
        <v>177</v>
      </c>
      <c r="D578" s="78">
        <v>1990</v>
      </c>
      <c r="E578" s="26">
        <v>7</v>
      </c>
      <c r="F578" s="66">
        <v>2</v>
      </c>
      <c r="G578" s="46">
        <f t="shared" si="102"/>
        <v>184.82</v>
      </c>
      <c r="H578" s="121">
        <v>2912.94</v>
      </c>
      <c r="I578" s="66"/>
      <c r="J578" s="29"/>
      <c r="K578" s="80">
        <v>97.923333</v>
      </c>
      <c r="O578" s="48">
        <f t="shared" si="100"/>
        <v>3.4643315392321035</v>
      </c>
      <c r="R578" s="48">
        <f t="shared" si="101"/>
        <v>1.9908861870612253</v>
      </c>
      <c r="U578" s="48">
        <v>3.4643315392321035</v>
      </c>
      <c r="V578" s="54">
        <v>1.9908861870612253</v>
      </c>
      <c r="W578" s="49">
        <f t="shared" si="103"/>
        <v>0.93989074760641733</v>
      </c>
      <c r="X578" s="49"/>
      <c r="Y578" s="49"/>
      <c r="Z578" s="49"/>
      <c r="AQ578" s="29"/>
    </row>
    <row r="579" spans="1:43" s="28" customFormat="1" ht="12.75" customHeight="1">
      <c r="A579" s="64" t="s">
        <v>182</v>
      </c>
      <c r="B579" s="23" t="s">
        <v>183</v>
      </c>
      <c r="C579" s="77" t="s">
        <v>177</v>
      </c>
      <c r="D579" s="78">
        <v>1990</v>
      </c>
      <c r="E579" s="26">
        <v>7</v>
      </c>
      <c r="F579" s="66">
        <v>2</v>
      </c>
      <c r="G579" s="46">
        <f t="shared" si="102"/>
        <v>184.82</v>
      </c>
      <c r="H579" s="121">
        <v>2912.94</v>
      </c>
      <c r="I579" s="66"/>
      <c r="J579" s="29"/>
      <c r="K579" s="80">
        <v>59.003218000000004</v>
      </c>
      <c r="O579" s="48">
        <f t="shared" si="100"/>
        <v>3.4643315392321035</v>
      </c>
      <c r="R579" s="48">
        <f t="shared" si="101"/>
        <v>1.7708756984477552</v>
      </c>
      <c r="U579" s="48">
        <v>3.4643315392321035</v>
      </c>
      <c r="V579" s="54">
        <v>1.7708756984477552</v>
      </c>
      <c r="W579" s="49">
        <f t="shared" si="103"/>
        <v>1.1497587526948065</v>
      </c>
      <c r="X579" s="49"/>
      <c r="Y579" s="49"/>
      <c r="Z579" s="49"/>
      <c r="AQ579" s="29"/>
    </row>
    <row r="580" spans="1:43" s="28" customFormat="1" ht="12.75" customHeight="1">
      <c r="A580" s="64" t="s">
        <v>182</v>
      </c>
      <c r="B580" s="23" t="s">
        <v>183</v>
      </c>
      <c r="C580" s="77" t="s">
        <v>177</v>
      </c>
      <c r="D580" s="78">
        <v>1990</v>
      </c>
      <c r="E580" s="26">
        <v>7</v>
      </c>
      <c r="F580" s="66">
        <v>2</v>
      </c>
      <c r="G580" s="46">
        <f t="shared" si="102"/>
        <v>184.82</v>
      </c>
      <c r="H580" s="121">
        <v>2589.2800000000002</v>
      </c>
      <c r="I580" s="66"/>
      <c r="J580" s="29"/>
      <c r="K580" s="80">
        <v>42.448008999999999</v>
      </c>
      <c r="O580" s="48">
        <f t="shared" si="100"/>
        <v>3.4131790167847225</v>
      </c>
      <c r="R580" s="48">
        <f t="shared" si="101"/>
        <v>1.627857324719151</v>
      </c>
      <c r="U580" s="48">
        <v>3.4131790167847225</v>
      </c>
      <c r="V580" s="54">
        <v>1.627857324719151</v>
      </c>
      <c r="W580" s="49">
        <f t="shared" si="103"/>
        <v>1.3015054182195647</v>
      </c>
      <c r="X580" s="49"/>
      <c r="Y580" s="49"/>
      <c r="Z580" s="49"/>
      <c r="AQ580" s="29"/>
    </row>
    <row r="581" spans="1:43" s="28" customFormat="1" ht="12.75" customHeight="1">
      <c r="A581" s="64" t="s">
        <v>182</v>
      </c>
      <c r="B581" s="23" t="s">
        <v>183</v>
      </c>
      <c r="C581" s="77" t="s">
        <v>177</v>
      </c>
      <c r="D581" s="78">
        <v>1990</v>
      </c>
      <c r="E581" s="26">
        <v>9</v>
      </c>
      <c r="F581" s="66">
        <v>10</v>
      </c>
      <c r="G581" s="46">
        <f t="shared" si="102"/>
        <v>253.76</v>
      </c>
      <c r="H581" s="121">
        <v>10195.290000000001</v>
      </c>
      <c r="I581" s="66"/>
      <c r="J581" s="29"/>
      <c r="K581" s="80">
        <v>412.55321900000007</v>
      </c>
      <c r="O581" s="48">
        <f t="shared" si="100"/>
        <v>4.0083995835823796</v>
      </c>
      <c r="R581" s="48">
        <f t="shared" si="101"/>
        <v>2.6154799801034185</v>
      </c>
      <c r="U581" s="48">
        <v>4.0083995835823796</v>
      </c>
      <c r="V581" s="54">
        <v>2.6154799801034185</v>
      </c>
      <c r="W581" s="49">
        <f t="shared" si="103"/>
        <v>0.18112896506667028</v>
      </c>
      <c r="X581" s="49"/>
      <c r="Y581" s="49"/>
      <c r="Z581" s="49"/>
      <c r="AQ581" s="29"/>
    </row>
    <row r="582" spans="1:43" s="28" customFormat="1" ht="12.75" customHeight="1">
      <c r="A582" s="64" t="s">
        <v>182</v>
      </c>
      <c r="B582" s="23" t="s">
        <v>183</v>
      </c>
      <c r="C582" s="77" t="s">
        <v>177</v>
      </c>
      <c r="D582" s="78">
        <v>1990</v>
      </c>
      <c r="E582" s="26">
        <v>9</v>
      </c>
      <c r="F582" s="66">
        <v>10</v>
      </c>
      <c r="G582" s="46">
        <f t="shared" si="102"/>
        <v>253.76</v>
      </c>
      <c r="H582" s="121">
        <v>5016.7299999999996</v>
      </c>
      <c r="I582" s="66"/>
      <c r="J582" s="29"/>
      <c r="K582" s="80">
        <v>135.51644200000001</v>
      </c>
      <c r="O582" s="48">
        <f t="shared" si="100"/>
        <v>3.7004207279630701</v>
      </c>
      <c r="R582" s="48">
        <f t="shared" si="101"/>
        <v>2.1319919906840092</v>
      </c>
      <c r="U582" s="48">
        <v>3.7004207279630701</v>
      </c>
      <c r="V582" s="54">
        <v>2.1319919906840092</v>
      </c>
      <c r="W582" s="49">
        <f t="shared" si="103"/>
        <v>0.73457540171167623</v>
      </c>
      <c r="X582" s="49"/>
      <c r="Y582" s="49"/>
      <c r="Z582" s="49"/>
      <c r="AQ582" s="29"/>
    </row>
    <row r="583" spans="1:43" s="28" customFormat="1" ht="12.75" customHeight="1">
      <c r="A583" s="64" t="s">
        <v>182</v>
      </c>
      <c r="B583" s="23" t="s">
        <v>183</v>
      </c>
      <c r="C583" s="77" t="s">
        <v>177</v>
      </c>
      <c r="D583" s="78">
        <v>1990</v>
      </c>
      <c r="E583" s="26">
        <v>9</v>
      </c>
      <c r="F583" s="66">
        <v>10</v>
      </c>
      <c r="G583" s="46">
        <f t="shared" si="102"/>
        <v>253.76</v>
      </c>
      <c r="H583" s="121">
        <v>8576.99</v>
      </c>
      <c r="I583" s="66"/>
      <c r="J583" s="29"/>
      <c r="K583" s="80">
        <v>206.18760300000002</v>
      </c>
      <c r="O583" s="48">
        <f t="shared" si="100"/>
        <v>3.9333349037295866</v>
      </c>
      <c r="R583" s="48">
        <f t="shared" si="101"/>
        <v>2.3142625498391394</v>
      </c>
      <c r="U583" s="48">
        <v>3.9333349037295866</v>
      </c>
      <c r="V583" s="54">
        <v>2.3142625498391394</v>
      </c>
      <c r="W583" s="49">
        <f t="shared" si="103"/>
        <v>0.49094399000280176</v>
      </c>
      <c r="X583" s="49"/>
      <c r="Y583" s="49"/>
      <c r="Z583" s="49"/>
      <c r="AQ583" s="29"/>
    </row>
    <row r="584" spans="1:43" s="28" customFormat="1" ht="12.75" customHeight="1">
      <c r="A584" s="64" t="s">
        <v>182</v>
      </c>
      <c r="B584" s="23" t="s">
        <v>183</v>
      </c>
      <c r="C584" s="77" t="s">
        <v>177</v>
      </c>
      <c r="D584" s="78">
        <v>1990</v>
      </c>
      <c r="E584" s="26">
        <v>9</v>
      </c>
      <c r="F584" s="66">
        <v>10</v>
      </c>
      <c r="G584" s="46">
        <f t="shared" si="102"/>
        <v>253.76</v>
      </c>
      <c r="H584" s="121">
        <v>8091.5</v>
      </c>
      <c r="I584" s="66"/>
      <c r="J584" s="29"/>
      <c r="K584" s="80">
        <v>255.10881200000003</v>
      </c>
      <c r="O584" s="48">
        <f t="shared" ref="O584:O647" si="104">LOG10(H584)</f>
        <v>3.9080290384648162</v>
      </c>
      <c r="R584" s="48">
        <f t="shared" ref="R584:R647" si="105">LOG10(K584)</f>
        <v>2.4067254603223631</v>
      </c>
      <c r="U584" s="48">
        <v>3.9080290384648162</v>
      </c>
      <c r="V584" s="54">
        <v>2.4067254603223631</v>
      </c>
      <c r="W584" s="49">
        <f t="shared" si="103"/>
        <v>0.41032334886393923</v>
      </c>
      <c r="X584" s="49"/>
      <c r="Y584" s="49"/>
      <c r="Z584" s="49"/>
      <c r="AQ584" s="29"/>
    </row>
    <row r="585" spans="1:43" s="28" customFormat="1" ht="12.75" customHeight="1">
      <c r="A585" s="64" t="s">
        <v>182</v>
      </c>
      <c r="B585" s="23" t="s">
        <v>183</v>
      </c>
      <c r="C585" s="77" t="s">
        <v>177</v>
      </c>
      <c r="D585" s="78">
        <v>1990</v>
      </c>
      <c r="E585" s="26">
        <v>11</v>
      </c>
      <c r="F585" s="66">
        <v>13</v>
      </c>
      <c r="G585" s="46">
        <f t="shared" si="102"/>
        <v>317.7</v>
      </c>
      <c r="H585" s="121">
        <v>2427.4499999999998</v>
      </c>
      <c r="I585" s="66"/>
      <c r="J585" s="29"/>
      <c r="K585" s="80">
        <v>80.704621000000003</v>
      </c>
      <c r="O585" s="48">
        <f t="shared" si="104"/>
        <v>3.3851502931844788</v>
      </c>
      <c r="R585" s="48">
        <f t="shared" si="105"/>
        <v>1.9068984023471607</v>
      </c>
      <c r="U585" s="48">
        <v>3.3851502931844788</v>
      </c>
      <c r="V585" s="54">
        <v>1.9068984023471607</v>
      </c>
      <c r="W585" s="49">
        <f t="shared" si="103"/>
        <v>1.0437234264950797</v>
      </c>
      <c r="X585" s="49"/>
      <c r="Y585" s="49"/>
      <c r="Z585" s="49"/>
      <c r="AQ585" s="29"/>
    </row>
    <row r="586" spans="1:43" s="28" customFormat="1" ht="12.75" customHeight="1">
      <c r="A586" s="64" t="s">
        <v>182</v>
      </c>
      <c r="B586" s="23" t="s">
        <v>183</v>
      </c>
      <c r="C586" s="77" t="s">
        <v>177</v>
      </c>
      <c r="D586" s="78">
        <v>1990</v>
      </c>
      <c r="E586" s="26">
        <v>11</v>
      </c>
      <c r="F586" s="66">
        <v>13</v>
      </c>
      <c r="G586" s="46">
        <f t="shared" si="102"/>
        <v>317.7</v>
      </c>
      <c r="H586" s="121">
        <v>3722.09</v>
      </c>
      <c r="I586" s="66"/>
      <c r="J586" s="29"/>
      <c r="K586" s="80">
        <v>86.886527000000015</v>
      </c>
      <c r="O586" s="48">
        <f t="shared" si="104"/>
        <v>3.5707868701463905</v>
      </c>
      <c r="R586" s="48">
        <f t="shared" si="105"/>
        <v>1.9389524380920353</v>
      </c>
      <c r="U586" s="48">
        <v>3.5707868701463905</v>
      </c>
      <c r="V586" s="54">
        <v>1.9389524380920353</v>
      </c>
      <c r="W586" s="49">
        <f t="shared" si="103"/>
        <v>0.95754436033815793</v>
      </c>
      <c r="X586" s="49"/>
      <c r="Y586" s="49"/>
      <c r="Z586" s="49"/>
      <c r="AQ586" s="29"/>
    </row>
    <row r="587" spans="1:43" s="28" customFormat="1" ht="12.75" customHeight="1">
      <c r="A587" s="64" t="s">
        <v>182</v>
      </c>
      <c r="B587" s="23" t="s">
        <v>183</v>
      </c>
      <c r="C587" s="77" t="s">
        <v>177</v>
      </c>
      <c r="D587" s="78">
        <v>1990</v>
      </c>
      <c r="E587" s="26">
        <v>11</v>
      </c>
      <c r="F587" s="66">
        <v>13</v>
      </c>
      <c r="G587" s="46">
        <f t="shared" si="102"/>
        <v>317.7</v>
      </c>
      <c r="H587" s="121">
        <v>2589.2800000000002</v>
      </c>
      <c r="I587" s="66"/>
      <c r="J587" s="29"/>
      <c r="K587" s="80">
        <v>58.77665600000001</v>
      </c>
      <c r="O587" s="48">
        <f t="shared" si="104"/>
        <v>3.4131790167847225</v>
      </c>
      <c r="R587" s="48">
        <f t="shared" si="105"/>
        <v>1.7692048739778452</v>
      </c>
      <c r="U587" s="48">
        <v>3.4131790167847225</v>
      </c>
      <c r="V587" s="54">
        <v>1.7692048739778452</v>
      </c>
      <c r="W587" s="49">
        <f t="shared" si="103"/>
        <v>1.1666739909816963</v>
      </c>
      <c r="X587" s="49"/>
      <c r="Y587" s="49"/>
      <c r="Z587" s="49"/>
      <c r="AQ587" s="29"/>
    </row>
    <row r="588" spans="1:43" s="28" customFormat="1" ht="12.75" customHeight="1">
      <c r="A588" s="64" t="s">
        <v>182</v>
      </c>
      <c r="B588" s="23" t="s">
        <v>183</v>
      </c>
      <c r="C588" s="77" t="s">
        <v>177</v>
      </c>
      <c r="D588" s="78">
        <v>1990</v>
      </c>
      <c r="E588" s="26">
        <v>11</v>
      </c>
      <c r="F588" s="66">
        <v>13</v>
      </c>
      <c r="G588" s="46">
        <f t="shared" si="102"/>
        <v>317.7</v>
      </c>
      <c r="H588" s="121">
        <v>4207.58</v>
      </c>
      <c r="I588" s="66"/>
      <c r="J588" s="29"/>
      <c r="K588" s="80">
        <v>150.03259300000002</v>
      </c>
      <c r="O588" s="48">
        <f t="shared" si="104"/>
        <v>3.6240323820996156</v>
      </c>
      <c r="R588" s="48">
        <f t="shared" si="105"/>
        <v>2.1761856152052106</v>
      </c>
      <c r="U588" s="48">
        <v>3.6240323820996156</v>
      </c>
      <c r="V588" s="54">
        <v>2.1761856152052106</v>
      </c>
      <c r="W588" s="49">
        <f t="shared" si="103"/>
        <v>0.71529929202031517</v>
      </c>
      <c r="X588" s="49"/>
      <c r="Y588" s="49"/>
      <c r="Z588" s="49"/>
      <c r="AQ588" s="29"/>
    </row>
    <row r="589" spans="1:43" s="28" customFormat="1" ht="12.75" customHeight="1">
      <c r="A589" s="64" t="s">
        <v>182</v>
      </c>
      <c r="B589" s="23" t="s">
        <v>183</v>
      </c>
      <c r="C589" s="77" t="s">
        <v>177</v>
      </c>
      <c r="D589" s="78">
        <v>1991</v>
      </c>
      <c r="E589" s="26">
        <v>1</v>
      </c>
      <c r="F589" s="66">
        <v>14</v>
      </c>
      <c r="G589" s="46">
        <f t="shared" si="102"/>
        <v>14</v>
      </c>
      <c r="H589" s="121">
        <v>3560.26</v>
      </c>
      <c r="I589" s="66"/>
      <c r="J589" s="29"/>
      <c r="K589" s="80">
        <v>103.86249400000001</v>
      </c>
      <c r="O589" s="48">
        <f t="shared" si="104"/>
        <v>3.5514817149510036</v>
      </c>
      <c r="R589" s="48">
        <f t="shared" si="105"/>
        <v>2.0164587468882829</v>
      </c>
      <c r="U589" s="48">
        <v>3.5514817149510036</v>
      </c>
      <c r="V589" s="54">
        <v>2.0164587468882829</v>
      </c>
      <c r="W589" s="49">
        <f t="shared" si="103"/>
        <v>0.88939346126525354</v>
      </c>
      <c r="X589" s="49"/>
      <c r="Y589" s="49"/>
      <c r="Z589" s="49"/>
      <c r="AQ589" s="29"/>
    </row>
    <row r="590" spans="1:43" s="28" customFormat="1" ht="12.75" customHeight="1">
      <c r="A590" s="64" t="s">
        <v>182</v>
      </c>
      <c r="B590" s="23" t="s">
        <v>183</v>
      </c>
      <c r="C590" s="77" t="s">
        <v>177</v>
      </c>
      <c r="D590" s="78">
        <v>1991</v>
      </c>
      <c r="E590" s="26">
        <v>1</v>
      </c>
      <c r="F590" s="66">
        <v>14</v>
      </c>
      <c r="G590" s="46">
        <f t="shared" si="102"/>
        <v>14</v>
      </c>
      <c r="H590" s="121">
        <v>4045.75</v>
      </c>
      <c r="I590" s="66"/>
      <c r="J590" s="29"/>
      <c r="K590" s="80">
        <v>96.61251</v>
      </c>
      <c r="O590" s="48">
        <f t="shared" si="104"/>
        <v>3.6069990428008354</v>
      </c>
      <c r="R590" s="48">
        <f t="shared" si="105"/>
        <v>1.9850333652581666</v>
      </c>
      <c r="U590" s="48">
        <v>3.6069990428008354</v>
      </c>
      <c r="V590" s="54">
        <v>1.9850333652581666</v>
      </c>
      <c r="W590" s="49">
        <f t="shared" si="103"/>
        <v>0.90274132738493162</v>
      </c>
      <c r="X590" s="49"/>
      <c r="Y590" s="49"/>
      <c r="Z590" s="49"/>
      <c r="AQ590" s="29"/>
    </row>
    <row r="591" spans="1:43" s="28" customFormat="1" ht="12.75" customHeight="1">
      <c r="A591" s="64" t="s">
        <v>182</v>
      </c>
      <c r="B591" s="23" t="s">
        <v>183</v>
      </c>
      <c r="C591" s="77" t="s">
        <v>177</v>
      </c>
      <c r="D591" s="78">
        <v>1991</v>
      </c>
      <c r="E591" s="26">
        <v>1</v>
      </c>
      <c r="F591" s="66">
        <v>14</v>
      </c>
      <c r="G591" s="46">
        <f t="shared" si="102"/>
        <v>14</v>
      </c>
      <c r="H591" s="121">
        <v>5016.7299999999996</v>
      </c>
      <c r="I591" s="66"/>
      <c r="J591" s="29"/>
      <c r="K591" s="80">
        <v>71.253749000000013</v>
      </c>
      <c r="O591" s="48">
        <f t="shared" si="104"/>
        <v>3.7004207279630701</v>
      </c>
      <c r="R591" s="48">
        <f t="shared" si="105"/>
        <v>1.8528077195883235</v>
      </c>
      <c r="U591" s="48">
        <v>3.7004207279630701</v>
      </c>
      <c r="V591" s="54">
        <v>1.8528077195883235</v>
      </c>
      <c r="W591" s="49">
        <f t="shared" si="103"/>
        <v>1.0008892779098508</v>
      </c>
      <c r="X591" s="49"/>
      <c r="Y591" s="49"/>
      <c r="Z591" s="49"/>
      <c r="AQ591" s="29"/>
    </row>
    <row r="592" spans="1:43" s="28" customFormat="1" ht="12.75" customHeight="1">
      <c r="A592" s="64" t="s">
        <v>182</v>
      </c>
      <c r="B592" s="23" t="s">
        <v>183</v>
      </c>
      <c r="C592" s="77" t="s">
        <v>177</v>
      </c>
      <c r="D592" s="78">
        <v>1991</v>
      </c>
      <c r="E592" s="26">
        <v>1</v>
      </c>
      <c r="F592" s="66">
        <v>14</v>
      </c>
      <c r="G592" s="46">
        <f t="shared" si="102"/>
        <v>14</v>
      </c>
      <c r="H592" s="121">
        <v>3074.77</v>
      </c>
      <c r="I592" s="66"/>
      <c r="J592" s="29"/>
      <c r="K592" s="80">
        <v>71.868703000000011</v>
      </c>
      <c r="O592" s="48">
        <f t="shared" si="104"/>
        <v>3.4878126350816263</v>
      </c>
      <c r="R592" s="48">
        <f t="shared" si="105"/>
        <v>1.8565398073024735</v>
      </c>
      <c r="U592" s="48">
        <v>3.4878126350816263</v>
      </c>
      <c r="V592" s="54">
        <v>1.8565398073024735</v>
      </c>
      <c r="W592" s="49">
        <f t="shared" si="103"/>
        <v>1.0610105934164005</v>
      </c>
      <c r="X592" s="49"/>
      <c r="Y592" s="49"/>
      <c r="Z592" s="49"/>
      <c r="AQ592" s="29"/>
    </row>
    <row r="593" spans="1:43" s="28" customFormat="1" ht="12.75" customHeight="1">
      <c r="A593" s="64" t="s">
        <v>182</v>
      </c>
      <c r="B593" s="23" t="s">
        <v>183</v>
      </c>
      <c r="C593" s="77" t="s">
        <v>177</v>
      </c>
      <c r="D593" s="78">
        <v>1991</v>
      </c>
      <c r="E593" s="26">
        <v>2</v>
      </c>
      <c r="F593" s="66">
        <v>15</v>
      </c>
      <c r="G593" s="46">
        <f t="shared" si="102"/>
        <v>45.47</v>
      </c>
      <c r="H593" s="123">
        <v>4693.07</v>
      </c>
      <c r="I593" s="66"/>
      <c r="J593" s="83"/>
      <c r="K593" s="80">
        <v>86.158292000000003</v>
      </c>
      <c r="O593" s="48">
        <f t="shared" si="104"/>
        <v>3.6714570320277535</v>
      </c>
      <c r="R593" s="48">
        <f t="shared" si="105"/>
        <v>1.9352970809314352</v>
      </c>
      <c r="U593" s="48">
        <v>3.6714570320277535</v>
      </c>
      <c r="V593" s="54">
        <v>1.9352970809314352</v>
      </c>
      <c r="W593" s="49">
        <f t="shared" si="103"/>
        <v>0.9308780155642038</v>
      </c>
      <c r="X593" s="49"/>
      <c r="Y593" s="49"/>
      <c r="Z593" s="49"/>
      <c r="AQ593" s="29"/>
    </row>
    <row r="594" spans="1:43" s="28" customFormat="1" ht="12.75" customHeight="1">
      <c r="A594" s="64" t="s">
        <v>182</v>
      </c>
      <c r="B594" s="23" t="s">
        <v>183</v>
      </c>
      <c r="C594" s="77" t="s">
        <v>177</v>
      </c>
      <c r="D594" s="78">
        <v>1991</v>
      </c>
      <c r="E594" s="26">
        <v>2</v>
      </c>
      <c r="F594" s="66">
        <v>15</v>
      </c>
      <c r="G594" s="46">
        <f t="shared" si="102"/>
        <v>45.47</v>
      </c>
      <c r="H594" s="123">
        <v>5340.39</v>
      </c>
      <c r="I594" s="66"/>
      <c r="J594" s="83"/>
      <c r="K594" s="80">
        <v>75.736440000000016</v>
      </c>
      <c r="O594" s="48">
        <f t="shared" si="104"/>
        <v>3.727572974006685</v>
      </c>
      <c r="R594" s="48">
        <f t="shared" si="105"/>
        <v>1.8793048872029217</v>
      </c>
      <c r="U594" s="48">
        <v>3.727572974006685</v>
      </c>
      <c r="V594" s="54">
        <v>1.8793048872029217</v>
      </c>
      <c r="W594" s="49">
        <f t="shared" si="103"/>
        <v>0.9674808640869702</v>
      </c>
      <c r="X594" s="49"/>
      <c r="Y594" s="49"/>
      <c r="Z594" s="49"/>
      <c r="AQ594" s="29"/>
    </row>
    <row r="595" spans="1:43" s="28" customFormat="1" ht="12.75" customHeight="1">
      <c r="A595" s="64" t="s">
        <v>182</v>
      </c>
      <c r="B595" s="23" t="s">
        <v>183</v>
      </c>
      <c r="C595" s="77" t="s">
        <v>177</v>
      </c>
      <c r="D595" s="78">
        <v>1991</v>
      </c>
      <c r="E595" s="26">
        <v>2</v>
      </c>
      <c r="F595" s="66">
        <v>15</v>
      </c>
      <c r="G595" s="46">
        <f t="shared" si="102"/>
        <v>45.47</v>
      </c>
      <c r="H595" s="123">
        <v>3722.09</v>
      </c>
      <c r="I595" s="66"/>
      <c r="J595" s="83"/>
      <c r="K595" s="80">
        <v>75.42896300000001</v>
      </c>
      <c r="O595" s="48">
        <f t="shared" si="104"/>
        <v>3.5707868701463905</v>
      </c>
      <c r="R595" s="48">
        <f t="shared" si="105"/>
        <v>1.8775381370613833</v>
      </c>
      <c r="U595" s="48">
        <v>3.5707868701463905</v>
      </c>
      <c r="V595" s="54">
        <v>1.8775381370613833</v>
      </c>
      <c r="W595" s="49">
        <f t="shared" si="103"/>
        <v>1.0161274620912968</v>
      </c>
      <c r="X595" s="49"/>
      <c r="Y595" s="49"/>
      <c r="Z595" s="49"/>
      <c r="AQ595" s="29"/>
    </row>
    <row r="596" spans="1:43" s="28" customFormat="1" ht="12.75" customHeight="1">
      <c r="A596" s="64" t="s">
        <v>182</v>
      </c>
      <c r="B596" s="23" t="s">
        <v>183</v>
      </c>
      <c r="C596" s="77" t="s">
        <v>177</v>
      </c>
      <c r="D596" s="78">
        <v>1991</v>
      </c>
      <c r="E596" s="26">
        <v>2</v>
      </c>
      <c r="F596" s="66">
        <v>15</v>
      </c>
      <c r="G596" s="46">
        <f t="shared" si="102"/>
        <v>45.47</v>
      </c>
      <c r="H596" s="123">
        <v>6635.03</v>
      </c>
      <c r="I596" s="66"/>
      <c r="J596" s="83"/>
      <c r="K596" s="80">
        <v>76.108649</v>
      </c>
      <c r="O596" s="48">
        <f t="shared" si="104"/>
        <v>3.8218428908485329</v>
      </c>
      <c r="R596" s="48">
        <f t="shared" si="105"/>
        <v>1.881434012874877</v>
      </c>
      <c r="U596" s="48">
        <v>3.8218428908485329</v>
      </c>
      <c r="V596" s="54">
        <v>1.881434012874877</v>
      </c>
      <c r="W596" s="49">
        <f t="shared" si="103"/>
        <v>0.93721373197440438</v>
      </c>
      <c r="X596" s="49"/>
      <c r="Y596" s="49"/>
      <c r="Z596" s="49"/>
      <c r="AQ596" s="29"/>
    </row>
    <row r="597" spans="1:43" s="28" customFormat="1" ht="12.75" customHeight="1">
      <c r="A597" s="64" t="s">
        <v>182</v>
      </c>
      <c r="B597" s="23" t="s">
        <v>183</v>
      </c>
      <c r="C597" s="77" t="s">
        <v>177</v>
      </c>
      <c r="D597" s="78">
        <v>1991</v>
      </c>
      <c r="E597" s="26">
        <v>4</v>
      </c>
      <c r="F597" s="66">
        <v>1</v>
      </c>
      <c r="G597" s="46">
        <f t="shared" si="102"/>
        <v>92.41</v>
      </c>
      <c r="H597" s="121">
        <v>5016.7299999999996</v>
      </c>
      <c r="I597" s="66"/>
      <c r="J597" s="29"/>
      <c r="K597" s="80">
        <v>87.517663999999996</v>
      </c>
      <c r="O597" s="48">
        <f t="shared" si="104"/>
        <v>3.7004207279630701</v>
      </c>
      <c r="R597" s="48">
        <f t="shared" si="105"/>
        <v>1.9420957170623772</v>
      </c>
      <c r="U597" s="48">
        <v>3.7004207279630701</v>
      </c>
      <c r="V597" s="54">
        <v>1.9420957170623772</v>
      </c>
      <c r="W597" s="49">
        <f t="shared" si="103"/>
        <v>0.91571745711935115</v>
      </c>
      <c r="X597" s="49"/>
      <c r="Y597" s="49"/>
      <c r="Z597" s="49"/>
      <c r="AQ597" s="29"/>
    </row>
    <row r="598" spans="1:43" s="28" customFormat="1" ht="12.75" customHeight="1">
      <c r="A598" s="64" t="s">
        <v>182</v>
      </c>
      <c r="B598" s="23" t="s">
        <v>183</v>
      </c>
      <c r="C598" s="77" t="s">
        <v>177</v>
      </c>
      <c r="D598" s="78">
        <v>1991</v>
      </c>
      <c r="E598" s="26">
        <v>4</v>
      </c>
      <c r="F598" s="66">
        <v>1</v>
      </c>
      <c r="G598" s="46">
        <f t="shared" si="102"/>
        <v>92.41</v>
      </c>
      <c r="H598" s="121">
        <v>3722.09</v>
      </c>
      <c r="I598" s="66"/>
      <c r="J598" s="29"/>
      <c r="K598" s="80">
        <v>86.223024000000009</v>
      </c>
      <c r="O598" s="48">
        <f t="shared" si="104"/>
        <v>3.5707868701463905</v>
      </c>
      <c r="R598" s="48">
        <f t="shared" si="105"/>
        <v>1.9356232502910422</v>
      </c>
      <c r="U598" s="48">
        <v>3.5707868701463905</v>
      </c>
      <c r="V598" s="54">
        <v>1.9356232502910422</v>
      </c>
      <c r="W598" s="49">
        <f t="shared" si="103"/>
        <v>0.96072007258152525</v>
      </c>
      <c r="X598" s="49"/>
      <c r="Y598" s="49"/>
      <c r="Z598" s="49"/>
      <c r="AQ598" s="29"/>
    </row>
    <row r="599" spans="1:43" s="28" customFormat="1" ht="12.75" customHeight="1">
      <c r="A599" s="64" t="s">
        <v>182</v>
      </c>
      <c r="B599" s="23" t="s">
        <v>183</v>
      </c>
      <c r="C599" s="77" t="s">
        <v>177</v>
      </c>
      <c r="D599" s="78">
        <v>1991</v>
      </c>
      <c r="E599" s="26">
        <v>4</v>
      </c>
      <c r="F599" s="66">
        <v>1</v>
      </c>
      <c r="G599" s="46">
        <f t="shared" si="102"/>
        <v>92.41</v>
      </c>
      <c r="H599" s="121">
        <v>4693.07</v>
      </c>
      <c r="I599" s="66"/>
      <c r="J599" s="29"/>
      <c r="K599" s="80">
        <v>101.59687400000001</v>
      </c>
      <c r="O599" s="48">
        <f t="shared" si="104"/>
        <v>3.6714570320277535</v>
      </c>
      <c r="R599" s="48">
        <f t="shared" si="105"/>
        <v>2.0068803454928212</v>
      </c>
      <c r="U599" s="48">
        <v>3.6714570320277535</v>
      </c>
      <c r="V599" s="54">
        <v>2.0068803454928212</v>
      </c>
      <c r="W599" s="49">
        <f t="shared" si="103"/>
        <v>0.8625947394990976</v>
      </c>
      <c r="X599" s="49"/>
      <c r="Y599" s="49"/>
      <c r="Z599" s="49"/>
      <c r="AQ599" s="29"/>
    </row>
    <row r="600" spans="1:43" s="28" customFormat="1" ht="12.75" customHeight="1">
      <c r="A600" s="64" t="s">
        <v>182</v>
      </c>
      <c r="B600" s="23" t="s">
        <v>183</v>
      </c>
      <c r="C600" s="77" t="s">
        <v>177</v>
      </c>
      <c r="D600" s="78">
        <v>1991</v>
      </c>
      <c r="E600" s="26">
        <v>4</v>
      </c>
      <c r="F600" s="66">
        <v>1</v>
      </c>
      <c r="G600" s="46">
        <f t="shared" si="102"/>
        <v>92.41</v>
      </c>
      <c r="H600" s="121">
        <v>4693.07</v>
      </c>
      <c r="I600" s="66"/>
      <c r="J600" s="29"/>
      <c r="K600" s="80">
        <v>77.241459000000006</v>
      </c>
      <c r="O600" s="48">
        <f t="shared" si="104"/>
        <v>3.6714570320277535</v>
      </c>
      <c r="R600" s="48">
        <f t="shared" si="105"/>
        <v>1.8878504684950415</v>
      </c>
      <c r="U600" s="48">
        <v>3.6714570320277535</v>
      </c>
      <c r="V600" s="54">
        <v>1.8878504684950415</v>
      </c>
      <c r="W600" s="49">
        <f t="shared" si="103"/>
        <v>0.97613733916727974</v>
      </c>
      <c r="X600" s="49"/>
      <c r="Y600" s="49"/>
      <c r="Z600" s="49"/>
      <c r="AQ600" s="29"/>
    </row>
    <row r="601" spans="1:43" s="28" customFormat="1" ht="12.75" customHeight="1">
      <c r="A601" s="64" t="s">
        <v>182</v>
      </c>
      <c r="B601" s="23" t="s">
        <v>183</v>
      </c>
      <c r="C601" s="77" t="s">
        <v>177</v>
      </c>
      <c r="D601" s="78">
        <v>1991</v>
      </c>
      <c r="E601" s="26">
        <v>5</v>
      </c>
      <c r="F601" s="66">
        <v>20</v>
      </c>
      <c r="G601" s="46">
        <f t="shared" si="102"/>
        <v>141.88</v>
      </c>
      <c r="H601" s="121">
        <v>1132.81</v>
      </c>
      <c r="I601" s="66"/>
      <c r="J601" s="29"/>
      <c r="K601" s="80">
        <v>85.446240000000017</v>
      </c>
      <c r="O601" s="48">
        <f t="shared" si="104"/>
        <v>3.0541570741430544</v>
      </c>
      <c r="R601" s="48">
        <f t="shared" si="105"/>
        <v>1.93169295666261</v>
      </c>
      <c r="U601" s="48">
        <v>3.0541570741430544</v>
      </c>
      <c r="V601" s="54">
        <v>1.93169295666261</v>
      </c>
      <c r="W601" s="49">
        <f t="shared" si="103"/>
        <v>1.1192125126696677</v>
      </c>
      <c r="X601" s="49"/>
      <c r="Y601" s="49"/>
      <c r="Z601" s="49"/>
      <c r="AQ601" s="29"/>
    </row>
    <row r="602" spans="1:43" s="28" customFormat="1" ht="12.75" customHeight="1">
      <c r="A602" s="64" t="s">
        <v>182</v>
      </c>
      <c r="B602" s="23" t="s">
        <v>183</v>
      </c>
      <c r="C602" s="77" t="s">
        <v>177</v>
      </c>
      <c r="D602" s="78">
        <v>1991</v>
      </c>
      <c r="E602" s="26">
        <v>5</v>
      </c>
      <c r="F602" s="66">
        <v>20</v>
      </c>
      <c r="G602" s="46">
        <f t="shared" si="102"/>
        <v>141.88</v>
      </c>
      <c r="H602" s="121">
        <v>3398.43</v>
      </c>
      <c r="I602" s="66"/>
      <c r="J602" s="29"/>
      <c r="K602" s="80">
        <v>110.69172000000002</v>
      </c>
      <c r="O602" s="48">
        <f t="shared" si="104"/>
        <v>3.531278328862717</v>
      </c>
      <c r="R602" s="48">
        <f t="shared" si="105"/>
        <v>2.044115135848914</v>
      </c>
      <c r="U602" s="48">
        <v>3.531278328862717</v>
      </c>
      <c r="V602" s="54">
        <v>2.044115135848914</v>
      </c>
      <c r="W602" s="49">
        <f t="shared" si="103"/>
        <v>0.86906344297244698</v>
      </c>
      <c r="X602" s="49"/>
      <c r="Y602" s="49"/>
      <c r="Z602" s="49"/>
      <c r="AQ602" s="29"/>
    </row>
    <row r="603" spans="1:43" s="28" customFormat="1" ht="12.75" customHeight="1">
      <c r="A603" s="64" t="s">
        <v>182</v>
      </c>
      <c r="B603" s="23" t="s">
        <v>183</v>
      </c>
      <c r="C603" s="77" t="s">
        <v>177</v>
      </c>
      <c r="D603" s="78">
        <v>1991</v>
      </c>
      <c r="E603" s="26">
        <v>5</v>
      </c>
      <c r="F603" s="66">
        <v>20</v>
      </c>
      <c r="G603" s="46">
        <f t="shared" si="102"/>
        <v>141.88</v>
      </c>
      <c r="H603" s="121">
        <v>1941.96</v>
      </c>
      <c r="I603" s="66"/>
      <c r="J603" s="29"/>
      <c r="K603" s="80">
        <v>37.868220000000008</v>
      </c>
      <c r="O603" s="48">
        <f t="shared" si="104"/>
        <v>3.2882402801764226</v>
      </c>
      <c r="R603" s="48">
        <f t="shared" si="105"/>
        <v>1.5782748915389404</v>
      </c>
      <c r="U603" s="48">
        <v>3.2882402801764226</v>
      </c>
      <c r="V603" s="54">
        <v>1.5782748915389404</v>
      </c>
      <c r="W603" s="49">
        <f t="shared" si="103"/>
        <v>1.386224326337274</v>
      </c>
      <c r="X603" s="49"/>
      <c r="Y603" s="49"/>
      <c r="Z603" s="49"/>
      <c r="AQ603" s="29"/>
    </row>
    <row r="604" spans="1:43" s="28" customFormat="1" ht="12.75" customHeight="1">
      <c r="A604" s="64" t="s">
        <v>182</v>
      </c>
      <c r="B604" s="23" t="s">
        <v>183</v>
      </c>
      <c r="C604" s="77" t="s">
        <v>177</v>
      </c>
      <c r="D604" s="78">
        <v>1991</v>
      </c>
      <c r="E604" s="26">
        <v>5</v>
      </c>
      <c r="F604" s="66">
        <v>20</v>
      </c>
      <c r="G604" s="46">
        <f t="shared" si="102"/>
        <v>141.88</v>
      </c>
      <c r="H604" s="121">
        <v>1618.3</v>
      </c>
      <c r="I604" s="66"/>
      <c r="J604" s="29"/>
      <c r="K604" s="80">
        <v>86.271573000000004</v>
      </c>
      <c r="O604" s="48">
        <f t="shared" si="104"/>
        <v>3.2090590341287974</v>
      </c>
      <c r="R604" s="48">
        <f t="shared" si="105"/>
        <v>1.9358677166537615</v>
      </c>
      <c r="U604" s="48">
        <v>3.2090590341287974</v>
      </c>
      <c r="V604" s="54">
        <v>1.9358677166537615</v>
      </c>
      <c r="W604" s="49">
        <f t="shared" si="103"/>
        <v>1.0688332615101626</v>
      </c>
      <c r="X604" s="49"/>
      <c r="Y604" s="49"/>
      <c r="Z604" s="49"/>
      <c r="AQ604" s="29"/>
    </row>
    <row r="605" spans="1:43" s="28" customFormat="1" ht="12.75" customHeight="1">
      <c r="A605" s="64" t="s">
        <v>182</v>
      </c>
      <c r="B605" s="23" t="s">
        <v>183</v>
      </c>
      <c r="C605" s="77" t="s">
        <v>177</v>
      </c>
      <c r="D605" s="78">
        <v>1991</v>
      </c>
      <c r="E605" s="26">
        <v>7</v>
      </c>
      <c r="F605" s="66">
        <v>23</v>
      </c>
      <c r="G605" s="46">
        <f t="shared" si="102"/>
        <v>205.82</v>
      </c>
      <c r="H605" s="121">
        <v>3074.77</v>
      </c>
      <c r="I605" s="66"/>
      <c r="J605" s="29"/>
      <c r="K605" s="80">
        <v>68.615920000000003</v>
      </c>
      <c r="O605" s="48">
        <f t="shared" si="104"/>
        <v>3.4878126350816263</v>
      </c>
      <c r="R605" s="48">
        <f t="shared" si="105"/>
        <v>1.8364248907215301</v>
      </c>
      <c r="U605" s="48">
        <v>3.4878126350816263</v>
      </c>
      <c r="V605" s="54">
        <v>1.8364248907215301</v>
      </c>
      <c r="W605" s="49">
        <f t="shared" si="103"/>
        <v>1.0801982123429623</v>
      </c>
      <c r="X605" s="49"/>
      <c r="Y605" s="49"/>
      <c r="Z605" s="49"/>
      <c r="AQ605" s="29"/>
    </row>
    <row r="606" spans="1:43" s="28" customFormat="1" ht="12.75" customHeight="1">
      <c r="A606" s="64" t="s">
        <v>182</v>
      </c>
      <c r="B606" s="23" t="s">
        <v>183</v>
      </c>
      <c r="C606" s="77" t="s">
        <v>177</v>
      </c>
      <c r="D606" s="78">
        <v>1991</v>
      </c>
      <c r="E606" s="26">
        <v>7</v>
      </c>
      <c r="F606" s="66">
        <v>23</v>
      </c>
      <c r="G606" s="46">
        <f t="shared" si="102"/>
        <v>205.82</v>
      </c>
      <c r="H606" s="121">
        <v>3236.6</v>
      </c>
      <c r="I606" s="66"/>
      <c r="J606" s="29"/>
      <c r="K606" s="80">
        <v>61.155557000000009</v>
      </c>
      <c r="O606" s="48">
        <f t="shared" si="104"/>
        <v>3.5100890297927787</v>
      </c>
      <c r="R606" s="48">
        <f t="shared" si="105"/>
        <v>1.786435926045812</v>
      </c>
      <c r="U606" s="48">
        <v>3.5100890297927787</v>
      </c>
      <c r="V606" s="54">
        <v>1.786435926045812</v>
      </c>
      <c r="W606" s="49">
        <f t="shared" si="103"/>
        <v>1.1212103575318297</v>
      </c>
      <c r="X606" s="49"/>
      <c r="Y606" s="49"/>
      <c r="Z606" s="49"/>
      <c r="AQ606" s="29"/>
    </row>
    <row r="607" spans="1:43" s="28" customFormat="1" ht="12.75" customHeight="1">
      <c r="A607" s="64" t="s">
        <v>182</v>
      </c>
      <c r="B607" s="23" t="s">
        <v>183</v>
      </c>
      <c r="C607" s="77" t="s">
        <v>177</v>
      </c>
      <c r="D607" s="78">
        <v>1991</v>
      </c>
      <c r="E607" s="26">
        <v>7</v>
      </c>
      <c r="F607" s="66">
        <v>23</v>
      </c>
      <c r="G607" s="46">
        <f t="shared" si="102"/>
        <v>205.82</v>
      </c>
      <c r="H607" s="121">
        <v>2589.2800000000002</v>
      </c>
      <c r="I607" s="66"/>
      <c r="J607" s="29"/>
      <c r="K607" s="80">
        <v>30.780066000000005</v>
      </c>
      <c r="O607" s="48">
        <f t="shared" si="104"/>
        <v>3.4131790167847225</v>
      </c>
      <c r="R607" s="48">
        <f t="shared" si="105"/>
        <v>1.4882695467301927</v>
      </c>
      <c r="U607" s="48">
        <v>3.4131790167847225</v>
      </c>
      <c r="V607" s="54">
        <v>1.4882695467301927</v>
      </c>
      <c r="W607" s="49">
        <f t="shared" si="103"/>
        <v>1.4346581996432319</v>
      </c>
      <c r="X607" s="49"/>
      <c r="Y607" s="49"/>
      <c r="Z607" s="49"/>
      <c r="AQ607" s="29"/>
    </row>
    <row r="608" spans="1:43" s="28" customFormat="1" ht="12.75" customHeight="1">
      <c r="A608" s="64" t="s">
        <v>182</v>
      </c>
      <c r="B608" s="23" t="s">
        <v>183</v>
      </c>
      <c r="C608" s="77" t="s">
        <v>177</v>
      </c>
      <c r="D608" s="78">
        <v>1991</v>
      </c>
      <c r="E608" s="26">
        <v>7</v>
      </c>
      <c r="F608" s="66">
        <v>23</v>
      </c>
      <c r="G608" s="46">
        <f t="shared" si="102"/>
        <v>205.82</v>
      </c>
      <c r="H608" s="121">
        <v>1780.13</v>
      </c>
      <c r="I608" s="66"/>
      <c r="J608" s="29"/>
      <c r="K608" s="80">
        <v>40.441317000000005</v>
      </c>
      <c r="O608" s="48">
        <f t="shared" si="104"/>
        <v>3.2504517192870228</v>
      </c>
      <c r="R608" s="48">
        <f t="shared" si="105"/>
        <v>1.6068252902552476</v>
      </c>
      <c r="U608" s="48">
        <v>3.2504517192870228</v>
      </c>
      <c r="V608" s="54">
        <v>1.6068252902552476</v>
      </c>
      <c r="W608" s="49">
        <f t="shared" si="103"/>
        <v>1.3703087045867612</v>
      </c>
      <c r="X608" s="49"/>
      <c r="Y608" s="49"/>
      <c r="Z608" s="49"/>
      <c r="AQ608" s="29"/>
    </row>
    <row r="609" spans="1:43" s="28" customFormat="1" ht="12.75" customHeight="1">
      <c r="A609" s="64" t="s">
        <v>182</v>
      </c>
      <c r="B609" s="23" t="s">
        <v>183</v>
      </c>
      <c r="C609" s="77" t="s">
        <v>177</v>
      </c>
      <c r="D609" s="78">
        <v>1991</v>
      </c>
      <c r="E609" s="26">
        <v>10</v>
      </c>
      <c r="F609" s="66">
        <v>2</v>
      </c>
      <c r="G609" s="46">
        <f t="shared" si="102"/>
        <v>276.23</v>
      </c>
      <c r="H609" s="121">
        <v>2751.11</v>
      </c>
      <c r="I609" s="66"/>
      <c r="J609" s="29"/>
      <c r="K609" s="80">
        <v>81.416673000000003</v>
      </c>
      <c r="O609" s="48">
        <f t="shared" si="104"/>
        <v>3.4395079555070716</v>
      </c>
      <c r="R609" s="48">
        <f t="shared" si="105"/>
        <v>1.9107133514545458</v>
      </c>
      <c r="U609" s="48">
        <v>3.4395079555070716</v>
      </c>
      <c r="V609" s="54">
        <v>1.9107133514545458</v>
      </c>
      <c r="W609" s="49">
        <f t="shared" si="103"/>
        <v>1.0238028894774354</v>
      </c>
      <c r="X609" s="49"/>
      <c r="Y609" s="49"/>
      <c r="Z609" s="49"/>
      <c r="AQ609" s="29"/>
    </row>
    <row r="610" spans="1:43" s="28" customFormat="1" ht="12.75" customHeight="1">
      <c r="A610" s="64" t="s">
        <v>182</v>
      </c>
      <c r="B610" s="23" t="s">
        <v>183</v>
      </c>
      <c r="C610" s="77" t="s">
        <v>177</v>
      </c>
      <c r="D610" s="78">
        <v>1991</v>
      </c>
      <c r="E610" s="26">
        <v>10</v>
      </c>
      <c r="F610" s="66">
        <v>2</v>
      </c>
      <c r="G610" s="46">
        <f t="shared" si="102"/>
        <v>276.23</v>
      </c>
      <c r="H610" s="121">
        <v>2912.94</v>
      </c>
      <c r="I610" s="66"/>
      <c r="J610" s="29"/>
      <c r="K610" s="80">
        <v>46.930700000000002</v>
      </c>
      <c r="O610" s="48">
        <f t="shared" si="104"/>
        <v>3.4643315392321035</v>
      </c>
      <c r="R610" s="48">
        <f t="shared" si="105"/>
        <v>1.6714570320277538</v>
      </c>
      <c r="U610" s="48">
        <v>3.4643315392321035</v>
      </c>
      <c r="V610" s="54">
        <v>1.6714570320277538</v>
      </c>
      <c r="W610" s="49">
        <f t="shared" si="103"/>
        <v>1.2445942185928458</v>
      </c>
      <c r="X610" s="49"/>
      <c r="Y610" s="49"/>
      <c r="Z610" s="49"/>
      <c r="AQ610" s="29"/>
    </row>
    <row r="611" spans="1:43" s="28" customFormat="1" ht="12.75" customHeight="1">
      <c r="A611" s="64" t="s">
        <v>182</v>
      </c>
      <c r="B611" s="23" t="s">
        <v>183</v>
      </c>
      <c r="C611" s="77" t="s">
        <v>177</v>
      </c>
      <c r="D611" s="78">
        <v>1991</v>
      </c>
      <c r="E611" s="26">
        <v>10</v>
      </c>
      <c r="F611" s="66">
        <v>2</v>
      </c>
      <c r="G611" s="46">
        <f t="shared" si="102"/>
        <v>276.23</v>
      </c>
      <c r="H611" s="121">
        <v>2427.4499999999998</v>
      </c>
      <c r="I611" s="66"/>
      <c r="J611" s="29"/>
      <c r="K611" s="80">
        <v>82.905509000000009</v>
      </c>
      <c r="O611" s="48">
        <f t="shared" si="104"/>
        <v>3.3851502931844788</v>
      </c>
      <c r="R611" s="48">
        <f t="shared" si="105"/>
        <v>1.9185833900051388</v>
      </c>
      <c r="U611" s="48">
        <v>3.3851502931844788</v>
      </c>
      <c r="V611" s="54">
        <v>1.9185833900051388</v>
      </c>
      <c r="W611" s="49">
        <f t="shared" si="103"/>
        <v>1.0325771167681344</v>
      </c>
      <c r="X611" s="49"/>
      <c r="Y611" s="49"/>
      <c r="Z611" s="49"/>
      <c r="AQ611" s="29"/>
    </row>
    <row r="612" spans="1:43" s="28" customFormat="1" ht="12.75" customHeight="1">
      <c r="A612" s="64" t="s">
        <v>182</v>
      </c>
      <c r="B612" s="23" t="s">
        <v>183</v>
      </c>
      <c r="C612" s="77" t="s">
        <v>177</v>
      </c>
      <c r="D612" s="78">
        <v>1991</v>
      </c>
      <c r="E612" s="26">
        <v>10</v>
      </c>
      <c r="F612" s="66">
        <v>2</v>
      </c>
      <c r="G612" s="46">
        <f t="shared" si="102"/>
        <v>276.23</v>
      </c>
      <c r="H612" s="121">
        <v>1941.96</v>
      </c>
      <c r="I612" s="66"/>
      <c r="J612" s="29"/>
      <c r="K612" s="80">
        <v>50.863169000000006</v>
      </c>
      <c r="O612" s="48">
        <f t="shared" si="104"/>
        <v>3.2882402801764226</v>
      </c>
      <c r="R612" s="48">
        <f t="shared" si="105"/>
        <v>1.7064034151463776</v>
      </c>
      <c r="U612" s="48">
        <v>3.2882402801764226</v>
      </c>
      <c r="V612" s="54">
        <v>1.7064034151463776</v>
      </c>
      <c r="W612" s="49">
        <f t="shared" si="103"/>
        <v>1.2640025276681395</v>
      </c>
      <c r="X612" s="49"/>
      <c r="Y612" s="49"/>
      <c r="Z612" s="49"/>
      <c r="AQ612" s="29"/>
    </row>
    <row r="613" spans="1:43" s="28" customFormat="1" ht="12.75" customHeight="1">
      <c r="A613" s="64" t="s">
        <v>182</v>
      </c>
      <c r="B613" s="23" t="s">
        <v>183</v>
      </c>
      <c r="C613" s="77" t="s">
        <v>177</v>
      </c>
      <c r="D613" s="78">
        <v>1991</v>
      </c>
      <c r="E613" s="26">
        <v>12</v>
      </c>
      <c r="F613" s="66">
        <v>6</v>
      </c>
      <c r="G613" s="46">
        <f t="shared" si="102"/>
        <v>341.16999999999996</v>
      </c>
      <c r="H613" s="121">
        <v>3722.09</v>
      </c>
      <c r="I613" s="66"/>
      <c r="J613" s="29"/>
      <c r="K613" s="80">
        <v>52.060711000000005</v>
      </c>
      <c r="O613" s="48">
        <f t="shared" si="104"/>
        <v>3.5707868701463905</v>
      </c>
      <c r="R613" s="48">
        <f t="shared" si="105"/>
        <v>1.7165100950307675</v>
      </c>
      <c r="U613" s="48">
        <v>3.5707868701463905</v>
      </c>
      <c r="V613" s="54">
        <v>1.7165100950307675</v>
      </c>
      <c r="W613" s="49">
        <f t="shared" si="103"/>
        <v>1.1697321113843013</v>
      </c>
      <c r="X613" s="49"/>
      <c r="Y613" s="49"/>
      <c r="Z613" s="49"/>
      <c r="AQ613" s="29"/>
    </row>
    <row r="614" spans="1:43" s="28" customFormat="1" ht="12.75" customHeight="1">
      <c r="A614" s="64" t="s">
        <v>182</v>
      </c>
      <c r="B614" s="23" t="s">
        <v>183</v>
      </c>
      <c r="C614" s="77" t="s">
        <v>177</v>
      </c>
      <c r="D614" s="78">
        <v>1991</v>
      </c>
      <c r="E614" s="26">
        <v>12</v>
      </c>
      <c r="F614" s="66">
        <v>6</v>
      </c>
      <c r="G614" s="46">
        <f t="shared" si="102"/>
        <v>341.16999999999996</v>
      </c>
      <c r="H614" s="121">
        <v>7444.18</v>
      </c>
      <c r="I614" s="66"/>
      <c r="J614" s="29"/>
      <c r="K614" s="80">
        <v>138.39701600000001</v>
      </c>
      <c r="O614" s="48">
        <f t="shared" si="104"/>
        <v>3.8718168658103718</v>
      </c>
      <c r="R614" s="48">
        <f t="shared" si="105"/>
        <v>2.1411267263295191</v>
      </c>
      <c r="U614" s="48">
        <v>3.8718168658103718</v>
      </c>
      <c r="V614" s="54">
        <v>2.1411267263295191</v>
      </c>
      <c r="W614" s="49">
        <f t="shared" si="103"/>
        <v>0.67452441774916638</v>
      </c>
      <c r="X614" s="49"/>
      <c r="Y614" s="49"/>
      <c r="Z614" s="49"/>
      <c r="AQ614" s="29"/>
    </row>
    <row r="615" spans="1:43" s="28" customFormat="1" ht="12.75" customHeight="1">
      <c r="A615" s="64" t="s">
        <v>182</v>
      </c>
      <c r="B615" s="23" t="s">
        <v>183</v>
      </c>
      <c r="C615" s="77" t="s">
        <v>177</v>
      </c>
      <c r="D615" s="78">
        <v>1991</v>
      </c>
      <c r="E615" s="26">
        <v>12</v>
      </c>
      <c r="F615" s="66">
        <v>6</v>
      </c>
      <c r="G615" s="46">
        <f t="shared" si="102"/>
        <v>341.16999999999996</v>
      </c>
      <c r="H615" s="121">
        <v>3722.09</v>
      </c>
      <c r="I615" s="66"/>
      <c r="J615" s="29"/>
      <c r="K615" s="80">
        <v>89.411075000000011</v>
      </c>
      <c r="O615" s="48">
        <f t="shared" si="104"/>
        <v>3.5707868701463905</v>
      </c>
      <c r="R615" s="48">
        <f t="shared" si="105"/>
        <v>1.951391316485946</v>
      </c>
      <c r="U615" s="48">
        <v>3.5707868701463905</v>
      </c>
      <c r="V615" s="54">
        <v>1.951391316485946</v>
      </c>
      <c r="W615" s="49">
        <f t="shared" si="103"/>
        <v>0.94567891423820649</v>
      </c>
      <c r="X615" s="49"/>
      <c r="Y615" s="49"/>
      <c r="Z615" s="49"/>
      <c r="AQ615" s="29"/>
    </row>
    <row r="616" spans="1:43" s="28" customFormat="1" ht="12.75" customHeight="1">
      <c r="A616" s="64" t="s">
        <v>182</v>
      </c>
      <c r="B616" s="23" t="s">
        <v>183</v>
      </c>
      <c r="C616" s="77" t="s">
        <v>177</v>
      </c>
      <c r="D616" s="78">
        <v>1991</v>
      </c>
      <c r="E616" s="26">
        <v>12</v>
      </c>
      <c r="F616" s="66">
        <v>6</v>
      </c>
      <c r="G616" s="46">
        <f t="shared" si="102"/>
        <v>341.16999999999996</v>
      </c>
      <c r="H616" s="121">
        <v>4045.75</v>
      </c>
      <c r="I616" s="66"/>
      <c r="J616" s="29"/>
      <c r="K616" s="80">
        <v>69.554534000000004</v>
      </c>
      <c r="O616" s="48">
        <f t="shared" si="104"/>
        <v>3.6069990428008354</v>
      </c>
      <c r="R616" s="48">
        <f t="shared" si="105"/>
        <v>1.8423254452842222</v>
      </c>
      <c r="U616" s="48">
        <v>3.6069990428008354</v>
      </c>
      <c r="V616" s="54">
        <v>1.8423254452842222</v>
      </c>
      <c r="W616" s="49">
        <f t="shared" si="103"/>
        <v>1.0388704122480774</v>
      </c>
      <c r="X616" s="49"/>
      <c r="Y616" s="49"/>
      <c r="Z616" s="49"/>
      <c r="AQ616" s="29"/>
    </row>
    <row r="617" spans="1:43" s="28" customFormat="1" ht="12.75" customHeight="1">
      <c r="A617" s="64" t="s">
        <v>182</v>
      </c>
      <c r="B617" s="23" t="s">
        <v>183</v>
      </c>
      <c r="C617" s="77" t="s">
        <v>177</v>
      </c>
      <c r="D617" s="78">
        <v>1992</v>
      </c>
      <c r="E617" s="26">
        <v>1</v>
      </c>
      <c r="F617" s="66">
        <v>23</v>
      </c>
      <c r="G617" s="46">
        <f t="shared" si="102"/>
        <v>23</v>
      </c>
      <c r="H617" s="121">
        <v>4531.24</v>
      </c>
      <c r="I617" s="66"/>
      <c r="J617" s="29"/>
      <c r="K617" s="80">
        <v>132.91097900000003</v>
      </c>
      <c r="O617" s="48">
        <f t="shared" si="104"/>
        <v>3.6562170654710169</v>
      </c>
      <c r="R617" s="48">
        <f t="shared" si="105"/>
        <v>2.1235608569561117</v>
      </c>
      <c r="U617" s="48">
        <v>3.6562170654710169</v>
      </c>
      <c r="V617" s="54">
        <v>2.1235608569561117</v>
      </c>
      <c r="W617" s="49">
        <f t="shared" si="103"/>
        <v>0.75585794450118504</v>
      </c>
      <c r="X617" s="49"/>
      <c r="Y617" s="49"/>
      <c r="Z617" s="49"/>
      <c r="AQ617" s="29"/>
    </row>
    <row r="618" spans="1:43" s="28" customFormat="1" ht="12.75" customHeight="1">
      <c r="A618" s="64" t="s">
        <v>182</v>
      </c>
      <c r="B618" s="23" t="s">
        <v>183</v>
      </c>
      <c r="C618" s="77" t="s">
        <v>177</v>
      </c>
      <c r="D618" s="78">
        <v>1992</v>
      </c>
      <c r="E618" s="26">
        <v>1</v>
      </c>
      <c r="F618" s="66">
        <v>23</v>
      </c>
      <c r="G618" s="46">
        <f t="shared" si="102"/>
        <v>23</v>
      </c>
      <c r="H618" s="121">
        <v>4045.75</v>
      </c>
      <c r="I618" s="66"/>
      <c r="J618" s="29"/>
      <c r="K618" s="80">
        <v>82.031627000000015</v>
      </c>
      <c r="O618" s="48">
        <f t="shared" si="104"/>
        <v>3.6069990428008354</v>
      </c>
      <c r="R618" s="48">
        <f t="shared" si="105"/>
        <v>1.9139813253521993</v>
      </c>
      <c r="U618" s="48">
        <v>3.6069990428008354</v>
      </c>
      <c r="V618" s="54">
        <v>1.9139813253521993</v>
      </c>
      <c r="W618" s="49">
        <f t="shared" si="103"/>
        <v>0.97051786825123387</v>
      </c>
      <c r="X618" s="49"/>
      <c r="Y618" s="49"/>
      <c r="Z618" s="49"/>
      <c r="AQ618" s="29"/>
    </row>
    <row r="619" spans="1:43" s="28" customFormat="1" ht="12.75" customHeight="1">
      <c r="A619" s="64" t="s">
        <v>182</v>
      </c>
      <c r="B619" s="23" t="s">
        <v>183</v>
      </c>
      <c r="C619" s="77" t="s">
        <v>177</v>
      </c>
      <c r="D619" s="78">
        <v>1992</v>
      </c>
      <c r="E619" s="26">
        <v>1</v>
      </c>
      <c r="F619" s="66">
        <v>23</v>
      </c>
      <c r="G619" s="46">
        <f t="shared" si="102"/>
        <v>23</v>
      </c>
      <c r="H619" s="121">
        <v>3398.43</v>
      </c>
      <c r="I619" s="66"/>
      <c r="J619" s="29"/>
      <c r="K619" s="80">
        <v>84.928384000000008</v>
      </c>
      <c r="O619" s="48">
        <f t="shared" si="104"/>
        <v>3.531278328862717</v>
      </c>
      <c r="R619" s="48">
        <f t="shared" si="105"/>
        <v>1.9290528604964015</v>
      </c>
      <c r="U619" s="48">
        <v>3.531278328862717</v>
      </c>
      <c r="V619" s="54">
        <v>1.9290528604964015</v>
      </c>
      <c r="W619" s="49">
        <f t="shared" si="103"/>
        <v>0.97882134743120874</v>
      </c>
      <c r="X619" s="49"/>
      <c r="Y619" s="49"/>
      <c r="Z619" s="49"/>
      <c r="AQ619" s="29"/>
    </row>
    <row r="620" spans="1:43" s="28" customFormat="1" ht="12.75" customHeight="1">
      <c r="A620" s="64" t="s">
        <v>182</v>
      </c>
      <c r="B620" s="23" t="s">
        <v>183</v>
      </c>
      <c r="C620" s="77" t="s">
        <v>177</v>
      </c>
      <c r="D620" s="78">
        <v>1992</v>
      </c>
      <c r="E620" s="26">
        <v>1</v>
      </c>
      <c r="F620" s="66">
        <v>23</v>
      </c>
      <c r="G620" s="46">
        <f t="shared" si="102"/>
        <v>23</v>
      </c>
      <c r="H620" s="121">
        <v>2589.2800000000002</v>
      </c>
      <c r="I620" s="66"/>
      <c r="J620" s="29"/>
      <c r="K620" s="80">
        <v>77.759315000000001</v>
      </c>
      <c r="O620" s="48">
        <f t="shared" si="104"/>
        <v>3.4131790167847225</v>
      </c>
      <c r="R620" s="48">
        <f t="shared" si="105"/>
        <v>1.8907524261333617</v>
      </c>
      <c r="U620" s="48">
        <v>3.4131790167847225</v>
      </c>
      <c r="V620" s="54">
        <v>1.8907524261333617</v>
      </c>
      <c r="W620" s="49">
        <f t="shared" si="103"/>
        <v>1.0507297809805491</v>
      </c>
      <c r="X620" s="49"/>
      <c r="Y620" s="49"/>
      <c r="Z620" s="49"/>
      <c r="AQ620" s="29"/>
    </row>
    <row r="621" spans="1:43" s="28" customFormat="1" ht="12.75" customHeight="1">
      <c r="A621" s="64" t="s">
        <v>182</v>
      </c>
      <c r="B621" s="23" t="s">
        <v>183</v>
      </c>
      <c r="C621" s="77" t="s">
        <v>177</v>
      </c>
      <c r="D621" s="78">
        <v>1992</v>
      </c>
      <c r="E621" s="26">
        <v>3</v>
      </c>
      <c r="F621" s="66">
        <v>30</v>
      </c>
      <c r="G621" s="46">
        <f t="shared" si="102"/>
        <v>90.94</v>
      </c>
      <c r="H621" s="121">
        <v>7282.35</v>
      </c>
      <c r="I621" s="66"/>
      <c r="J621" s="29"/>
      <c r="K621" s="80">
        <v>152.33057900000003</v>
      </c>
      <c r="O621" s="48">
        <f t="shared" si="104"/>
        <v>3.8622715479041414</v>
      </c>
      <c r="R621" s="48">
        <f t="shared" si="105"/>
        <v>2.1827870928168251</v>
      </c>
      <c r="U621" s="48">
        <v>3.8622715479041414</v>
      </c>
      <c r="V621" s="54">
        <v>2.1827870928168251</v>
      </c>
      <c r="W621" s="49">
        <f t="shared" si="103"/>
        <v>0.63764365168466142</v>
      </c>
      <c r="X621" s="49"/>
      <c r="Y621" s="49"/>
      <c r="Z621" s="49"/>
      <c r="AQ621" s="29"/>
    </row>
    <row r="622" spans="1:43" s="28" customFormat="1" ht="12.75" customHeight="1">
      <c r="A622" s="64" t="s">
        <v>182</v>
      </c>
      <c r="B622" s="23" t="s">
        <v>183</v>
      </c>
      <c r="C622" s="77" t="s">
        <v>177</v>
      </c>
      <c r="D622" s="78">
        <v>1992</v>
      </c>
      <c r="E622" s="26">
        <v>3</v>
      </c>
      <c r="F622" s="66">
        <v>30</v>
      </c>
      <c r="G622" s="46">
        <f t="shared" si="102"/>
        <v>90.94</v>
      </c>
      <c r="H622" s="121">
        <v>4693.07</v>
      </c>
      <c r="I622" s="66"/>
      <c r="J622" s="29"/>
      <c r="K622" s="80">
        <v>66.091372000000007</v>
      </c>
      <c r="O622" s="48">
        <f t="shared" si="104"/>
        <v>3.6714570320277535</v>
      </c>
      <c r="R622" s="48">
        <f t="shared" si="105"/>
        <v>1.8201447675436702</v>
      </c>
      <c r="U622" s="48">
        <v>3.6714570320277535</v>
      </c>
      <c r="V622" s="54">
        <v>1.8201447675436702</v>
      </c>
      <c r="W622" s="49">
        <f t="shared" si="103"/>
        <v>1.0407218073047928</v>
      </c>
      <c r="X622" s="49"/>
      <c r="Y622" s="49"/>
      <c r="Z622" s="49"/>
      <c r="AQ622" s="29"/>
    </row>
    <row r="623" spans="1:43" s="28" customFormat="1" ht="12.75" customHeight="1">
      <c r="A623" s="64" t="s">
        <v>182</v>
      </c>
      <c r="B623" s="23" t="s">
        <v>183</v>
      </c>
      <c r="C623" s="77" t="s">
        <v>177</v>
      </c>
      <c r="D623" s="78">
        <v>1992</v>
      </c>
      <c r="E623" s="26">
        <v>3</v>
      </c>
      <c r="F623" s="66">
        <v>30</v>
      </c>
      <c r="G623" s="46">
        <f t="shared" si="102"/>
        <v>90.94</v>
      </c>
      <c r="H623" s="121">
        <v>6796.86</v>
      </c>
      <c r="I623" s="66"/>
      <c r="J623" s="29"/>
      <c r="K623" s="80">
        <v>121.04884000000001</v>
      </c>
      <c r="O623" s="48">
        <f t="shared" si="104"/>
        <v>3.8323083245266978</v>
      </c>
      <c r="R623" s="48">
        <f t="shared" si="105"/>
        <v>2.082960631993259</v>
      </c>
      <c r="U623" s="48">
        <v>3.8323083245266978</v>
      </c>
      <c r="V623" s="54">
        <v>2.082960631993259</v>
      </c>
      <c r="W623" s="49">
        <f t="shared" si="103"/>
        <v>0.74184283516110094</v>
      </c>
      <c r="X623" s="49"/>
      <c r="Y623" s="49"/>
      <c r="Z623" s="49"/>
      <c r="AQ623" s="29"/>
    </row>
    <row r="624" spans="1:43" s="28" customFormat="1" ht="12.75" customHeight="1">
      <c r="A624" s="64" t="s">
        <v>182</v>
      </c>
      <c r="B624" s="23" t="s">
        <v>183</v>
      </c>
      <c r="C624" s="77" t="s">
        <v>177</v>
      </c>
      <c r="D624" s="78">
        <v>1992</v>
      </c>
      <c r="E624" s="26">
        <v>3</v>
      </c>
      <c r="F624" s="66">
        <v>30</v>
      </c>
      <c r="G624" s="46">
        <f t="shared" si="102"/>
        <v>90.94</v>
      </c>
      <c r="H624" s="121">
        <v>3236.6</v>
      </c>
      <c r="I624" s="66"/>
      <c r="J624" s="29"/>
      <c r="K624" s="80">
        <v>62.175086</v>
      </c>
      <c r="O624" s="48">
        <f t="shared" si="104"/>
        <v>3.5100890297927787</v>
      </c>
      <c r="R624" s="48">
        <f t="shared" si="105"/>
        <v>1.7936163946544723</v>
      </c>
      <c r="U624" s="48">
        <v>3.5100890297927787</v>
      </c>
      <c r="V624" s="54">
        <v>1.7936163946544723</v>
      </c>
      <c r="W624" s="49">
        <f t="shared" si="103"/>
        <v>1.1143609085260286</v>
      </c>
      <c r="X624" s="49"/>
      <c r="Y624" s="49"/>
      <c r="Z624" s="49"/>
      <c r="AQ624" s="29"/>
    </row>
    <row r="625" spans="1:43" s="28" customFormat="1" ht="12.75" customHeight="1">
      <c r="A625" s="64" t="s">
        <v>182</v>
      </c>
      <c r="B625" s="23" t="s">
        <v>183</v>
      </c>
      <c r="C625" s="77" t="s">
        <v>177</v>
      </c>
      <c r="D625" s="78">
        <v>1992</v>
      </c>
      <c r="E625" s="26">
        <v>6</v>
      </c>
      <c r="F625" s="66">
        <v>2</v>
      </c>
      <c r="G625" s="46">
        <f t="shared" si="102"/>
        <v>154.35</v>
      </c>
      <c r="H625" s="121">
        <v>10357.120000000001</v>
      </c>
      <c r="I625" s="66"/>
      <c r="J625" s="29"/>
      <c r="K625" s="80">
        <v>137.87916000000001</v>
      </c>
      <c r="O625" s="48">
        <f t="shared" si="104"/>
        <v>4.015239008112685</v>
      </c>
      <c r="R625" s="48">
        <f t="shared" si="105"/>
        <v>2.1394986288954976</v>
      </c>
      <c r="U625" s="48">
        <v>4.015239008112685</v>
      </c>
      <c r="V625" s="54">
        <v>2.1394986288954976</v>
      </c>
      <c r="W625" s="49">
        <f t="shared" si="103"/>
        <v>0.63311900008723598</v>
      </c>
      <c r="X625" s="49"/>
      <c r="Y625" s="49"/>
      <c r="Z625" s="49"/>
      <c r="AQ625" s="29"/>
    </row>
    <row r="626" spans="1:43" s="28" customFormat="1" ht="12.75" customHeight="1">
      <c r="A626" s="64" t="s">
        <v>182</v>
      </c>
      <c r="B626" s="23" t="s">
        <v>183</v>
      </c>
      <c r="C626" s="77" t="s">
        <v>177</v>
      </c>
      <c r="D626" s="78">
        <v>1992</v>
      </c>
      <c r="E626" s="26">
        <v>6</v>
      </c>
      <c r="F626" s="66">
        <v>2</v>
      </c>
      <c r="G626" s="46">
        <f t="shared" si="102"/>
        <v>154.35</v>
      </c>
      <c r="H626" s="121">
        <v>15050.19</v>
      </c>
      <c r="I626" s="66"/>
      <c r="J626" s="29"/>
      <c r="K626" s="80">
        <v>223.05028900000002</v>
      </c>
      <c r="O626" s="48">
        <f t="shared" si="104"/>
        <v>4.1775419826827322</v>
      </c>
      <c r="R626" s="48">
        <f t="shared" si="105"/>
        <v>2.3484027902811726</v>
      </c>
      <c r="U626" s="48">
        <v>4.1775419826827322</v>
      </c>
      <c r="V626" s="54">
        <v>2.3484027902811726</v>
      </c>
      <c r="W626" s="49">
        <f t="shared" si="103"/>
        <v>0.38523158700453691</v>
      </c>
      <c r="X626" s="49"/>
      <c r="Y626" s="49"/>
      <c r="Z626" s="49"/>
      <c r="AQ626" s="29"/>
    </row>
    <row r="627" spans="1:43" s="28" customFormat="1" ht="12.75" customHeight="1">
      <c r="A627" s="64" t="s">
        <v>182</v>
      </c>
      <c r="B627" s="23" t="s">
        <v>183</v>
      </c>
      <c r="C627" s="77" t="s">
        <v>177</v>
      </c>
      <c r="D627" s="78">
        <v>1992</v>
      </c>
      <c r="E627" s="26">
        <v>6</v>
      </c>
      <c r="F627" s="66">
        <v>2</v>
      </c>
      <c r="G627" s="46">
        <f t="shared" si="102"/>
        <v>154.35</v>
      </c>
      <c r="H627" s="121">
        <v>8900.65</v>
      </c>
      <c r="I627" s="66"/>
      <c r="J627" s="29"/>
      <c r="K627" s="80">
        <v>121.63142800000001</v>
      </c>
      <c r="O627" s="48">
        <f t="shared" si="104"/>
        <v>3.9494217236230416</v>
      </c>
      <c r="R627" s="48">
        <f t="shared" si="105"/>
        <v>2.0850458055572858</v>
      </c>
      <c r="U627" s="48">
        <v>3.9494217236230416</v>
      </c>
      <c r="V627" s="54">
        <v>2.0850458055572858</v>
      </c>
      <c r="W627" s="49">
        <f t="shared" si="103"/>
        <v>0.70477544407940329</v>
      </c>
      <c r="X627" s="49"/>
      <c r="Y627" s="49"/>
      <c r="Z627" s="49"/>
      <c r="AQ627" s="29"/>
    </row>
    <row r="628" spans="1:43" s="28" customFormat="1" ht="12.75" customHeight="1">
      <c r="A628" s="64" t="s">
        <v>182</v>
      </c>
      <c r="B628" s="23" t="s">
        <v>183</v>
      </c>
      <c r="C628" s="77" t="s">
        <v>177</v>
      </c>
      <c r="D628" s="78">
        <v>1992</v>
      </c>
      <c r="E628" s="26">
        <v>6</v>
      </c>
      <c r="F628" s="66">
        <v>2</v>
      </c>
      <c r="G628" s="46">
        <f t="shared" si="102"/>
        <v>154.35</v>
      </c>
      <c r="H628" s="121">
        <v>8900.65</v>
      </c>
      <c r="I628" s="66"/>
      <c r="J628" s="29"/>
      <c r="K628" s="80">
        <v>146.87690800000001</v>
      </c>
      <c r="O628" s="48">
        <f t="shared" si="104"/>
        <v>3.9494217236230416</v>
      </c>
      <c r="R628" s="48">
        <f t="shared" si="105"/>
        <v>2.1669535213416959</v>
      </c>
      <c r="U628" s="48">
        <v>3.9494217236230416</v>
      </c>
      <c r="V628" s="54">
        <v>2.1669535213416959</v>
      </c>
      <c r="W628" s="49">
        <f t="shared" si="103"/>
        <v>0.62664367399265442</v>
      </c>
      <c r="X628" s="49"/>
      <c r="Y628" s="49"/>
      <c r="Z628" s="49"/>
      <c r="AQ628" s="29"/>
    </row>
    <row r="629" spans="1:43" s="28" customFormat="1" ht="12.75" customHeight="1">
      <c r="A629" s="64" t="s">
        <v>182</v>
      </c>
      <c r="B629" s="23" t="s">
        <v>183</v>
      </c>
      <c r="C629" s="77" t="s">
        <v>177</v>
      </c>
      <c r="D629" s="78">
        <v>1992</v>
      </c>
      <c r="E629" s="26">
        <v>7</v>
      </c>
      <c r="F629" s="66">
        <v>13</v>
      </c>
      <c r="G629" s="46">
        <f t="shared" si="102"/>
        <v>195.82</v>
      </c>
      <c r="H629" s="121">
        <v>8900.65</v>
      </c>
      <c r="I629" s="66"/>
      <c r="J629" s="29"/>
      <c r="K629" s="80">
        <v>107.519852</v>
      </c>
      <c r="O629" s="48">
        <f t="shared" si="104"/>
        <v>3.9494217236230416</v>
      </c>
      <c r="R629" s="48">
        <f t="shared" si="105"/>
        <v>2.0314886579081546</v>
      </c>
      <c r="U629" s="48">
        <v>3.9494217236230416</v>
      </c>
      <c r="V629" s="54">
        <v>2.0314886579081546</v>
      </c>
      <c r="W629" s="49">
        <f t="shared" si="103"/>
        <v>0.75586360722190948</v>
      </c>
      <c r="X629" s="49"/>
      <c r="Y629" s="49"/>
      <c r="Z629" s="49"/>
      <c r="AQ629" s="29"/>
    </row>
    <row r="630" spans="1:43" s="28" customFormat="1" ht="12.75" customHeight="1">
      <c r="A630" s="64" t="s">
        <v>182</v>
      </c>
      <c r="B630" s="23" t="s">
        <v>183</v>
      </c>
      <c r="C630" s="77" t="s">
        <v>177</v>
      </c>
      <c r="D630" s="78">
        <v>1992</v>
      </c>
      <c r="E630" s="26">
        <v>7</v>
      </c>
      <c r="F630" s="66">
        <v>13</v>
      </c>
      <c r="G630" s="46">
        <f t="shared" si="102"/>
        <v>195.82</v>
      </c>
      <c r="H630" s="121">
        <v>9386.14</v>
      </c>
      <c r="I630" s="66"/>
      <c r="J630" s="29"/>
      <c r="K630" s="80">
        <v>136.71398400000001</v>
      </c>
      <c r="O630" s="48">
        <f t="shared" si="104"/>
        <v>3.9724870276917348</v>
      </c>
      <c r="R630" s="48">
        <f t="shared" si="105"/>
        <v>2.1358129393185346</v>
      </c>
      <c r="U630" s="48">
        <v>3.9724870276917348</v>
      </c>
      <c r="V630" s="54">
        <v>2.1358129393185346</v>
      </c>
      <c r="W630" s="49">
        <f t="shared" si="103"/>
        <v>0.64944004920949427</v>
      </c>
      <c r="X630" s="49"/>
      <c r="Y630" s="49"/>
      <c r="Z630" s="49"/>
      <c r="AQ630" s="29"/>
    </row>
    <row r="631" spans="1:43" s="28" customFormat="1" ht="12.75" customHeight="1">
      <c r="A631" s="64" t="s">
        <v>182</v>
      </c>
      <c r="B631" s="23" t="s">
        <v>183</v>
      </c>
      <c r="C631" s="77" t="s">
        <v>177</v>
      </c>
      <c r="D631" s="78">
        <v>1992</v>
      </c>
      <c r="E631" s="26">
        <v>7</v>
      </c>
      <c r="F631" s="66">
        <v>13</v>
      </c>
      <c r="G631" s="46">
        <f t="shared" si="102"/>
        <v>195.82</v>
      </c>
      <c r="H631" s="121">
        <v>6796.86</v>
      </c>
      <c r="I631" s="66"/>
      <c r="J631" s="29"/>
      <c r="K631" s="80">
        <v>113.68557500000001</v>
      </c>
      <c r="O631" s="48">
        <f t="shared" si="104"/>
        <v>3.8323083245266978</v>
      </c>
      <c r="R631" s="48">
        <f t="shared" si="105"/>
        <v>2.0557053627059152</v>
      </c>
      <c r="U631" s="48">
        <v>3.8323083245266978</v>
      </c>
      <c r="V631" s="54">
        <v>2.0557053627059152</v>
      </c>
      <c r="W631" s="49">
        <f t="shared" si="103"/>
        <v>0.76784163653429816</v>
      </c>
      <c r="X631" s="49"/>
      <c r="Y631" s="49"/>
      <c r="Z631" s="49"/>
      <c r="AQ631" s="29"/>
    </row>
    <row r="632" spans="1:43" s="28" customFormat="1" ht="12.75" customHeight="1">
      <c r="A632" s="64" t="s">
        <v>182</v>
      </c>
      <c r="B632" s="23" t="s">
        <v>183</v>
      </c>
      <c r="C632" s="77" t="s">
        <v>177</v>
      </c>
      <c r="D632" s="78">
        <v>1992</v>
      </c>
      <c r="E632" s="26">
        <v>7</v>
      </c>
      <c r="F632" s="66">
        <v>13</v>
      </c>
      <c r="G632" s="46">
        <f t="shared" si="102"/>
        <v>195.82</v>
      </c>
      <c r="H632" s="121">
        <v>11166.27</v>
      </c>
      <c r="I632" s="66"/>
      <c r="J632" s="29"/>
      <c r="K632" s="80">
        <v>148.67322100000001</v>
      </c>
      <c r="O632" s="48">
        <f t="shared" si="104"/>
        <v>4.0479081248660531</v>
      </c>
      <c r="R632" s="48">
        <f t="shared" si="105"/>
        <v>2.1722327505040493</v>
      </c>
      <c r="U632" s="48">
        <v>4.0479081248660531</v>
      </c>
      <c r="V632" s="54">
        <v>2.1722327505040493</v>
      </c>
      <c r="W632" s="49">
        <f t="shared" si="103"/>
        <v>0.59210871735693249</v>
      </c>
      <c r="X632" s="49"/>
      <c r="Y632" s="49"/>
      <c r="Z632" s="49"/>
      <c r="AQ632" s="29"/>
    </row>
    <row r="633" spans="1:43" s="28" customFormat="1" ht="12.75" customHeight="1">
      <c r="A633" s="64" t="s">
        <v>182</v>
      </c>
      <c r="B633" s="23" t="s">
        <v>183</v>
      </c>
      <c r="C633" s="77" t="s">
        <v>177</v>
      </c>
      <c r="D633" s="78">
        <v>1992</v>
      </c>
      <c r="E633" s="26">
        <v>8</v>
      </c>
      <c r="F633" s="66">
        <v>24</v>
      </c>
      <c r="G633" s="46">
        <f t="shared" si="102"/>
        <v>237.29</v>
      </c>
      <c r="H633" s="121">
        <v>10842.61</v>
      </c>
      <c r="I633" s="66"/>
      <c r="J633" s="29"/>
      <c r="K633" s="80">
        <v>215.34718100000001</v>
      </c>
      <c r="O633" s="48">
        <f t="shared" si="104"/>
        <v>4.0351338368296243</v>
      </c>
      <c r="R633" s="48">
        <f t="shared" si="105"/>
        <v>2.3331391910084975</v>
      </c>
      <c r="U633" s="48">
        <v>4.0351338368296243</v>
      </c>
      <c r="V633" s="54">
        <v>2.3331391910084975</v>
      </c>
      <c r="W633" s="49">
        <f t="shared" si="103"/>
        <v>0.44244627727413582</v>
      </c>
      <c r="X633" s="49"/>
      <c r="Y633" s="49"/>
      <c r="Z633" s="49"/>
      <c r="AQ633" s="29"/>
    </row>
    <row r="634" spans="1:43" s="28" customFormat="1" ht="12.75" customHeight="1">
      <c r="A634" s="64" t="s">
        <v>182</v>
      </c>
      <c r="B634" s="23" t="s">
        <v>183</v>
      </c>
      <c r="C634" s="77" t="s">
        <v>177</v>
      </c>
      <c r="D634" s="78">
        <v>1992</v>
      </c>
      <c r="E634" s="26">
        <v>8</v>
      </c>
      <c r="F634" s="66">
        <v>24</v>
      </c>
      <c r="G634" s="46">
        <f t="shared" si="102"/>
        <v>237.29</v>
      </c>
      <c r="H634" s="121">
        <v>15050.19</v>
      </c>
      <c r="I634" s="66"/>
      <c r="J634" s="29"/>
      <c r="K634" s="80">
        <v>323.33634000000001</v>
      </c>
      <c r="O634" s="48">
        <f t="shared" si="104"/>
        <v>4.1775419826827322</v>
      </c>
      <c r="R634" s="48">
        <f t="shared" si="105"/>
        <v>2.509654518018761</v>
      </c>
      <c r="U634" s="48">
        <v>4.1775419826827322</v>
      </c>
      <c r="V634" s="54">
        <v>2.509654518018761</v>
      </c>
      <c r="W634" s="49">
        <f t="shared" si="103"/>
        <v>0.23141356391565127</v>
      </c>
      <c r="X634" s="49"/>
      <c r="Y634" s="49"/>
      <c r="Z634" s="49"/>
      <c r="AQ634" s="29"/>
    </row>
    <row r="635" spans="1:43" s="28" customFormat="1" ht="12.75" customHeight="1">
      <c r="A635" s="64" t="s">
        <v>182</v>
      </c>
      <c r="B635" s="23" t="s">
        <v>183</v>
      </c>
      <c r="C635" s="77" t="s">
        <v>177</v>
      </c>
      <c r="D635" s="78">
        <v>1992</v>
      </c>
      <c r="E635" s="26">
        <v>8</v>
      </c>
      <c r="F635" s="66">
        <v>24</v>
      </c>
      <c r="G635" s="46">
        <f t="shared" ref="G635:G698" si="106">30.47*(E635-1)+F635</f>
        <v>237.29</v>
      </c>
      <c r="H635" s="121">
        <v>6958.69</v>
      </c>
      <c r="I635" s="66"/>
      <c r="J635" s="29"/>
      <c r="K635" s="80">
        <v>247.09822700000001</v>
      </c>
      <c r="O635" s="48">
        <f t="shared" si="104"/>
        <v>3.8425274897083841</v>
      </c>
      <c r="R635" s="48">
        <f t="shared" si="105"/>
        <v>2.392869629226932</v>
      </c>
      <c r="U635" s="48">
        <v>3.8425274897083841</v>
      </c>
      <c r="V635" s="54">
        <v>2.392869629226932</v>
      </c>
      <c r="W635" s="49">
        <f t="shared" ref="W635:W698" si="107">0.9539*(4.064-0.314*U635-V635)</f>
        <v>0.44315975133652163</v>
      </c>
      <c r="X635" s="49"/>
      <c r="Y635" s="49"/>
      <c r="Z635" s="49"/>
      <c r="AQ635" s="29"/>
    </row>
    <row r="636" spans="1:43" s="28" customFormat="1" ht="12.75" customHeight="1">
      <c r="A636" s="64" t="s">
        <v>182</v>
      </c>
      <c r="B636" s="23" t="s">
        <v>183</v>
      </c>
      <c r="C636" s="77" t="s">
        <v>177</v>
      </c>
      <c r="D636" s="78">
        <v>1992</v>
      </c>
      <c r="E636" s="26">
        <v>8</v>
      </c>
      <c r="F636" s="66">
        <v>24</v>
      </c>
      <c r="G636" s="46">
        <f t="shared" si="106"/>
        <v>237.29</v>
      </c>
      <c r="H636" s="121">
        <v>10842.61</v>
      </c>
      <c r="I636" s="66"/>
      <c r="J636" s="29"/>
      <c r="K636" s="80">
        <v>244.31475100000003</v>
      </c>
      <c r="O636" s="48">
        <f t="shared" si="104"/>
        <v>4.0351338368296243</v>
      </c>
      <c r="R636" s="48">
        <f t="shared" si="105"/>
        <v>2.3879496891777046</v>
      </c>
      <c r="U636" s="48">
        <v>4.0351338368296243</v>
      </c>
      <c r="V636" s="54">
        <v>2.3879496891777046</v>
      </c>
      <c r="W636" s="49">
        <f t="shared" si="107"/>
        <v>0.39016254307052928</v>
      </c>
      <c r="X636" s="49"/>
      <c r="Y636" s="49"/>
      <c r="Z636" s="49"/>
      <c r="AQ636" s="29"/>
    </row>
    <row r="637" spans="1:43" s="28" customFormat="1" ht="12.75" customHeight="1">
      <c r="A637" s="64" t="s">
        <v>182</v>
      </c>
      <c r="B637" s="23" t="s">
        <v>183</v>
      </c>
      <c r="C637" s="77" t="s">
        <v>177</v>
      </c>
      <c r="D637" s="78">
        <v>1992</v>
      </c>
      <c r="E637" s="26">
        <v>10</v>
      </c>
      <c r="F637" s="66">
        <v>14</v>
      </c>
      <c r="G637" s="46">
        <f t="shared" si="106"/>
        <v>288.23</v>
      </c>
      <c r="H637" s="121">
        <v>7120.52</v>
      </c>
      <c r="I637" s="66"/>
      <c r="J637" s="29"/>
      <c r="K637" s="80">
        <v>110.56225600000002</v>
      </c>
      <c r="O637" s="48">
        <f t="shared" si="104"/>
        <v>3.8525117106149849</v>
      </c>
      <c r="R637" s="48">
        <f t="shared" si="105"/>
        <v>2.0436068918097461</v>
      </c>
      <c r="U637" s="48">
        <v>3.8525117106149849</v>
      </c>
      <c r="V637" s="54">
        <v>2.0436068918097461</v>
      </c>
      <c r="W637" s="49">
        <f t="shared" si="107"/>
        <v>0.77333095678541441</v>
      </c>
      <c r="X637" s="49"/>
      <c r="Y637" s="49"/>
      <c r="Z637" s="49"/>
      <c r="AQ637" s="29"/>
    </row>
    <row r="638" spans="1:43" s="28" customFormat="1" ht="12.75" customHeight="1">
      <c r="A638" s="64" t="s">
        <v>182</v>
      </c>
      <c r="B638" s="23" t="s">
        <v>183</v>
      </c>
      <c r="C638" s="77" t="s">
        <v>177</v>
      </c>
      <c r="D638" s="78">
        <v>1992</v>
      </c>
      <c r="E638" s="26">
        <v>10</v>
      </c>
      <c r="F638" s="66">
        <v>14</v>
      </c>
      <c r="G638" s="46">
        <f t="shared" si="106"/>
        <v>288.23</v>
      </c>
      <c r="H638" s="121">
        <v>6796.86</v>
      </c>
      <c r="I638" s="66"/>
      <c r="J638" s="29"/>
      <c r="K638" s="80">
        <v>78.406635000000009</v>
      </c>
      <c r="O638" s="48">
        <f t="shared" si="104"/>
        <v>3.8323083245266978</v>
      </c>
      <c r="R638" s="48">
        <f t="shared" si="105"/>
        <v>1.8943528155155818</v>
      </c>
      <c r="U638" s="48">
        <v>3.8323083245266978</v>
      </c>
      <c r="V638" s="54">
        <v>1.8943528155155818</v>
      </c>
      <c r="W638" s="49">
        <f t="shared" si="107"/>
        <v>0.92175583129915717</v>
      </c>
      <c r="X638" s="49"/>
      <c r="Y638" s="49"/>
      <c r="Z638" s="49"/>
      <c r="AQ638" s="29"/>
    </row>
    <row r="639" spans="1:43" s="28" customFormat="1" ht="12.75" customHeight="1">
      <c r="A639" s="64" t="s">
        <v>182</v>
      </c>
      <c r="B639" s="23" t="s">
        <v>183</v>
      </c>
      <c r="C639" s="77" t="s">
        <v>177</v>
      </c>
      <c r="D639" s="78">
        <v>1992</v>
      </c>
      <c r="E639" s="26">
        <v>10</v>
      </c>
      <c r="F639" s="66">
        <v>14</v>
      </c>
      <c r="G639" s="46">
        <f t="shared" si="106"/>
        <v>288.23</v>
      </c>
      <c r="H639" s="121">
        <v>10033.459999999999</v>
      </c>
      <c r="I639" s="66"/>
      <c r="J639" s="29"/>
      <c r="K639" s="80">
        <v>118.96123300000001</v>
      </c>
      <c r="O639" s="48">
        <f t="shared" si="104"/>
        <v>4.0014507236270518</v>
      </c>
      <c r="R639" s="48">
        <f t="shared" si="105"/>
        <v>2.0754054568783995</v>
      </c>
      <c r="U639" s="48">
        <v>4.0014507236270518</v>
      </c>
      <c r="V639" s="54">
        <v>2.0754054568783995</v>
      </c>
      <c r="W639" s="49">
        <f t="shared" si="107"/>
        <v>0.69838740726959159</v>
      </c>
      <c r="X639" s="49"/>
      <c r="Y639" s="49"/>
      <c r="Z639" s="49"/>
      <c r="AQ639" s="29"/>
    </row>
    <row r="640" spans="1:43" s="28" customFormat="1" ht="12.75" customHeight="1">
      <c r="A640" s="64" t="s">
        <v>182</v>
      </c>
      <c r="B640" s="23" t="s">
        <v>183</v>
      </c>
      <c r="C640" s="77" t="s">
        <v>177</v>
      </c>
      <c r="D640" s="78">
        <v>1992</v>
      </c>
      <c r="E640" s="26">
        <v>10</v>
      </c>
      <c r="F640" s="66">
        <v>14</v>
      </c>
      <c r="G640" s="46">
        <f t="shared" si="106"/>
        <v>288.23</v>
      </c>
      <c r="H640" s="121">
        <v>8738.82</v>
      </c>
      <c r="I640" s="66"/>
      <c r="J640" s="29"/>
      <c r="K640" s="80">
        <v>102.21182800000001</v>
      </c>
      <c r="O640" s="48">
        <f t="shared" si="104"/>
        <v>3.9414527939517661</v>
      </c>
      <c r="R640" s="48">
        <f t="shared" si="105"/>
        <v>2.0095011554650544</v>
      </c>
      <c r="U640" s="48">
        <v>3.9414527939517661</v>
      </c>
      <c r="V640" s="54">
        <v>2.0095011554650544</v>
      </c>
      <c r="W640" s="49">
        <f t="shared" si="107"/>
        <v>0.77922437627459962</v>
      </c>
      <c r="X640" s="49"/>
      <c r="Y640" s="49"/>
      <c r="Z640" s="49"/>
      <c r="AQ640" s="29"/>
    </row>
    <row r="641" spans="1:43" s="28" customFormat="1" ht="12.75" customHeight="1">
      <c r="A641" s="64" t="s">
        <v>182</v>
      </c>
      <c r="B641" s="23" t="s">
        <v>183</v>
      </c>
      <c r="C641" s="77" t="s">
        <v>177</v>
      </c>
      <c r="D641" s="78">
        <v>1992</v>
      </c>
      <c r="E641" s="26">
        <v>12</v>
      </c>
      <c r="F641" s="66">
        <v>9</v>
      </c>
      <c r="G641" s="46">
        <f t="shared" si="106"/>
        <v>344.16999999999996</v>
      </c>
      <c r="H641" s="121">
        <v>7282.35</v>
      </c>
      <c r="I641" s="66"/>
      <c r="J641" s="29"/>
      <c r="K641" s="80">
        <v>76.755969000000007</v>
      </c>
      <c r="O641" s="48">
        <f t="shared" si="104"/>
        <v>3.8622715479041414</v>
      </c>
      <c r="R641" s="48">
        <f t="shared" si="105"/>
        <v>1.8851121587806692</v>
      </c>
      <c r="U641" s="48">
        <v>3.8622715479041414</v>
      </c>
      <c r="V641" s="54">
        <v>1.8851121587806692</v>
      </c>
      <c r="W641" s="49">
        <f t="shared" si="107"/>
        <v>0.92159577126175063</v>
      </c>
      <c r="X641" s="49"/>
      <c r="Y641" s="49"/>
      <c r="Z641" s="49"/>
      <c r="AQ641" s="29"/>
    </row>
    <row r="642" spans="1:43" s="28" customFormat="1" ht="12.75" customHeight="1">
      <c r="A642" s="64" t="s">
        <v>182</v>
      </c>
      <c r="B642" s="23" t="s">
        <v>183</v>
      </c>
      <c r="C642" s="77" t="s">
        <v>177</v>
      </c>
      <c r="D642" s="78">
        <v>1992</v>
      </c>
      <c r="E642" s="26">
        <v>12</v>
      </c>
      <c r="F642" s="66">
        <v>9</v>
      </c>
      <c r="G642" s="46">
        <f t="shared" si="106"/>
        <v>344.16999999999996</v>
      </c>
      <c r="H642" s="121">
        <v>6149.54</v>
      </c>
      <c r="I642" s="66"/>
      <c r="J642" s="29"/>
      <c r="K642" s="80">
        <v>50.604241000000002</v>
      </c>
      <c r="O642" s="48">
        <f t="shared" si="104"/>
        <v>3.7888426307456076</v>
      </c>
      <c r="R642" s="48">
        <f t="shared" si="105"/>
        <v>1.7041869153717308</v>
      </c>
      <c r="U642" s="48">
        <v>3.7888426307456076</v>
      </c>
      <c r="V642" s="54">
        <v>1.7041869153717308</v>
      </c>
      <c r="W642" s="49">
        <f t="shared" si="107"/>
        <v>1.11617412798988</v>
      </c>
      <c r="X642" s="49"/>
      <c r="Y642" s="49"/>
      <c r="Z642" s="49"/>
      <c r="AQ642" s="29"/>
    </row>
    <row r="643" spans="1:43" s="28" customFormat="1" ht="12.75" customHeight="1">
      <c r="A643" s="64" t="s">
        <v>182</v>
      </c>
      <c r="B643" s="23" t="s">
        <v>183</v>
      </c>
      <c r="C643" s="77" t="s">
        <v>177</v>
      </c>
      <c r="D643" s="78">
        <v>1992</v>
      </c>
      <c r="E643" s="26">
        <v>12</v>
      </c>
      <c r="F643" s="66">
        <v>9</v>
      </c>
      <c r="G643" s="46">
        <f t="shared" si="106"/>
        <v>344.16999999999996</v>
      </c>
      <c r="H643" s="121">
        <v>5502.22</v>
      </c>
      <c r="I643" s="66"/>
      <c r="J643" s="29"/>
      <c r="K643" s="80">
        <v>47.254359999999998</v>
      </c>
      <c r="O643" s="48">
        <f t="shared" si="104"/>
        <v>3.7405379511710528</v>
      </c>
      <c r="R643" s="48">
        <f t="shared" si="105"/>
        <v>1.6744418855772158</v>
      </c>
      <c r="U643" s="48">
        <v>3.7405379511710528</v>
      </c>
      <c r="V643" s="54">
        <v>1.6744418855772158</v>
      </c>
      <c r="W643" s="49">
        <f t="shared" si="107"/>
        <v>1.1590163517385645</v>
      </c>
      <c r="X643" s="49"/>
      <c r="Y643" s="49"/>
      <c r="Z643" s="49"/>
      <c r="AQ643" s="29"/>
    </row>
    <row r="644" spans="1:43" s="28" customFormat="1" ht="12.75" customHeight="1">
      <c r="A644" s="64" t="s">
        <v>182</v>
      </c>
      <c r="B644" s="23" t="s">
        <v>183</v>
      </c>
      <c r="C644" s="77" t="s">
        <v>177</v>
      </c>
      <c r="D644" s="78">
        <v>1992</v>
      </c>
      <c r="E644" s="26">
        <v>12</v>
      </c>
      <c r="F644" s="66">
        <v>9</v>
      </c>
      <c r="G644" s="46">
        <f t="shared" si="106"/>
        <v>344.16999999999996</v>
      </c>
      <c r="H644" s="121">
        <v>4531.24</v>
      </c>
      <c r="I644" s="66"/>
      <c r="J644" s="29"/>
      <c r="K644" s="80">
        <v>48.710830000000001</v>
      </c>
      <c r="O644" s="48">
        <f t="shared" si="104"/>
        <v>3.6562170654710169</v>
      </c>
      <c r="R644" s="48">
        <f t="shared" si="105"/>
        <v>1.687625529722641</v>
      </c>
      <c r="U644" s="48">
        <v>3.6562170654710169</v>
      </c>
      <c r="V644" s="54">
        <v>1.687625529722641</v>
      </c>
      <c r="W644" s="49">
        <f t="shared" si="107"/>
        <v>1.1716966531491928</v>
      </c>
      <c r="X644" s="49"/>
      <c r="Y644" s="49"/>
      <c r="Z644" s="49"/>
      <c r="AQ644" s="29"/>
    </row>
    <row r="645" spans="1:43" s="28" customFormat="1" ht="12.75" customHeight="1">
      <c r="A645" s="64" t="s">
        <v>182</v>
      </c>
      <c r="B645" s="23" t="s">
        <v>183</v>
      </c>
      <c r="C645" s="77" t="s">
        <v>177</v>
      </c>
      <c r="D645" s="78">
        <v>1993</v>
      </c>
      <c r="E645" s="26">
        <v>2</v>
      </c>
      <c r="F645" s="66">
        <v>16</v>
      </c>
      <c r="G645" s="46">
        <f t="shared" si="106"/>
        <v>46.47</v>
      </c>
      <c r="H645" s="121">
        <v>7444.18</v>
      </c>
      <c r="I645" s="66"/>
      <c r="J645" s="29"/>
      <c r="K645" s="80">
        <v>55.378226000000005</v>
      </c>
      <c r="O645" s="48">
        <f t="shared" si="104"/>
        <v>3.8718168658103718</v>
      </c>
      <c r="R645" s="48">
        <f t="shared" si="105"/>
        <v>1.743339039333879</v>
      </c>
      <c r="U645" s="48">
        <v>3.8718168658103718</v>
      </c>
      <c r="V645" s="54">
        <v>1.743339039333879</v>
      </c>
      <c r="W645" s="49">
        <f t="shared" si="107"/>
        <v>1.0539740923743073</v>
      </c>
      <c r="X645" s="49"/>
      <c r="Y645" s="49"/>
      <c r="Z645" s="49"/>
      <c r="AQ645" s="29"/>
    </row>
    <row r="646" spans="1:43" s="28" customFormat="1" ht="12.75" customHeight="1">
      <c r="A646" s="64" t="s">
        <v>182</v>
      </c>
      <c r="B646" s="23" t="s">
        <v>183</v>
      </c>
      <c r="C646" s="77" t="s">
        <v>177</v>
      </c>
      <c r="D646" s="78">
        <v>1993</v>
      </c>
      <c r="E646" s="26">
        <v>2</v>
      </c>
      <c r="F646" s="66">
        <v>16</v>
      </c>
      <c r="G646" s="46">
        <f t="shared" si="106"/>
        <v>46.47</v>
      </c>
      <c r="H646" s="121">
        <v>5502.22</v>
      </c>
      <c r="I646" s="66"/>
      <c r="J646" s="29"/>
      <c r="K646" s="80">
        <v>52.497652000000009</v>
      </c>
      <c r="O646" s="48">
        <f t="shared" si="104"/>
        <v>3.7405379511710528</v>
      </c>
      <c r="R646" s="48">
        <f t="shared" si="105"/>
        <v>1.7201398796679161</v>
      </c>
      <c r="U646" s="48">
        <v>3.7405379511710528</v>
      </c>
      <c r="V646" s="54">
        <v>1.7201398796679161</v>
      </c>
      <c r="W646" s="49">
        <f t="shared" si="107"/>
        <v>1.1154250351754456</v>
      </c>
      <c r="X646" s="49"/>
      <c r="Y646" s="49"/>
      <c r="Z646" s="49"/>
      <c r="AQ646" s="29"/>
    </row>
    <row r="647" spans="1:43" s="28" customFormat="1" ht="12.75" customHeight="1">
      <c r="A647" s="64" t="s">
        <v>182</v>
      </c>
      <c r="B647" s="23" t="s">
        <v>183</v>
      </c>
      <c r="C647" s="77" t="s">
        <v>177</v>
      </c>
      <c r="D647" s="78">
        <v>1993</v>
      </c>
      <c r="E647" s="26">
        <v>2</v>
      </c>
      <c r="F647" s="66">
        <v>16</v>
      </c>
      <c r="G647" s="46">
        <f t="shared" si="106"/>
        <v>46.47</v>
      </c>
      <c r="H647" s="121">
        <v>5502.22</v>
      </c>
      <c r="I647" s="66"/>
      <c r="J647" s="29"/>
      <c r="K647" s="80">
        <v>57.579114000000004</v>
      </c>
      <c r="O647" s="48">
        <f t="shared" si="104"/>
        <v>3.7405379511710528</v>
      </c>
      <c r="R647" s="48">
        <f t="shared" si="105"/>
        <v>1.7602649778767039</v>
      </c>
      <c r="U647" s="48">
        <v>3.7405379511710528</v>
      </c>
      <c r="V647" s="54">
        <v>1.7602649778767039</v>
      </c>
      <c r="W647" s="49">
        <f t="shared" si="107"/>
        <v>1.0771497039940829</v>
      </c>
      <c r="X647" s="49"/>
      <c r="Y647" s="49"/>
      <c r="Z647" s="49"/>
      <c r="AQ647" s="29"/>
    </row>
    <row r="648" spans="1:43" s="28" customFormat="1" ht="12.75" customHeight="1">
      <c r="A648" s="64" t="s">
        <v>182</v>
      </c>
      <c r="B648" s="23" t="s">
        <v>183</v>
      </c>
      <c r="C648" s="77" t="s">
        <v>177</v>
      </c>
      <c r="D648" s="78">
        <v>1993</v>
      </c>
      <c r="E648" s="26">
        <v>2</v>
      </c>
      <c r="F648" s="66">
        <v>16</v>
      </c>
      <c r="G648" s="46">
        <f t="shared" si="106"/>
        <v>46.47</v>
      </c>
      <c r="H648" s="121">
        <v>8091.5</v>
      </c>
      <c r="I648" s="66"/>
      <c r="J648" s="29"/>
      <c r="K648" s="80">
        <v>93.181713999999999</v>
      </c>
      <c r="O648" s="48">
        <f t="shared" ref="O648:O711" si="108">LOG10(H648)</f>
        <v>3.9080290384648162</v>
      </c>
      <c r="R648" s="48">
        <f t="shared" ref="R648:R711" si="109">LOG10(K648)</f>
        <v>1.9693306946708609</v>
      </c>
      <c r="U648" s="48">
        <v>3.9080290384648162</v>
      </c>
      <c r="V648" s="54">
        <v>1.9693306946708609</v>
      </c>
      <c r="W648" s="49">
        <f t="shared" si="107"/>
        <v>0.8275542158189072</v>
      </c>
      <c r="X648" s="49"/>
      <c r="Y648" s="49"/>
      <c r="Z648" s="49"/>
      <c r="AQ648" s="29"/>
    </row>
    <row r="649" spans="1:43" s="28" customFormat="1" ht="12.75" customHeight="1">
      <c r="A649" s="64" t="s">
        <v>182</v>
      </c>
      <c r="B649" s="23" t="s">
        <v>183</v>
      </c>
      <c r="C649" s="77" t="s">
        <v>177</v>
      </c>
      <c r="D649" s="78">
        <v>1993</v>
      </c>
      <c r="E649" s="26">
        <v>5</v>
      </c>
      <c r="F649" s="66">
        <v>21</v>
      </c>
      <c r="G649" s="46">
        <f t="shared" si="106"/>
        <v>142.88</v>
      </c>
      <c r="H649" s="121">
        <v>7929.67</v>
      </c>
      <c r="I649" s="66"/>
      <c r="J649" s="29"/>
      <c r="K649" s="80">
        <v>119.624736</v>
      </c>
      <c r="O649" s="48">
        <f t="shared" si="108"/>
        <v>3.8992551141573113</v>
      </c>
      <c r="R649" s="48">
        <f t="shared" si="109"/>
        <v>2.0778209923408477</v>
      </c>
      <c r="U649" s="48">
        <v>3.8992551141573113</v>
      </c>
      <c r="V649" s="54">
        <v>2.0778209923408477</v>
      </c>
      <c r="W649" s="49">
        <f t="shared" si="107"/>
        <v>0.72669332704014233</v>
      </c>
      <c r="X649" s="49"/>
      <c r="Y649" s="49"/>
      <c r="Z649" s="49"/>
      <c r="AQ649" s="29"/>
    </row>
    <row r="650" spans="1:43" s="28" customFormat="1" ht="12.75" customHeight="1">
      <c r="A650" s="64" t="s">
        <v>182</v>
      </c>
      <c r="B650" s="23" t="s">
        <v>183</v>
      </c>
      <c r="C650" s="77" t="s">
        <v>177</v>
      </c>
      <c r="D650" s="78">
        <v>1993</v>
      </c>
      <c r="E650" s="26">
        <v>5</v>
      </c>
      <c r="F650" s="66">
        <v>21</v>
      </c>
      <c r="G650" s="46">
        <f t="shared" si="106"/>
        <v>142.88</v>
      </c>
      <c r="H650" s="121">
        <v>4693.07</v>
      </c>
      <c r="I650" s="66"/>
      <c r="J650" s="29"/>
      <c r="K650" s="80">
        <v>85.284410000000008</v>
      </c>
      <c r="O650" s="48">
        <f t="shared" si="108"/>
        <v>3.6714570320277535</v>
      </c>
      <c r="R650" s="48">
        <f t="shared" si="109"/>
        <v>1.9308696493413442</v>
      </c>
      <c r="U650" s="48">
        <v>3.6714570320277535</v>
      </c>
      <c r="V650" s="54">
        <v>1.9308696493413442</v>
      </c>
      <c r="W650" s="49">
        <f t="shared" si="107"/>
        <v>0.93510134255799149</v>
      </c>
      <c r="X650" s="49"/>
      <c r="Y650" s="49"/>
      <c r="Z650" s="49"/>
      <c r="AQ650" s="29"/>
    </row>
    <row r="651" spans="1:43" s="28" customFormat="1" ht="12.75" customHeight="1">
      <c r="A651" s="64" t="s">
        <v>182</v>
      </c>
      <c r="B651" s="23" t="s">
        <v>183</v>
      </c>
      <c r="C651" s="77" t="s">
        <v>177</v>
      </c>
      <c r="D651" s="78">
        <v>1993</v>
      </c>
      <c r="E651" s="26">
        <v>5</v>
      </c>
      <c r="F651" s="66">
        <v>21</v>
      </c>
      <c r="G651" s="46">
        <f t="shared" si="106"/>
        <v>142.88</v>
      </c>
      <c r="H651" s="121">
        <v>5016.7299999999996</v>
      </c>
      <c r="I651" s="66"/>
      <c r="J651" s="29"/>
      <c r="K651" s="80">
        <v>65.945724999999996</v>
      </c>
      <c r="O651" s="48">
        <f t="shared" si="108"/>
        <v>3.7004207279630701</v>
      </c>
      <c r="R651" s="48">
        <f t="shared" si="109"/>
        <v>1.8191866472047928</v>
      </c>
      <c r="U651" s="48">
        <v>3.7004207279630701</v>
      </c>
      <c r="V651" s="54">
        <v>1.8191866472047928</v>
      </c>
      <c r="W651" s="49">
        <f t="shared" si="107"/>
        <v>1.0329604188565007</v>
      </c>
      <c r="X651" s="49"/>
      <c r="Y651" s="49"/>
      <c r="Z651" s="49"/>
      <c r="AQ651" s="29"/>
    </row>
    <row r="652" spans="1:43" s="28" customFormat="1" ht="12.75" customHeight="1">
      <c r="A652" s="64" t="s">
        <v>182</v>
      </c>
      <c r="B652" s="23" t="s">
        <v>183</v>
      </c>
      <c r="C652" s="77" t="s">
        <v>177</v>
      </c>
      <c r="D652" s="78">
        <v>1993</v>
      </c>
      <c r="E652" s="26">
        <v>5</v>
      </c>
      <c r="F652" s="66">
        <v>21</v>
      </c>
      <c r="G652" s="46">
        <f t="shared" si="106"/>
        <v>142.88</v>
      </c>
      <c r="H652" s="121">
        <v>8415.16</v>
      </c>
      <c r="I652" s="66"/>
      <c r="J652" s="29"/>
      <c r="K652" s="80">
        <v>74.474166000000011</v>
      </c>
      <c r="O652" s="48">
        <f t="shared" si="108"/>
        <v>3.9250623777635969</v>
      </c>
      <c r="R652" s="48">
        <f t="shared" si="109"/>
        <v>1.8720056484614223</v>
      </c>
      <c r="U652" s="48">
        <v>3.9250623777635969</v>
      </c>
      <c r="V652" s="54">
        <v>1.8720056484614223</v>
      </c>
      <c r="W652" s="49">
        <f t="shared" si="107"/>
        <v>0.91529067325795899</v>
      </c>
      <c r="X652" s="49"/>
      <c r="Y652" s="49"/>
      <c r="Z652" s="49"/>
      <c r="AQ652" s="29"/>
    </row>
    <row r="653" spans="1:43" s="28" customFormat="1" ht="12.75" customHeight="1">
      <c r="A653" s="64" t="s">
        <v>182</v>
      </c>
      <c r="B653" s="23" t="s">
        <v>183</v>
      </c>
      <c r="C653" s="77" t="s">
        <v>177</v>
      </c>
      <c r="D653" s="78">
        <v>1993</v>
      </c>
      <c r="E653" s="26">
        <v>8</v>
      </c>
      <c r="F653" s="66">
        <v>25</v>
      </c>
      <c r="G653" s="46">
        <f t="shared" si="106"/>
        <v>238.29</v>
      </c>
      <c r="H653" s="121">
        <v>11489.93</v>
      </c>
      <c r="I653" s="66"/>
      <c r="J653" s="29"/>
      <c r="K653" s="80">
        <v>288.26777900000002</v>
      </c>
      <c r="O653" s="48">
        <f t="shared" si="108"/>
        <v>4.0603173828478729</v>
      </c>
      <c r="R653" s="48">
        <f t="shared" si="109"/>
        <v>2.4597961020325876</v>
      </c>
      <c r="U653" s="48">
        <v>4.0603173828478729</v>
      </c>
      <c r="V653" s="54">
        <v>2.4597961020325876</v>
      </c>
      <c r="W653" s="49">
        <f t="shared" si="107"/>
        <v>0.31408515830055861</v>
      </c>
      <c r="X653" s="49"/>
      <c r="Y653" s="49"/>
      <c r="Z653" s="49"/>
      <c r="AQ653" s="29"/>
    </row>
    <row r="654" spans="1:43" s="28" customFormat="1" ht="12.75" customHeight="1">
      <c r="A654" s="64" t="s">
        <v>182</v>
      </c>
      <c r="B654" s="23" t="s">
        <v>183</v>
      </c>
      <c r="C654" s="77" t="s">
        <v>177</v>
      </c>
      <c r="D654" s="78">
        <v>1993</v>
      </c>
      <c r="E654" s="26">
        <v>8</v>
      </c>
      <c r="F654" s="66">
        <v>25</v>
      </c>
      <c r="G654" s="46">
        <f t="shared" si="106"/>
        <v>238.29</v>
      </c>
      <c r="H654" s="121">
        <v>3722.09</v>
      </c>
      <c r="I654" s="66"/>
      <c r="J654" s="29"/>
      <c r="K654" s="80">
        <v>150.59899800000002</v>
      </c>
      <c r="O654" s="48">
        <f t="shared" si="108"/>
        <v>3.5707868701463905</v>
      </c>
      <c r="R654" s="48">
        <f t="shared" si="109"/>
        <v>2.1778220823260463</v>
      </c>
      <c r="U654" s="48">
        <v>3.5707868701463905</v>
      </c>
      <c r="V654" s="54">
        <v>2.1778220823260463</v>
      </c>
      <c r="W654" s="49">
        <f t="shared" si="107"/>
        <v>0.72968660670333474</v>
      </c>
      <c r="X654" s="49"/>
      <c r="Y654" s="49"/>
      <c r="Z654" s="49"/>
      <c r="AQ654" s="29"/>
    </row>
    <row r="655" spans="1:43" s="28" customFormat="1" ht="12.75" customHeight="1">
      <c r="A655" s="64" t="s">
        <v>182</v>
      </c>
      <c r="B655" s="23" t="s">
        <v>183</v>
      </c>
      <c r="C655" s="77" t="s">
        <v>177</v>
      </c>
      <c r="D655" s="78">
        <v>1993</v>
      </c>
      <c r="E655" s="26">
        <v>8</v>
      </c>
      <c r="F655" s="66">
        <v>25</v>
      </c>
      <c r="G655" s="46">
        <f t="shared" si="106"/>
        <v>238.29</v>
      </c>
      <c r="H655" s="121">
        <v>9709.7999999999993</v>
      </c>
      <c r="I655" s="66"/>
      <c r="J655" s="29"/>
      <c r="K655" s="80">
        <v>164.40309700000003</v>
      </c>
      <c r="O655" s="48">
        <f t="shared" si="108"/>
        <v>3.9872102845124413</v>
      </c>
      <c r="R655" s="48">
        <f t="shared" si="109"/>
        <v>2.2159099944530696</v>
      </c>
      <c r="U655" s="48">
        <v>3.9872102845124413</v>
      </c>
      <c r="V655" s="54">
        <v>2.2159099944530696</v>
      </c>
      <c r="W655" s="49">
        <f t="shared" si="107"/>
        <v>0.56862549070674195</v>
      </c>
      <c r="X655" s="49"/>
      <c r="Y655" s="49"/>
      <c r="Z655" s="49"/>
      <c r="AQ655" s="29"/>
    </row>
    <row r="656" spans="1:43" s="28" customFormat="1" ht="12.75" customHeight="1">
      <c r="A656" s="64" t="s">
        <v>182</v>
      </c>
      <c r="B656" s="23" t="s">
        <v>183</v>
      </c>
      <c r="C656" s="77" t="s">
        <v>177</v>
      </c>
      <c r="D656" s="78">
        <v>1993</v>
      </c>
      <c r="E656" s="26">
        <v>8</v>
      </c>
      <c r="F656" s="66">
        <v>25</v>
      </c>
      <c r="G656" s="46">
        <f t="shared" si="106"/>
        <v>238.29</v>
      </c>
      <c r="H656" s="121">
        <v>7444.18</v>
      </c>
      <c r="I656" s="66"/>
      <c r="J656" s="29"/>
      <c r="K656" s="80">
        <v>214.34383500000001</v>
      </c>
      <c r="O656" s="48">
        <f t="shared" si="108"/>
        <v>3.8718168658103718</v>
      </c>
      <c r="R656" s="48">
        <f t="shared" si="109"/>
        <v>2.3311109967620474</v>
      </c>
      <c r="U656" s="48">
        <v>3.8718168658103718</v>
      </c>
      <c r="V656" s="54">
        <v>2.3311109967620474</v>
      </c>
      <c r="W656" s="49">
        <f t="shared" si="107"/>
        <v>0.49329842218357761</v>
      </c>
      <c r="X656" s="49"/>
      <c r="Y656" s="49"/>
      <c r="Z656" s="49"/>
      <c r="AQ656" s="29"/>
    </row>
    <row r="657" spans="1:43" s="28" customFormat="1" ht="12.75" customHeight="1">
      <c r="A657" s="64" t="s">
        <v>182</v>
      </c>
      <c r="B657" s="23" t="s">
        <v>183</v>
      </c>
      <c r="C657" s="77" t="s">
        <v>177</v>
      </c>
      <c r="D657" s="78">
        <v>1993</v>
      </c>
      <c r="E657" s="26">
        <v>12</v>
      </c>
      <c r="F657" s="66">
        <v>21</v>
      </c>
      <c r="G657" s="46">
        <f t="shared" si="106"/>
        <v>356.16999999999996</v>
      </c>
      <c r="H657" s="121">
        <v>5664.05</v>
      </c>
      <c r="I657" s="66"/>
      <c r="J657" s="29"/>
      <c r="K657" s="80">
        <v>36.751593</v>
      </c>
      <c r="O657" s="48">
        <f t="shared" si="108"/>
        <v>3.7531270784790731</v>
      </c>
      <c r="R657" s="48">
        <f t="shared" si="109"/>
        <v>1.5652761683485328</v>
      </c>
      <c r="U657" s="48">
        <v>3.7531270784790731</v>
      </c>
      <c r="V657" s="54">
        <v>1.5652761683485328</v>
      </c>
      <c r="W657" s="49">
        <f t="shared" si="107"/>
        <v>1.2593787760817217</v>
      </c>
      <c r="X657" s="49"/>
      <c r="Y657" s="49"/>
      <c r="Z657" s="49"/>
      <c r="AQ657" s="29"/>
    </row>
    <row r="658" spans="1:43" s="28" customFormat="1" ht="12.75" customHeight="1">
      <c r="A658" s="64" t="s">
        <v>182</v>
      </c>
      <c r="B658" s="23" t="s">
        <v>183</v>
      </c>
      <c r="C658" s="77" t="s">
        <v>177</v>
      </c>
      <c r="D658" s="78">
        <v>1993</v>
      </c>
      <c r="E658" s="26">
        <v>12</v>
      </c>
      <c r="F658" s="66">
        <v>21</v>
      </c>
      <c r="G658" s="46">
        <f t="shared" si="106"/>
        <v>356.16999999999996</v>
      </c>
      <c r="H658" s="121">
        <v>4531.24</v>
      </c>
      <c r="I658" s="66"/>
      <c r="J658" s="29"/>
      <c r="K658" s="80">
        <v>30.504955000000002</v>
      </c>
      <c r="O658" s="48">
        <f t="shared" si="108"/>
        <v>3.6562170654710169</v>
      </c>
      <c r="R658" s="48">
        <f t="shared" si="109"/>
        <v>1.4843703886706092</v>
      </c>
      <c r="U658" s="48">
        <v>3.6562170654710169</v>
      </c>
      <c r="V658" s="54">
        <v>1.4843703886706092</v>
      </c>
      <c r="W658" s="49">
        <f t="shared" si="107"/>
        <v>1.365581732198726</v>
      </c>
      <c r="X658" s="49"/>
      <c r="Y658" s="49"/>
      <c r="Z658" s="49"/>
      <c r="AQ658" s="29"/>
    </row>
    <row r="659" spans="1:43" s="28" customFormat="1" ht="12.75" customHeight="1">
      <c r="A659" s="64" t="s">
        <v>182</v>
      </c>
      <c r="B659" s="23" t="s">
        <v>183</v>
      </c>
      <c r="C659" s="77" t="s">
        <v>177</v>
      </c>
      <c r="D659" s="78">
        <v>1993</v>
      </c>
      <c r="E659" s="26">
        <v>12</v>
      </c>
      <c r="F659" s="66">
        <v>21</v>
      </c>
      <c r="G659" s="46">
        <f t="shared" si="106"/>
        <v>356.16999999999996</v>
      </c>
      <c r="H659" s="121">
        <v>5987.71</v>
      </c>
      <c r="I659" s="66"/>
      <c r="J659" s="29"/>
      <c r="K659" s="80">
        <v>38.612638000000004</v>
      </c>
      <c r="O659" s="48">
        <f t="shared" si="108"/>
        <v>3.7772607581957924</v>
      </c>
      <c r="R659" s="48">
        <f t="shared" si="109"/>
        <v>1.5867294734631208</v>
      </c>
      <c r="U659" s="48">
        <v>3.7772607581957924</v>
      </c>
      <c r="V659" s="54">
        <v>1.5867294734631208</v>
      </c>
      <c r="W659" s="49">
        <f t="shared" si="107"/>
        <v>1.2316858375692374</v>
      </c>
      <c r="X659" s="49"/>
      <c r="Y659" s="49"/>
      <c r="Z659" s="49"/>
      <c r="AQ659" s="29"/>
    </row>
    <row r="660" spans="1:43" s="28" customFormat="1" ht="12.75" customHeight="1">
      <c r="A660" s="64" t="s">
        <v>182</v>
      </c>
      <c r="B660" s="23" t="s">
        <v>183</v>
      </c>
      <c r="C660" s="77" t="s">
        <v>177</v>
      </c>
      <c r="D660" s="78">
        <v>1993</v>
      </c>
      <c r="E660" s="26">
        <v>12</v>
      </c>
      <c r="F660" s="66">
        <v>21</v>
      </c>
      <c r="G660" s="46">
        <f t="shared" si="106"/>
        <v>356.16999999999996</v>
      </c>
      <c r="H660" s="121">
        <v>2912.94</v>
      </c>
      <c r="I660" s="66"/>
      <c r="J660" s="29"/>
      <c r="K660" s="80">
        <v>21.620488000000002</v>
      </c>
      <c r="O660" s="48">
        <f t="shared" si="108"/>
        <v>3.4643315392321035</v>
      </c>
      <c r="R660" s="48">
        <f t="shared" si="109"/>
        <v>1.3348654922683245</v>
      </c>
      <c r="U660" s="48">
        <v>3.4643315392321035</v>
      </c>
      <c r="V660" s="54">
        <v>1.3348654922683245</v>
      </c>
      <c r="W660" s="49">
        <f t="shared" si="107"/>
        <v>1.5656688883693655</v>
      </c>
      <c r="X660" s="49"/>
      <c r="Y660" s="49"/>
      <c r="Z660" s="49"/>
      <c r="AQ660" s="29"/>
    </row>
    <row r="661" spans="1:43" s="28" customFormat="1" ht="12.75" customHeight="1">
      <c r="A661" s="64" t="s">
        <v>182</v>
      </c>
      <c r="B661" s="23" t="s">
        <v>183</v>
      </c>
      <c r="C661" s="77" t="s">
        <v>177</v>
      </c>
      <c r="D661" s="78">
        <v>1994</v>
      </c>
      <c r="E661" s="26">
        <v>3</v>
      </c>
      <c r="F661" s="66">
        <v>10</v>
      </c>
      <c r="G661" s="46">
        <f t="shared" si="106"/>
        <v>70.94</v>
      </c>
      <c r="H661" s="121">
        <v>3560.26</v>
      </c>
      <c r="I661" s="66"/>
      <c r="J661" s="29"/>
      <c r="K661" s="80">
        <v>20.018371000000002</v>
      </c>
      <c r="O661" s="48">
        <f t="shared" si="108"/>
        <v>3.5514817149510036</v>
      </c>
      <c r="R661" s="48">
        <f t="shared" si="109"/>
        <v>1.3014287337579182</v>
      </c>
      <c r="U661" s="48">
        <v>3.5514817149510036</v>
      </c>
      <c r="V661" s="54">
        <v>1.3014287337579182</v>
      </c>
      <c r="W661" s="49">
        <f t="shared" si="107"/>
        <v>1.5714605907903083</v>
      </c>
      <c r="X661" s="49"/>
      <c r="Y661" s="49"/>
      <c r="Z661" s="49"/>
      <c r="AQ661" s="29"/>
    </row>
    <row r="662" spans="1:43" s="28" customFormat="1" ht="12.75" customHeight="1">
      <c r="A662" s="64" t="s">
        <v>182</v>
      </c>
      <c r="B662" s="23" t="s">
        <v>183</v>
      </c>
      <c r="C662" s="77" t="s">
        <v>177</v>
      </c>
      <c r="D662" s="78">
        <v>1994</v>
      </c>
      <c r="E662" s="26">
        <v>3</v>
      </c>
      <c r="F662" s="66">
        <v>10</v>
      </c>
      <c r="G662" s="46">
        <f t="shared" si="106"/>
        <v>70.94</v>
      </c>
      <c r="H662" s="121">
        <v>5987.71</v>
      </c>
      <c r="I662" s="66"/>
      <c r="J662" s="29"/>
      <c r="K662" s="80">
        <v>37.641658</v>
      </c>
      <c r="O662" s="48">
        <f t="shared" si="108"/>
        <v>3.7772607581957924</v>
      </c>
      <c r="R662" s="48">
        <f t="shared" si="109"/>
        <v>1.5756687445212272</v>
      </c>
      <c r="U662" s="48">
        <v>3.7772607581957924</v>
      </c>
      <c r="V662" s="54">
        <v>1.5756687445212272</v>
      </c>
      <c r="W662" s="49">
        <f t="shared" si="107"/>
        <v>1.2422366669069098</v>
      </c>
      <c r="X662" s="49"/>
      <c r="Y662" s="49"/>
      <c r="Z662" s="49"/>
      <c r="AQ662" s="29"/>
    </row>
    <row r="663" spans="1:43" s="28" customFormat="1" ht="12.75" customHeight="1">
      <c r="A663" s="64" t="s">
        <v>182</v>
      </c>
      <c r="B663" s="23" t="s">
        <v>183</v>
      </c>
      <c r="C663" s="77" t="s">
        <v>177</v>
      </c>
      <c r="D663" s="78">
        <v>1994</v>
      </c>
      <c r="E663" s="26">
        <v>3</v>
      </c>
      <c r="F663" s="66">
        <v>10</v>
      </c>
      <c r="G663" s="46">
        <f t="shared" si="106"/>
        <v>70.94</v>
      </c>
      <c r="H663" s="121">
        <v>7282.35</v>
      </c>
      <c r="I663" s="66"/>
      <c r="J663" s="29"/>
      <c r="K663" s="80">
        <v>41.218100999999997</v>
      </c>
      <c r="O663" s="48">
        <f t="shared" si="108"/>
        <v>3.8622715479041414</v>
      </c>
      <c r="R663" s="48">
        <f t="shared" si="109"/>
        <v>1.6150879790924126</v>
      </c>
      <c r="U663" s="48">
        <v>3.8622715479041414</v>
      </c>
      <c r="V663" s="54">
        <v>1.6150879790924126</v>
      </c>
      <c r="W663" s="49">
        <f t="shared" si="107"/>
        <v>1.1791718362663786</v>
      </c>
      <c r="X663" s="49"/>
      <c r="Y663" s="49"/>
      <c r="Z663" s="49"/>
      <c r="AQ663" s="29"/>
    </row>
    <row r="664" spans="1:43" s="28" customFormat="1" ht="12.75" customHeight="1">
      <c r="A664" s="64" t="s">
        <v>182</v>
      </c>
      <c r="B664" s="23" t="s">
        <v>183</v>
      </c>
      <c r="C664" s="77" t="s">
        <v>177</v>
      </c>
      <c r="D664" s="78">
        <v>1994</v>
      </c>
      <c r="E664" s="26">
        <v>3</v>
      </c>
      <c r="F664" s="66">
        <v>10</v>
      </c>
      <c r="G664" s="46">
        <f t="shared" si="106"/>
        <v>70.94</v>
      </c>
      <c r="H664" s="121">
        <v>7282.35</v>
      </c>
      <c r="I664" s="66"/>
      <c r="J664" s="29"/>
      <c r="K664" s="80">
        <v>44.098675000000007</v>
      </c>
      <c r="O664" s="48">
        <f t="shared" si="108"/>
        <v>3.8622715479041414</v>
      </c>
      <c r="R664" s="48">
        <f t="shared" si="109"/>
        <v>1.644425540741459</v>
      </c>
      <c r="U664" s="48">
        <v>3.8622715479041414</v>
      </c>
      <c r="V664" s="54">
        <v>1.644425540741459</v>
      </c>
      <c r="W664" s="49">
        <f t="shared" si="107"/>
        <v>1.1511867362093533</v>
      </c>
      <c r="X664" s="49"/>
      <c r="Y664" s="49"/>
      <c r="Z664" s="49"/>
      <c r="AQ664" s="29"/>
    </row>
    <row r="665" spans="1:43" s="28" customFormat="1" ht="12.75" customHeight="1">
      <c r="A665" s="64" t="s">
        <v>182</v>
      </c>
      <c r="B665" s="23" t="s">
        <v>183</v>
      </c>
      <c r="C665" s="77" t="s">
        <v>177</v>
      </c>
      <c r="D665" s="78">
        <v>1994</v>
      </c>
      <c r="E665" s="26">
        <v>6</v>
      </c>
      <c r="F665" s="66">
        <v>1</v>
      </c>
      <c r="G665" s="46">
        <f t="shared" si="106"/>
        <v>153.35</v>
      </c>
      <c r="H665" s="121">
        <v>7282.35</v>
      </c>
      <c r="I665" s="66"/>
      <c r="J665" s="29"/>
      <c r="K665" s="80">
        <v>185.89412100000001</v>
      </c>
      <c r="O665" s="48">
        <f t="shared" si="108"/>
        <v>3.8622715479041414</v>
      </c>
      <c r="R665" s="48">
        <f t="shared" si="109"/>
        <v>2.2692656551961474</v>
      </c>
      <c r="U665" s="48">
        <v>3.8622715479041414</v>
      </c>
      <c r="V665" s="54">
        <v>2.2692656551961474</v>
      </c>
      <c r="W665" s="49">
        <f t="shared" si="107"/>
        <v>0.55515175103102588</v>
      </c>
      <c r="X665" s="49"/>
      <c r="Y665" s="49"/>
      <c r="Z665" s="49"/>
      <c r="AQ665" s="29"/>
    </row>
    <row r="666" spans="1:43" s="28" customFormat="1" ht="12.75" customHeight="1">
      <c r="A666" s="64" t="s">
        <v>182</v>
      </c>
      <c r="B666" s="23" t="s">
        <v>183</v>
      </c>
      <c r="C666" s="77" t="s">
        <v>177</v>
      </c>
      <c r="D666" s="78">
        <v>1994</v>
      </c>
      <c r="E666" s="26">
        <v>6</v>
      </c>
      <c r="F666" s="66">
        <v>1</v>
      </c>
      <c r="G666" s="46">
        <f t="shared" si="106"/>
        <v>153.35</v>
      </c>
      <c r="H666" s="121">
        <v>4369.41</v>
      </c>
      <c r="I666" s="66"/>
      <c r="J666" s="29"/>
      <c r="K666" s="80">
        <v>44.422335000000004</v>
      </c>
      <c r="O666" s="48">
        <f t="shared" si="108"/>
        <v>3.6404227982877848</v>
      </c>
      <c r="R666" s="48">
        <f t="shared" si="109"/>
        <v>1.6476013829149083</v>
      </c>
      <c r="U666" s="48">
        <v>3.6404227982877848</v>
      </c>
      <c r="V666" s="54">
        <v>1.6476013829149083</v>
      </c>
      <c r="W666" s="49">
        <f t="shared" si="107"/>
        <v>1.2146064583494398</v>
      </c>
      <c r="X666" s="49"/>
      <c r="Y666" s="49"/>
      <c r="Z666" s="49"/>
      <c r="AQ666" s="29"/>
    </row>
    <row r="667" spans="1:43" s="28" customFormat="1" ht="12.75" customHeight="1">
      <c r="A667" s="64" t="s">
        <v>182</v>
      </c>
      <c r="B667" s="23" t="s">
        <v>183</v>
      </c>
      <c r="C667" s="77" t="s">
        <v>177</v>
      </c>
      <c r="D667" s="78">
        <v>1994</v>
      </c>
      <c r="E667" s="26">
        <v>6</v>
      </c>
      <c r="F667" s="66">
        <v>1</v>
      </c>
      <c r="G667" s="46">
        <f t="shared" si="106"/>
        <v>153.35</v>
      </c>
      <c r="H667" s="121">
        <v>8091.5</v>
      </c>
      <c r="I667" s="66"/>
      <c r="J667" s="29"/>
      <c r="K667" s="80">
        <v>203.01573500000001</v>
      </c>
      <c r="O667" s="48">
        <f t="shared" si="108"/>
        <v>3.9080290384648162</v>
      </c>
      <c r="R667" s="48">
        <f t="shared" si="109"/>
        <v>2.307529699779427</v>
      </c>
      <c r="U667" s="48">
        <v>3.9080290384648162</v>
      </c>
      <c r="V667" s="54">
        <v>2.307529699779427</v>
      </c>
      <c r="W667" s="49">
        <f t="shared" si="107"/>
        <v>0.50494618484584597</v>
      </c>
      <c r="X667" s="49"/>
      <c r="Y667" s="49"/>
      <c r="Z667" s="49"/>
      <c r="AQ667" s="29"/>
    </row>
    <row r="668" spans="1:43" s="28" customFormat="1" ht="12.75" customHeight="1">
      <c r="A668" s="64" t="s">
        <v>182</v>
      </c>
      <c r="B668" s="23" t="s">
        <v>183</v>
      </c>
      <c r="C668" s="77" t="s">
        <v>177</v>
      </c>
      <c r="D668" s="78">
        <v>1994</v>
      </c>
      <c r="E668" s="26">
        <v>6</v>
      </c>
      <c r="F668" s="66">
        <v>1</v>
      </c>
      <c r="G668" s="46">
        <f t="shared" si="106"/>
        <v>153.35</v>
      </c>
      <c r="H668" s="121">
        <v>9224.31</v>
      </c>
      <c r="I668" s="66"/>
      <c r="J668" s="29"/>
      <c r="K668" s="80">
        <v>169.82440200000002</v>
      </c>
      <c r="O668" s="48">
        <f t="shared" si="108"/>
        <v>3.9649338898012889</v>
      </c>
      <c r="R668" s="48">
        <f t="shared" si="109"/>
        <v>2.230000093991118</v>
      </c>
      <c r="U668" s="48">
        <v>3.9649338898012889</v>
      </c>
      <c r="V668" s="54">
        <v>2.230000093991118</v>
      </c>
      <c r="W668" s="49">
        <f t="shared" si="107"/>
        <v>0.56185727297269772</v>
      </c>
      <c r="X668" s="49"/>
      <c r="Y668" s="49"/>
      <c r="Z668" s="49"/>
      <c r="AQ668" s="29"/>
    </row>
    <row r="669" spans="1:43" s="28" customFormat="1" ht="12.75" customHeight="1">
      <c r="A669" s="64" t="s">
        <v>182</v>
      </c>
      <c r="B669" s="23" t="s">
        <v>183</v>
      </c>
      <c r="C669" s="77" t="s">
        <v>177</v>
      </c>
      <c r="D669" s="78">
        <v>1994</v>
      </c>
      <c r="E669" s="26">
        <v>9</v>
      </c>
      <c r="F669" s="66">
        <v>19</v>
      </c>
      <c r="G669" s="46">
        <f t="shared" si="106"/>
        <v>262.76</v>
      </c>
      <c r="H669" s="121">
        <v>5016.7299999999996</v>
      </c>
      <c r="I669" s="66"/>
      <c r="J669" s="29"/>
      <c r="K669" s="80">
        <v>41.703591000000003</v>
      </c>
      <c r="O669" s="48">
        <f t="shared" si="108"/>
        <v>3.7004207279630701</v>
      </c>
      <c r="R669" s="48">
        <f t="shared" si="109"/>
        <v>1.6201734526797023</v>
      </c>
      <c r="U669" s="48">
        <v>3.7004207279630701</v>
      </c>
      <c r="V669" s="54">
        <v>1.6201734526797023</v>
      </c>
      <c r="W669" s="49">
        <f t="shared" si="107"/>
        <v>1.2227991051139846</v>
      </c>
      <c r="X669" s="49"/>
      <c r="Y669" s="49"/>
      <c r="Z669" s="49"/>
      <c r="AQ669" s="29"/>
    </row>
    <row r="670" spans="1:43" s="28" customFormat="1" ht="12.75" customHeight="1">
      <c r="A670" s="64" t="s">
        <v>182</v>
      </c>
      <c r="B670" s="23" t="s">
        <v>183</v>
      </c>
      <c r="C670" s="77" t="s">
        <v>177</v>
      </c>
      <c r="D670" s="78">
        <v>1994</v>
      </c>
      <c r="E670" s="26">
        <v>9</v>
      </c>
      <c r="F670" s="66">
        <v>19</v>
      </c>
      <c r="G670" s="46">
        <f t="shared" si="106"/>
        <v>262.76</v>
      </c>
      <c r="H670" s="121">
        <v>6796.86</v>
      </c>
      <c r="I670" s="66"/>
      <c r="J670" s="29"/>
      <c r="K670" s="80">
        <v>57.206904999999999</v>
      </c>
      <c r="O670" s="48">
        <f t="shared" si="108"/>
        <v>3.8323083245266978</v>
      </c>
      <c r="R670" s="48">
        <f t="shared" si="109"/>
        <v>1.7574484522617158</v>
      </c>
      <c r="U670" s="48">
        <v>3.8323083245266978</v>
      </c>
      <c r="V670" s="54">
        <v>1.7574484522617158</v>
      </c>
      <c r="W670" s="49">
        <f t="shared" si="107"/>
        <v>1.0523489034070199</v>
      </c>
      <c r="X670" s="49"/>
      <c r="Y670" s="49"/>
      <c r="Z670" s="49"/>
      <c r="AQ670" s="29"/>
    </row>
    <row r="671" spans="1:43" s="28" customFormat="1" ht="12.75" customHeight="1">
      <c r="A671" s="64" t="s">
        <v>182</v>
      </c>
      <c r="B671" s="23" t="s">
        <v>183</v>
      </c>
      <c r="C671" s="77" t="s">
        <v>177</v>
      </c>
      <c r="D671" s="78">
        <v>1994</v>
      </c>
      <c r="E671" s="26">
        <v>9</v>
      </c>
      <c r="F671" s="66">
        <v>19</v>
      </c>
      <c r="G671" s="46">
        <f t="shared" si="106"/>
        <v>262.76</v>
      </c>
      <c r="H671" s="121">
        <v>5987.71</v>
      </c>
      <c r="I671" s="66"/>
      <c r="J671" s="29"/>
      <c r="K671" s="80">
        <v>62.401648000000002</v>
      </c>
      <c r="O671" s="48">
        <f t="shared" si="108"/>
        <v>3.7772607581957924</v>
      </c>
      <c r="R671" s="48">
        <f t="shared" si="109"/>
        <v>1.7951960593595908</v>
      </c>
      <c r="U671" s="48">
        <v>3.7772607581957924</v>
      </c>
      <c r="V671" s="54">
        <v>1.7951960593595908</v>
      </c>
      <c r="W671" s="49">
        <f t="shared" si="107"/>
        <v>1.0328295612825946</v>
      </c>
      <c r="X671" s="49"/>
      <c r="Y671" s="49"/>
      <c r="Z671" s="49"/>
      <c r="AQ671" s="29"/>
    </row>
    <row r="672" spans="1:43" s="28" customFormat="1" ht="12.75" customHeight="1">
      <c r="A672" s="64" t="s">
        <v>182</v>
      </c>
      <c r="B672" s="23" t="s">
        <v>183</v>
      </c>
      <c r="C672" s="77" t="s">
        <v>177</v>
      </c>
      <c r="D672" s="78">
        <v>1994</v>
      </c>
      <c r="E672" s="26">
        <v>9</v>
      </c>
      <c r="F672" s="66">
        <v>19</v>
      </c>
      <c r="G672" s="46">
        <f t="shared" si="106"/>
        <v>262.76</v>
      </c>
      <c r="H672" s="121">
        <v>2751.11</v>
      </c>
      <c r="I672" s="66"/>
      <c r="J672" s="29"/>
      <c r="K672" s="80">
        <v>40.862075000000004</v>
      </c>
      <c r="O672" s="48">
        <f t="shared" si="108"/>
        <v>3.4395079555070716</v>
      </c>
      <c r="R672" s="48">
        <f t="shared" si="109"/>
        <v>1.6113204165834778</v>
      </c>
      <c r="U672" s="48">
        <v>3.4395079555070716</v>
      </c>
      <c r="V672" s="54">
        <v>1.6113204165834778</v>
      </c>
      <c r="W672" s="49">
        <f t="shared" si="107"/>
        <v>1.3093938100509472</v>
      </c>
      <c r="X672" s="49"/>
      <c r="Y672" s="49"/>
      <c r="Z672" s="49"/>
      <c r="AQ672" s="29"/>
    </row>
    <row r="673" spans="1:43" s="28" customFormat="1" ht="12.75" customHeight="1">
      <c r="A673" s="64" t="s">
        <v>182</v>
      </c>
      <c r="B673" s="23" t="s">
        <v>183</v>
      </c>
      <c r="C673" s="77" t="s">
        <v>177</v>
      </c>
      <c r="D673" s="78">
        <v>1994</v>
      </c>
      <c r="E673" s="26">
        <v>12</v>
      </c>
      <c r="F673" s="66">
        <v>5</v>
      </c>
      <c r="G673" s="46">
        <f t="shared" si="106"/>
        <v>340.16999999999996</v>
      </c>
      <c r="H673" s="121">
        <v>2589.2800000000002</v>
      </c>
      <c r="I673" s="66"/>
      <c r="J673" s="29"/>
      <c r="K673" s="80">
        <v>57.805676000000005</v>
      </c>
      <c r="O673" s="48">
        <f t="shared" si="108"/>
        <v>3.4131790167847225</v>
      </c>
      <c r="R673" s="48">
        <f t="shared" si="109"/>
        <v>1.7619704843453063</v>
      </c>
      <c r="U673" s="48">
        <v>3.4131790167847225</v>
      </c>
      <c r="V673" s="54">
        <v>1.7619704843453063</v>
      </c>
      <c r="W673" s="49">
        <f t="shared" si="107"/>
        <v>1.1735748752521751</v>
      </c>
      <c r="X673" s="49"/>
      <c r="Y673" s="49"/>
      <c r="Z673" s="49"/>
      <c r="AQ673" s="29"/>
    </row>
    <row r="674" spans="1:43" s="28" customFormat="1" ht="12.75" customHeight="1">
      <c r="A674" s="64" t="s">
        <v>182</v>
      </c>
      <c r="B674" s="23" t="s">
        <v>183</v>
      </c>
      <c r="C674" s="77" t="s">
        <v>177</v>
      </c>
      <c r="D674" s="78">
        <v>1994</v>
      </c>
      <c r="E674" s="26">
        <v>12</v>
      </c>
      <c r="F674" s="66">
        <v>5</v>
      </c>
      <c r="G674" s="46">
        <f t="shared" si="106"/>
        <v>340.16999999999996</v>
      </c>
      <c r="H674" s="121">
        <v>7606.01</v>
      </c>
      <c r="I674" s="66"/>
      <c r="J674" s="29"/>
      <c r="K674" s="80">
        <v>84.847469000000004</v>
      </c>
      <c r="O674" s="48">
        <f t="shared" si="108"/>
        <v>3.881156892064515</v>
      </c>
      <c r="R674" s="48">
        <f t="shared" si="109"/>
        <v>1.9286388918425208</v>
      </c>
      <c r="U674" s="48">
        <v>3.881156892064515</v>
      </c>
      <c r="V674" s="54">
        <v>1.9286388918425208</v>
      </c>
      <c r="W674" s="49">
        <f t="shared" si="107"/>
        <v>0.87441899543855262</v>
      </c>
      <c r="X674" s="49"/>
      <c r="Y674" s="49"/>
      <c r="Z674" s="49"/>
      <c r="AQ674" s="29"/>
    </row>
    <row r="675" spans="1:43" s="28" customFormat="1" ht="12.75" customHeight="1">
      <c r="A675" s="64" t="s">
        <v>182</v>
      </c>
      <c r="B675" s="23" t="s">
        <v>183</v>
      </c>
      <c r="C675" s="77" t="s">
        <v>177</v>
      </c>
      <c r="D675" s="78">
        <v>1994</v>
      </c>
      <c r="E675" s="26">
        <v>12</v>
      </c>
      <c r="F675" s="66">
        <v>5</v>
      </c>
      <c r="G675" s="46">
        <f t="shared" si="106"/>
        <v>340.16999999999996</v>
      </c>
      <c r="H675" s="121">
        <v>5664.05</v>
      </c>
      <c r="I675" s="66"/>
      <c r="J675" s="29"/>
      <c r="K675" s="80">
        <v>49.584712000000003</v>
      </c>
      <c r="O675" s="48">
        <f t="shared" si="108"/>
        <v>3.7531270784790731</v>
      </c>
      <c r="R675" s="48">
        <f t="shared" si="109"/>
        <v>1.6953477950893638</v>
      </c>
      <c r="U675" s="48">
        <v>3.7531270784790731</v>
      </c>
      <c r="V675" s="54">
        <v>1.6953477950893638</v>
      </c>
      <c r="W675" s="49">
        <f t="shared" si="107"/>
        <v>1.1353034513336429</v>
      </c>
      <c r="X675" s="49"/>
      <c r="Y675" s="49"/>
      <c r="Z675" s="49"/>
      <c r="AQ675" s="29"/>
    </row>
    <row r="676" spans="1:43" s="28" customFormat="1" ht="12.75" customHeight="1">
      <c r="A676" s="64" t="s">
        <v>182</v>
      </c>
      <c r="B676" s="23" t="s">
        <v>183</v>
      </c>
      <c r="C676" s="77" t="s">
        <v>177</v>
      </c>
      <c r="D676" s="78">
        <v>1994</v>
      </c>
      <c r="E676" s="26">
        <v>12</v>
      </c>
      <c r="F676" s="66">
        <v>5</v>
      </c>
      <c r="G676" s="46">
        <f t="shared" si="106"/>
        <v>340.16999999999996</v>
      </c>
      <c r="H676" s="121">
        <v>6311.37</v>
      </c>
      <c r="I676" s="66"/>
      <c r="J676" s="29"/>
      <c r="K676" s="80">
        <v>56.235925000000002</v>
      </c>
      <c r="O676" s="48">
        <f t="shared" si="108"/>
        <v>3.8001236411552965</v>
      </c>
      <c r="R676" s="48">
        <f t="shared" si="109"/>
        <v>1.7500138430549304</v>
      </c>
      <c r="U676" s="48">
        <v>3.8001236411552965</v>
      </c>
      <c r="V676" s="54">
        <v>1.7500138430549304</v>
      </c>
      <c r="W676" s="49">
        <f t="shared" si="107"/>
        <v>1.0690808815423185</v>
      </c>
      <c r="X676" s="49"/>
      <c r="Y676" s="49"/>
      <c r="Z676" s="49"/>
      <c r="AQ676" s="29"/>
    </row>
    <row r="677" spans="1:43" s="28" customFormat="1" ht="12.75" customHeight="1">
      <c r="A677" s="64" t="s">
        <v>182</v>
      </c>
      <c r="B677" s="23" t="s">
        <v>183</v>
      </c>
      <c r="C677" s="77" t="s">
        <v>177</v>
      </c>
      <c r="D677" s="78">
        <v>1995</v>
      </c>
      <c r="E677" s="26">
        <v>3</v>
      </c>
      <c r="F677" s="66">
        <v>15</v>
      </c>
      <c r="G677" s="46">
        <f t="shared" si="106"/>
        <v>75.94</v>
      </c>
      <c r="H677" s="121">
        <v>6796.86</v>
      </c>
      <c r="I677" s="66"/>
      <c r="J677" s="29"/>
      <c r="K677" s="80">
        <v>93.92613200000001</v>
      </c>
      <c r="O677" s="48">
        <f t="shared" si="108"/>
        <v>3.8323083245266978</v>
      </c>
      <c r="R677" s="48">
        <f t="shared" si="109"/>
        <v>1.9727864378944959</v>
      </c>
      <c r="U677" s="48">
        <v>3.8323083245266978</v>
      </c>
      <c r="V677" s="54">
        <v>1.9727864378944959</v>
      </c>
      <c r="W677" s="49">
        <f t="shared" si="107"/>
        <v>0.84693799891191102</v>
      </c>
      <c r="X677" s="49"/>
      <c r="Y677" s="49"/>
      <c r="Z677" s="49"/>
      <c r="AQ677" s="29"/>
    </row>
    <row r="678" spans="1:43" s="28" customFormat="1" ht="12.75" customHeight="1">
      <c r="A678" s="64" t="s">
        <v>182</v>
      </c>
      <c r="B678" s="23" t="s">
        <v>183</v>
      </c>
      <c r="C678" s="77" t="s">
        <v>177</v>
      </c>
      <c r="D678" s="78">
        <v>1995</v>
      </c>
      <c r="E678" s="26">
        <v>3</v>
      </c>
      <c r="F678" s="66">
        <v>15</v>
      </c>
      <c r="G678" s="46">
        <f t="shared" si="106"/>
        <v>75.94</v>
      </c>
      <c r="H678" s="121">
        <v>7120.52</v>
      </c>
      <c r="I678" s="66"/>
      <c r="J678" s="29"/>
      <c r="K678" s="80">
        <v>58.77665600000001</v>
      </c>
      <c r="O678" s="48">
        <f t="shared" si="108"/>
        <v>3.8525117106149849</v>
      </c>
      <c r="R678" s="48">
        <f t="shared" si="109"/>
        <v>1.7692048739778452</v>
      </c>
      <c r="U678" s="48">
        <v>3.8525117106149849</v>
      </c>
      <c r="V678" s="54">
        <v>1.7692048739778452</v>
      </c>
      <c r="W678" s="49">
        <f t="shared" si="107"/>
        <v>1.0350830415952645</v>
      </c>
      <c r="X678" s="49"/>
      <c r="Y678" s="49"/>
      <c r="Z678" s="49"/>
      <c r="AQ678" s="29"/>
    </row>
    <row r="679" spans="1:43" s="28" customFormat="1" ht="12.75" customHeight="1">
      <c r="A679" s="64" t="s">
        <v>182</v>
      </c>
      <c r="B679" s="23" t="s">
        <v>183</v>
      </c>
      <c r="C679" s="77" t="s">
        <v>177</v>
      </c>
      <c r="D679" s="78">
        <v>1995</v>
      </c>
      <c r="E679" s="26">
        <v>3</v>
      </c>
      <c r="F679" s="66">
        <v>15</v>
      </c>
      <c r="G679" s="46">
        <f t="shared" si="106"/>
        <v>75.94</v>
      </c>
      <c r="H679" s="121">
        <v>5664.05</v>
      </c>
      <c r="I679" s="66"/>
      <c r="J679" s="29"/>
      <c r="K679" s="80">
        <v>61.252655000000004</v>
      </c>
      <c r="O679" s="48">
        <f t="shared" si="108"/>
        <v>3.7531270784790731</v>
      </c>
      <c r="R679" s="48">
        <f t="shared" si="109"/>
        <v>1.7871249179648891</v>
      </c>
      <c r="U679" s="48">
        <v>3.7531270784790731</v>
      </c>
      <c r="V679" s="54">
        <v>1.7871249179648891</v>
      </c>
      <c r="W679" s="49">
        <f t="shared" si="107"/>
        <v>1.0477572538226794</v>
      </c>
      <c r="X679" s="49"/>
      <c r="Y679" s="49"/>
      <c r="Z679" s="49"/>
      <c r="AQ679" s="29"/>
    </row>
    <row r="680" spans="1:43" s="28" customFormat="1" ht="12.75" customHeight="1">
      <c r="A680" s="64" t="s">
        <v>182</v>
      </c>
      <c r="B680" s="23" t="s">
        <v>183</v>
      </c>
      <c r="C680" s="77" t="s">
        <v>177</v>
      </c>
      <c r="D680" s="78">
        <v>1995</v>
      </c>
      <c r="E680" s="26">
        <v>3</v>
      </c>
      <c r="F680" s="66">
        <v>15</v>
      </c>
      <c r="G680" s="46">
        <f t="shared" si="106"/>
        <v>75.94</v>
      </c>
      <c r="H680" s="121">
        <v>7282.35</v>
      </c>
      <c r="I680" s="66"/>
      <c r="J680" s="29"/>
      <c r="K680" s="80">
        <v>100.25368500000002</v>
      </c>
      <c r="O680" s="48">
        <f t="shared" si="108"/>
        <v>3.8622715479041414</v>
      </c>
      <c r="R680" s="48">
        <f t="shared" si="109"/>
        <v>2.00110034484088</v>
      </c>
      <c r="U680" s="48">
        <v>3.8622715479041414</v>
      </c>
      <c r="V680" s="54">
        <v>2.00110034484088</v>
      </c>
      <c r="W680" s="49">
        <f t="shared" si="107"/>
        <v>0.81095464057891553</v>
      </c>
      <c r="X680" s="49"/>
      <c r="Y680" s="49"/>
      <c r="Z680" s="49"/>
      <c r="AQ680" s="29"/>
    </row>
    <row r="681" spans="1:43" s="28" customFormat="1" ht="12.75" customHeight="1">
      <c r="A681" s="64" t="s">
        <v>182</v>
      </c>
      <c r="B681" s="23" t="s">
        <v>183</v>
      </c>
      <c r="C681" s="77" t="s">
        <v>177</v>
      </c>
      <c r="D681" s="78">
        <v>1995</v>
      </c>
      <c r="E681" s="26">
        <v>6</v>
      </c>
      <c r="F681" s="66">
        <v>15</v>
      </c>
      <c r="G681" s="46">
        <f t="shared" si="106"/>
        <v>167.35</v>
      </c>
      <c r="H681" s="121">
        <v>3398.43</v>
      </c>
      <c r="I681" s="66"/>
      <c r="J681" s="29"/>
      <c r="K681" s="80">
        <v>67.725854999999996</v>
      </c>
      <c r="O681" s="48">
        <f t="shared" si="108"/>
        <v>3.531278328862717</v>
      </c>
      <c r="R681" s="48">
        <f t="shared" si="109"/>
        <v>1.8307544964580764</v>
      </c>
      <c r="U681" s="48">
        <v>3.531278328862717</v>
      </c>
      <c r="V681" s="54">
        <v>1.8307544964580764</v>
      </c>
      <c r="W681" s="49">
        <f t="shared" si="107"/>
        <v>1.072588156887367</v>
      </c>
      <c r="X681" s="49"/>
      <c r="Y681" s="49"/>
      <c r="Z681" s="49"/>
      <c r="AQ681" s="29"/>
    </row>
    <row r="682" spans="1:43" s="28" customFormat="1" ht="12.75" customHeight="1">
      <c r="A682" s="64" t="s">
        <v>182</v>
      </c>
      <c r="B682" s="23" t="s">
        <v>183</v>
      </c>
      <c r="C682" s="77" t="s">
        <v>177</v>
      </c>
      <c r="D682" s="78">
        <v>1995</v>
      </c>
      <c r="E682" s="26">
        <v>6</v>
      </c>
      <c r="F682" s="66">
        <v>15</v>
      </c>
      <c r="G682" s="46">
        <f t="shared" si="106"/>
        <v>167.35</v>
      </c>
      <c r="H682" s="121">
        <v>3236.6</v>
      </c>
      <c r="I682" s="66"/>
      <c r="J682" s="29"/>
      <c r="K682" s="80">
        <v>52.368188000000004</v>
      </c>
      <c r="O682" s="48">
        <f t="shared" si="108"/>
        <v>3.5100890297927787</v>
      </c>
      <c r="R682" s="48">
        <f t="shared" si="109"/>
        <v>1.7190675470690322</v>
      </c>
      <c r="U682" s="48">
        <v>3.5100890297927787</v>
      </c>
      <c r="V682" s="54">
        <v>1.7190675470690322</v>
      </c>
      <c r="W682" s="49">
        <f t="shared" si="107"/>
        <v>1.18547305423778</v>
      </c>
      <c r="X682" s="49"/>
      <c r="Y682" s="49"/>
      <c r="Z682" s="49"/>
      <c r="AQ682" s="29"/>
    </row>
    <row r="683" spans="1:43" s="28" customFormat="1" ht="12.75" customHeight="1">
      <c r="A683" s="64" t="s">
        <v>182</v>
      </c>
      <c r="B683" s="23" t="s">
        <v>183</v>
      </c>
      <c r="C683" s="77" t="s">
        <v>177</v>
      </c>
      <c r="D683" s="78">
        <v>1995</v>
      </c>
      <c r="E683" s="26">
        <v>6</v>
      </c>
      <c r="F683" s="66">
        <v>15</v>
      </c>
      <c r="G683" s="46">
        <f t="shared" si="106"/>
        <v>167.35</v>
      </c>
      <c r="H683" s="121">
        <v>2751.11</v>
      </c>
      <c r="I683" s="66"/>
      <c r="J683" s="29"/>
      <c r="K683" s="80">
        <v>30.148929000000003</v>
      </c>
      <c r="O683" s="48">
        <f t="shared" si="108"/>
        <v>3.4395079555070716</v>
      </c>
      <c r="R683" s="48">
        <f t="shared" si="109"/>
        <v>1.4792718890250403</v>
      </c>
      <c r="U683" s="48">
        <v>3.4395079555070716</v>
      </c>
      <c r="V683" s="54">
        <v>1.4792718890250403</v>
      </c>
      <c r="W683" s="49">
        <f t="shared" si="107"/>
        <v>1.4353549004889408</v>
      </c>
      <c r="X683" s="49"/>
      <c r="Y683" s="49"/>
      <c r="Z683" s="49"/>
      <c r="AQ683" s="29"/>
    </row>
    <row r="684" spans="1:43" s="28" customFormat="1" ht="12.75" customHeight="1">
      <c r="A684" s="64" t="s">
        <v>182</v>
      </c>
      <c r="B684" s="23" t="s">
        <v>183</v>
      </c>
      <c r="C684" s="77" t="s">
        <v>177</v>
      </c>
      <c r="D684" s="78">
        <v>1995</v>
      </c>
      <c r="E684" s="26">
        <v>6</v>
      </c>
      <c r="F684" s="66">
        <v>15</v>
      </c>
      <c r="G684" s="46">
        <f t="shared" si="106"/>
        <v>167.35</v>
      </c>
      <c r="H684" s="121">
        <v>1456.47</v>
      </c>
      <c r="I684" s="66"/>
      <c r="J684" s="29"/>
      <c r="K684" s="80">
        <v>19.273953000000002</v>
      </c>
      <c r="O684" s="48">
        <f t="shared" si="108"/>
        <v>3.1633015435681227</v>
      </c>
      <c r="R684" s="48">
        <f t="shared" si="109"/>
        <v>1.284970795611575</v>
      </c>
      <c r="U684" s="48">
        <v>3.1633015435681227</v>
      </c>
      <c r="V684" s="54">
        <v>1.284970795611575</v>
      </c>
      <c r="W684" s="49">
        <f t="shared" si="107"/>
        <v>1.7034293285494941</v>
      </c>
      <c r="X684" s="49"/>
      <c r="Y684" s="49"/>
      <c r="Z684" s="49"/>
      <c r="AQ684" s="29"/>
    </row>
    <row r="685" spans="1:43" s="28" customFormat="1" ht="12.75" customHeight="1">
      <c r="A685" s="64" t="s">
        <v>182</v>
      </c>
      <c r="B685" s="23" t="s">
        <v>183</v>
      </c>
      <c r="C685" s="77" t="s">
        <v>177</v>
      </c>
      <c r="D685" s="78">
        <v>1995</v>
      </c>
      <c r="E685" s="26">
        <v>9</v>
      </c>
      <c r="F685" s="66">
        <v>7</v>
      </c>
      <c r="G685" s="46">
        <f t="shared" si="106"/>
        <v>250.76</v>
      </c>
      <c r="H685" s="121">
        <v>3883.92</v>
      </c>
      <c r="I685" s="66"/>
      <c r="J685" s="29"/>
      <c r="K685" s="80">
        <v>117.89315500000002</v>
      </c>
      <c r="O685" s="48">
        <f t="shared" si="108"/>
        <v>3.5892702758404034</v>
      </c>
      <c r="R685" s="48">
        <f t="shared" si="109"/>
        <v>2.0714885902348068</v>
      </c>
      <c r="U685" s="48">
        <v>3.5892702758404034</v>
      </c>
      <c r="V685" s="54">
        <v>2.0714885902348068</v>
      </c>
      <c r="W685" s="49">
        <f t="shared" si="107"/>
        <v>0.8255818901120312</v>
      </c>
      <c r="X685" s="49"/>
      <c r="Y685" s="49"/>
      <c r="Z685" s="49"/>
      <c r="AQ685" s="29"/>
    </row>
    <row r="686" spans="1:43" s="28" customFormat="1" ht="12.75" customHeight="1">
      <c r="A686" s="64" t="s">
        <v>182</v>
      </c>
      <c r="B686" s="23" t="s">
        <v>183</v>
      </c>
      <c r="C686" s="77" t="s">
        <v>177</v>
      </c>
      <c r="D686" s="78">
        <v>1995</v>
      </c>
      <c r="E686" s="26">
        <v>9</v>
      </c>
      <c r="F686" s="66">
        <v>7</v>
      </c>
      <c r="G686" s="46">
        <f t="shared" si="106"/>
        <v>250.76</v>
      </c>
      <c r="H686" s="121">
        <v>4531.24</v>
      </c>
      <c r="I686" s="66"/>
      <c r="J686" s="29"/>
      <c r="K686" s="80">
        <v>119.91603000000001</v>
      </c>
      <c r="O686" s="48">
        <f t="shared" si="108"/>
        <v>3.6562170654710169</v>
      </c>
      <c r="R686" s="48">
        <f t="shared" si="109"/>
        <v>2.0788772421081259</v>
      </c>
      <c r="U686" s="48">
        <v>3.6562170654710169</v>
      </c>
      <c r="V686" s="54">
        <v>2.0788772421081259</v>
      </c>
      <c r="W686" s="49">
        <f t="shared" si="107"/>
        <v>0.79848164470467886</v>
      </c>
      <c r="X686" s="49"/>
      <c r="Y686" s="49"/>
      <c r="Z686" s="49"/>
      <c r="AQ686" s="29"/>
    </row>
    <row r="687" spans="1:43" s="28" customFormat="1" ht="12.75" customHeight="1">
      <c r="A687" s="64" t="s">
        <v>182</v>
      </c>
      <c r="B687" s="23" t="s">
        <v>183</v>
      </c>
      <c r="C687" s="77" t="s">
        <v>177</v>
      </c>
      <c r="D687" s="78">
        <v>1995</v>
      </c>
      <c r="E687" s="26">
        <v>9</v>
      </c>
      <c r="F687" s="66">
        <v>7</v>
      </c>
      <c r="G687" s="46">
        <f t="shared" si="106"/>
        <v>250.76</v>
      </c>
      <c r="H687" s="121">
        <v>3722.09</v>
      </c>
      <c r="I687" s="66"/>
      <c r="J687" s="29"/>
      <c r="K687" s="80">
        <v>70.784442000000013</v>
      </c>
      <c r="O687" s="48">
        <f t="shared" si="108"/>
        <v>3.5707868701463905</v>
      </c>
      <c r="R687" s="48">
        <f t="shared" si="109"/>
        <v>1.8499378128304158</v>
      </c>
      <c r="U687" s="48">
        <v>3.5707868701463905</v>
      </c>
      <c r="V687" s="54">
        <v>1.8499378128304158</v>
      </c>
      <c r="W687" s="49">
        <f t="shared" si="107"/>
        <v>1.0424554113752167</v>
      </c>
      <c r="X687" s="49"/>
      <c r="Y687" s="49"/>
      <c r="Z687" s="49"/>
      <c r="AQ687" s="29"/>
    </row>
    <row r="688" spans="1:43" s="28" customFormat="1" ht="12.75" customHeight="1">
      <c r="A688" s="64" t="s">
        <v>182</v>
      </c>
      <c r="B688" s="23" t="s">
        <v>183</v>
      </c>
      <c r="C688" s="77" t="s">
        <v>177</v>
      </c>
      <c r="D688" s="78">
        <v>1995</v>
      </c>
      <c r="E688" s="26">
        <v>9</v>
      </c>
      <c r="F688" s="66">
        <v>7</v>
      </c>
      <c r="G688" s="46">
        <f t="shared" si="106"/>
        <v>250.76</v>
      </c>
      <c r="H688" s="121">
        <v>4531.24</v>
      </c>
      <c r="I688" s="66"/>
      <c r="J688" s="29"/>
      <c r="K688" s="80">
        <v>121.16212100000001</v>
      </c>
      <c r="O688" s="48">
        <f t="shared" si="108"/>
        <v>3.6562170654710169</v>
      </c>
      <c r="R688" s="48">
        <f t="shared" si="109"/>
        <v>2.0833668672568364</v>
      </c>
      <c r="U688" s="48">
        <v>3.6562170654710169</v>
      </c>
      <c r="V688" s="54">
        <v>2.0833668672568364</v>
      </c>
      <c r="W688" s="49">
        <f t="shared" si="107"/>
        <v>0.79419899127532378</v>
      </c>
      <c r="X688" s="49"/>
      <c r="Y688" s="49"/>
      <c r="Z688" s="49"/>
      <c r="AQ688" s="29"/>
    </row>
    <row r="689" spans="1:43" s="28" customFormat="1" ht="12.75" customHeight="1">
      <c r="A689" s="64" t="s">
        <v>182</v>
      </c>
      <c r="B689" s="23" t="s">
        <v>183</v>
      </c>
      <c r="C689" s="77" t="s">
        <v>177</v>
      </c>
      <c r="D689" s="78">
        <v>1995</v>
      </c>
      <c r="E689" s="26">
        <v>12</v>
      </c>
      <c r="F689" s="66">
        <v>4</v>
      </c>
      <c r="G689" s="46">
        <f t="shared" si="106"/>
        <v>339.16999999999996</v>
      </c>
      <c r="H689" s="121">
        <v>4369.41</v>
      </c>
      <c r="I689" s="66"/>
      <c r="J689" s="29"/>
      <c r="K689" s="80">
        <v>29.776720000000001</v>
      </c>
      <c r="O689" s="48">
        <f t="shared" si="108"/>
        <v>3.6404227982877848</v>
      </c>
      <c r="R689" s="48">
        <f t="shared" si="109"/>
        <v>1.4738768571383341</v>
      </c>
      <c r="U689" s="48">
        <v>3.6404227982877848</v>
      </c>
      <c r="V689" s="54">
        <v>1.4738768571383341</v>
      </c>
      <c r="W689" s="49">
        <f t="shared" si="107"/>
        <v>1.3803222834877138</v>
      </c>
      <c r="X689" s="49"/>
      <c r="Y689" s="49"/>
      <c r="Z689" s="49"/>
      <c r="AQ689" s="29"/>
    </row>
    <row r="690" spans="1:43" s="28" customFormat="1" ht="12.75" customHeight="1">
      <c r="A690" s="64" t="s">
        <v>182</v>
      </c>
      <c r="B690" s="23" t="s">
        <v>183</v>
      </c>
      <c r="C690" s="77" t="s">
        <v>177</v>
      </c>
      <c r="D690" s="78">
        <v>1995</v>
      </c>
      <c r="E690" s="26">
        <v>12</v>
      </c>
      <c r="F690" s="66">
        <v>4</v>
      </c>
      <c r="G690" s="46">
        <f t="shared" si="106"/>
        <v>339.16999999999996</v>
      </c>
      <c r="H690" s="121">
        <v>3236.6</v>
      </c>
      <c r="I690" s="66"/>
      <c r="J690" s="29"/>
      <c r="K690" s="80">
        <v>32.042340000000003</v>
      </c>
      <c r="O690" s="48">
        <f t="shared" si="108"/>
        <v>3.5100890297927787</v>
      </c>
      <c r="R690" s="48">
        <f t="shared" si="109"/>
        <v>1.5057242243903286</v>
      </c>
      <c r="U690" s="48">
        <v>3.5100890297927787</v>
      </c>
      <c r="V690" s="54">
        <v>1.5057242243903286</v>
      </c>
      <c r="W690" s="49">
        <f t="shared" si="107"/>
        <v>1.3889812497409952</v>
      </c>
      <c r="X690" s="49"/>
      <c r="Y690" s="49"/>
      <c r="Z690" s="49"/>
      <c r="AQ690" s="29"/>
    </row>
    <row r="691" spans="1:43" s="28" customFormat="1" ht="12.75" customHeight="1">
      <c r="A691" s="64" t="s">
        <v>182</v>
      </c>
      <c r="B691" s="23" t="s">
        <v>183</v>
      </c>
      <c r="C691" s="77" t="s">
        <v>177</v>
      </c>
      <c r="D691" s="78">
        <v>1995</v>
      </c>
      <c r="E691" s="26">
        <v>12</v>
      </c>
      <c r="F691" s="66">
        <v>4</v>
      </c>
      <c r="G691" s="46">
        <f t="shared" si="106"/>
        <v>339.16999999999996</v>
      </c>
      <c r="H691" s="121">
        <v>3722.09</v>
      </c>
      <c r="I691" s="66"/>
      <c r="J691" s="29"/>
      <c r="K691" s="80">
        <v>37.059070000000006</v>
      </c>
      <c r="O691" s="48">
        <f t="shared" si="108"/>
        <v>3.5707868701463905</v>
      </c>
      <c r="R691" s="48">
        <f t="shared" si="109"/>
        <v>1.5688945164686856</v>
      </c>
      <c r="U691" s="48">
        <v>3.5707868701463905</v>
      </c>
      <c r="V691" s="54">
        <v>1.5688945164686856</v>
      </c>
      <c r="W691" s="49">
        <f t="shared" si="107"/>
        <v>1.3105426117746712</v>
      </c>
      <c r="X691" s="49"/>
      <c r="Y691" s="49"/>
      <c r="Z691" s="49"/>
      <c r="AQ691" s="29"/>
    </row>
    <row r="692" spans="1:43" s="28" customFormat="1" ht="12.75" customHeight="1">
      <c r="A692" s="64" t="s">
        <v>182</v>
      </c>
      <c r="B692" s="23" t="s">
        <v>183</v>
      </c>
      <c r="C692" s="77" t="s">
        <v>177</v>
      </c>
      <c r="D692" s="78">
        <v>1995</v>
      </c>
      <c r="E692" s="26">
        <v>12</v>
      </c>
      <c r="F692" s="66">
        <v>4</v>
      </c>
      <c r="G692" s="46">
        <f t="shared" si="106"/>
        <v>339.16999999999996</v>
      </c>
      <c r="H692" s="121">
        <v>3074.77</v>
      </c>
      <c r="I692" s="66"/>
      <c r="J692" s="29"/>
      <c r="K692" s="80">
        <v>40.619330000000005</v>
      </c>
      <c r="O692" s="48">
        <f t="shared" si="108"/>
        <v>3.4878126350816263</v>
      </c>
      <c r="R692" s="48">
        <f t="shared" si="109"/>
        <v>1.6087327556098356</v>
      </c>
      <c r="U692" s="48">
        <v>3.4878126350816263</v>
      </c>
      <c r="V692" s="54">
        <v>1.6087327556098356</v>
      </c>
      <c r="W692" s="49">
        <f t="shared" si="107"/>
        <v>1.2973937400260078</v>
      </c>
      <c r="X692" s="49"/>
      <c r="Y692" s="49"/>
      <c r="Z692" s="49"/>
      <c r="AQ692" s="29"/>
    </row>
    <row r="693" spans="1:43" s="28" customFormat="1" ht="12.75" customHeight="1">
      <c r="A693" s="64" t="s">
        <v>182</v>
      </c>
      <c r="B693" s="23" t="s">
        <v>183</v>
      </c>
      <c r="C693" s="77" t="s">
        <v>178</v>
      </c>
      <c r="D693" s="78">
        <v>1993</v>
      </c>
      <c r="E693" s="26">
        <v>5</v>
      </c>
      <c r="F693" s="66">
        <v>20</v>
      </c>
      <c r="G693" s="46">
        <f t="shared" si="106"/>
        <v>141.88</v>
      </c>
      <c r="H693" s="121">
        <v>4369.41</v>
      </c>
      <c r="I693" s="66"/>
      <c r="J693" s="29"/>
      <c r="K693" s="80">
        <v>77.662216999999998</v>
      </c>
      <c r="O693" s="48">
        <f t="shared" si="108"/>
        <v>3.6404227982877848</v>
      </c>
      <c r="R693" s="48">
        <f t="shared" si="109"/>
        <v>1.8902097840612189</v>
      </c>
      <c r="U693" s="48">
        <v>3.6404227982877848</v>
      </c>
      <c r="V693" s="54">
        <v>1.8902097840612189</v>
      </c>
      <c r="W693" s="49">
        <f t="shared" si="107"/>
        <v>0.9831823044959741</v>
      </c>
      <c r="X693" s="49"/>
      <c r="Y693" s="49"/>
      <c r="Z693" s="49"/>
      <c r="AQ693" s="29"/>
    </row>
    <row r="694" spans="1:43" s="28" customFormat="1" ht="12.75" customHeight="1">
      <c r="A694" s="64" t="s">
        <v>182</v>
      </c>
      <c r="B694" s="23" t="s">
        <v>183</v>
      </c>
      <c r="C694" s="77" t="s">
        <v>178</v>
      </c>
      <c r="D694" s="78">
        <v>1993</v>
      </c>
      <c r="E694" s="26">
        <v>5</v>
      </c>
      <c r="F694" s="66">
        <v>20</v>
      </c>
      <c r="G694" s="46">
        <f t="shared" si="106"/>
        <v>141.88</v>
      </c>
      <c r="H694" s="121">
        <v>6473.2</v>
      </c>
      <c r="I694" s="66"/>
      <c r="J694" s="29"/>
      <c r="K694" s="80">
        <v>159.43491600000002</v>
      </c>
      <c r="O694" s="48">
        <f t="shared" si="108"/>
        <v>3.81111902545676</v>
      </c>
      <c r="R694" s="48">
        <f t="shared" si="109"/>
        <v>2.2025834372958633</v>
      </c>
      <c r="U694" s="48">
        <v>3.81111902545676</v>
      </c>
      <c r="V694" s="54">
        <v>2.2025834372958633</v>
      </c>
      <c r="W694" s="49">
        <f t="shared" si="107"/>
        <v>0.63408135751115047</v>
      </c>
      <c r="X694" s="49"/>
      <c r="Y694" s="49"/>
      <c r="Z694" s="49"/>
      <c r="AQ694" s="29"/>
    </row>
    <row r="695" spans="1:43" s="28" customFormat="1" ht="12.75" customHeight="1">
      <c r="A695" s="64" t="s">
        <v>182</v>
      </c>
      <c r="B695" s="23" t="s">
        <v>183</v>
      </c>
      <c r="C695" s="77" t="s">
        <v>178</v>
      </c>
      <c r="D695" s="78">
        <v>1993</v>
      </c>
      <c r="E695" s="26">
        <v>5</v>
      </c>
      <c r="F695" s="66">
        <v>20</v>
      </c>
      <c r="G695" s="46">
        <f t="shared" si="106"/>
        <v>141.88</v>
      </c>
      <c r="H695" s="121">
        <v>5016.7299999999996</v>
      </c>
      <c r="I695" s="66"/>
      <c r="J695" s="29"/>
      <c r="K695" s="80">
        <v>83.617561000000009</v>
      </c>
      <c r="O695" s="48">
        <f t="shared" si="108"/>
        <v>3.7004207279630701</v>
      </c>
      <c r="R695" s="48">
        <f t="shared" si="109"/>
        <v>1.9222974956744594</v>
      </c>
      <c r="U695" s="48">
        <v>3.7004207279630701</v>
      </c>
      <c r="V695" s="54">
        <v>1.9222974956744594</v>
      </c>
      <c r="W695" s="49">
        <f t="shared" si="107"/>
        <v>0.93460298050128587</v>
      </c>
      <c r="X695" s="49"/>
      <c r="Y695" s="49"/>
      <c r="Z695" s="49"/>
      <c r="AQ695" s="29"/>
    </row>
    <row r="696" spans="1:43" s="28" customFormat="1" ht="12.75" customHeight="1">
      <c r="A696" s="64" t="s">
        <v>182</v>
      </c>
      <c r="B696" s="23" t="s">
        <v>183</v>
      </c>
      <c r="C696" s="77" t="s">
        <v>178</v>
      </c>
      <c r="D696" s="78">
        <v>1993</v>
      </c>
      <c r="E696" s="26">
        <v>5</v>
      </c>
      <c r="F696" s="66">
        <v>20</v>
      </c>
      <c r="G696" s="46">
        <f t="shared" si="106"/>
        <v>141.88</v>
      </c>
      <c r="H696" s="121">
        <v>5340.39</v>
      </c>
      <c r="I696" s="66"/>
      <c r="J696" s="29"/>
      <c r="K696" s="80">
        <v>52.691848000000007</v>
      </c>
      <c r="O696" s="48">
        <f t="shared" si="108"/>
        <v>3.727572974006685</v>
      </c>
      <c r="R696" s="48">
        <f t="shared" si="109"/>
        <v>1.7217434303459613</v>
      </c>
      <c r="U696" s="48">
        <v>3.727572974006685</v>
      </c>
      <c r="V696" s="54">
        <v>1.7217434303459613</v>
      </c>
      <c r="W696" s="49">
        <f t="shared" si="107"/>
        <v>1.1177787377828245</v>
      </c>
      <c r="X696" s="49"/>
      <c r="Y696" s="49"/>
      <c r="Z696" s="49"/>
      <c r="AQ696" s="29"/>
    </row>
    <row r="697" spans="1:43" s="28" customFormat="1" ht="12.75" customHeight="1">
      <c r="A697" s="64" t="s">
        <v>182</v>
      </c>
      <c r="B697" s="23" t="s">
        <v>183</v>
      </c>
      <c r="C697" s="77" t="s">
        <v>178</v>
      </c>
      <c r="D697" s="78">
        <v>1993</v>
      </c>
      <c r="E697" s="26">
        <v>8</v>
      </c>
      <c r="F697" s="66">
        <v>30</v>
      </c>
      <c r="G697" s="46">
        <f t="shared" si="106"/>
        <v>243.29</v>
      </c>
      <c r="H697" s="121">
        <v>3236.6</v>
      </c>
      <c r="I697" s="66"/>
      <c r="J697" s="29"/>
      <c r="K697" s="80">
        <v>54.585259000000001</v>
      </c>
      <c r="O697" s="48">
        <f t="shared" si="108"/>
        <v>3.5100890297927787</v>
      </c>
      <c r="R697" s="48">
        <f t="shared" si="109"/>
        <v>1.737075375317999</v>
      </c>
      <c r="U697" s="48">
        <v>3.5100890297927787</v>
      </c>
      <c r="V697" s="54">
        <v>1.737075375317999</v>
      </c>
      <c r="W697" s="49">
        <f t="shared" si="107"/>
        <v>1.1682953868710906</v>
      </c>
      <c r="X697" s="49"/>
      <c r="Y697" s="49"/>
      <c r="Z697" s="49"/>
      <c r="AQ697" s="29"/>
    </row>
    <row r="698" spans="1:43" s="28" customFormat="1" ht="12.75" customHeight="1">
      <c r="A698" s="64" t="s">
        <v>182</v>
      </c>
      <c r="B698" s="23" t="s">
        <v>183</v>
      </c>
      <c r="C698" s="77" t="s">
        <v>178</v>
      </c>
      <c r="D698" s="78">
        <v>1993</v>
      </c>
      <c r="E698" s="26">
        <v>8</v>
      </c>
      <c r="F698" s="66">
        <v>30</v>
      </c>
      <c r="G698" s="46">
        <f t="shared" si="106"/>
        <v>243.29</v>
      </c>
      <c r="H698" s="121">
        <v>6473.2</v>
      </c>
      <c r="I698" s="66"/>
      <c r="J698" s="29"/>
      <c r="K698" s="80">
        <v>84.086867999999996</v>
      </c>
      <c r="O698" s="48">
        <f t="shared" si="108"/>
        <v>3.81111902545676</v>
      </c>
      <c r="R698" s="48">
        <f t="shared" si="109"/>
        <v>1.9247281765297879</v>
      </c>
      <c r="U698" s="48">
        <v>3.81111902545676</v>
      </c>
      <c r="V698" s="54">
        <v>1.9247281765297879</v>
      </c>
      <c r="W698" s="49">
        <f t="shared" si="107"/>
        <v>0.8991274907559097</v>
      </c>
      <c r="X698" s="49"/>
      <c r="Y698" s="49"/>
      <c r="Z698" s="49"/>
      <c r="AQ698" s="29"/>
    </row>
    <row r="699" spans="1:43" s="28" customFormat="1" ht="12.75" customHeight="1">
      <c r="A699" s="64" t="s">
        <v>182</v>
      </c>
      <c r="B699" s="23" t="s">
        <v>183</v>
      </c>
      <c r="C699" s="77" t="s">
        <v>178</v>
      </c>
      <c r="D699" s="78">
        <v>1993</v>
      </c>
      <c r="E699" s="26">
        <v>8</v>
      </c>
      <c r="F699" s="66">
        <v>30</v>
      </c>
      <c r="G699" s="46">
        <f t="shared" ref="G699:G762" si="110">30.47*(E699-1)+F699</f>
        <v>243.29</v>
      </c>
      <c r="H699" s="121">
        <v>1941.96</v>
      </c>
      <c r="I699" s="66"/>
      <c r="J699" s="29"/>
      <c r="K699" s="80">
        <v>18.238241000000002</v>
      </c>
      <c r="O699" s="48">
        <f t="shared" si="108"/>
        <v>3.2882402801764226</v>
      </c>
      <c r="R699" s="48">
        <f t="shared" si="109"/>
        <v>1.2609829501749041</v>
      </c>
      <c r="U699" s="48">
        <v>3.2882402801764226</v>
      </c>
      <c r="V699" s="54">
        <v>1.2609829501749041</v>
      </c>
      <c r="W699" s="49">
        <f t="shared" ref="W699:W762" si="111">0.9539*(4.064-0.314*U699-V699)</f>
        <v>1.688889109204428</v>
      </c>
      <c r="X699" s="49"/>
      <c r="Y699" s="49"/>
      <c r="Z699" s="49"/>
      <c r="AQ699" s="29"/>
    </row>
    <row r="700" spans="1:43" s="28" customFormat="1" ht="12.75" customHeight="1">
      <c r="A700" s="64" t="s">
        <v>182</v>
      </c>
      <c r="B700" s="23" t="s">
        <v>183</v>
      </c>
      <c r="C700" s="77" t="s">
        <v>178</v>
      </c>
      <c r="D700" s="78">
        <v>1993</v>
      </c>
      <c r="E700" s="26">
        <v>8</v>
      </c>
      <c r="F700" s="66">
        <v>30</v>
      </c>
      <c r="G700" s="46">
        <f t="shared" si="110"/>
        <v>243.29</v>
      </c>
      <c r="H700" s="121">
        <v>4854.8999999999996</v>
      </c>
      <c r="I700" s="66"/>
      <c r="J700" s="29"/>
      <c r="K700" s="80">
        <v>40.538415000000001</v>
      </c>
      <c r="O700" s="48">
        <f t="shared" si="108"/>
        <v>3.6861802888484601</v>
      </c>
      <c r="R700" s="48">
        <f t="shared" si="109"/>
        <v>1.6078667643320621</v>
      </c>
      <c r="U700" s="48">
        <v>3.6861802888484601</v>
      </c>
      <c r="V700" s="54">
        <v>1.6078667643320621</v>
      </c>
      <c r="W700" s="49">
        <f t="shared" si="111"/>
        <v>1.2388038169584263</v>
      </c>
      <c r="X700" s="49"/>
      <c r="Y700" s="49"/>
      <c r="Z700" s="49"/>
      <c r="AQ700" s="29"/>
    </row>
    <row r="701" spans="1:43" s="28" customFormat="1" ht="12.75" customHeight="1">
      <c r="A701" s="64" t="s">
        <v>182</v>
      </c>
      <c r="B701" s="23" t="s">
        <v>183</v>
      </c>
      <c r="C701" s="77" t="s">
        <v>178</v>
      </c>
      <c r="D701" s="78">
        <v>1993</v>
      </c>
      <c r="E701" s="26">
        <v>12</v>
      </c>
      <c r="F701" s="66">
        <v>8</v>
      </c>
      <c r="G701" s="46">
        <f t="shared" si="110"/>
        <v>343.16999999999996</v>
      </c>
      <c r="H701" s="121">
        <v>2912.94</v>
      </c>
      <c r="I701" s="66"/>
      <c r="J701" s="29"/>
      <c r="K701" s="80">
        <v>18.124960000000002</v>
      </c>
      <c r="O701" s="48">
        <f t="shared" si="108"/>
        <v>3.4643315392321035</v>
      </c>
      <c r="R701" s="48">
        <f t="shared" si="109"/>
        <v>1.2582770567989792</v>
      </c>
      <c r="U701" s="48">
        <v>3.4643315392321035</v>
      </c>
      <c r="V701" s="54">
        <v>1.2582770567989792</v>
      </c>
      <c r="W701" s="49">
        <f t="shared" si="111"/>
        <v>1.638726596963574</v>
      </c>
      <c r="X701" s="49"/>
      <c r="Y701" s="49"/>
      <c r="Z701" s="49"/>
      <c r="AQ701" s="29"/>
    </row>
    <row r="702" spans="1:43" s="28" customFormat="1" ht="12.75" customHeight="1">
      <c r="A702" s="64" t="s">
        <v>182</v>
      </c>
      <c r="B702" s="23" t="s">
        <v>183</v>
      </c>
      <c r="C702" s="77" t="s">
        <v>178</v>
      </c>
      <c r="D702" s="78">
        <v>1993</v>
      </c>
      <c r="E702" s="26">
        <v>12</v>
      </c>
      <c r="F702" s="66">
        <v>8</v>
      </c>
      <c r="G702" s="46">
        <f t="shared" si="110"/>
        <v>343.16999999999996</v>
      </c>
      <c r="H702" s="121">
        <v>2265.62</v>
      </c>
      <c r="I702" s="66"/>
      <c r="J702" s="29"/>
      <c r="K702" s="80">
        <v>14.597066000000002</v>
      </c>
      <c r="O702" s="48">
        <f t="shared" si="108"/>
        <v>3.3551870698070356</v>
      </c>
      <c r="R702" s="48">
        <f t="shared" si="109"/>
        <v>1.1642655716707393</v>
      </c>
      <c r="U702" s="48">
        <v>3.3551870698070356</v>
      </c>
      <c r="V702" s="54">
        <v>1.1642655716707393</v>
      </c>
      <c r="W702" s="49">
        <f t="shared" si="111"/>
        <v>1.7610956061741572</v>
      </c>
      <c r="X702" s="49"/>
      <c r="Y702" s="49"/>
      <c r="Z702" s="49"/>
      <c r="AQ702" s="29"/>
    </row>
    <row r="703" spans="1:43" s="28" customFormat="1" ht="12.75" customHeight="1">
      <c r="A703" s="64" t="s">
        <v>182</v>
      </c>
      <c r="B703" s="23" t="s">
        <v>183</v>
      </c>
      <c r="C703" s="77" t="s">
        <v>178</v>
      </c>
      <c r="D703" s="78">
        <v>1993</v>
      </c>
      <c r="E703" s="26">
        <v>12</v>
      </c>
      <c r="F703" s="66">
        <v>8</v>
      </c>
      <c r="G703" s="46">
        <f t="shared" si="110"/>
        <v>343.16999999999996</v>
      </c>
      <c r="H703" s="121">
        <v>1941.96</v>
      </c>
      <c r="I703" s="66"/>
      <c r="J703" s="29"/>
      <c r="K703" s="80">
        <v>9.8878130000000013</v>
      </c>
      <c r="O703" s="48">
        <f t="shared" si="108"/>
        <v>3.2882402801764226</v>
      </c>
      <c r="R703" s="48">
        <f t="shared" si="109"/>
        <v>0.99510024437135181</v>
      </c>
      <c r="U703" s="48">
        <v>3.2882402801764226</v>
      </c>
      <c r="V703" s="54">
        <v>0.99510024437135181</v>
      </c>
      <c r="W703" s="49">
        <f t="shared" si="111"/>
        <v>1.9425146222704366</v>
      </c>
      <c r="X703" s="49"/>
      <c r="Y703" s="49"/>
      <c r="Z703" s="49"/>
      <c r="AQ703" s="29"/>
    </row>
    <row r="704" spans="1:43" s="28" customFormat="1" ht="12.75" customHeight="1">
      <c r="A704" s="64" t="s">
        <v>182</v>
      </c>
      <c r="B704" s="23" t="s">
        <v>183</v>
      </c>
      <c r="C704" s="77" t="s">
        <v>178</v>
      </c>
      <c r="D704" s="78">
        <v>1993</v>
      </c>
      <c r="E704" s="26">
        <v>12</v>
      </c>
      <c r="F704" s="66">
        <v>8</v>
      </c>
      <c r="G704" s="46">
        <f t="shared" si="110"/>
        <v>343.16999999999996</v>
      </c>
      <c r="H704" s="121">
        <v>2751.11</v>
      </c>
      <c r="I704" s="66"/>
      <c r="J704" s="29"/>
      <c r="K704" s="80">
        <v>5.9067949999999998</v>
      </c>
      <c r="O704" s="48">
        <f t="shared" si="108"/>
        <v>3.4395079555070716</v>
      </c>
      <c r="R704" s="48">
        <f t="shared" si="109"/>
        <v>0.7713518985852722</v>
      </c>
      <c r="U704" s="48">
        <v>3.4395079555070716</v>
      </c>
      <c r="V704" s="54">
        <v>0.7713518985852722</v>
      </c>
      <c r="W704" s="49">
        <f t="shared" si="111"/>
        <v>2.1106397793694356</v>
      </c>
      <c r="X704" s="49"/>
      <c r="Y704" s="49"/>
      <c r="Z704" s="49"/>
      <c r="AQ704" s="29"/>
    </row>
    <row r="705" spans="1:43" s="28" customFormat="1" ht="12.75" customHeight="1">
      <c r="A705" s="64" t="s">
        <v>182</v>
      </c>
      <c r="B705" s="23" t="s">
        <v>183</v>
      </c>
      <c r="C705" s="77" t="s">
        <v>178</v>
      </c>
      <c r="D705" s="78">
        <v>1994</v>
      </c>
      <c r="E705" s="26">
        <v>3</v>
      </c>
      <c r="F705" s="66">
        <v>8</v>
      </c>
      <c r="G705" s="46">
        <f t="shared" si="110"/>
        <v>68.94</v>
      </c>
      <c r="H705" s="121">
        <v>5502.22</v>
      </c>
      <c r="I705" s="66"/>
      <c r="J705" s="29"/>
      <c r="K705" s="80">
        <v>42.804035000000006</v>
      </c>
      <c r="O705" s="48">
        <f t="shared" si="108"/>
        <v>3.7405379511710528</v>
      </c>
      <c r="R705" s="48">
        <f t="shared" si="109"/>
        <v>1.6314847105000021</v>
      </c>
      <c r="U705" s="48">
        <v>3.7405379511710528</v>
      </c>
      <c r="V705" s="54">
        <v>1.6314847105000021</v>
      </c>
      <c r="W705" s="49">
        <f t="shared" si="111"/>
        <v>1.1999932010447187</v>
      </c>
      <c r="X705" s="49"/>
      <c r="Y705" s="49"/>
      <c r="Z705" s="49"/>
      <c r="AQ705" s="29"/>
    </row>
    <row r="706" spans="1:43" s="28" customFormat="1" ht="12.75" customHeight="1">
      <c r="A706" s="64" t="s">
        <v>182</v>
      </c>
      <c r="B706" s="23" t="s">
        <v>183</v>
      </c>
      <c r="C706" s="77" t="s">
        <v>178</v>
      </c>
      <c r="D706" s="78">
        <v>1994</v>
      </c>
      <c r="E706" s="26">
        <v>3</v>
      </c>
      <c r="F706" s="66">
        <v>8</v>
      </c>
      <c r="G706" s="46">
        <f t="shared" si="110"/>
        <v>68.94</v>
      </c>
      <c r="H706" s="121">
        <v>3398.43</v>
      </c>
      <c r="I706" s="66"/>
      <c r="J706" s="29"/>
      <c r="K706" s="80">
        <v>73.64883300000001</v>
      </c>
      <c r="O706" s="48">
        <f t="shared" si="108"/>
        <v>3.531278328862717</v>
      </c>
      <c r="R706" s="48">
        <f t="shared" si="109"/>
        <v>1.8671658696351905</v>
      </c>
      <c r="U706" s="48">
        <v>3.531278328862717</v>
      </c>
      <c r="V706" s="54">
        <v>1.8671658696351905</v>
      </c>
      <c r="W706" s="49">
        <f t="shared" si="111"/>
        <v>1.0378553480137178</v>
      </c>
      <c r="X706" s="49"/>
      <c r="Y706" s="49"/>
      <c r="Z706" s="49"/>
      <c r="AQ706" s="29"/>
    </row>
    <row r="707" spans="1:43" s="28" customFormat="1" ht="12.75" customHeight="1">
      <c r="A707" s="64" t="s">
        <v>182</v>
      </c>
      <c r="B707" s="23" t="s">
        <v>183</v>
      </c>
      <c r="C707" s="77" t="s">
        <v>178</v>
      </c>
      <c r="D707" s="78">
        <v>1994</v>
      </c>
      <c r="E707" s="26">
        <v>3</v>
      </c>
      <c r="F707" s="66">
        <v>8</v>
      </c>
      <c r="G707" s="46">
        <f t="shared" si="110"/>
        <v>68.94</v>
      </c>
      <c r="H707" s="121">
        <v>809.15</v>
      </c>
      <c r="I707" s="66"/>
      <c r="J707" s="29"/>
      <c r="K707" s="80">
        <v>6.4893830000000001</v>
      </c>
      <c r="O707" s="48">
        <f t="shared" si="108"/>
        <v>2.9080290384648162</v>
      </c>
      <c r="R707" s="48">
        <f t="shared" si="109"/>
        <v>0.81220340674897984</v>
      </c>
      <c r="U707" s="48">
        <v>2.9080290384648162</v>
      </c>
      <c r="V707" s="54">
        <v>0.81220340674897984</v>
      </c>
      <c r="W707" s="49">
        <f t="shared" si="111"/>
        <v>2.23086253576759</v>
      </c>
      <c r="X707" s="49"/>
      <c r="Y707" s="49"/>
      <c r="Z707" s="49"/>
      <c r="AQ707" s="29"/>
    </row>
    <row r="708" spans="1:43" s="28" customFormat="1" ht="12.75" customHeight="1">
      <c r="A708" s="64" t="s">
        <v>182</v>
      </c>
      <c r="B708" s="23" t="s">
        <v>183</v>
      </c>
      <c r="C708" s="77" t="s">
        <v>178</v>
      </c>
      <c r="D708" s="78">
        <v>1994</v>
      </c>
      <c r="E708" s="26">
        <v>3</v>
      </c>
      <c r="F708" s="66">
        <v>8</v>
      </c>
      <c r="G708" s="46">
        <f t="shared" si="110"/>
        <v>68.94</v>
      </c>
      <c r="H708" s="121">
        <v>1132.81</v>
      </c>
      <c r="I708" s="66"/>
      <c r="J708" s="29"/>
      <c r="K708" s="80">
        <v>13.998295000000001</v>
      </c>
      <c r="O708" s="48">
        <f t="shared" si="108"/>
        <v>3.0541570741430544</v>
      </c>
      <c r="R708" s="48">
        <f t="shared" si="109"/>
        <v>1.1460751415936119</v>
      </c>
      <c r="U708" s="48">
        <v>3.0541570741430544</v>
      </c>
      <c r="V708" s="54">
        <v>1.1460751415936119</v>
      </c>
      <c r="W708" s="49">
        <f t="shared" si="111"/>
        <v>1.8686133464639849</v>
      </c>
      <c r="X708" s="49"/>
      <c r="Y708" s="49"/>
      <c r="Z708" s="49"/>
      <c r="AQ708" s="29"/>
    </row>
    <row r="709" spans="1:43" s="28" customFormat="1" ht="12.75" customHeight="1">
      <c r="A709" s="64" t="s">
        <v>182</v>
      </c>
      <c r="B709" s="23" t="s">
        <v>183</v>
      </c>
      <c r="C709" s="77" t="s">
        <v>178</v>
      </c>
      <c r="D709" s="78">
        <v>1994</v>
      </c>
      <c r="E709" s="26">
        <v>6</v>
      </c>
      <c r="F709" s="66">
        <v>3</v>
      </c>
      <c r="G709" s="46">
        <f t="shared" si="110"/>
        <v>155.35</v>
      </c>
      <c r="H709" s="121">
        <v>2103.79</v>
      </c>
      <c r="I709" s="66"/>
      <c r="J709" s="29"/>
      <c r="K709" s="80">
        <v>3.1718680000000004</v>
      </c>
      <c r="O709" s="48">
        <f t="shared" si="108"/>
        <v>3.3230023864356344</v>
      </c>
      <c r="R709" s="48">
        <f t="shared" si="109"/>
        <v>0.50131510548527369</v>
      </c>
      <c r="U709" s="48">
        <v>3.3230023864356344</v>
      </c>
      <c r="V709" s="54">
        <v>0.50131510548527369</v>
      </c>
      <c r="W709" s="49">
        <f t="shared" si="111"/>
        <v>2.4031241602814188</v>
      </c>
      <c r="X709" s="49"/>
      <c r="Y709" s="49"/>
      <c r="Z709" s="49"/>
      <c r="AQ709" s="29"/>
    </row>
    <row r="710" spans="1:43" s="28" customFormat="1" ht="12.75" customHeight="1">
      <c r="A710" s="64" t="s">
        <v>182</v>
      </c>
      <c r="B710" s="23" t="s">
        <v>183</v>
      </c>
      <c r="C710" s="77" t="s">
        <v>178</v>
      </c>
      <c r="D710" s="78">
        <v>1994</v>
      </c>
      <c r="E710" s="26">
        <v>6</v>
      </c>
      <c r="F710" s="66">
        <v>3</v>
      </c>
      <c r="G710" s="46">
        <f t="shared" si="110"/>
        <v>155.35</v>
      </c>
      <c r="H710" s="121">
        <v>1780.13</v>
      </c>
      <c r="I710" s="66"/>
      <c r="J710" s="29"/>
      <c r="K710" s="80">
        <v>3.9648350000000003</v>
      </c>
      <c r="O710" s="48">
        <f t="shared" si="108"/>
        <v>3.2504517192870228</v>
      </c>
      <c r="R710" s="48">
        <f t="shared" si="109"/>
        <v>0.59822511849333004</v>
      </c>
      <c r="U710" s="48">
        <v>3.2504517192870228</v>
      </c>
      <c r="V710" s="54">
        <v>0.59822511849333004</v>
      </c>
      <c r="W710" s="49">
        <f t="shared" si="111"/>
        <v>2.3324124084304545</v>
      </c>
      <c r="X710" s="49"/>
      <c r="Y710" s="49"/>
      <c r="Z710" s="49"/>
      <c r="AQ710" s="29"/>
    </row>
    <row r="711" spans="1:43" s="28" customFormat="1" ht="12.75" customHeight="1">
      <c r="A711" s="64" t="s">
        <v>182</v>
      </c>
      <c r="B711" s="23" t="s">
        <v>183</v>
      </c>
      <c r="C711" s="77" t="s">
        <v>178</v>
      </c>
      <c r="D711" s="78">
        <v>1994</v>
      </c>
      <c r="E711" s="26">
        <v>6</v>
      </c>
      <c r="F711" s="66">
        <v>3</v>
      </c>
      <c r="G711" s="46">
        <f t="shared" si="110"/>
        <v>155.35</v>
      </c>
      <c r="H711" s="121">
        <v>970.98</v>
      </c>
      <c r="I711" s="66"/>
      <c r="J711" s="29"/>
      <c r="K711" s="80">
        <v>2.3789009999999999</v>
      </c>
      <c r="O711" s="48">
        <f t="shared" si="108"/>
        <v>2.9872102845124413</v>
      </c>
      <c r="R711" s="48">
        <f t="shared" si="109"/>
        <v>0.37637636887697362</v>
      </c>
      <c r="U711" s="48">
        <v>2.9872102845124413</v>
      </c>
      <c r="V711" s="54">
        <v>0.37637636887697362</v>
      </c>
      <c r="W711" s="49">
        <f t="shared" si="111"/>
        <v>2.6228812161437798</v>
      </c>
      <c r="X711" s="49"/>
      <c r="Y711" s="49"/>
      <c r="Z711" s="49"/>
      <c r="AQ711" s="29"/>
    </row>
    <row r="712" spans="1:43" s="28" customFormat="1" ht="12.75" customHeight="1">
      <c r="A712" s="64" t="s">
        <v>182</v>
      </c>
      <c r="B712" s="23" t="s">
        <v>183</v>
      </c>
      <c r="C712" s="77" t="s">
        <v>178</v>
      </c>
      <c r="D712" s="78">
        <v>1994</v>
      </c>
      <c r="E712" s="26">
        <v>6</v>
      </c>
      <c r="F712" s="66">
        <v>3</v>
      </c>
      <c r="G712" s="46">
        <f t="shared" si="110"/>
        <v>155.35</v>
      </c>
      <c r="H712" s="121">
        <v>1618.3</v>
      </c>
      <c r="I712" s="66"/>
      <c r="J712" s="29"/>
      <c r="K712" s="80">
        <v>3.819188</v>
      </c>
      <c r="O712" s="48">
        <f t="shared" ref="O712:O775" si="112">LOG10(H712)</f>
        <v>3.2090590341287974</v>
      </c>
      <c r="R712" s="48">
        <f t="shared" ref="R712:R775" si="113">LOG10(K712)</f>
        <v>0.58197103709890419</v>
      </c>
      <c r="U712" s="48">
        <v>3.2090590341287974</v>
      </c>
      <c r="V712" s="54">
        <v>0.58197103709890419</v>
      </c>
      <c r="W712" s="49">
        <f t="shared" si="111"/>
        <v>2.3603153041375409</v>
      </c>
      <c r="X712" s="49"/>
      <c r="Y712" s="49"/>
      <c r="Z712" s="49"/>
      <c r="AQ712" s="29"/>
    </row>
    <row r="713" spans="1:43" s="28" customFormat="1" ht="12.75" customHeight="1">
      <c r="A713" s="64" t="s">
        <v>182</v>
      </c>
      <c r="B713" s="23" t="s">
        <v>183</v>
      </c>
      <c r="C713" s="77" t="s">
        <v>178</v>
      </c>
      <c r="D713" s="78">
        <v>1994</v>
      </c>
      <c r="E713" s="26">
        <v>12</v>
      </c>
      <c r="F713" s="66">
        <v>6</v>
      </c>
      <c r="G713" s="46">
        <f t="shared" si="110"/>
        <v>341.16999999999996</v>
      </c>
      <c r="H713" s="121">
        <v>809.15</v>
      </c>
      <c r="I713" s="66"/>
      <c r="J713" s="29"/>
      <c r="K713" s="80">
        <v>10.195290000000002</v>
      </c>
      <c r="O713" s="48">
        <f t="shared" si="112"/>
        <v>2.9080290384648162</v>
      </c>
      <c r="R713" s="48">
        <f t="shared" si="113"/>
        <v>1.0083995835823794</v>
      </c>
      <c r="U713" s="48">
        <v>2.9080290384648162</v>
      </c>
      <c r="V713" s="54">
        <v>1.0083995835823794</v>
      </c>
      <c r="W713" s="49">
        <f t="shared" si="111"/>
        <v>2.0437110026862095</v>
      </c>
      <c r="X713" s="49"/>
      <c r="Y713" s="49"/>
      <c r="Z713" s="49"/>
      <c r="AQ713" s="29"/>
    </row>
    <row r="714" spans="1:43" s="28" customFormat="1" ht="12.75" customHeight="1">
      <c r="A714" s="64" t="s">
        <v>182</v>
      </c>
      <c r="B714" s="23" t="s">
        <v>183</v>
      </c>
      <c r="C714" s="77" t="s">
        <v>178</v>
      </c>
      <c r="D714" s="78">
        <v>1994</v>
      </c>
      <c r="E714" s="26">
        <v>12</v>
      </c>
      <c r="F714" s="66">
        <v>6</v>
      </c>
      <c r="G714" s="46">
        <f t="shared" si="110"/>
        <v>341.16999999999996</v>
      </c>
      <c r="H714" s="121">
        <v>1780.13</v>
      </c>
      <c r="I714" s="66"/>
      <c r="J714" s="29"/>
      <c r="K714" s="80">
        <v>10.276205000000001</v>
      </c>
      <c r="O714" s="48">
        <f t="shared" si="112"/>
        <v>3.2504517192870228</v>
      </c>
      <c r="R714" s="48">
        <f t="shared" si="113"/>
        <v>1.0118327594207732</v>
      </c>
      <c r="U714" s="48">
        <v>3.2504517192870228</v>
      </c>
      <c r="V714" s="54">
        <v>1.0118327594207732</v>
      </c>
      <c r="W714" s="49">
        <f t="shared" si="111"/>
        <v>1.9378720797497662</v>
      </c>
      <c r="X714" s="49"/>
      <c r="Y714" s="49"/>
      <c r="Z714" s="49"/>
      <c r="AQ714" s="29"/>
    </row>
    <row r="715" spans="1:43" s="28" customFormat="1" ht="12.75" customHeight="1">
      <c r="A715" s="64" t="s">
        <v>182</v>
      </c>
      <c r="B715" s="23" t="s">
        <v>183</v>
      </c>
      <c r="C715" s="77" t="s">
        <v>178</v>
      </c>
      <c r="D715" s="78">
        <v>1994</v>
      </c>
      <c r="E715" s="26">
        <v>12</v>
      </c>
      <c r="F715" s="66">
        <v>6</v>
      </c>
      <c r="G715" s="46">
        <f t="shared" si="110"/>
        <v>341.16999999999996</v>
      </c>
      <c r="H715" s="121">
        <v>1132.81</v>
      </c>
      <c r="I715" s="66"/>
      <c r="J715" s="29"/>
      <c r="K715" s="80">
        <v>3.3013320000000004</v>
      </c>
      <c r="O715" s="48">
        <f t="shared" si="112"/>
        <v>3.0541570741430544</v>
      </c>
      <c r="R715" s="48">
        <f t="shared" si="113"/>
        <v>0.51868920155469633</v>
      </c>
      <c r="U715" s="48">
        <v>3.0541570741430544</v>
      </c>
      <c r="V715" s="54">
        <v>0.51868920155469633</v>
      </c>
      <c r="W715" s="49">
        <f t="shared" si="111"/>
        <v>2.4670767946671064</v>
      </c>
      <c r="X715" s="49"/>
      <c r="Y715" s="49"/>
      <c r="Z715" s="49"/>
      <c r="AQ715" s="29"/>
    </row>
    <row r="716" spans="1:43" s="28" customFormat="1" ht="12.75" customHeight="1">
      <c r="A716" s="64" t="s">
        <v>182</v>
      </c>
      <c r="B716" s="23" t="s">
        <v>183</v>
      </c>
      <c r="C716" s="77" t="s">
        <v>178</v>
      </c>
      <c r="D716" s="78">
        <v>1994</v>
      </c>
      <c r="E716" s="26">
        <v>12</v>
      </c>
      <c r="F716" s="66">
        <v>6</v>
      </c>
      <c r="G716" s="46">
        <f t="shared" si="110"/>
        <v>341.16999999999996</v>
      </c>
      <c r="H716" s="121">
        <v>2265.62</v>
      </c>
      <c r="I716" s="66"/>
      <c r="J716" s="29"/>
      <c r="K716" s="80">
        <v>15.907889000000001</v>
      </c>
      <c r="O716" s="48">
        <f t="shared" si="112"/>
        <v>3.3551870698070356</v>
      </c>
      <c r="R716" s="48">
        <f t="shared" si="113"/>
        <v>1.2016125519609333</v>
      </c>
      <c r="U716" s="48">
        <v>3.3551870698070356</v>
      </c>
      <c r="V716" s="54">
        <v>1.2016125519609333</v>
      </c>
      <c r="W716" s="49">
        <f t="shared" si="111"/>
        <v>1.7254703216753411</v>
      </c>
      <c r="X716" s="49"/>
      <c r="Y716" s="49"/>
      <c r="Z716" s="49"/>
      <c r="AQ716" s="29"/>
    </row>
    <row r="717" spans="1:43" s="28" customFormat="1" ht="12.75" customHeight="1">
      <c r="A717" s="64" t="s">
        <v>182</v>
      </c>
      <c r="B717" s="23" t="s">
        <v>183</v>
      </c>
      <c r="C717" s="77" t="s">
        <v>178</v>
      </c>
      <c r="D717" s="78">
        <v>1995</v>
      </c>
      <c r="E717" s="26">
        <v>3</v>
      </c>
      <c r="F717" s="66">
        <v>16</v>
      </c>
      <c r="G717" s="46">
        <f t="shared" si="110"/>
        <v>76.94</v>
      </c>
      <c r="H717" s="121">
        <v>485.49</v>
      </c>
      <c r="I717" s="66"/>
      <c r="J717" s="29"/>
      <c r="K717" s="80">
        <v>2.815842</v>
      </c>
      <c r="O717" s="48">
        <f t="shared" si="112"/>
        <v>2.6861802888484601</v>
      </c>
      <c r="R717" s="48">
        <f t="shared" si="113"/>
        <v>0.44960828241139728</v>
      </c>
      <c r="U717" s="48">
        <v>2.6861802888484601</v>
      </c>
      <c r="V717" s="54">
        <v>0.44960828241139728</v>
      </c>
      <c r="W717" s="49">
        <f t="shared" si="111"/>
        <v>2.6431911828625485</v>
      </c>
      <c r="X717" s="49"/>
      <c r="Y717" s="49"/>
      <c r="Z717" s="49"/>
      <c r="AQ717" s="29"/>
    </row>
    <row r="718" spans="1:43" s="28" customFormat="1" ht="12.75" customHeight="1">
      <c r="A718" s="64" t="s">
        <v>182</v>
      </c>
      <c r="B718" s="23" t="s">
        <v>183</v>
      </c>
      <c r="C718" s="77" t="s">
        <v>178</v>
      </c>
      <c r="D718" s="78">
        <v>1995</v>
      </c>
      <c r="E718" s="26">
        <v>3</v>
      </c>
      <c r="F718" s="66">
        <v>16</v>
      </c>
      <c r="G718" s="46">
        <f t="shared" si="110"/>
        <v>76.94</v>
      </c>
      <c r="H718" s="121">
        <v>323.66000000000003</v>
      </c>
      <c r="I718" s="66"/>
      <c r="J718" s="29"/>
      <c r="K718" s="80">
        <v>1.8286789999999999</v>
      </c>
      <c r="O718" s="48">
        <f t="shared" si="112"/>
        <v>2.5100890297927787</v>
      </c>
      <c r="R718" s="48">
        <f t="shared" si="113"/>
        <v>0.26213747761221728</v>
      </c>
      <c r="U718" s="48">
        <v>2.5100890297927787</v>
      </c>
      <c r="V718" s="54">
        <v>0.26213747761221728</v>
      </c>
      <c r="W718" s="49">
        <f t="shared" si="111"/>
        <v>2.8747632474926355</v>
      </c>
      <c r="X718" s="49"/>
      <c r="Y718" s="49"/>
      <c r="Z718" s="49"/>
      <c r="AQ718" s="29"/>
    </row>
    <row r="719" spans="1:43" s="28" customFormat="1" ht="12.75" customHeight="1">
      <c r="A719" s="64" t="s">
        <v>182</v>
      </c>
      <c r="B719" s="23" t="s">
        <v>183</v>
      </c>
      <c r="C719" s="77" t="s">
        <v>178</v>
      </c>
      <c r="D719" s="78">
        <v>1995</v>
      </c>
      <c r="E719" s="26">
        <v>3</v>
      </c>
      <c r="F719" s="66">
        <v>16</v>
      </c>
      <c r="G719" s="46">
        <f t="shared" si="110"/>
        <v>76.94</v>
      </c>
      <c r="H719" s="121">
        <v>1294.6400000000001</v>
      </c>
      <c r="I719" s="66"/>
      <c r="J719" s="29"/>
      <c r="K719" s="80">
        <v>5.5831350000000013</v>
      </c>
      <c r="O719" s="48">
        <f t="shared" si="112"/>
        <v>3.1121490211207412</v>
      </c>
      <c r="R719" s="48">
        <f t="shared" si="113"/>
        <v>0.74687812920207175</v>
      </c>
      <c r="U719" s="48">
        <v>3.1121490211207412</v>
      </c>
      <c r="V719" s="54">
        <v>0.74687812920207175</v>
      </c>
      <c r="W719" s="49">
        <f t="shared" si="111"/>
        <v>2.2320373618625617</v>
      </c>
      <c r="X719" s="49"/>
      <c r="Y719" s="49"/>
      <c r="Z719" s="49"/>
      <c r="AQ719" s="29"/>
    </row>
    <row r="720" spans="1:43" s="28" customFormat="1" ht="12.75" customHeight="1">
      <c r="A720" s="64" t="s">
        <v>182</v>
      </c>
      <c r="B720" s="23" t="s">
        <v>183</v>
      </c>
      <c r="C720" s="77" t="s">
        <v>178</v>
      </c>
      <c r="D720" s="78">
        <v>1995</v>
      </c>
      <c r="E720" s="26">
        <v>3</v>
      </c>
      <c r="F720" s="66">
        <v>16</v>
      </c>
      <c r="G720" s="46">
        <f t="shared" si="110"/>
        <v>76.94</v>
      </c>
      <c r="H720" s="121">
        <v>1132.81</v>
      </c>
      <c r="I720" s="66"/>
      <c r="J720" s="29"/>
      <c r="K720" s="80">
        <v>2.9129399999999999</v>
      </c>
      <c r="O720" s="48">
        <f t="shared" si="112"/>
        <v>3.0541570741430544</v>
      </c>
      <c r="R720" s="48">
        <f t="shared" si="113"/>
        <v>0.46433153923210363</v>
      </c>
      <c r="U720" s="48">
        <v>3.0541570741430544</v>
      </c>
      <c r="V720" s="54">
        <v>0.46433153923210363</v>
      </c>
      <c r="W720" s="49">
        <f t="shared" si="111"/>
        <v>2.5189285687566279</v>
      </c>
      <c r="X720" s="49"/>
      <c r="Y720" s="49"/>
      <c r="Z720" s="49"/>
      <c r="AQ720" s="29"/>
    </row>
    <row r="721" spans="1:43" s="28" customFormat="1" ht="12.75" customHeight="1">
      <c r="A721" s="64" t="s">
        <v>182</v>
      </c>
      <c r="B721" s="23" t="s">
        <v>183</v>
      </c>
      <c r="C721" s="77" t="s">
        <v>178</v>
      </c>
      <c r="D721" s="78">
        <v>1995</v>
      </c>
      <c r="E721" s="26">
        <v>6</v>
      </c>
      <c r="F721" s="66">
        <v>15</v>
      </c>
      <c r="G721" s="46">
        <f t="shared" si="110"/>
        <v>167.35</v>
      </c>
      <c r="H721" s="121">
        <v>323.66000000000003</v>
      </c>
      <c r="I721" s="66"/>
      <c r="J721" s="29"/>
      <c r="K721" s="80">
        <v>1.7153980000000002</v>
      </c>
      <c r="O721" s="48">
        <f t="shared" si="112"/>
        <v>2.5100890297927787</v>
      </c>
      <c r="R721" s="48">
        <f t="shared" si="113"/>
        <v>0.23436489939356786</v>
      </c>
      <c r="U721" s="48">
        <v>2.5100890297927787</v>
      </c>
      <c r="V721" s="54">
        <v>0.23436489939356786</v>
      </c>
      <c r="W721" s="49">
        <f t="shared" si="111"/>
        <v>2.9012555098554054</v>
      </c>
      <c r="X721" s="49"/>
      <c r="Y721" s="49"/>
      <c r="Z721" s="49"/>
      <c r="AQ721" s="29"/>
    </row>
    <row r="722" spans="1:43" s="28" customFormat="1" ht="12.75" customHeight="1">
      <c r="A722" s="64" t="s">
        <v>182</v>
      </c>
      <c r="B722" s="23" t="s">
        <v>183</v>
      </c>
      <c r="C722" s="77" t="s">
        <v>178</v>
      </c>
      <c r="D722" s="78">
        <v>1995</v>
      </c>
      <c r="E722" s="26">
        <v>6</v>
      </c>
      <c r="F722" s="66">
        <v>15</v>
      </c>
      <c r="G722" s="46">
        <f t="shared" si="110"/>
        <v>167.35</v>
      </c>
      <c r="H722" s="121">
        <v>323.66000000000003</v>
      </c>
      <c r="I722" s="66"/>
      <c r="J722" s="29"/>
      <c r="K722" s="80">
        <v>0.87388200000000016</v>
      </c>
      <c r="O722" s="48">
        <f t="shared" si="112"/>
        <v>2.5100890297927787</v>
      </c>
      <c r="R722" s="48">
        <f t="shared" si="113"/>
        <v>-5.8547206048233859E-2</v>
      </c>
      <c r="U722" s="48">
        <v>2.5100890297927787</v>
      </c>
      <c r="V722" s="54">
        <v>-5.8547206048233859E-2</v>
      </c>
      <c r="W722" s="49">
        <f t="shared" si="111"/>
        <v>3.1806643672363402</v>
      </c>
      <c r="X722" s="49"/>
      <c r="Y722" s="49"/>
      <c r="Z722" s="49"/>
      <c r="AQ722" s="29"/>
    </row>
    <row r="723" spans="1:43" s="28" customFormat="1" ht="12.75" customHeight="1">
      <c r="A723" s="64" t="s">
        <v>182</v>
      </c>
      <c r="B723" s="23" t="s">
        <v>183</v>
      </c>
      <c r="C723" s="77" t="s">
        <v>178</v>
      </c>
      <c r="D723" s="78">
        <v>1995</v>
      </c>
      <c r="E723" s="26">
        <v>6</v>
      </c>
      <c r="F723" s="66">
        <v>15</v>
      </c>
      <c r="G723" s="46">
        <f t="shared" si="110"/>
        <v>167.35</v>
      </c>
      <c r="H723" s="121">
        <v>485.49</v>
      </c>
      <c r="I723" s="66"/>
      <c r="J723" s="29"/>
      <c r="K723" s="80">
        <v>2.7834760000000003</v>
      </c>
      <c r="O723" s="48">
        <f t="shared" si="112"/>
        <v>2.6861802888484601</v>
      </c>
      <c r="R723" s="48">
        <f t="shared" si="113"/>
        <v>0.44458748103634654</v>
      </c>
      <c r="U723" s="48">
        <v>2.6861802888484601</v>
      </c>
      <c r="V723" s="54">
        <v>0.44458748103634654</v>
      </c>
      <c r="W723" s="49">
        <f t="shared" si="111"/>
        <v>2.6479805252942095</v>
      </c>
      <c r="X723" s="49"/>
      <c r="Y723" s="49"/>
      <c r="Z723" s="49"/>
      <c r="AQ723" s="29"/>
    </row>
    <row r="724" spans="1:43" s="28" customFormat="1" ht="12.75" customHeight="1">
      <c r="A724" s="64" t="s">
        <v>182</v>
      </c>
      <c r="B724" s="23" t="s">
        <v>183</v>
      </c>
      <c r="C724" s="77" t="s">
        <v>178</v>
      </c>
      <c r="D724" s="78">
        <v>1995</v>
      </c>
      <c r="E724" s="26">
        <v>6</v>
      </c>
      <c r="F724" s="66">
        <v>15</v>
      </c>
      <c r="G724" s="46">
        <f t="shared" si="110"/>
        <v>167.35</v>
      </c>
      <c r="H724" s="121">
        <v>485.49</v>
      </c>
      <c r="I724" s="66"/>
      <c r="J724" s="29"/>
      <c r="K724" s="80">
        <v>6.1657230000000007</v>
      </c>
      <c r="O724" s="48">
        <f t="shared" si="112"/>
        <v>2.6861802888484601</v>
      </c>
      <c r="R724" s="48">
        <f t="shared" si="113"/>
        <v>0.78998400980441685</v>
      </c>
      <c r="U724" s="48">
        <v>2.6861802888484601</v>
      </c>
      <c r="V724" s="54">
        <v>0.78998400980441685</v>
      </c>
      <c r="W724" s="49">
        <f t="shared" si="111"/>
        <v>2.318506776502347</v>
      </c>
      <c r="X724" s="49"/>
      <c r="Y724" s="49"/>
      <c r="Z724" s="49"/>
      <c r="AQ724" s="29"/>
    </row>
    <row r="725" spans="1:43" s="28" customFormat="1" ht="12.75" customHeight="1">
      <c r="A725" s="64" t="s">
        <v>182</v>
      </c>
      <c r="B725" s="23" t="s">
        <v>183</v>
      </c>
      <c r="C725" s="77" t="s">
        <v>178</v>
      </c>
      <c r="D725" s="78">
        <v>1995</v>
      </c>
      <c r="E725" s="26">
        <v>9</v>
      </c>
      <c r="F725" s="66">
        <v>7</v>
      </c>
      <c r="G725" s="46">
        <f t="shared" si="110"/>
        <v>250.76</v>
      </c>
      <c r="H725" s="121">
        <v>1618.3</v>
      </c>
      <c r="I725" s="66"/>
      <c r="J725" s="29"/>
      <c r="K725" s="80">
        <v>38.450808000000002</v>
      </c>
      <c r="O725" s="48">
        <f t="shared" si="112"/>
        <v>3.2090590341287974</v>
      </c>
      <c r="R725" s="48">
        <f t="shared" si="113"/>
        <v>1.5849054704379535</v>
      </c>
      <c r="U725" s="48">
        <v>3.2090590341287974</v>
      </c>
      <c r="V725" s="54">
        <v>1.5849054704379535</v>
      </c>
      <c r="W725" s="49">
        <f t="shared" si="111"/>
        <v>1.4036161481754217</v>
      </c>
      <c r="X725" s="49"/>
      <c r="Y725" s="49"/>
      <c r="Z725" s="49"/>
      <c r="AQ725" s="29"/>
    </row>
    <row r="726" spans="1:43" s="28" customFormat="1" ht="12.75" customHeight="1">
      <c r="A726" s="64" t="s">
        <v>182</v>
      </c>
      <c r="B726" s="23" t="s">
        <v>183</v>
      </c>
      <c r="C726" s="77" t="s">
        <v>178</v>
      </c>
      <c r="D726" s="78">
        <v>1995</v>
      </c>
      <c r="E726" s="26">
        <v>9</v>
      </c>
      <c r="F726" s="66">
        <v>7</v>
      </c>
      <c r="G726" s="46">
        <f t="shared" si="110"/>
        <v>250.76</v>
      </c>
      <c r="H726" s="121">
        <v>2265.62</v>
      </c>
      <c r="I726" s="66"/>
      <c r="J726" s="29"/>
      <c r="K726" s="80">
        <v>33.223699000000003</v>
      </c>
      <c r="O726" s="48">
        <f t="shared" si="112"/>
        <v>3.3551870698070356</v>
      </c>
      <c r="R726" s="48">
        <f t="shared" si="113"/>
        <v>1.5214479834993895</v>
      </c>
      <c r="U726" s="48">
        <v>3.3551870698070356</v>
      </c>
      <c r="V726" s="54">
        <v>1.5214479834993895</v>
      </c>
      <c r="W726" s="49">
        <f t="shared" si="111"/>
        <v>1.4203793035308079</v>
      </c>
      <c r="X726" s="49"/>
      <c r="Y726" s="49"/>
      <c r="Z726" s="49"/>
      <c r="AQ726" s="29"/>
    </row>
    <row r="727" spans="1:43" s="28" customFormat="1" ht="12.75" customHeight="1">
      <c r="A727" s="64" t="s">
        <v>182</v>
      </c>
      <c r="B727" s="23" t="s">
        <v>183</v>
      </c>
      <c r="C727" s="77" t="s">
        <v>178</v>
      </c>
      <c r="D727" s="78">
        <v>1995</v>
      </c>
      <c r="E727" s="26">
        <v>9</v>
      </c>
      <c r="F727" s="66">
        <v>7</v>
      </c>
      <c r="G727" s="46">
        <f t="shared" si="110"/>
        <v>250.76</v>
      </c>
      <c r="H727" s="121">
        <v>1294.6400000000001</v>
      </c>
      <c r="I727" s="66"/>
      <c r="J727" s="29"/>
      <c r="K727" s="80">
        <v>12.671289</v>
      </c>
      <c r="O727" s="48">
        <f t="shared" si="112"/>
        <v>3.1121490211207412</v>
      </c>
      <c r="R727" s="48">
        <f t="shared" si="113"/>
        <v>1.1028207961867409</v>
      </c>
      <c r="U727" s="48">
        <v>3.1121490211207412</v>
      </c>
      <c r="V727" s="54">
        <v>1.1028207961867409</v>
      </c>
      <c r="W727" s="49">
        <f t="shared" si="111"/>
        <v>1.892503651825886</v>
      </c>
      <c r="X727" s="49"/>
      <c r="Y727" s="49"/>
      <c r="Z727" s="49"/>
      <c r="AQ727" s="29"/>
    </row>
    <row r="728" spans="1:43" s="28" customFormat="1" ht="12.75" customHeight="1">
      <c r="A728" s="64" t="s">
        <v>182</v>
      </c>
      <c r="B728" s="23" t="s">
        <v>183</v>
      </c>
      <c r="C728" s="77" t="s">
        <v>179</v>
      </c>
      <c r="D728" s="78">
        <v>1991</v>
      </c>
      <c r="E728" s="26">
        <v>3</v>
      </c>
      <c r="F728" s="66">
        <v>27</v>
      </c>
      <c r="G728" s="46">
        <f t="shared" si="110"/>
        <v>87.94</v>
      </c>
      <c r="H728" s="121">
        <v>13431.89</v>
      </c>
      <c r="I728" s="66"/>
      <c r="J728" s="29"/>
      <c r="K728" s="80">
        <v>57.530565000000003</v>
      </c>
      <c r="O728" s="48">
        <f t="shared" si="112"/>
        <v>4.1281371265048712</v>
      </c>
      <c r="R728" s="48">
        <f t="shared" si="113"/>
        <v>1.7598986391945828</v>
      </c>
      <c r="U728" s="48">
        <v>4.1281371265048712</v>
      </c>
      <c r="V728" s="54">
        <v>1.7598986391945828</v>
      </c>
      <c r="W728" s="49">
        <f t="shared" si="111"/>
        <v>0.96140366651076692</v>
      </c>
      <c r="X728" s="49"/>
      <c r="Y728" s="49"/>
      <c r="Z728" s="49"/>
      <c r="AQ728" s="29"/>
    </row>
    <row r="729" spans="1:43" s="28" customFormat="1" ht="12.75" customHeight="1">
      <c r="A729" s="64" t="s">
        <v>182</v>
      </c>
      <c r="B729" s="23" t="s">
        <v>183</v>
      </c>
      <c r="C729" s="77" t="s">
        <v>179</v>
      </c>
      <c r="D729" s="78">
        <v>1991</v>
      </c>
      <c r="E729" s="26">
        <v>3</v>
      </c>
      <c r="F729" s="66">
        <v>27</v>
      </c>
      <c r="G729" s="46">
        <f t="shared" si="110"/>
        <v>87.94</v>
      </c>
      <c r="H729" s="121">
        <v>13108.23</v>
      </c>
      <c r="I729" s="66"/>
      <c r="J729" s="29"/>
      <c r="K729" s="80">
        <v>66.851973000000015</v>
      </c>
      <c r="O729" s="48">
        <f t="shared" si="112"/>
        <v>4.117544053007447</v>
      </c>
      <c r="R729" s="48">
        <f t="shared" si="113"/>
        <v>1.8251142291053837</v>
      </c>
      <c r="U729" s="48">
        <v>4.117544053007447</v>
      </c>
      <c r="V729" s="54">
        <v>1.8251142291053837</v>
      </c>
      <c r="W729" s="49">
        <f t="shared" si="111"/>
        <v>0.90236740139694038</v>
      </c>
      <c r="X729" s="49"/>
      <c r="Y729" s="49"/>
      <c r="Z729" s="49"/>
      <c r="AQ729" s="29"/>
    </row>
    <row r="730" spans="1:43" s="28" customFormat="1" ht="12.75" customHeight="1">
      <c r="A730" s="64" t="s">
        <v>182</v>
      </c>
      <c r="B730" s="23" t="s">
        <v>183</v>
      </c>
      <c r="C730" s="77" t="s">
        <v>179</v>
      </c>
      <c r="D730" s="78">
        <v>1991</v>
      </c>
      <c r="E730" s="26">
        <v>3</v>
      </c>
      <c r="F730" s="66">
        <v>27</v>
      </c>
      <c r="G730" s="46">
        <f t="shared" si="110"/>
        <v>87.94</v>
      </c>
      <c r="H730" s="121">
        <v>15373.85</v>
      </c>
      <c r="I730" s="66"/>
      <c r="J730" s="29"/>
      <c r="K730" s="80">
        <v>59.488708000000003</v>
      </c>
      <c r="O730" s="48">
        <f t="shared" si="112"/>
        <v>4.1867826394176451</v>
      </c>
      <c r="R730" s="48">
        <f t="shared" si="113"/>
        <v>1.7744345368428713</v>
      </c>
      <c r="U730" s="48">
        <v>4.1867826394176451</v>
      </c>
      <c r="V730" s="54">
        <v>1.7744345368428713</v>
      </c>
      <c r="W730" s="49">
        <f t="shared" si="111"/>
        <v>0.92997209994707075</v>
      </c>
      <c r="X730" s="49"/>
      <c r="Y730" s="49"/>
      <c r="Z730" s="49"/>
      <c r="AQ730" s="29"/>
    </row>
    <row r="731" spans="1:43" s="28" customFormat="1" ht="12.75" customHeight="1">
      <c r="A731" s="64" t="s">
        <v>182</v>
      </c>
      <c r="B731" s="23" t="s">
        <v>183</v>
      </c>
      <c r="C731" s="77" t="s">
        <v>179</v>
      </c>
      <c r="D731" s="78">
        <v>1991</v>
      </c>
      <c r="E731" s="26">
        <v>3</v>
      </c>
      <c r="F731" s="66">
        <v>27</v>
      </c>
      <c r="G731" s="46">
        <f t="shared" si="110"/>
        <v>87.94</v>
      </c>
      <c r="H731" s="121">
        <v>13108.23</v>
      </c>
      <c r="I731" s="66"/>
      <c r="J731" s="29"/>
      <c r="K731" s="80">
        <v>84.086867999999996</v>
      </c>
      <c r="O731" s="48">
        <f t="shared" si="112"/>
        <v>4.117544053007447</v>
      </c>
      <c r="R731" s="48">
        <f t="shared" si="113"/>
        <v>1.9247281765297879</v>
      </c>
      <c r="U731" s="48">
        <v>4.117544053007447</v>
      </c>
      <c r="V731" s="54">
        <v>1.9247281765297879</v>
      </c>
      <c r="W731" s="49">
        <f t="shared" si="111"/>
        <v>0.80734565694880123</v>
      </c>
      <c r="X731" s="49"/>
      <c r="Y731" s="49"/>
      <c r="Z731" s="49"/>
      <c r="AQ731" s="29"/>
    </row>
    <row r="732" spans="1:43" s="28" customFormat="1" ht="12.75" customHeight="1">
      <c r="A732" s="64" t="s">
        <v>182</v>
      </c>
      <c r="B732" s="23" t="s">
        <v>183</v>
      </c>
      <c r="C732" s="77" t="s">
        <v>179</v>
      </c>
      <c r="D732" s="78">
        <v>1991</v>
      </c>
      <c r="E732" s="26">
        <v>5</v>
      </c>
      <c r="F732" s="66">
        <v>15</v>
      </c>
      <c r="G732" s="46">
        <f t="shared" si="110"/>
        <v>136.88</v>
      </c>
      <c r="H732" s="121">
        <v>11004.44</v>
      </c>
      <c r="I732" s="66"/>
      <c r="J732" s="29"/>
      <c r="K732" s="80">
        <v>95.479700000000008</v>
      </c>
      <c r="O732" s="48">
        <f t="shared" si="112"/>
        <v>4.0415679468350341</v>
      </c>
      <c r="R732" s="48">
        <f t="shared" si="113"/>
        <v>1.9799110457709417</v>
      </c>
      <c r="U732" s="48">
        <v>4.0415679468350341</v>
      </c>
      <c r="V732" s="54">
        <v>1.9799110457709417</v>
      </c>
      <c r="W732" s="49">
        <f t="shared" si="111"/>
        <v>0.77746343079051372</v>
      </c>
      <c r="X732" s="49"/>
      <c r="Y732" s="49"/>
      <c r="Z732" s="49"/>
      <c r="AQ732" s="29"/>
    </row>
    <row r="733" spans="1:43" s="28" customFormat="1" ht="12.75" customHeight="1">
      <c r="A733" s="64" t="s">
        <v>182</v>
      </c>
      <c r="B733" s="23" t="s">
        <v>183</v>
      </c>
      <c r="C733" s="77" t="s">
        <v>179</v>
      </c>
      <c r="D733" s="78">
        <v>1991</v>
      </c>
      <c r="E733" s="26">
        <v>5</v>
      </c>
      <c r="F733" s="66">
        <v>15</v>
      </c>
      <c r="G733" s="46">
        <f t="shared" si="110"/>
        <v>136.88</v>
      </c>
      <c r="H733" s="121">
        <v>7767.84</v>
      </c>
      <c r="I733" s="66"/>
      <c r="J733" s="29"/>
      <c r="K733" s="80">
        <v>84.847469000000004</v>
      </c>
      <c r="O733" s="48">
        <f t="shared" si="112"/>
        <v>3.8903002715043846</v>
      </c>
      <c r="R733" s="48">
        <f t="shared" si="113"/>
        <v>1.9286388918425208</v>
      </c>
      <c r="U733" s="48">
        <v>3.8903002715043846</v>
      </c>
      <c r="V733" s="54">
        <v>1.9286388918425208</v>
      </c>
      <c r="W733" s="49">
        <f t="shared" si="111"/>
        <v>0.87168032836917742</v>
      </c>
      <c r="X733" s="49"/>
      <c r="Y733" s="49"/>
      <c r="Z733" s="49"/>
      <c r="AQ733" s="29"/>
    </row>
    <row r="734" spans="1:43" s="28" customFormat="1" ht="12.75" customHeight="1">
      <c r="A734" s="64" t="s">
        <v>182</v>
      </c>
      <c r="B734" s="23" t="s">
        <v>183</v>
      </c>
      <c r="C734" s="77" t="s">
        <v>179</v>
      </c>
      <c r="D734" s="78">
        <v>1991</v>
      </c>
      <c r="E734" s="26">
        <v>5</v>
      </c>
      <c r="F734" s="66">
        <v>15</v>
      </c>
      <c r="G734" s="46">
        <f t="shared" si="110"/>
        <v>136.88</v>
      </c>
      <c r="H734" s="121">
        <v>11975.42</v>
      </c>
      <c r="I734" s="66"/>
      <c r="J734" s="29"/>
      <c r="K734" s="80">
        <v>66.350300000000004</v>
      </c>
      <c r="O734" s="48">
        <f t="shared" si="112"/>
        <v>4.0782907538597737</v>
      </c>
      <c r="R734" s="48">
        <f t="shared" si="113"/>
        <v>1.8218428908485331</v>
      </c>
      <c r="U734" s="48">
        <v>4.0782907538597737</v>
      </c>
      <c r="V734" s="54">
        <v>1.8218428908485331</v>
      </c>
      <c r="W734" s="49">
        <f t="shared" si="111"/>
        <v>0.91724525968603721</v>
      </c>
      <c r="X734" s="49"/>
      <c r="Y734" s="49"/>
      <c r="Z734" s="49"/>
      <c r="AQ734" s="29"/>
    </row>
    <row r="735" spans="1:43" s="28" customFormat="1" ht="12.75" customHeight="1">
      <c r="A735" s="64" t="s">
        <v>182</v>
      </c>
      <c r="B735" s="23" t="s">
        <v>183</v>
      </c>
      <c r="C735" s="77" t="s">
        <v>179</v>
      </c>
      <c r="D735" s="78">
        <v>1991</v>
      </c>
      <c r="E735" s="26">
        <v>5</v>
      </c>
      <c r="F735" s="66">
        <v>15</v>
      </c>
      <c r="G735" s="46">
        <f t="shared" si="110"/>
        <v>136.88</v>
      </c>
      <c r="H735" s="121">
        <v>12784.57</v>
      </c>
      <c r="I735" s="66"/>
      <c r="J735" s="29"/>
      <c r="K735" s="80">
        <v>137.037644</v>
      </c>
      <c r="O735" s="48">
        <f t="shared" si="112"/>
        <v>4.1066861254192393</v>
      </c>
      <c r="R735" s="48">
        <f t="shared" si="113"/>
        <v>2.1368398834761719</v>
      </c>
      <c r="U735" s="48">
        <v>4.1066861254192393</v>
      </c>
      <c r="V735" s="54">
        <v>2.1368398834761719</v>
      </c>
      <c r="W735" s="49">
        <f t="shared" si="111"/>
        <v>0.60826451611033239</v>
      </c>
      <c r="X735" s="49"/>
      <c r="Y735" s="49"/>
      <c r="Z735" s="49"/>
      <c r="AQ735" s="29"/>
    </row>
    <row r="736" spans="1:43" s="28" customFormat="1" ht="12.75" customHeight="1">
      <c r="A736" s="64" t="s">
        <v>182</v>
      </c>
      <c r="B736" s="23" t="s">
        <v>183</v>
      </c>
      <c r="C736" s="77" t="s">
        <v>179</v>
      </c>
      <c r="D736" s="78">
        <v>1991</v>
      </c>
      <c r="E736" s="26">
        <v>7</v>
      </c>
      <c r="F736" s="66">
        <v>18</v>
      </c>
      <c r="G736" s="46">
        <f t="shared" si="110"/>
        <v>200.82</v>
      </c>
      <c r="H736" s="121">
        <v>5178.5600000000004</v>
      </c>
      <c r="I736" s="66"/>
      <c r="J736" s="29"/>
      <c r="K736" s="80">
        <v>129.28598700000001</v>
      </c>
      <c r="O736" s="48">
        <f t="shared" si="112"/>
        <v>3.7142090124487037</v>
      </c>
      <c r="R736" s="48">
        <f t="shared" si="113"/>
        <v>2.1115514552874011</v>
      </c>
      <c r="U736" s="48">
        <v>3.7142090124487037</v>
      </c>
      <c r="V736" s="54">
        <v>2.1115514552874011</v>
      </c>
      <c r="W736" s="49">
        <f t="shared" si="111"/>
        <v>0.74994369803125505</v>
      </c>
      <c r="X736" s="49"/>
      <c r="Y736" s="49"/>
      <c r="Z736" s="49"/>
      <c r="AQ736" s="29"/>
    </row>
    <row r="737" spans="1:43" s="28" customFormat="1" ht="12.75" customHeight="1">
      <c r="A737" s="64" t="s">
        <v>182</v>
      </c>
      <c r="B737" s="23" t="s">
        <v>183</v>
      </c>
      <c r="C737" s="77" t="s">
        <v>179</v>
      </c>
      <c r="D737" s="78">
        <v>1991</v>
      </c>
      <c r="E737" s="26">
        <v>7</v>
      </c>
      <c r="F737" s="66">
        <v>18</v>
      </c>
      <c r="G737" s="46">
        <f t="shared" si="110"/>
        <v>200.82</v>
      </c>
      <c r="H737" s="121">
        <v>6149.54</v>
      </c>
      <c r="I737" s="66"/>
      <c r="J737" s="29"/>
      <c r="K737" s="80">
        <v>110.25477900000001</v>
      </c>
      <c r="O737" s="48">
        <f t="shared" si="112"/>
        <v>3.7888426307456076</v>
      </c>
      <c r="R737" s="48">
        <f t="shared" si="113"/>
        <v>2.0423974230681954</v>
      </c>
      <c r="U737" s="48">
        <v>3.7888426307456076</v>
      </c>
      <c r="V737" s="54">
        <v>2.0423974230681954</v>
      </c>
      <c r="W737" s="49">
        <f t="shared" si="111"/>
        <v>0.79355512469822254</v>
      </c>
      <c r="X737" s="49"/>
      <c r="Y737" s="49"/>
      <c r="Z737" s="49"/>
      <c r="AQ737" s="29"/>
    </row>
    <row r="738" spans="1:43" s="28" customFormat="1" ht="12.75" customHeight="1">
      <c r="A738" s="64" t="s">
        <v>182</v>
      </c>
      <c r="B738" s="23" t="s">
        <v>183</v>
      </c>
      <c r="C738" s="77" t="s">
        <v>179</v>
      </c>
      <c r="D738" s="78">
        <v>1991</v>
      </c>
      <c r="E738" s="26">
        <v>7</v>
      </c>
      <c r="F738" s="66">
        <v>18</v>
      </c>
      <c r="G738" s="46">
        <f t="shared" si="110"/>
        <v>200.82</v>
      </c>
      <c r="H738" s="121">
        <v>8576.99</v>
      </c>
      <c r="I738" s="66"/>
      <c r="J738" s="29"/>
      <c r="K738" s="80">
        <v>147.75079000000002</v>
      </c>
      <c r="O738" s="48">
        <f t="shared" si="112"/>
        <v>3.9333349037295866</v>
      </c>
      <c r="R738" s="48">
        <f t="shared" si="113"/>
        <v>2.1695298116630966</v>
      </c>
      <c r="U738" s="48">
        <v>3.9333349037295866</v>
      </c>
      <c r="V738" s="54">
        <v>2.1695298116630966</v>
      </c>
      <c r="W738" s="49">
        <f t="shared" si="111"/>
        <v>0.62900454894892899</v>
      </c>
      <c r="X738" s="49"/>
      <c r="Y738" s="49"/>
      <c r="Z738" s="49"/>
      <c r="AQ738" s="29"/>
    </row>
    <row r="739" spans="1:43" s="28" customFormat="1" ht="12.75" customHeight="1">
      <c r="A739" s="64" t="s">
        <v>182</v>
      </c>
      <c r="B739" s="23" t="s">
        <v>183</v>
      </c>
      <c r="C739" s="77" t="s">
        <v>179</v>
      </c>
      <c r="D739" s="78">
        <v>1991</v>
      </c>
      <c r="E739" s="26">
        <v>7</v>
      </c>
      <c r="F739" s="66">
        <v>18</v>
      </c>
      <c r="G739" s="46">
        <f t="shared" si="110"/>
        <v>200.82</v>
      </c>
      <c r="H739" s="121">
        <v>5664.05</v>
      </c>
      <c r="I739" s="66"/>
      <c r="J739" s="29"/>
      <c r="K739" s="80">
        <v>125.87137400000002</v>
      </c>
      <c r="O739" s="48">
        <f t="shared" si="112"/>
        <v>3.7531270784790731</v>
      </c>
      <c r="R739" s="48">
        <f t="shared" si="113"/>
        <v>2.0999269729402386</v>
      </c>
      <c r="U739" s="48">
        <v>3.7531270784790731</v>
      </c>
      <c r="V739" s="54">
        <v>2.0999269729402386</v>
      </c>
      <c r="W739" s="49">
        <f t="shared" si="111"/>
        <v>0.74937537358169348</v>
      </c>
      <c r="X739" s="49"/>
      <c r="Y739" s="49"/>
      <c r="Z739" s="49"/>
      <c r="AQ739" s="29"/>
    </row>
    <row r="740" spans="1:43" s="28" customFormat="1" ht="12.75" customHeight="1">
      <c r="A740" s="64" t="s">
        <v>182</v>
      </c>
      <c r="B740" s="23" t="s">
        <v>183</v>
      </c>
      <c r="C740" s="77" t="s">
        <v>179</v>
      </c>
      <c r="D740" s="78">
        <v>1991</v>
      </c>
      <c r="E740" s="26">
        <v>9</v>
      </c>
      <c r="F740" s="66">
        <v>25</v>
      </c>
      <c r="G740" s="46">
        <f t="shared" si="110"/>
        <v>268.76</v>
      </c>
      <c r="H740" s="121">
        <v>13270.06</v>
      </c>
      <c r="I740" s="66"/>
      <c r="J740" s="29"/>
      <c r="K740" s="80">
        <v>65.524967000000004</v>
      </c>
      <c r="O740" s="48">
        <f t="shared" si="112"/>
        <v>4.1228728865125142</v>
      </c>
      <c r="R740" s="48">
        <f t="shared" si="113"/>
        <v>1.8164068108972109</v>
      </c>
      <c r="U740" s="48">
        <v>4.1228728865125142</v>
      </c>
      <c r="V740" s="54">
        <v>1.8164068108972109</v>
      </c>
      <c r="W740" s="49">
        <f t="shared" si="111"/>
        <v>0.90907729090164424</v>
      </c>
      <c r="X740" s="49"/>
      <c r="Y740" s="49"/>
      <c r="Z740" s="49"/>
      <c r="AQ740" s="29"/>
    </row>
    <row r="741" spans="1:43" s="28" customFormat="1" ht="12.75" customHeight="1">
      <c r="A741" s="64" t="s">
        <v>182</v>
      </c>
      <c r="B741" s="23" t="s">
        <v>183</v>
      </c>
      <c r="C741" s="77" t="s">
        <v>179</v>
      </c>
      <c r="D741" s="78">
        <v>1991</v>
      </c>
      <c r="E741" s="26">
        <v>9</v>
      </c>
      <c r="F741" s="66">
        <v>25</v>
      </c>
      <c r="G741" s="46">
        <f t="shared" si="110"/>
        <v>268.76</v>
      </c>
      <c r="H741" s="121">
        <v>11328.1</v>
      </c>
      <c r="I741" s="66"/>
      <c r="J741" s="29"/>
      <c r="K741" s="80">
        <v>115.10967900000001</v>
      </c>
      <c r="O741" s="48">
        <f t="shared" si="112"/>
        <v>4.0541570741430544</v>
      </c>
      <c r="R741" s="48">
        <f t="shared" si="113"/>
        <v>2.0611118428266484</v>
      </c>
      <c r="U741" s="48">
        <v>4.0541570741430544</v>
      </c>
      <c r="V741" s="54">
        <v>2.0611118428266484</v>
      </c>
      <c r="W741" s="49">
        <f t="shared" si="111"/>
        <v>0.69623523715779134</v>
      </c>
      <c r="X741" s="49"/>
      <c r="Y741" s="49"/>
      <c r="Z741" s="49"/>
      <c r="AQ741" s="29"/>
    </row>
    <row r="742" spans="1:43" s="28" customFormat="1" ht="12.75" customHeight="1">
      <c r="A742" s="64" t="s">
        <v>182</v>
      </c>
      <c r="B742" s="23" t="s">
        <v>183</v>
      </c>
      <c r="C742" s="77" t="s">
        <v>179</v>
      </c>
      <c r="D742" s="78">
        <v>1991</v>
      </c>
      <c r="E742" s="26">
        <v>9</v>
      </c>
      <c r="F742" s="66">
        <v>25</v>
      </c>
      <c r="G742" s="46">
        <f t="shared" si="110"/>
        <v>268.76</v>
      </c>
      <c r="H742" s="121">
        <v>10518.95</v>
      </c>
      <c r="I742" s="66"/>
      <c r="J742" s="29"/>
      <c r="K742" s="80">
        <v>106.192846</v>
      </c>
      <c r="O742" s="48">
        <f t="shared" si="112"/>
        <v>4.0219723907716531</v>
      </c>
      <c r="R742" s="48">
        <f t="shared" si="113"/>
        <v>2.0260952601788262</v>
      </c>
      <c r="U742" s="48">
        <v>4.0219723907716531</v>
      </c>
      <c r="V742" s="54">
        <v>2.0260952601788262</v>
      </c>
      <c r="W742" s="49">
        <f t="shared" si="111"/>
        <v>0.73927765975849435</v>
      </c>
      <c r="X742" s="49"/>
      <c r="Y742" s="49"/>
      <c r="Z742" s="49"/>
      <c r="AQ742" s="29"/>
    </row>
    <row r="743" spans="1:43" s="28" customFormat="1" ht="12.75" customHeight="1">
      <c r="A743" s="64" t="s">
        <v>182</v>
      </c>
      <c r="B743" s="23" t="s">
        <v>183</v>
      </c>
      <c r="C743" s="77" t="s">
        <v>179</v>
      </c>
      <c r="D743" s="78">
        <v>1991</v>
      </c>
      <c r="E743" s="26">
        <v>9</v>
      </c>
      <c r="F743" s="66">
        <v>25</v>
      </c>
      <c r="G743" s="46">
        <f t="shared" si="110"/>
        <v>268.76</v>
      </c>
      <c r="H743" s="121">
        <v>14079.21</v>
      </c>
      <c r="I743" s="66"/>
      <c r="J743" s="29"/>
      <c r="K743" s="80">
        <v>123.68666900000001</v>
      </c>
      <c r="O743" s="48">
        <f t="shared" si="112"/>
        <v>4.1485782867474157</v>
      </c>
      <c r="R743" s="48">
        <f t="shared" si="113"/>
        <v>2.0923228937137717</v>
      </c>
      <c r="U743" s="48">
        <v>4.1485782867474157</v>
      </c>
      <c r="V743" s="54">
        <v>2.0923228937137717</v>
      </c>
      <c r="W743" s="49">
        <f t="shared" si="111"/>
        <v>0.63818153977972814</v>
      </c>
      <c r="X743" s="49"/>
      <c r="Y743" s="49"/>
      <c r="Z743" s="49"/>
      <c r="AQ743" s="29"/>
    </row>
    <row r="744" spans="1:43" s="28" customFormat="1" ht="12.75" customHeight="1">
      <c r="A744" s="64" t="s">
        <v>182</v>
      </c>
      <c r="B744" s="23" t="s">
        <v>183</v>
      </c>
      <c r="C744" s="77" t="s">
        <v>179</v>
      </c>
      <c r="D744" s="78">
        <v>1991</v>
      </c>
      <c r="E744" s="26">
        <v>11</v>
      </c>
      <c r="F744" s="66">
        <v>20</v>
      </c>
      <c r="G744" s="46">
        <f t="shared" si="110"/>
        <v>324.7</v>
      </c>
      <c r="H744" s="121">
        <v>5016.7299999999996</v>
      </c>
      <c r="I744" s="66"/>
      <c r="J744" s="29"/>
      <c r="K744" s="80">
        <v>32.819124000000002</v>
      </c>
      <c r="O744" s="48">
        <f t="shared" si="112"/>
        <v>3.7004207279630701</v>
      </c>
      <c r="R744" s="48">
        <f t="shared" si="113"/>
        <v>1.516126984790096</v>
      </c>
      <c r="U744" s="48">
        <v>3.7004207279630701</v>
      </c>
      <c r="V744" s="54">
        <v>1.516126984790096</v>
      </c>
      <c r="W744" s="49">
        <f t="shared" si="111"/>
        <v>1.3220490308338801</v>
      </c>
      <c r="X744" s="49"/>
      <c r="Y744" s="49"/>
      <c r="Z744" s="49"/>
      <c r="AQ744" s="29"/>
    </row>
    <row r="745" spans="1:43" s="28" customFormat="1" ht="12.75" customHeight="1">
      <c r="A745" s="64" t="s">
        <v>182</v>
      </c>
      <c r="B745" s="23" t="s">
        <v>183</v>
      </c>
      <c r="C745" s="77" t="s">
        <v>179</v>
      </c>
      <c r="D745" s="78">
        <v>1991</v>
      </c>
      <c r="E745" s="26">
        <v>11</v>
      </c>
      <c r="F745" s="66">
        <v>20</v>
      </c>
      <c r="G745" s="46">
        <f t="shared" si="110"/>
        <v>324.7</v>
      </c>
      <c r="H745" s="121">
        <v>10357.120000000001</v>
      </c>
      <c r="I745" s="66"/>
      <c r="J745" s="29"/>
      <c r="K745" s="80">
        <v>38.725919000000005</v>
      </c>
      <c r="O745" s="48">
        <f t="shared" si="112"/>
        <v>4.015239008112685</v>
      </c>
      <c r="R745" s="48">
        <f t="shared" si="113"/>
        <v>1.5880017327422349</v>
      </c>
      <c r="U745" s="48">
        <v>4.015239008112685</v>
      </c>
      <c r="V745" s="54">
        <v>1.5880017327422349</v>
      </c>
      <c r="W745" s="49">
        <f t="shared" si="111"/>
        <v>1.1591918893278332</v>
      </c>
      <c r="X745" s="49"/>
      <c r="Y745" s="49"/>
      <c r="Z745" s="49"/>
      <c r="AQ745" s="29"/>
    </row>
    <row r="746" spans="1:43" s="28" customFormat="1" ht="12.75" customHeight="1">
      <c r="A746" s="64" t="s">
        <v>182</v>
      </c>
      <c r="B746" s="23" t="s">
        <v>183</v>
      </c>
      <c r="C746" s="77" t="s">
        <v>179</v>
      </c>
      <c r="D746" s="78">
        <v>1991</v>
      </c>
      <c r="E746" s="26">
        <v>11</v>
      </c>
      <c r="F746" s="66">
        <v>20</v>
      </c>
      <c r="G746" s="46">
        <f t="shared" si="110"/>
        <v>324.7</v>
      </c>
      <c r="H746" s="121">
        <v>7444.18</v>
      </c>
      <c r="I746" s="66"/>
      <c r="J746" s="29"/>
      <c r="K746" s="80">
        <v>22.704749000000003</v>
      </c>
      <c r="O746" s="48">
        <f t="shared" si="112"/>
        <v>3.8718168658103718</v>
      </c>
      <c r="R746" s="48">
        <f t="shared" si="113"/>
        <v>1.3561167051571574</v>
      </c>
      <c r="U746" s="48">
        <v>3.8718168658103718</v>
      </c>
      <c r="V746" s="54">
        <v>1.3561167051571574</v>
      </c>
      <c r="W746" s="49">
        <f t="shared" si="111"/>
        <v>1.4233454769454821</v>
      </c>
      <c r="X746" s="49"/>
      <c r="Y746" s="49"/>
      <c r="Z746" s="49"/>
      <c r="AQ746" s="29"/>
    </row>
    <row r="747" spans="1:43" s="28" customFormat="1" ht="12.75" customHeight="1">
      <c r="A747" s="64" t="s">
        <v>182</v>
      </c>
      <c r="B747" s="23" t="s">
        <v>183</v>
      </c>
      <c r="C747" s="77" t="s">
        <v>179</v>
      </c>
      <c r="D747" s="78">
        <v>1991</v>
      </c>
      <c r="E747" s="26">
        <v>11</v>
      </c>
      <c r="F747" s="66">
        <v>20</v>
      </c>
      <c r="G747" s="46">
        <f t="shared" si="110"/>
        <v>324.7</v>
      </c>
      <c r="H747" s="121">
        <v>6149.54</v>
      </c>
      <c r="I747" s="66"/>
      <c r="J747" s="29"/>
      <c r="K747" s="80">
        <v>16.733222000000001</v>
      </c>
      <c r="O747" s="48">
        <f t="shared" si="112"/>
        <v>3.7888426307456076</v>
      </c>
      <c r="R747" s="48">
        <f t="shared" si="113"/>
        <v>1.2235795728867214</v>
      </c>
      <c r="U747" s="48">
        <v>3.7888426307456076</v>
      </c>
      <c r="V747" s="54">
        <v>1.2235795728867214</v>
      </c>
      <c r="W747" s="49">
        <f t="shared" si="111"/>
        <v>1.5746254719863306</v>
      </c>
      <c r="X747" s="49"/>
      <c r="Y747" s="49"/>
      <c r="Z747" s="49"/>
      <c r="AQ747" s="29"/>
    </row>
    <row r="748" spans="1:43" s="28" customFormat="1" ht="12.75" customHeight="1">
      <c r="A748" s="64" t="s">
        <v>182</v>
      </c>
      <c r="B748" s="23" t="s">
        <v>183</v>
      </c>
      <c r="C748" s="77" t="s">
        <v>179</v>
      </c>
      <c r="D748" s="78">
        <v>1992</v>
      </c>
      <c r="E748" s="26">
        <v>1</v>
      </c>
      <c r="F748" s="66">
        <v>21</v>
      </c>
      <c r="G748" s="46">
        <f t="shared" si="110"/>
        <v>21</v>
      </c>
      <c r="H748" s="121">
        <v>4854.8999999999996</v>
      </c>
      <c r="I748" s="66"/>
      <c r="J748" s="29"/>
      <c r="K748" s="80">
        <v>17.477640000000001</v>
      </c>
      <c r="O748" s="48">
        <f t="shared" si="112"/>
        <v>3.6861802888484601</v>
      </c>
      <c r="R748" s="48">
        <f t="shared" si="113"/>
        <v>1.2424827896157473</v>
      </c>
      <c r="U748" s="48">
        <v>3.6861802888484601</v>
      </c>
      <c r="V748" s="54">
        <v>1.2424827896157473</v>
      </c>
      <c r="W748" s="49">
        <f t="shared" si="111"/>
        <v>1.587343590440319</v>
      </c>
      <c r="X748" s="49"/>
      <c r="Y748" s="49"/>
      <c r="Z748" s="49"/>
      <c r="AQ748" s="29"/>
    </row>
    <row r="749" spans="1:43" s="28" customFormat="1" ht="12.75" customHeight="1">
      <c r="A749" s="64" t="s">
        <v>182</v>
      </c>
      <c r="B749" s="23" t="s">
        <v>183</v>
      </c>
      <c r="C749" s="77" t="s">
        <v>179</v>
      </c>
      <c r="D749" s="78">
        <v>1992</v>
      </c>
      <c r="E749" s="26">
        <v>1</v>
      </c>
      <c r="F749" s="66">
        <v>21</v>
      </c>
      <c r="G749" s="46">
        <f t="shared" si="110"/>
        <v>21</v>
      </c>
      <c r="H749" s="121">
        <v>6635.03</v>
      </c>
      <c r="I749" s="66"/>
      <c r="J749" s="29"/>
      <c r="K749" s="80">
        <v>31.799595000000004</v>
      </c>
      <c r="O749" s="48">
        <f t="shared" si="112"/>
        <v>3.8218428908485329</v>
      </c>
      <c r="R749" s="48">
        <f t="shared" si="113"/>
        <v>1.502421588840243</v>
      </c>
      <c r="U749" s="48">
        <v>3.8218428908485329</v>
      </c>
      <c r="V749" s="54">
        <v>1.502421588840243</v>
      </c>
      <c r="W749" s="49">
        <f t="shared" si="111"/>
        <v>1.2987536832610418</v>
      </c>
      <c r="X749" s="49"/>
      <c r="Y749" s="49"/>
      <c r="Z749" s="49"/>
      <c r="AQ749" s="29"/>
    </row>
    <row r="750" spans="1:43" s="28" customFormat="1" ht="12.75" customHeight="1">
      <c r="A750" s="64" t="s">
        <v>182</v>
      </c>
      <c r="B750" s="23" t="s">
        <v>183</v>
      </c>
      <c r="C750" s="77" t="s">
        <v>179</v>
      </c>
      <c r="D750" s="78">
        <v>1992</v>
      </c>
      <c r="E750" s="26">
        <v>1</v>
      </c>
      <c r="F750" s="66">
        <v>21</v>
      </c>
      <c r="G750" s="46">
        <f t="shared" si="110"/>
        <v>21</v>
      </c>
      <c r="H750" s="121">
        <v>4045.75</v>
      </c>
      <c r="I750" s="66"/>
      <c r="J750" s="29"/>
      <c r="K750" s="80">
        <v>20.552410000000002</v>
      </c>
      <c r="O750" s="48">
        <f t="shared" si="112"/>
        <v>3.6069990428008354</v>
      </c>
      <c r="R750" s="48">
        <f t="shared" si="113"/>
        <v>1.3128627550847545</v>
      </c>
      <c r="U750" s="48">
        <v>3.6069990428008354</v>
      </c>
      <c r="V750" s="54">
        <v>1.3128627550847545</v>
      </c>
      <c r="W750" s="49">
        <f t="shared" si="111"/>
        <v>1.5439248724293495</v>
      </c>
      <c r="X750" s="49"/>
      <c r="Y750" s="49"/>
      <c r="Z750" s="49"/>
      <c r="AQ750" s="29"/>
    </row>
    <row r="751" spans="1:43" s="28" customFormat="1" ht="12.75" customHeight="1">
      <c r="A751" s="64" t="s">
        <v>182</v>
      </c>
      <c r="B751" s="23" t="s">
        <v>183</v>
      </c>
      <c r="C751" s="77" t="s">
        <v>179</v>
      </c>
      <c r="D751" s="78">
        <v>1992</v>
      </c>
      <c r="E751" s="26">
        <v>1</v>
      </c>
      <c r="F751" s="66">
        <v>21</v>
      </c>
      <c r="G751" s="46">
        <f t="shared" si="110"/>
        <v>21</v>
      </c>
      <c r="H751" s="121">
        <v>5987.71</v>
      </c>
      <c r="I751" s="66"/>
      <c r="J751" s="29"/>
      <c r="K751" s="80">
        <v>19.953639000000003</v>
      </c>
      <c r="O751" s="48">
        <f t="shared" si="112"/>
        <v>3.7772607581957924</v>
      </c>
      <c r="R751" s="48">
        <f t="shared" si="113"/>
        <v>1.3000221107245293</v>
      </c>
      <c r="U751" s="48">
        <v>3.7772607581957924</v>
      </c>
      <c r="V751" s="54">
        <v>1.3000221107245293</v>
      </c>
      <c r="W751" s="49">
        <f t="shared" si="111"/>
        <v>1.5051759908855797</v>
      </c>
      <c r="X751" s="49"/>
      <c r="Y751" s="49"/>
      <c r="Z751" s="49"/>
      <c r="AQ751" s="29"/>
    </row>
    <row r="752" spans="1:43" s="28" customFormat="1" ht="12.75" customHeight="1">
      <c r="A752" s="64" t="s">
        <v>182</v>
      </c>
      <c r="B752" s="23" t="s">
        <v>183</v>
      </c>
      <c r="C752" s="77" t="s">
        <v>179</v>
      </c>
      <c r="D752" s="78">
        <v>1992</v>
      </c>
      <c r="E752" s="26">
        <v>3</v>
      </c>
      <c r="F752" s="66">
        <v>26</v>
      </c>
      <c r="G752" s="46">
        <f t="shared" si="110"/>
        <v>86.94</v>
      </c>
      <c r="H752" s="121">
        <v>13593.72</v>
      </c>
      <c r="I752" s="66"/>
      <c r="J752" s="29"/>
      <c r="K752" s="80">
        <v>39.017213000000005</v>
      </c>
      <c r="O752" s="48">
        <f t="shared" si="112"/>
        <v>4.1333383201906795</v>
      </c>
      <c r="R752" s="48">
        <f t="shared" si="113"/>
        <v>1.5912562445062512</v>
      </c>
      <c r="U752" s="48">
        <v>4.1333383201906795</v>
      </c>
      <c r="V752" s="54">
        <v>1.5912562445062512</v>
      </c>
      <c r="W752" s="49">
        <f t="shared" si="111"/>
        <v>1.1207137613457017</v>
      </c>
      <c r="X752" s="49"/>
      <c r="Y752" s="49"/>
      <c r="Z752" s="49"/>
      <c r="AQ752" s="29"/>
    </row>
    <row r="753" spans="1:43" s="28" customFormat="1" ht="12.75" customHeight="1">
      <c r="A753" s="64" t="s">
        <v>182</v>
      </c>
      <c r="B753" s="23" t="s">
        <v>183</v>
      </c>
      <c r="C753" s="77" t="s">
        <v>179</v>
      </c>
      <c r="D753" s="78">
        <v>1992</v>
      </c>
      <c r="E753" s="26">
        <v>3</v>
      </c>
      <c r="F753" s="66">
        <v>26</v>
      </c>
      <c r="G753" s="46">
        <f t="shared" si="110"/>
        <v>86.94</v>
      </c>
      <c r="H753" s="121">
        <v>16992.150000000001</v>
      </c>
      <c r="I753" s="66"/>
      <c r="J753" s="29"/>
      <c r="K753" s="80">
        <v>39.227592000000001</v>
      </c>
      <c r="O753" s="48">
        <f t="shared" si="112"/>
        <v>4.2302483331987357</v>
      </c>
      <c r="R753" s="48">
        <f t="shared" si="113"/>
        <v>1.5935916496230462</v>
      </c>
      <c r="U753" s="48">
        <v>4.2302483331987357</v>
      </c>
      <c r="V753" s="54">
        <v>1.5935916496230462</v>
      </c>
      <c r="W753" s="49">
        <f t="shared" si="111"/>
        <v>1.0894590855225585</v>
      </c>
      <c r="X753" s="49"/>
      <c r="Y753" s="49"/>
      <c r="Z753" s="49"/>
      <c r="AQ753" s="29"/>
    </row>
    <row r="754" spans="1:43" s="28" customFormat="1" ht="12.75" customHeight="1">
      <c r="A754" s="64" t="s">
        <v>182</v>
      </c>
      <c r="B754" s="23" t="s">
        <v>183</v>
      </c>
      <c r="C754" s="77" t="s">
        <v>179</v>
      </c>
      <c r="D754" s="78">
        <v>1992</v>
      </c>
      <c r="E754" s="26">
        <v>3</v>
      </c>
      <c r="F754" s="66">
        <v>26</v>
      </c>
      <c r="G754" s="46">
        <f t="shared" si="110"/>
        <v>86.94</v>
      </c>
      <c r="H754" s="121">
        <v>10357.120000000001</v>
      </c>
      <c r="I754" s="66"/>
      <c r="J754" s="29"/>
      <c r="K754" s="80">
        <v>30.650602000000003</v>
      </c>
      <c r="O754" s="48">
        <f t="shared" si="112"/>
        <v>4.015239008112685</v>
      </c>
      <c r="R754" s="48">
        <f t="shared" si="113"/>
        <v>1.4864390087960522</v>
      </c>
      <c r="U754" s="48">
        <v>4.015239008112685</v>
      </c>
      <c r="V754" s="54">
        <v>1.4864390087960522</v>
      </c>
      <c r="W754" s="49">
        <f t="shared" si="111"/>
        <v>1.2560725717000969</v>
      </c>
      <c r="X754" s="49"/>
      <c r="Y754" s="49"/>
      <c r="Z754" s="49"/>
      <c r="AQ754" s="29"/>
    </row>
    <row r="755" spans="1:43" s="28" customFormat="1" ht="12.75" customHeight="1">
      <c r="A755" s="64" t="s">
        <v>182</v>
      </c>
      <c r="B755" s="23" t="s">
        <v>183</v>
      </c>
      <c r="C755" s="77" t="s">
        <v>179</v>
      </c>
      <c r="D755" s="78">
        <v>1992</v>
      </c>
      <c r="E755" s="26">
        <v>3</v>
      </c>
      <c r="F755" s="66">
        <v>26</v>
      </c>
      <c r="G755" s="46">
        <f t="shared" si="110"/>
        <v>86.94</v>
      </c>
      <c r="H755" s="121">
        <v>15050.19</v>
      </c>
      <c r="I755" s="66"/>
      <c r="J755" s="29"/>
      <c r="K755" s="80">
        <v>58.744289999999999</v>
      </c>
      <c r="O755" s="48">
        <f t="shared" si="112"/>
        <v>4.1775419826827322</v>
      </c>
      <c r="R755" s="48">
        <f t="shared" si="113"/>
        <v>1.7689656591649101</v>
      </c>
      <c r="U755" s="48">
        <v>4.1775419826827322</v>
      </c>
      <c r="V755" s="54">
        <v>1.7689656591649101</v>
      </c>
      <c r="W755" s="49">
        <f t="shared" si="111"/>
        <v>0.93795666637633968</v>
      </c>
      <c r="X755" s="49"/>
      <c r="Y755" s="49"/>
      <c r="Z755" s="49"/>
      <c r="AQ755" s="29"/>
    </row>
    <row r="756" spans="1:43" s="28" customFormat="1" ht="12.75" customHeight="1">
      <c r="A756" s="64" t="s">
        <v>182</v>
      </c>
      <c r="B756" s="23" t="s">
        <v>183</v>
      </c>
      <c r="C756" s="77" t="s">
        <v>179</v>
      </c>
      <c r="D756" s="78">
        <v>1992</v>
      </c>
      <c r="E756" s="26">
        <v>5</v>
      </c>
      <c r="F756" s="66">
        <v>29</v>
      </c>
      <c r="G756" s="46">
        <f t="shared" si="110"/>
        <v>150.88</v>
      </c>
      <c r="H756" s="121">
        <v>16344.83</v>
      </c>
      <c r="I756" s="66"/>
      <c r="J756" s="29"/>
      <c r="K756" s="80">
        <v>111.6627</v>
      </c>
      <c r="O756" s="48">
        <f t="shared" si="112"/>
        <v>4.2133804079114405</v>
      </c>
      <c r="R756" s="48">
        <f t="shared" si="113"/>
        <v>2.0479081248660527</v>
      </c>
      <c r="U756" s="48">
        <v>4.2133804079114405</v>
      </c>
      <c r="V756" s="54">
        <v>2.0479081248660527</v>
      </c>
      <c r="W756" s="49">
        <f t="shared" si="111"/>
        <v>0.66113895836276115</v>
      </c>
      <c r="X756" s="49"/>
      <c r="Y756" s="49"/>
      <c r="Z756" s="49"/>
      <c r="AQ756" s="29"/>
    </row>
    <row r="757" spans="1:43" s="28" customFormat="1" ht="12.75" customHeight="1">
      <c r="A757" s="64" t="s">
        <v>182</v>
      </c>
      <c r="B757" s="23" t="s">
        <v>183</v>
      </c>
      <c r="C757" s="77" t="s">
        <v>179</v>
      </c>
      <c r="D757" s="78">
        <v>1992</v>
      </c>
      <c r="E757" s="26">
        <v>5</v>
      </c>
      <c r="F757" s="66">
        <v>29</v>
      </c>
      <c r="G757" s="46">
        <f t="shared" si="110"/>
        <v>150.88</v>
      </c>
      <c r="H757" s="121">
        <v>15535.68</v>
      </c>
      <c r="I757" s="66"/>
      <c r="J757" s="29"/>
      <c r="K757" s="80">
        <v>114.68892100000001</v>
      </c>
      <c r="O757" s="48">
        <f t="shared" si="112"/>
        <v>4.1913302671683663</v>
      </c>
      <c r="R757" s="48">
        <f t="shared" si="113"/>
        <v>2.0595214668903141</v>
      </c>
      <c r="U757" s="48">
        <v>4.1913302671683663</v>
      </c>
      <c r="V757" s="54">
        <v>2.0595214668903141</v>
      </c>
      <c r="W757" s="49">
        <f t="shared" si="111"/>
        <v>0.6566655509918311</v>
      </c>
      <c r="X757" s="49"/>
      <c r="Y757" s="49"/>
      <c r="Z757" s="49"/>
      <c r="AQ757" s="29"/>
    </row>
    <row r="758" spans="1:43" s="28" customFormat="1" ht="12.75" customHeight="1">
      <c r="A758" s="64" t="s">
        <v>182</v>
      </c>
      <c r="B758" s="23" t="s">
        <v>183</v>
      </c>
      <c r="C758" s="77" t="s">
        <v>179</v>
      </c>
      <c r="D758" s="78">
        <v>1992</v>
      </c>
      <c r="E758" s="26">
        <v>5</v>
      </c>
      <c r="F758" s="66">
        <v>29</v>
      </c>
      <c r="G758" s="46">
        <f t="shared" si="110"/>
        <v>150.88</v>
      </c>
      <c r="H758" s="121">
        <v>16183</v>
      </c>
      <c r="I758" s="66"/>
      <c r="J758" s="29"/>
      <c r="K758" s="80">
        <v>129.609647</v>
      </c>
      <c r="O758" s="48">
        <f t="shared" si="112"/>
        <v>4.2090590341287974</v>
      </c>
      <c r="R758" s="48">
        <f t="shared" si="113"/>
        <v>2.1126373277918518</v>
      </c>
      <c r="U758" s="48">
        <v>4.2090590341287974</v>
      </c>
      <c r="V758" s="54">
        <v>2.1126373277918518</v>
      </c>
      <c r="W758" s="49">
        <f t="shared" si="111"/>
        <v>0.60068812944553818</v>
      </c>
      <c r="X758" s="49"/>
      <c r="Y758" s="49"/>
      <c r="Z758" s="49"/>
      <c r="AQ758" s="29"/>
    </row>
    <row r="759" spans="1:43" s="28" customFormat="1" ht="12.75" customHeight="1">
      <c r="A759" s="64" t="s">
        <v>182</v>
      </c>
      <c r="B759" s="23" t="s">
        <v>183</v>
      </c>
      <c r="C759" s="77" t="s">
        <v>179</v>
      </c>
      <c r="D759" s="78">
        <v>1992</v>
      </c>
      <c r="E759" s="26">
        <v>5</v>
      </c>
      <c r="F759" s="66">
        <v>29</v>
      </c>
      <c r="G759" s="46">
        <f t="shared" si="110"/>
        <v>150.88</v>
      </c>
      <c r="H759" s="121">
        <v>7444.18</v>
      </c>
      <c r="I759" s="66"/>
      <c r="J759" s="29"/>
      <c r="K759" s="80">
        <v>41.477029000000002</v>
      </c>
      <c r="O759" s="48">
        <f t="shared" si="112"/>
        <v>3.8718168658103718</v>
      </c>
      <c r="R759" s="48">
        <f t="shared" si="113"/>
        <v>1.6178076403130417</v>
      </c>
      <c r="U759" s="48">
        <v>3.8718168658103718</v>
      </c>
      <c r="V759" s="54">
        <v>1.6178076403130417</v>
      </c>
      <c r="W759" s="49">
        <f t="shared" si="111"/>
        <v>1.173718493900284</v>
      </c>
      <c r="X759" s="49"/>
      <c r="Y759" s="49"/>
      <c r="Z759" s="49"/>
      <c r="AQ759" s="29"/>
    </row>
    <row r="760" spans="1:43" s="28" customFormat="1" ht="12.75" customHeight="1">
      <c r="A760" s="64" t="s">
        <v>182</v>
      </c>
      <c r="B760" s="23" t="s">
        <v>183</v>
      </c>
      <c r="C760" s="77" t="s">
        <v>179</v>
      </c>
      <c r="D760" s="78">
        <v>1992</v>
      </c>
      <c r="E760" s="26">
        <v>7</v>
      </c>
      <c r="F760" s="66">
        <v>16</v>
      </c>
      <c r="G760" s="46">
        <f t="shared" si="110"/>
        <v>198.82</v>
      </c>
      <c r="H760" s="121">
        <v>24436.33</v>
      </c>
      <c r="I760" s="66"/>
      <c r="J760" s="29"/>
      <c r="K760" s="80">
        <v>230.51065200000002</v>
      </c>
      <c r="O760" s="48">
        <f t="shared" si="112"/>
        <v>4.3880359814219672</v>
      </c>
      <c r="R760" s="48">
        <f t="shared" si="113"/>
        <v>2.3626909991310137</v>
      </c>
      <c r="U760" s="48">
        <v>4.3880359814219672</v>
      </c>
      <c r="V760" s="54">
        <v>2.3626909991310137</v>
      </c>
      <c r="W760" s="49">
        <f t="shared" si="111"/>
        <v>0.30855393380790402</v>
      </c>
      <c r="X760" s="49"/>
      <c r="Y760" s="49"/>
      <c r="Z760" s="49"/>
      <c r="AQ760" s="29"/>
    </row>
    <row r="761" spans="1:43" s="28" customFormat="1" ht="12.75" customHeight="1">
      <c r="A761" s="64" t="s">
        <v>182</v>
      </c>
      <c r="B761" s="23" t="s">
        <v>183</v>
      </c>
      <c r="C761" s="77" t="s">
        <v>179</v>
      </c>
      <c r="D761" s="78">
        <v>1992</v>
      </c>
      <c r="E761" s="26">
        <v>7</v>
      </c>
      <c r="F761" s="66">
        <v>16</v>
      </c>
      <c r="G761" s="46">
        <f t="shared" si="110"/>
        <v>198.82</v>
      </c>
      <c r="H761" s="121">
        <v>13431.89</v>
      </c>
      <c r="I761" s="66"/>
      <c r="J761" s="29"/>
      <c r="K761" s="80">
        <v>103.991958</v>
      </c>
      <c r="O761" s="48">
        <f t="shared" si="112"/>
        <v>4.1281371265048712</v>
      </c>
      <c r="R761" s="48">
        <f t="shared" si="113"/>
        <v>2.0169997553442967</v>
      </c>
      <c r="U761" s="48">
        <v>4.1281371265048712</v>
      </c>
      <c r="V761" s="54">
        <v>2.0169997553442967</v>
      </c>
      <c r="W761" s="49">
        <f t="shared" si="111"/>
        <v>0.7161549118155548</v>
      </c>
      <c r="X761" s="49"/>
      <c r="Y761" s="49"/>
      <c r="Z761" s="49"/>
      <c r="AQ761" s="29"/>
    </row>
    <row r="762" spans="1:43" s="28" customFormat="1" ht="12.75" customHeight="1">
      <c r="A762" s="64" t="s">
        <v>182</v>
      </c>
      <c r="B762" s="23" t="s">
        <v>183</v>
      </c>
      <c r="C762" s="77" t="s">
        <v>179</v>
      </c>
      <c r="D762" s="78">
        <v>1992</v>
      </c>
      <c r="E762" s="26">
        <v>7</v>
      </c>
      <c r="F762" s="66">
        <v>16</v>
      </c>
      <c r="G762" s="46">
        <f t="shared" si="110"/>
        <v>198.82</v>
      </c>
      <c r="H762" s="121">
        <v>19419.599999999999</v>
      </c>
      <c r="I762" s="66"/>
      <c r="J762" s="29"/>
      <c r="K762" s="80">
        <v>177.09056900000002</v>
      </c>
      <c r="O762" s="48">
        <f t="shared" si="112"/>
        <v>4.2882402801764226</v>
      </c>
      <c r="R762" s="48">
        <f t="shared" si="113"/>
        <v>2.2481954333508929</v>
      </c>
      <c r="U762" s="48">
        <v>4.2882402801764226</v>
      </c>
      <c r="V762" s="54">
        <v>2.2481954333508929</v>
      </c>
      <c r="W762" s="49">
        <f t="shared" si="111"/>
        <v>0.44766252150285241</v>
      </c>
      <c r="X762" s="49"/>
      <c r="Y762" s="49"/>
      <c r="Z762" s="49"/>
      <c r="AQ762" s="29"/>
    </row>
    <row r="763" spans="1:43" s="28" customFormat="1" ht="12.75" customHeight="1">
      <c r="A763" s="64" t="s">
        <v>182</v>
      </c>
      <c r="B763" s="23" t="s">
        <v>183</v>
      </c>
      <c r="C763" s="77" t="s">
        <v>179</v>
      </c>
      <c r="D763" s="78">
        <v>1992</v>
      </c>
      <c r="E763" s="26">
        <v>7</v>
      </c>
      <c r="F763" s="66">
        <v>16</v>
      </c>
      <c r="G763" s="46">
        <f t="shared" ref="G763:G826" si="114">30.47*(E763-1)+F763</f>
        <v>198.82</v>
      </c>
      <c r="H763" s="121">
        <v>17963.13</v>
      </c>
      <c r="I763" s="66"/>
      <c r="J763" s="29"/>
      <c r="K763" s="80">
        <v>163.22173800000002</v>
      </c>
      <c r="O763" s="48">
        <f t="shared" si="112"/>
        <v>4.254382012915455</v>
      </c>
      <c r="R763" s="48">
        <f t="shared" si="113"/>
        <v>2.2127779979519122</v>
      </c>
      <c r="U763" s="48">
        <v>4.254382012915455</v>
      </c>
      <c r="V763" s="54">
        <v>2.2127779979519122</v>
      </c>
      <c r="W763" s="49">
        <f t="shared" ref="W763:W826" si="115">0.9539*(4.064-0.314*U763-V763)</f>
        <v>0.49158859708797453</v>
      </c>
      <c r="X763" s="49"/>
      <c r="Y763" s="49"/>
      <c r="Z763" s="49"/>
      <c r="AQ763" s="29"/>
    </row>
    <row r="764" spans="1:43" s="28" customFormat="1" ht="12.75" customHeight="1">
      <c r="A764" s="64" t="s">
        <v>182</v>
      </c>
      <c r="B764" s="23" t="s">
        <v>183</v>
      </c>
      <c r="C764" s="77" t="s">
        <v>179</v>
      </c>
      <c r="D764" s="78">
        <v>1992</v>
      </c>
      <c r="E764" s="26">
        <v>8</v>
      </c>
      <c r="F764" s="66">
        <v>21</v>
      </c>
      <c r="G764" s="46">
        <f t="shared" si="114"/>
        <v>234.29</v>
      </c>
      <c r="H764" s="121">
        <v>16183</v>
      </c>
      <c r="I764" s="66"/>
      <c r="J764" s="29"/>
      <c r="K764" s="80">
        <v>239.03909300000004</v>
      </c>
      <c r="O764" s="48">
        <f t="shared" si="112"/>
        <v>4.2090590341287974</v>
      </c>
      <c r="R764" s="48">
        <f t="shared" si="113"/>
        <v>2.3784689322694983</v>
      </c>
      <c r="U764" s="48">
        <v>4.2090590341287974</v>
      </c>
      <c r="V764" s="54">
        <v>2.3784689322694983</v>
      </c>
      <c r="W764" s="49">
        <f t="shared" si="115"/>
        <v>0.34711136193431119</v>
      </c>
      <c r="X764" s="49"/>
      <c r="Y764" s="49"/>
      <c r="Z764" s="49"/>
      <c r="AQ764" s="29"/>
    </row>
    <row r="765" spans="1:43" s="28" customFormat="1" ht="12.75" customHeight="1">
      <c r="A765" s="64" t="s">
        <v>182</v>
      </c>
      <c r="B765" s="23" t="s">
        <v>183</v>
      </c>
      <c r="C765" s="77" t="s">
        <v>179</v>
      </c>
      <c r="D765" s="78">
        <v>1992</v>
      </c>
      <c r="E765" s="26">
        <v>8</v>
      </c>
      <c r="F765" s="66">
        <v>21</v>
      </c>
      <c r="G765" s="46">
        <f t="shared" si="114"/>
        <v>234.29</v>
      </c>
      <c r="H765" s="121">
        <v>12299.08</v>
      </c>
      <c r="I765" s="66"/>
      <c r="J765" s="29"/>
      <c r="K765" s="80">
        <v>86.514318000000003</v>
      </c>
      <c r="O765" s="48">
        <f t="shared" si="112"/>
        <v>4.0898726264095888</v>
      </c>
      <c r="R765" s="48">
        <f t="shared" si="113"/>
        <v>1.937087988549316</v>
      </c>
      <c r="U765" s="48">
        <v>4.0898726264095888</v>
      </c>
      <c r="V765" s="54">
        <v>1.937087988549316</v>
      </c>
      <c r="W765" s="49">
        <f t="shared" si="115"/>
        <v>0.80384390524652582</v>
      </c>
      <c r="X765" s="49"/>
      <c r="Y765" s="49"/>
      <c r="Z765" s="49"/>
      <c r="AQ765" s="29"/>
    </row>
    <row r="766" spans="1:43" s="28" customFormat="1" ht="12.75" customHeight="1">
      <c r="A766" s="64" t="s">
        <v>182</v>
      </c>
      <c r="B766" s="23" t="s">
        <v>183</v>
      </c>
      <c r="C766" s="77" t="s">
        <v>179</v>
      </c>
      <c r="D766" s="78">
        <v>1992</v>
      </c>
      <c r="E766" s="26">
        <v>8</v>
      </c>
      <c r="F766" s="66">
        <v>21</v>
      </c>
      <c r="G766" s="46">
        <f t="shared" si="114"/>
        <v>234.29</v>
      </c>
      <c r="H766" s="121">
        <v>9224.31</v>
      </c>
      <c r="I766" s="66"/>
      <c r="J766" s="29"/>
      <c r="K766" s="80">
        <v>81.707967000000011</v>
      </c>
      <c r="O766" s="48">
        <f t="shared" si="112"/>
        <v>3.9649338898012889</v>
      </c>
      <c r="R766" s="48">
        <f t="shared" si="113"/>
        <v>1.9122644048242838</v>
      </c>
      <c r="U766" s="48">
        <v>3.9649338898012889</v>
      </c>
      <c r="V766" s="54">
        <v>1.9122644048242838</v>
      </c>
      <c r="W766" s="49">
        <f t="shared" si="115"/>
        <v>0.86494534686894076</v>
      </c>
      <c r="X766" s="49"/>
      <c r="Y766" s="49"/>
      <c r="Z766" s="49"/>
      <c r="AQ766" s="29"/>
    </row>
    <row r="767" spans="1:43" s="28" customFormat="1" ht="12.75" customHeight="1">
      <c r="A767" s="64" t="s">
        <v>182</v>
      </c>
      <c r="B767" s="23" t="s">
        <v>183</v>
      </c>
      <c r="C767" s="77" t="s">
        <v>179</v>
      </c>
      <c r="D767" s="78">
        <v>1992</v>
      </c>
      <c r="E767" s="26">
        <v>8</v>
      </c>
      <c r="F767" s="66">
        <v>21</v>
      </c>
      <c r="G767" s="46">
        <f t="shared" si="114"/>
        <v>234.29</v>
      </c>
      <c r="H767" s="121">
        <v>14241.04</v>
      </c>
      <c r="I767" s="66"/>
      <c r="J767" s="29"/>
      <c r="K767" s="80">
        <v>120.85464400000001</v>
      </c>
      <c r="O767" s="48">
        <f t="shared" si="112"/>
        <v>4.1535417062789666</v>
      </c>
      <c r="R767" s="48">
        <f t="shared" si="113"/>
        <v>2.0822633434058382</v>
      </c>
      <c r="U767" s="48">
        <v>4.1535417062789666</v>
      </c>
      <c r="V767" s="54">
        <v>2.0822633434058382</v>
      </c>
      <c r="W767" s="49">
        <f t="shared" si="115"/>
        <v>0.64629067856864586</v>
      </c>
      <c r="X767" s="49"/>
      <c r="Y767" s="49"/>
      <c r="Z767" s="49"/>
      <c r="AQ767" s="29"/>
    </row>
    <row r="768" spans="1:43" s="28" customFormat="1" ht="12.75" customHeight="1">
      <c r="A768" s="64" t="s">
        <v>182</v>
      </c>
      <c r="B768" s="23" t="s">
        <v>183</v>
      </c>
      <c r="C768" s="77" t="s">
        <v>179</v>
      </c>
      <c r="D768" s="78">
        <v>1992</v>
      </c>
      <c r="E768" s="26">
        <v>10</v>
      </c>
      <c r="F768" s="66">
        <v>14</v>
      </c>
      <c r="G768" s="46">
        <f t="shared" si="114"/>
        <v>288.23</v>
      </c>
      <c r="H768" s="121">
        <v>12946.4</v>
      </c>
      <c r="I768" s="66"/>
      <c r="J768" s="29"/>
      <c r="K768" s="80">
        <v>90.026029000000008</v>
      </c>
      <c r="O768" s="48">
        <f t="shared" si="112"/>
        <v>4.1121490211207412</v>
      </c>
      <c r="R768" s="48">
        <f t="shared" si="113"/>
        <v>1.9543680940696255</v>
      </c>
      <c r="U768" s="48">
        <v>4.1121490211207412</v>
      </c>
      <c r="V768" s="54">
        <v>1.9543680940696255</v>
      </c>
      <c r="W768" s="49">
        <f t="shared" si="115"/>
        <v>0.78068808437540238</v>
      </c>
      <c r="X768" s="49"/>
      <c r="Y768" s="49"/>
      <c r="Z768" s="49"/>
      <c r="AQ768" s="29"/>
    </row>
    <row r="769" spans="1:43" s="28" customFormat="1" ht="12.75" customHeight="1">
      <c r="A769" s="64" t="s">
        <v>182</v>
      </c>
      <c r="B769" s="23" t="s">
        <v>183</v>
      </c>
      <c r="C769" s="77" t="s">
        <v>179</v>
      </c>
      <c r="D769" s="78">
        <v>1992</v>
      </c>
      <c r="E769" s="26">
        <v>10</v>
      </c>
      <c r="F769" s="66">
        <v>14</v>
      </c>
      <c r="G769" s="46">
        <f t="shared" si="114"/>
        <v>288.23</v>
      </c>
      <c r="H769" s="121">
        <v>14564.7</v>
      </c>
      <c r="I769" s="66"/>
      <c r="J769" s="29"/>
      <c r="K769" s="80">
        <v>95.819542999999996</v>
      </c>
      <c r="O769" s="48">
        <f t="shared" si="112"/>
        <v>4.1633015435681227</v>
      </c>
      <c r="R769" s="48">
        <f t="shared" si="113"/>
        <v>1.9814540952107977</v>
      </c>
      <c r="U769" s="48">
        <v>4.1633015435681227</v>
      </c>
      <c r="V769" s="54">
        <v>1.9814540952107977</v>
      </c>
      <c r="W769" s="49">
        <f t="shared" si="115"/>
        <v>0.73952930906179559</v>
      </c>
      <c r="X769" s="49"/>
      <c r="Y769" s="49"/>
      <c r="Z769" s="49"/>
      <c r="AQ769" s="29"/>
    </row>
    <row r="770" spans="1:43" s="28" customFormat="1" ht="12.75" customHeight="1">
      <c r="A770" s="64" t="s">
        <v>182</v>
      </c>
      <c r="B770" s="23" t="s">
        <v>183</v>
      </c>
      <c r="C770" s="77" t="s">
        <v>179</v>
      </c>
      <c r="D770" s="78">
        <v>1992</v>
      </c>
      <c r="E770" s="26">
        <v>10</v>
      </c>
      <c r="F770" s="66">
        <v>14</v>
      </c>
      <c r="G770" s="46">
        <f t="shared" si="114"/>
        <v>288.23</v>
      </c>
      <c r="H770" s="121">
        <v>12137.25</v>
      </c>
      <c r="I770" s="66"/>
      <c r="J770" s="29"/>
      <c r="K770" s="80">
        <v>117.55331200000002</v>
      </c>
      <c r="O770" s="48">
        <f t="shared" si="112"/>
        <v>4.0841202975204975</v>
      </c>
      <c r="R770" s="48">
        <f t="shared" si="113"/>
        <v>2.0702348696418262</v>
      </c>
      <c r="U770" s="48">
        <v>4.0841202975204975</v>
      </c>
      <c r="V770" s="54">
        <v>2.0702348696418262</v>
      </c>
      <c r="W770" s="49">
        <f t="shared" si="115"/>
        <v>0.6785580593819539</v>
      </c>
      <c r="X770" s="49"/>
      <c r="Y770" s="49"/>
      <c r="Z770" s="49"/>
      <c r="AQ770" s="29"/>
    </row>
    <row r="771" spans="1:43" s="28" customFormat="1" ht="12.75" customHeight="1">
      <c r="A771" s="64" t="s">
        <v>182</v>
      </c>
      <c r="B771" s="23" t="s">
        <v>183</v>
      </c>
      <c r="C771" s="77" t="s">
        <v>179</v>
      </c>
      <c r="D771" s="78">
        <v>1992</v>
      </c>
      <c r="E771" s="26">
        <v>10</v>
      </c>
      <c r="F771" s="66">
        <v>14</v>
      </c>
      <c r="G771" s="46">
        <f t="shared" si="114"/>
        <v>288.23</v>
      </c>
      <c r="H771" s="121">
        <v>8576.99</v>
      </c>
      <c r="I771" s="66"/>
      <c r="J771" s="29"/>
      <c r="K771" s="80">
        <v>55.993180000000002</v>
      </c>
      <c r="O771" s="48">
        <f t="shared" si="112"/>
        <v>3.9333349037295866</v>
      </c>
      <c r="R771" s="48">
        <f t="shared" si="113"/>
        <v>1.7481351329215742</v>
      </c>
      <c r="U771" s="48">
        <v>3.9333349037295866</v>
      </c>
      <c r="V771" s="54">
        <v>1.7481351329215742</v>
      </c>
      <c r="W771" s="49">
        <f t="shared" si="115"/>
        <v>1.0309729330004671</v>
      </c>
      <c r="X771" s="49"/>
      <c r="Y771" s="49"/>
      <c r="Z771" s="49"/>
      <c r="AQ771" s="29"/>
    </row>
    <row r="772" spans="1:43" s="28" customFormat="1" ht="12.75" customHeight="1">
      <c r="A772" s="64" t="s">
        <v>182</v>
      </c>
      <c r="B772" s="23" t="s">
        <v>183</v>
      </c>
      <c r="C772" s="77" t="s">
        <v>179</v>
      </c>
      <c r="D772" s="78">
        <v>1992</v>
      </c>
      <c r="E772" s="26">
        <v>12</v>
      </c>
      <c r="F772" s="66">
        <v>7</v>
      </c>
      <c r="G772" s="46">
        <f t="shared" si="114"/>
        <v>342.16999999999996</v>
      </c>
      <c r="H772" s="121">
        <v>13108.23</v>
      </c>
      <c r="I772" s="66"/>
      <c r="J772" s="29"/>
      <c r="K772" s="80">
        <v>80.623705999999999</v>
      </c>
      <c r="O772" s="48">
        <f t="shared" si="112"/>
        <v>4.117544053007447</v>
      </c>
      <c r="R772" s="48">
        <f t="shared" si="113"/>
        <v>1.9064627573292852</v>
      </c>
      <c r="U772" s="48">
        <v>4.117544053007447</v>
      </c>
      <c r="V772" s="54">
        <v>1.9064627573292852</v>
      </c>
      <c r="W772" s="49">
        <f t="shared" si="115"/>
        <v>0.82476904032416076</v>
      </c>
      <c r="X772" s="49"/>
      <c r="Y772" s="49"/>
      <c r="Z772" s="49"/>
      <c r="AQ772" s="29"/>
    </row>
    <row r="773" spans="1:43" s="28" customFormat="1" ht="12.75" customHeight="1">
      <c r="A773" s="64" t="s">
        <v>182</v>
      </c>
      <c r="B773" s="23" t="s">
        <v>183</v>
      </c>
      <c r="C773" s="77" t="s">
        <v>179</v>
      </c>
      <c r="D773" s="78">
        <v>1992</v>
      </c>
      <c r="E773" s="26">
        <v>12</v>
      </c>
      <c r="F773" s="66">
        <v>7</v>
      </c>
      <c r="G773" s="46">
        <f t="shared" si="114"/>
        <v>342.16999999999996</v>
      </c>
      <c r="H773" s="121">
        <v>12784.57</v>
      </c>
      <c r="I773" s="66"/>
      <c r="J773" s="29"/>
      <c r="K773" s="80">
        <v>54.132135000000005</v>
      </c>
      <c r="O773" s="48">
        <f t="shared" si="112"/>
        <v>4.1066861254192393</v>
      </c>
      <c r="R773" s="48">
        <f t="shared" si="113"/>
        <v>1.7334551562326395</v>
      </c>
      <c r="U773" s="48">
        <v>4.1066861254192393</v>
      </c>
      <c r="V773" s="54">
        <v>1.7334551562326395</v>
      </c>
      <c r="W773" s="49">
        <f t="shared" si="115"/>
        <v>0.99305320742793801</v>
      </c>
      <c r="X773" s="49"/>
      <c r="Y773" s="49"/>
      <c r="Z773" s="49"/>
      <c r="AQ773" s="29"/>
    </row>
    <row r="774" spans="1:43" s="28" customFormat="1" ht="12.75" customHeight="1">
      <c r="A774" s="64" t="s">
        <v>182</v>
      </c>
      <c r="B774" s="23" t="s">
        <v>183</v>
      </c>
      <c r="C774" s="77" t="s">
        <v>179</v>
      </c>
      <c r="D774" s="78">
        <v>1992</v>
      </c>
      <c r="E774" s="26">
        <v>12</v>
      </c>
      <c r="F774" s="66">
        <v>7</v>
      </c>
      <c r="G774" s="46">
        <f t="shared" si="114"/>
        <v>342.16999999999996</v>
      </c>
      <c r="H774" s="121">
        <v>12137.25</v>
      </c>
      <c r="I774" s="66"/>
      <c r="J774" s="29"/>
      <c r="K774" s="80">
        <v>74.490349000000009</v>
      </c>
      <c r="O774" s="48">
        <f t="shared" si="112"/>
        <v>4.0841202975204975</v>
      </c>
      <c r="R774" s="48">
        <f t="shared" si="113"/>
        <v>1.8721000090227717</v>
      </c>
      <c r="U774" s="48">
        <v>4.0841202975204975</v>
      </c>
      <c r="V774" s="54">
        <v>1.8721000090227717</v>
      </c>
      <c r="W774" s="49">
        <f t="shared" si="115"/>
        <v>0.86755890292646998</v>
      </c>
      <c r="X774" s="49"/>
      <c r="Y774" s="49"/>
      <c r="Z774" s="49"/>
      <c r="AQ774" s="29"/>
    </row>
    <row r="775" spans="1:43" s="28" customFormat="1" ht="12.75" customHeight="1">
      <c r="A775" s="64" t="s">
        <v>182</v>
      </c>
      <c r="B775" s="23" t="s">
        <v>183</v>
      </c>
      <c r="C775" s="77" t="s">
        <v>179</v>
      </c>
      <c r="D775" s="78">
        <v>1992</v>
      </c>
      <c r="E775" s="26">
        <v>12</v>
      </c>
      <c r="F775" s="66">
        <v>7</v>
      </c>
      <c r="G775" s="46">
        <f t="shared" si="114"/>
        <v>342.16999999999996</v>
      </c>
      <c r="H775" s="121">
        <v>12622.74</v>
      </c>
      <c r="I775" s="66"/>
      <c r="J775" s="29"/>
      <c r="K775" s="80">
        <v>83.310084000000018</v>
      </c>
      <c r="O775" s="48">
        <f t="shared" si="112"/>
        <v>4.1011536368192782</v>
      </c>
      <c r="R775" s="48">
        <f t="shared" si="113"/>
        <v>1.9206975723611468</v>
      </c>
      <c r="U775" s="48">
        <v>4.1011536368192782</v>
      </c>
      <c r="V775" s="54">
        <v>1.9206975723611468</v>
      </c>
      <c r="W775" s="49">
        <f t="shared" si="115"/>
        <v>0.81609978311786235</v>
      </c>
      <c r="X775" s="49"/>
      <c r="Y775" s="49"/>
      <c r="Z775" s="49"/>
      <c r="AQ775" s="29"/>
    </row>
    <row r="776" spans="1:43" s="28" customFormat="1" ht="12.75" customHeight="1">
      <c r="A776" s="64" t="s">
        <v>182</v>
      </c>
      <c r="B776" s="23" t="s">
        <v>183</v>
      </c>
      <c r="C776" s="77" t="s">
        <v>179</v>
      </c>
      <c r="D776" s="78">
        <v>1993</v>
      </c>
      <c r="E776" s="26">
        <v>2</v>
      </c>
      <c r="F776" s="66">
        <v>16</v>
      </c>
      <c r="G776" s="46">
        <f t="shared" si="114"/>
        <v>46.47</v>
      </c>
      <c r="H776" s="121">
        <v>4207.58</v>
      </c>
      <c r="I776" s="66"/>
      <c r="J776" s="29"/>
      <c r="K776" s="80">
        <v>27.381636</v>
      </c>
      <c r="O776" s="48">
        <f t="shared" ref="O776:O839" si="116">LOG10(H776)</f>
        <v>3.6240323820996156</v>
      </c>
      <c r="R776" s="48">
        <f t="shared" ref="R776:R839" si="117">LOG10(K776)</f>
        <v>1.4374593928318022</v>
      </c>
      <c r="U776" s="48">
        <v>3.6240323820996156</v>
      </c>
      <c r="V776" s="54">
        <v>1.4374593928318022</v>
      </c>
      <c r="W776" s="49">
        <f t="shared" si="115"/>
        <v>1.4199702355423094</v>
      </c>
      <c r="X776" s="49"/>
      <c r="Y776" s="49"/>
      <c r="Z776" s="49"/>
      <c r="AQ776" s="29"/>
    </row>
    <row r="777" spans="1:43" s="28" customFormat="1" ht="12.75" customHeight="1">
      <c r="A777" s="64" t="s">
        <v>182</v>
      </c>
      <c r="B777" s="23" t="s">
        <v>183</v>
      </c>
      <c r="C777" s="77" t="s">
        <v>179</v>
      </c>
      <c r="D777" s="78">
        <v>1993</v>
      </c>
      <c r="E777" s="26">
        <v>2</v>
      </c>
      <c r="F777" s="66">
        <v>16</v>
      </c>
      <c r="G777" s="46">
        <f t="shared" si="114"/>
        <v>46.47</v>
      </c>
      <c r="H777" s="121">
        <v>8091.5</v>
      </c>
      <c r="I777" s="66"/>
      <c r="J777" s="29"/>
      <c r="K777" s="80">
        <v>48.112059000000002</v>
      </c>
      <c r="O777" s="48">
        <f t="shared" si="116"/>
        <v>3.9080290384648162</v>
      </c>
      <c r="R777" s="48">
        <f t="shared" si="117"/>
        <v>1.6822539433337353</v>
      </c>
      <c r="U777" s="48">
        <v>3.9080290384648162</v>
      </c>
      <c r="V777" s="54">
        <v>1.6822539433337353</v>
      </c>
      <c r="W777" s="49">
        <f t="shared" si="115"/>
        <v>1.1013967289193913</v>
      </c>
      <c r="X777" s="49"/>
      <c r="Y777" s="49"/>
      <c r="Z777" s="49"/>
      <c r="AQ777" s="29"/>
    </row>
    <row r="778" spans="1:43" s="28" customFormat="1" ht="12.75" customHeight="1">
      <c r="A778" s="64" t="s">
        <v>182</v>
      </c>
      <c r="B778" s="23" t="s">
        <v>183</v>
      </c>
      <c r="C778" s="77" t="s">
        <v>179</v>
      </c>
      <c r="D778" s="78">
        <v>1993</v>
      </c>
      <c r="E778" s="26">
        <v>2</v>
      </c>
      <c r="F778" s="66">
        <v>16</v>
      </c>
      <c r="G778" s="46">
        <f t="shared" si="114"/>
        <v>46.47</v>
      </c>
      <c r="H778" s="121">
        <v>7767.84</v>
      </c>
      <c r="I778" s="66"/>
      <c r="J778" s="29"/>
      <c r="K778" s="80">
        <v>40.732610999999999</v>
      </c>
      <c r="O778" s="48">
        <f t="shared" si="116"/>
        <v>3.8903002715043846</v>
      </c>
      <c r="R778" s="48">
        <f t="shared" si="117"/>
        <v>1.6099422496771603</v>
      </c>
      <c r="U778" s="48">
        <v>3.8903002715043846</v>
      </c>
      <c r="V778" s="54">
        <v>1.6099422496771603</v>
      </c>
      <c r="W778" s="49">
        <f t="shared" si="115"/>
        <v>1.1756850553307148</v>
      </c>
      <c r="X778" s="49"/>
      <c r="Y778" s="49"/>
      <c r="Z778" s="49"/>
      <c r="AQ778" s="29"/>
    </row>
    <row r="779" spans="1:43" s="28" customFormat="1" ht="12.75" customHeight="1">
      <c r="A779" s="64" t="s">
        <v>182</v>
      </c>
      <c r="B779" s="23" t="s">
        <v>183</v>
      </c>
      <c r="C779" s="77" t="s">
        <v>179</v>
      </c>
      <c r="D779" s="78">
        <v>1993</v>
      </c>
      <c r="E779" s="26">
        <v>2</v>
      </c>
      <c r="F779" s="66">
        <v>16</v>
      </c>
      <c r="G779" s="46">
        <f t="shared" si="114"/>
        <v>46.47</v>
      </c>
      <c r="H779" s="121">
        <v>6958.69</v>
      </c>
      <c r="I779" s="66"/>
      <c r="J779" s="29"/>
      <c r="K779" s="80">
        <v>28.271701</v>
      </c>
      <c r="O779" s="48">
        <f t="shared" si="116"/>
        <v>3.8425274897083841</v>
      </c>
      <c r="R779" s="48">
        <f t="shared" si="117"/>
        <v>1.4513519391117284</v>
      </c>
      <c r="U779" s="48">
        <v>3.8425274897083841</v>
      </c>
      <c r="V779" s="54">
        <v>1.4513519391117284</v>
      </c>
      <c r="W779" s="49">
        <f t="shared" si="115"/>
        <v>1.3412734759374143</v>
      </c>
      <c r="X779" s="49"/>
      <c r="Y779" s="49"/>
      <c r="Z779" s="49"/>
      <c r="AQ779" s="29"/>
    </row>
    <row r="780" spans="1:43" s="28" customFormat="1" ht="12.75" customHeight="1">
      <c r="A780" s="64" t="s">
        <v>182</v>
      </c>
      <c r="B780" s="23" t="s">
        <v>183</v>
      </c>
      <c r="C780" s="77" t="s">
        <v>179</v>
      </c>
      <c r="D780" s="78">
        <v>1993</v>
      </c>
      <c r="E780" s="26">
        <v>5</v>
      </c>
      <c r="F780" s="66">
        <v>20</v>
      </c>
      <c r="G780" s="46">
        <f t="shared" si="114"/>
        <v>141.88</v>
      </c>
      <c r="H780" s="121">
        <v>6796.86</v>
      </c>
      <c r="I780" s="66"/>
      <c r="J780" s="29"/>
      <c r="K780" s="80">
        <v>59.715270000000004</v>
      </c>
      <c r="O780" s="48">
        <f t="shared" si="116"/>
        <v>3.8323083245266978</v>
      </c>
      <c r="R780" s="48">
        <f t="shared" si="117"/>
        <v>1.7760854002878579</v>
      </c>
      <c r="U780" s="48">
        <v>3.8323083245266978</v>
      </c>
      <c r="V780" s="54">
        <v>1.7760854002878579</v>
      </c>
      <c r="W780" s="49">
        <f t="shared" si="115"/>
        <v>1.0345711186848829</v>
      </c>
      <c r="X780" s="49"/>
      <c r="Y780" s="49"/>
      <c r="Z780" s="49"/>
      <c r="AQ780" s="29"/>
    </row>
    <row r="781" spans="1:43" s="28" customFormat="1" ht="12.75" customHeight="1">
      <c r="A781" s="64" t="s">
        <v>182</v>
      </c>
      <c r="B781" s="23" t="s">
        <v>183</v>
      </c>
      <c r="C781" s="77" t="s">
        <v>179</v>
      </c>
      <c r="D781" s="78">
        <v>1993</v>
      </c>
      <c r="E781" s="26">
        <v>5</v>
      </c>
      <c r="F781" s="66">
        <v>20</v>
      </c>
      <c r="G781" s="46">
        <f t="shared" si="114"/>
        <v>141.88</v>
      </c>
      <c r="H781" s="121">
        <v>11328.1</v>
      </c>
      <c r="I781" s="66"/>
      <c r="J781" s="29"/>
      <c r="K781" s="80">
        <v>105.07621900000001</v>
      </c>
      <c r="O781" s="48">
        <f t="shared" si="116"/>
        <v>4.0541570741430544</v>
      </c>
      <c r="R781" s="48">
        <f t="shared" si="117"/>
        <v>2.0215044370015534</v>
      </c>
      <c r="U781" s="48">
        <v>4.0541570741430544</v>
      </c>
      <c r="V781" s="54">
        <v>2.0215044370015534</v>
      </c>
      <c r="W781" s="49">
        <f t="shared" si="115"/>
        <v>0.73401674157434948</v>
      </c>
      <c r="X781" s="49"/>
      <c r="Y781" s="49"/>
      <c r="Z781" s="49"/>
      <c r="AQ781" s="29"/>
    </row>
    <row r="782" spans="1:43" s="28" customFormat="1" ht="12.75" customHeight="1">
      <c r="A782" s="64" t="s">
        <v>182</v>
      </c>
      <c r="B782" s="23" t="s">
        <v>183</v>
      </c>
      <c r="C782" s="77" t="s">
        <v>179</v>
      </c>
      <c r="D782" s="78">
        <v>1993</v>
      </c>
      <c r="E782" s="26">
        <v>5</v>
      </c>
      <c r="F782" s="66">
        <v>20</v>
      </c>
      <c r="G782" s="46">
        <f t="shared" si="114"/>
        <v>141.88</v>
      </c>
      <c r="H782" s="121">
        <v>9386.14</v>
      </c>
      <c r="I782" s="66"/>
      <c r="J782" s="29"/>
      <c r="K782" s="80">
        <v>115.22296</v>
      </c>
      <c r="O782" s="48">
        <f t="shared" si="116"/>
        <v>3.9724870276917348</v>
      </c>
      <c r="R782" s="48">
        <f t="shared" si="117"/>
        <v>2.061539027765654</v>
      </c>
      <c r="U782" s="48">
        <v>3.9724870276917348</v>
      </c>
      <c r="V782" s="54">
        <v>2.061539027765654</v>
      </c>
      <c r="W782" s="49">
        <f t="shared" si="115"/>
        <v>0.72028993343978698</v>
      </c>
      <c r="X782" s="49"/>
      <c r="Y782" s="49"/>
      <c r="Z782" s="49"/>
      <c r="AQ782" s="29"/>
    </row>
    <row r="783" spans="1:43" s="28" customFormat="1" ht="12.75" customHeight="1">
      <c r="A783" s="64" t="s">
        <v>182</v>
      </c>
      <c r="B783" s="23" t="s">
        <v>183</v>
      </c>
      <c r="C783" s="77" t="s">
        <v>179</v>
      </c>
      <c r="D783" s="78">
        <v>1993</v>
      </c>
      <c r="E783" s="26">
        <v>5</v>
      </c>
      <c r="F783" s="66">
        <v>20</v>
      </c>
      <c r="G783" s="46">
        <f t="shared" si="114"/>
        <v>141.88</v>
      </c>
      <c r="H783" s="121">
        <v>8091.5</v>
      </c>
      <c r="I783" s="66"/>
      <c r="J783" s="29"/>
      <c r="K783" s="80">
        <v>55.750435000000003</v>
      </c>
      <c r="O783" s="48">
        <f t="shared" si="116"/>
        <v>3.9080290384648162</v>
      </c>
      <c r="R783" s="48">
        <f t="shared" si="117"/>
        <v>1.7462482603724423</v>
      </c>
      <c r="U783" s="48">
        <v>3.9080290384648162</v>
      </c>
      <c r="V783" s="54">
        <v>1.7462482603724423</v>
      </c>
      <c r="W783" s="49">
        <f t="shared" si="115"/>
        <v>1.0403525498961688</v>
      </c>
      <c r="X783" s="49"/>
      <c r="Y783" s="49"/>
      <c r="Z783" s="49"/>
      <c r="AQ783" s="29"/>
    </row>
    <row r="784" spans="1:43" s="28" customFormat="1" ht="12.75" customHeight="1">
      <c r="A784" s="64" t="s">
        <v>182</v>
      </c>
      <c r="B784" s="23" t="s">
        <v>183</v>
      </c>
      <c r="C784" s="77" t="s">
        <v>179</v>
      </c>
      <c r="D784" s="78">
        <v>1993</v>
      </c>
      <c r="E784" s="26">
        <v>8</v>
      </c>
      <c r="F784" s="66">
        <v>30</v>
      </c>
      <c r="G784" s="46">
        <f t="shared" si="114"/>
        <v>243.29</v>
      </c>
      <c r="H784" s="121">
        <v>13108.23</v>
      </c>
      <c r="I784" s="66"/>
      <c r="J784" s="29"/>
      <c r="K784" s="80">
        <v>157.20166200000003</v>
      </c>
      <c r="O784" s="48">
        <f t="shared" si="116"/>
        <v>4.117544053007447</v>
      </c>
      <c r="R784" s="48">
        <f t="shared" si="117"/>
        <v>2.1964571332658149</v>
      </c>
      <c r="U784" s="48">
        <v>4.117544053007447</v>
      </c>
      <c r="V784" s="54">
        <v>2.1964571332658149</v>
      </c>
      <c r="W784" s="49">
        <f t="shared" si="115"/>
        <v>0.54814340511830506</v>
      </c>
      <c r="X784" s="49"/>
      <c r="Y784" s="49"/>
      <c r="Z784" s="49"/>
      <c r="AQ784" s="29"/>
    </row>
    <row r="785" spans="1:43" s="28" customFormat="1" ht="12.75" customHeight="1">
      <c r="A785" s="64" t="s">
        <v>182</v>
      </c>
      <c r="B785" s="23" t="s">
        <v>183</v>
      </c>
      <c r="C785" s="77" t="s">
        <v>179</v>
      </c>
      <c r="D785" s="78">
        <v>1993</v>
      </c>
      <c r="E785" s="26">
        <v>8</v>
      </c>
      <c r="F785" s="66">
        <v>30</v>
      </c>
      <c r="G785" s="46">
        <f t="shared" si="114"/>
        <v>243.29</v>
      </c>
      <c r="H785" s="121">
        <v>7929.67</v>
      </c>
      <c r="I785" s="66"/>
      <c r="J785" s="29"/>
      <c r="K785" s="80">
        <v>96.029922000000013</v>
      </c>
      <c r="O785" s="48">
        <f t="shared" si="116"/>
        <v>3.8992551141573113</v>
      </c>
      <c r="R785" s="48">
        <f t="shared" si="117"/>
        <v>1.9824065761096206</v>
      </c>
      <c r="U785" s="48">
        <v>3.8992551141573113</v>
      </c>
      <c r="V785" s="54">
        <v>1.9824065761096206</v>
      </c>
      <c r="W785" s="49">
        <f t="shared" si="115"/>
        <v>0.8177091386831099</v>
      </c>
      <c r="X785" s="49"/>
      <c r="Y785" s="49"/>
      <c r="Z785" s="49"/>
      <c r="AQ785" s="29"/>
    </row>
    <row r="786" spans="1:43" s="28" customFormat="1" ht="12.75" customHeight="1">
      <c r="A786" s="64" t="s">
        <v>182</v>
      </c>
      <c r="B786" s="23" t="s">
        <v>183</v>
      </c>
      <c r="C786" s="77" t="s">
        <v>179</v>
      </c>
      <c r="D786" s="78">
        <v>1993</v>
      </c>
      <c r="E786" s="26">
        <v>8</v>
      </c>
      <c r="F786" s="66">
        <v>30</v>
      </c>
      <c r="G786" s="46">
        <f t="shared" si="114"/>
        <v>243.29</v>
      </c>
      <c r="H786" s="121">
        <v>11813.59</v>
      </c>
      <c r="I786" s="66"/>
      <c r="J786" s="29"/>
      <c r="K786" s="80">
        <v>135.67827200000002</v>
      </c>
      <c r="O786" s="48">
        <f t="shared" si="116"/>
        <v>4.0723818942492533</v>
      </c>
      <c r="R786" s="48">
        <f t="shared" si="117"/>
        <v>2.132510303768449</v>
      </c>
      <c r="U786" s="48">
        <v>4.0723818942492533</v>
      </c>
      <c r="V786" s="54">
        <v>2.132510303768449</v>
      </c>
      <c r="W786" s="49">
        <f t="shared" si="115"/>
        <v>0.62266946331302664</v>
      </c>
      <c r="X786" s="49"/>
      <c r="Y786" s="49"/>
      <c r="Z786" s="49"/>
      <c r="AQ786" s="29"/>
    </row>
    <row r="787" spans="1:43" s="28" customFormat="1" ht="12.75" customHeight="1">
      <c r="A787" s="64" t="s">
        <v>182</v>
      </c>
      <c r="B787" s="23" t="s">
        <v>183</v>
      </c>
      <c r="C787" s="77" t="s">
        <v>179</v>
      </c>
      <c r="D787" s="78">
        <v>1993</v>
      </c>
      <c r="E787" s="26">
        <v>8</v>
      </c>
      <c r="F787" s="66">
        <v>30</v>
      </c>
      <c r="G787" s="46">
        <f t="shared" si="114"/>
        <v>243.29</v>
      </c>
      <c r="H787" s="121">
        <v>8576.99</v>
      </c>
      <c r="I787" s="66"/>
      <c r="J787" s="29"/>
      <c r="K787" s="80">
        <v>62.401648000000002</v>
      </c>
      <c r="O787" s="48">
        <f t="shared" si="116"/>
        <v>3.9333349037295866</v>
      </c>
      <c r="R787" s="48">
        <f t="shared" si="117"/>
        <v>1.7951960593595908</v>
      </c>
      <c r="U787" s="48">
        <v>3.9333349037295866</v>
      </c>
      <c r="V787" s="54">
        <v>1.7951960593595908</v>
      </c>
      <c r="W787" s="49">
        <f t="shared" si="115"/>
        <v>0.9860815152712431</v>
      </c>
      <c r="X787" s="49"/>
      <c r="Y787" s="49"/>
      <c r="Z787" s="49"/>
      <c r="AQ787" s="29"/>
    </row>
    <row r="788" spans="1:43" s="28" customFormat="1" ht="12.75" customHeight="1">
      <c r="A788" s="64" t="s">
        <v>182</v>
      </c>
      <c r="B788" s="23" t="s">
        <v>183</v>
      </c>
      <c r="C788" s="77" t="s">
        <v>179</v>
      </c>
      <c r="D788" s="78">
        <v>1993</v>
      </c>
      <c r="E788" s="26">
        <v>12</v>
      </c>
      <c r="F788" s="66">
        <v>8</v>
      </c>
      <c r="G788" s="46">
        <f t="shared" si="114"/>
        <v>343.16999999999996</v>
      </c>
      <c r="H788" s="121">
        <v>6796.86</v>
      </c>
      <c r="I788" s="66"/>
      <c r="J788" s="29"/>
      <c r="K788" s="80">
        <v>39.972010000000004</v>
      </c>
      <c r="O788" s="48">
        <f t="shared" si="116"/>
        <v>3.8323083245266978</v>
      </c>
      <c r="R788" s="48">
        <f t="shared" si="117"/>
        <v>1.6017559873884633</v>
      </c>
      <c r="U788" s="48">
        <v>3.8323083245266978</v>
      </c>
      <c r="V788" s="54">
        <v>1.6017559873884633</v>
      </c>
      <c r="W788" s="49">
        <f t="shared" si="115"/>
        <v>1.2008639456496155</v>
      </c>
      <c r="X788" s="49"/>
      <c r="Y788" s="49"/>
      <c r="Z788" s="49"/>
      <c r="AQ788" s="29"/>
    </row>
    <row r="789" spans="1:43" s="28" customFormat="1" ht="12.75" customHeight="1">
      <c r="A789" s="64" t="s">
        <v>182</v>
      </c>
      <c r="B789" s="23" t="s">
        <v>183</v>
      </c>
      <c r="C789" s="77" t="s">
        <v>179</v>
      </c>
      <c r="D789" s="78">
        <v>1993</v>
      </c>
      <c r="E789" s="26">
        <v>12</v>
      </c>
      <c r="F789" s="66">
        <v>8</v>
      </c>
      <c r="G789" s="46">
        <f t="shared" si="114"/>
        <v>343.16999999999996</v>
      </c>
      <c r="H789" s="121">
        <v>6311.37</v>
      </c>
      <c r="I789" s="66"/>
      <c r="J789" s="29"/>
      <c r="K789" s="80">
        <v>30.504955000000002</v>
      </c>
      <c r="O789" s="48">
        <f t="shared" si="116"/>
        <v>3.8001236411552965</v>
      </c>
      <c r="R789" s="48">
        <f t="shared" si="117"/>
        <v>1.4843703886706092</v>
      </c>
      <c r="U789" s="48">
        <v>3.8001236411552965</v>
      </c>
      <c r="V789" s="54">
        <v>1.4843703886706092</v>
      </c>
      <c r="W789" s="49">
        <f t="shared" si="115"/>
        <v>1.3224781726795223</v>
      </c>
      <c r="X789" s="49"/>
      <c r="Y789" s="49"/>
      <c r="Z789" s="49"/>
      <c r="AQ789" s="29"/>
    </row>
    <row r="790" spans="1:43" s="28" customFormat="1" ht="12.75" customHeight="1">
      <c r="A790" s="64" t="s">
        <v>182</v>
      </c>
      <c r="B790" s="23" t="s">
        <v>183</v>
      </c>
      <c r="C790" s="77" t="s">
        <v>179</v>
      </c>
      <c r="D790" s="78">
        <v>1993</v>
      </c>
      <c r="E790" s="26">
        <v>12</v>
      </c>
      <c r="F790" s="66">
        <v>8</v>
      </c>
      <c r="G790" s="46">
        <f t="shared" si="114"/>
        <v>343.16999999999996</v>
      </c>
      <c r="H790" s="121">
        <v>8253.33</v>
      </c>
      <c r="I790" s="66"/>
      <c r="J790" s="29"/>
      <c r="K790" s="80">
        <v>57.223088000000011</v>
      </c>
      <c r="O790" s="48">
        <f t="shared" si="116"/>
        <v>3.9166292102267337</v>
      </c>
      <c r="R790" s="48">
        <f t="shared" si="117"/>
        <v>1.7575712904698331</v>
      </c>
      <c r="U790" s="48">
        <v>3.9166292102267337</v>
      </c>
      <c r="V790" s="54">
        <v>1.7575712904698331</v>
      </c>
      <c r="W790" s="49">
        <f t="shared" si="115"/>
        <v>1.0269755484793481</v>
      </c>
      <c r="X790" s="49"/>
      <c r="Y790" s="49"/>
      <c r="Z790" s="49"/>
      <c r="AQ790" s="29"/>
    </row>
    <row r="791" spans="1:43" s="28" customFormat="1" ht="12.75" customHeight="1">
      <c r="A791" s="64" t="s">
        <v>182</v>
      </c>
      <c r="B791" s="23" t="s">
        <v>183</v>
      </c>
      <c r="C791" s="77" t="s">
        <v>179</v>
      </c>
      <c r="D791" s="78">
        <v>1993</v>
      </c>
      <c r="E791" s="26">
        <v>12</v>
      </c>
      <c r="F791" s="66">
        <v>8</v>
      </c>
      <c r="G791" s="46">
        <f t="shared" si="114"/>
        <v>343.16999999999996</v>
      </c>
      <c r="H791" s="121">
        <v>9871.6299999999992</v>
      </c>
      <c r="I791" s="66"/>
      <c r="J791" s="29"/>
      <c r="K791" s="80">
        <v>50.070202000000002</v>
      </c>
      <c r="O791" s="48">
        <f t="shared" si="116"/>
        <v>3.9943888691395646</v>
      </c>
      <c r="R791" s="48">
        <f t="shared" si="117"/>
        <v>1.6995793434921462</v>
      </c>
      <c r="U791" s="48">
        <v>3.9943888691395646</v>
      </c>
      <c r="V791" s="54">
        <v>1.6995793434921462</v>
      </c>
      <c r="W791" s="49">
        <f t="shared" si="115"/>
        <v>1.0590031359693615</v>
      </c>
      <c r="X791" s="49"/>
      <c r="Y791" s="49"/>
      <c r="Z791" s="49"/>
      <c r="AQ791" s="29"/>
    </row>
    <row r="792" spans="1:43" s="28" customFormat="1" ht="12.75" customHeight="1">
      <c r="A792" s="64" t="s">
        <v>182</v>
      </c>
      <c r="B792" s="23" t="s">
        <v>183</v>
      </c>
      <c r="C792" s="77" t="s">
        <v>179</v>
      </c>
      <c r="D792" s="78">
        <v>1994</v>
      </c>
      <c r="E792" s="26">
        <v>3</v>
      </c>
      <c r="F792" s="66">
        <v>8</v>
      </c>
      <c r="G792" s="46">
        <f t="shared" si="114"/>
        <v>68.94</v>
      </c>
      <c r="H792" s="121">
        <v>6149.54</v>
      </c>
      <c r="I792" s="66"/>
      <c r="J792" s="29"/>
      <c r="K792" s="80">
        <v>30.925713000000002</v>
      </c>
      <c r="O792" s="48">
        <f t="shared" si="116"/>
        <v>3.7888426307456076</v>
      </c>
      <c r="R792" s="48">
        <f t="shared" si="117"/>
        <v>1.4903197211838104</v>
      </c>
      <c r="U792" s="48">
        <v>3.7888426307456076</v>
      </c>
      <c r="V792" s="54">
        <v>1.4903197211838104</v>
      </c>
      <c r="W792" s="49">
        <f t="shared" si="115"/>
        <v>1.3201820445257373</v>
      </c>
      <c r="X792" s="49"/>
      <c r="Y792" s="49"/>
      <c r="Z792" s="49"/>
      <c r="AQ792" s="29"/>
    </row>
    <row r="793" spans="1:43" s="28" customFormat="1" ht="12.75" customHeight="1">
      <c r="A793" s="64" t="s">
        <v>182</v>
      </c>
      <c r="B793" s="23" t="s">
        <v>183</v>
      </c>
      <c r="C793" s="77" t="s">
        <v>179</v>
      </c>
      <c r="D793" s="78">
        <v>1994</v>
      </c>
      <c r="E793" s="26">
        <v>3</v>
      </c>
      <c r="F793" s="66">
        <v>8</v>
      </c>
      <c r="G793" s="46">
        <f t="shared" si="114"/>
        <v>68.94</v>
      </c>
      <c r="H793" s="121">
        <v>7444.18</v>
      </c>
      <c r="I793" s="66"/>
      <c r="J793" s="29"/>
      <c r="K793" s="80">
        <v>31.136092000000001</v>
      </c>
      <c r="O793" s="48">
        <f t="shared" si="116"/>
        <v>3.8718168658103718</v>
      </c>
      <c r="R793" s="48">
        <f t="shared" si="117"/>
        <v>1.4932641018305917</v>
      </c>
      <c r="U793" s="48">
        <v>3.8718168658103718</v>
      </c>
      <c r="V793" s="54">
        <v>1.4932641018305917</v>
      </c>
      <c r="W793" s="49">
        <f t="shared" si="115"/>
        <v>1.2925205752586932</v>
      </c>
      <c r="X793" s="49"/>
      <c r="Y793" s="49"/>
      <c r="Z793" s="49"/>
      <c r="AQ793" s="29"/>
    </row>
    <row r="794" spans="1:43" s="28" customFormat="1" ht="12.75" customHeight="1">
      <c r="A794" s="64" t="s">
        <v>182</v>
      </c>
      <c r="B794" s="23" t="s">
        <v>183</v>
      </c>
      <c r="C794" s="77" t="s">
        <v>179</v>
      </c>
      <c r="D794" s="78">
        <v>1994</v>
      </c>
      <c r="E794" s="26">
        <v>3</v>
      </c>
      <c r="F794" s="66">
        <v>8</v>
      </c>
      <c r="G794" s="46">
        <f t="shared" si="114"/>
        <v>68.94</v>
      </c>
      <c r="H794" s="121">
        <v>4854.8999999999996</v>
      </c>
      <c r="I794" s="66"/>
      <c r="J794" s="29"/>
      <c r="K794" s="80">
        <v>31.119909000000003</v>
      </c>
      <c r="O794" s="48">
        <f t="shared" si="116"/>
        <v>3.6861802888484601</v>
      </c>
      <c r="R794" s="48">
        <f t="shared" si="117"/>
        <v>1.4930383183672775</v>
      </c>
      <c r="U794" s="48">
        <v>3.6861802888484601</v>
      </c>
      <c r="V794" s="54">
        <v>1.4930383183672775</v>
      </c>
      <c r="W794" s="49">
        <f t="shared" si="115"/>
        <v>1.3483386715642343</v>
      </c>
      <c r="X794" s="49"/>
      <c r="Y794" s="49"/>
      <c r="Z794" s="49"/>
      <c r="AQ794" s="29"/>
    </row>
    <row r="795" spans="1:43" s="28" customFormat="1" ht="12.75" customHeight="1">
      <c r="A795" s="64" t="s">
        <v>182</v>
      </c>
      <c r="B795" s="23" t="s">
        <v>183</v>
      </c>
      <c r="C795" s="77" t="s">
        <v>179</v>
      </c>
      <c r="D795" s="78">
        <v>1994</v>
      </c>
      <c r="E795" s="26">
        <v>3</v>
      </c>
      <c r="F795" s="66">
        <v>8</v>
      </c>
      <c r="G795" s="46">
        <f t="shared" si="114"/>
        <v>68.94</v>
      </c>
      <c r="H795" s="121">
        <v>7929.67</v>
      </c>
      <c r="I795" s="66"/>
      <c r="J795" s="29"/>
      <c r="K795" s="80">
        <v>43.629368000000007</v>
      </c>
      <c r="O795" s="48">
        <f t="shared" si="116"/>
        <v>3.8992551141573113</v>
      </c>
      <c r="R795" s="48">
        <f t="shared" si="117"/>
        <v>1.6397789219920798</v>
      </c>
      <c r="U795" s="48">
        <v>3.8992551141573113</v>
      </c>
      <c r="V795" s="54">
        <v>1.6397789219920798</v>
      </c>
      <c r="W795" s="49">
        <f t="shared" si="115"/>
        <v>1.1445416579458321</v>
      </c>
      <c r="X795" s="49"/>
      <c r="Y795" s="49"/>
      <c r="Z795" s="49"/>
      <c r="AQ795" s="29"/>
    </row>
    <row r="796" spans="1:43" s="28" customFormat="1" ht="12.75" customHeight="1">
      <c r="A796" s="64" t="s">
        <v>182</v>
      </c>
      <c r="B796" s="23" t="s">
        <v>183</v>
      </c>
      <c r="C796" s="77" t="s">
        <v>179</v>
      </c>
      <c r="D796" s="78">
        <v>1994</v>
      </c>
      <c r="E796" s="26">
        <v>6</v>
      </c>
      <c r="F796" s="66">
        <v>3</v>
      </c>
      <c r="G796" s="46">
        <f t="shared" si="114"/>
        <v>155.35</v>
      </c>
      <c r="H796" s="121">
        <v>8253.33</v>
      </c>
      <c r="I796" s="66"/>
      <c r="J796" s="29"/>
      <c r="K796" s="80">
        <v>45.425681000000004</v>
      </c>
      <c r="O796" s="48">
        <f t="shared" si="116"/>
        <v>3.9166292102267337</v>
      </c>
      <c r="R796" s="48">
        <f t="shared" si="117"/>
        <v>1.6573014467632368</v>
      </c>
      <c r="U796" s="48">
        <v>3.9166292102267337</v>
      </c>
      <c r="V796" s="54">
        <v>1.6573014467632368</v>
      </c>
      <c r="W796" s="49">
        <f t="shared" si="115"/>
        <v>1.1226229523910702</v>
      </c>
      <c r="X796" s="49"/>
      <c r="Y796" s="49"/>
      <c r="Z796" s="49"/>
      <c r="AQ796" s="29"/>
    </row>
    <row r="797" spans="1:43" s="28" customFormat="1" ht="12.75" customHeight="1">
      <c r="A797" s="64" t="s">
        <v>182</v>
      </c>
      <c r="B797" s="23" t="s">
        <v>183</v>
      </c>
      <c r="C797" s="77" t="s">
        <v>179</v>
      </c>
      <c r="D797" s="78">
        <v>1994</v>
      </c>
      <c r="E797" s="26">
        <v>6</v>
      </c>
      <c r="F797" s="66">
        <v>3</v>
      </c>
      <c r="G797" s="46">
        <f t="shared" si="114"/>
        <v>155.35</v>
      </c>
      <c r="H797" s="121">
        <v>14402.87</v>
      </c>
      <c r="I797" s="66"/>
      <c r="J797" s="29"/>
      <c r="K797" s="80">
        <v>63.048968000000002</v>
      </c>
      <c r="O797" s="48">
        <f t="shared" si="116"/>
        <v>4.1584490407737107</v>
      </c>
      <c r="R797" s="48">
        <f t="shared" si="117"/>
        <v>1.7996779823353755</v>
      </c>
      <c r="U797" s="48">
        <v>4.1584490407737107</v>
      </c>
      <c r="V797" s="54">
        <v>1.7996779823353755</v>
      </c>
      <c r="W797" s="49">
        <f t="shared" si="115"/>
        <v>0.91437898709215593</v>
      </c>
      <c r="X797" s="49"/>
      <c r="Y797" s="49"/>
      <c r="Z797" s="49"/>
      <c r="AQ797" s="29"/>
    </row>
    <row r="798" spans="1:43" s="28" customFormat="1" ht="12.75" customHeight="1">
      <c r="A798" s="64" t="s">
        <v>182</v>
      </c>
      <c r="B798" s="23" t="s">
        <v>183</v>
      </c>
      <c r="C798" s="77" t="s">
        <v>179</v>
      </c>
      <c r="D798" s="78">
        <v>1994</v>
      </c>
      <c r="E798" s="26">
        <v>6</v>
      </c>
      <c r="F798" s="66">
        <v>3</v>
      </c>
      <c r="G798" s="46">
        <f t="shared" si="114"/>
        <v>155.35</v>
      </c>
      <c r="H798" s="121">
        <v>6958.69</v>
      </c>
      <c r="I798" s="66"/>
      <c r="J798" s="29"/>
      <c r="K798" s="80">
        <v>44.843093000000003</v>
      </c>
      <c r="O798" s="48">
        <f t="shared" si="116"/>
        <v>3.8425274897083841</v>
      </c>
      <c r="R798" s="48">
        <f t="shared" si="117"/>
        <v>1.6516955599110292</v>
      </c>
      <c r="U798" s="48">
        <v>3.8425274897083841</v>
      </c>
      <c r="V798" s="54">
        <v>1.6516955599110292</v>
      </c>
      <c r="W798" s="49">
        <f t="shared" si="115"/>
        <v>1.1501656960569613</v>
      </c>
      <c r="X798" s="49"/>
      <c r="Y798" s="49"/>
      <c r="Z798" s="49"/>
      <c r="AQ798" s="29"/>
    </row>
    <row r="799" spans="1:43" s="28" customFormat="1" ht="12.75" customHeight="1">
      <c r="A799" s="64" t="s">
        <v>182</v>
      </c>
      <c r="B799" s="23" t="s">
        <v>183</v>
      </c>
      <c r="C799" s="77" t="s">
        <v>179</v>
      </c>
      <c r="D799" s="78">
        <v>1994</v>
      </c>
      <c r="E799" s="26">
        <v>6</v>
      </c>
      <c r="F799" s="66">
        <v>3</v>
      </c>
      <c r="G799" s="46">
        <f t="shared" si="114"/>
        <v>155.35</v>
      </c>
      <c r="H799" s="121">
        <v>2427.4499999999998</v>
      </c>
      <c r="I799" s="66"/>
      <c r="J799" s="29"/>
      <c r="K799" s="80">
        <v>18.141143000000003</v>
      </c>
      <c r="O799" s="48">
        <f t="shared" si="116"/>
        <v>3.3851502931844788</v>
      </c>
      <c r="R799" s="48">
        <f t="shared" si="117"/>
        <v>1.2586646467237708</v>
      </c>
      <c r="U799" s="48">
        <v>3.3851502931844788</v>
      </c>
      <c r="V799" s="54">
        <v>1.2586646467237708</v>
      </c>
      <c r="W799" s="49">
        <f t="shared" si="115"/>
        <v>1.6620736059842312</v>
      </c>
      <c r="X799" s="49"/>
      <c r="Y799" s="49"/>
      <c r="Z799" s="49"/>
      <c r="AQ799" s="29"/>
    </row>
    <row r="800" spans="1:43" s="28" customFormat="1" ht="12.75" customHeight="1">
      <c r="A800" s="64" t="s">
        <v>182</v>
      </c>
      <c r="B800" s="23" t="s">
        <v>183</v>
      </c>
      <c r="C800" s="77" t="s">
        <v>179</v>
      </c>
      <c r="D800" s="78">
        <v>1994</v>
      </c>
      <c r="E800" s="26">
        <v>9</v>
      </c>
      <c r="F800" s="66">
        <v>12</v>
      </c>
      <c r="G800" s="46">
        <f t="shared" si="114"/>
        <v>255.76</v>
      </c>
      <c r="H800" s="121">
        <v>4693.07</v>
      </c>
      <c r="I800" s="66"/>
      <c r="J800" s="29"/>
      <c r="K800" s="80">
        <v>72.613121000000007</v>
      </c>
      <c r="O800" s="48">
        <f t="shared" si="116"/>
        <v>3.6714570320277535</v>
      </c>
      <c r="R800" s="48">
        <f t="shared" si="117"/>
        <v>1.8610151036618718</v>
      </c>
      <c r="U800" s="48">
        <v>3.6714570320277535</v>
      </c>
      <c r="V800" s="54">
        <v>1.8610151036618718</v>
      </c>
      <c r="W800" s="49">
        <f t="shared" si="115"/>
        <v>1.0017355936816401</v>
      </c>
      <c r="X800" s="49"/>
      <c r="Y800" s="49"/>
      <c r="Z800" s="49"/>
      <c r="AQ800" s="29"/>
    </row>
    <row r="801" spans="1:43" s="28" customFormat="1" ht="12.75" customHeight="1">
      <c r="A801" s="64" t="s">
        <v>182</v>
      </c>
      <c r="B801" s="23" t="s">
        <v>183</v>
      </c>
      <c r="C801" s="77" t="s">
        <v>179</v>
      </c>
      <c r="D801" s="78">
        <v>1994</v>
      </c>
      <c r="E801" s="26">
        <v>9</v>
      </c>
      <c r="F801" s="66">
        <v>12</v>
      </c>
      <c r="G801" s="46">
        <f t="shared" si="114"/>
        <v>255.76</v>
      </c>
      <c r="H801" s="121">
        <v>9224.31</v>
      </c>
      <c r="I801" s="66"/>
      <c r="J801" s="29"/>
      <c r="K801" s="80">
        <v>187.334408</v>
      </c>
      <c r="O801" s="48">
        <f t="shared" si="116"/>
        <v>3.9649338898012889</v>
      </c>
      <c r="R801" s="48">
        <f t="shared" si="117"/>
        <v>2.2726175522397787</v>
      </c>
      <c r="U801" s="48">
        <v>3.9649338898012889</v>
      </c>
      <c r="V801" s="54">
        <v>2.2726175522397787</v>
      </c>
      <c r="W801" s="49">
        <f t="shared" si="115"/>
        <v>0.52120447954930027</v>
      </c>
      <c r="X801" s="49"/>
      <c r="Y801" s="49"/>
      <c r="Z801" s="49"/>
      <c r="AQ801" s="29"/>
    </row>
    <row r="802" spans="1:43" s="28" customFormat="1" ht="12.75" customHeight="1">
      <c r="A802" s="64" t="s">
        <v>182</v>
      </c>
      <c r="B802" s="23" t="s">
        <v>183</v>
      </c>
      <c r="C802" s="77" t="s">
        <v>179</v>
      </c>
      <c r="D802" s="78">
        <v>1994</v>
      </c>
      <c r="E802" s="26">
        <v>9</v>
      </c>
      <c r="F802" s="66">
        <v>12</v>
      </c>
      <c r="G802" s="46">
        <f t="shared" si="114"/>
        <v>255.76</v>
      </c>
      <c r="H802" s="121">
        <v>9386.14</v>
      </c>
      <c r="I802" s="66"/>
      <c r="J802" s="29"/>
      <c r="K802" s="80">
        <v>160.92375200000001</v>
      </c>
      <c r="O802" s="48">
        <f t="shared" si="116"/>
        <v>3.9724870276917348</v>
      </c>
      <c r="R802" s="48">
        <f t="shared" si="117"/>
        <v>2.2066201497623861</v>
      </c>
      <c r="U802" s="48">
        <v>3.9724870276917348</v>
      </c>
      <c r="V802" s="54">
        <v>2.2066201497623861</v>
      </c>
      <c r="W802" s="49">
        <f t="shared" si="115"/>
        <v>0.58189705116710433</v>
      </c>
      <c r="X802" s="49"/>
      <c r="Y802" s="49"/>
      <c r="Z802" s="49"/>
      <c r="AQ802" s="29"/>
    </row>
    <row r="803" spans="1:43" s="28" customFormat="1" ht="12.75" customHeight="1">
      <c r="A803" s="64" t="s">
        <v>182</v>
      </c>
      <c r="B803" s="23" t="s">
        <v>183</v>
      </c>
      <c r="C803" s="77" t="s">
        <v>179</v>
      </c>
      <c r="D803" s="78">
        <v>1994</v>
      </c>
      <c r="E803" s="26">
        <v>9</v>
      </c>
      <c r="F803" s="66">
        <v>12</v>
      </c>
      <c r="G803" s="46">
        <f t="shared" si="114"/>
        <v>255.76</v>
      </c>
      <c r="H803" s="121">
        <v>5664.05</v>
      </c>
      <c r="I803" s="66"/>
      <c r="J803" s="29"/>
      <c r="K803" s="80">
        <v>150.09732500000001</v>
      </c>
      <c r="O803" s="48">
        <f t="shared" si="116"/>
        <v>3.7531270784790731</v>
      </c>
      <c r="R803" s="48">
        <f t="shared" si="117"/>
        <v>2.176372952415881</v>
      </c>
      <c r="U803" s="48">
        <v>3.7531270784790731</v>
      </c>
      <c r="V803" s="54">
        <v>2.176372952415881</v>
      </c>
      <c r="W803" s="49">
        <f t="shared" si="115"/>
        <v>0.67645355375987815</v>
      </c>
      <c r="X803" s="49"/>
      <c r="Y803" s="49"/>
      <c r="Z803" s="49"/>
      <c r="AQ803" s="29"/>
    </row>
    <row r="804" spans="1:43" s="28" customFormat="1" ht="12.75" customHeight="1">
      <c r="A804" s="64" t="s">
        <v>182</v>
      </c>
      <c r="B804" s="23" t="s">
        <v>183</v>
      </c>
      <c r="C804" s="77" t="s">
        <v>179</v>
      </c>
      <c r="D804" s="78">
        <v>1994</v>
      </c>
      <c r="E804" s="26">
        <v>12</v>
      </c>
      <c r="F804" s="66">
        <v>6</v>
      </c>
      <c r="G804" s="46">
        <f t="shared" si="114"/>
        <v>341.16999999999996</v>
      </c>
      <c r="H804" s="121">
        <v>3883.92</v>
      </c>
      <c r="I804" s="66"/>
      <c r="J804" s="29"/>
      <c r="K804" s="80">
        <v>33.110418000000003</v>
      </c>
      <c r="O804" s="48">
        <f t="shared" si="116"/>
        <v>3.5892702758404034</v>
      </c>
      <c r="R804" s="48">
        <f t="shared" si="117"/>
        <v>1.5199646635049389</v>
      </c>
      <c r="U804" s="48">
        <v>3.5892702758404034</v>
      </c>
      <c r="V804" s="54">
        <v>1.5199646635049389</v>
      </c>
      <c r="W804" s="49">
        <f t="shared" si="115"/>
        <v>1.3516805638196521</v>
      </c>
      <c r="X804" s="49"/>
      <c r="Y804" s="49"/>
      <c r="Z804" s="49"/>
      <c r="AQ804" s="29"/>
    </row>
    <row r="805" spans="1:43" s="28" customFormat="1" ht="12.75" customHeight="1">
      <c r="A805" s="64" t="s">
        <v>182</v>
      </c>
      <c r="B805" s="23" t="s">
        <v>183</v>
      </c>
      <c r="C805" s="77" t="s">
        <v>179</v>
      </c>
      <c r="D805" s="78">
        <v>1994</v>
      </c>
      <c r="E805" s="26">
        <v>12</v>
      </c>
      <c r="F805" s="66">
        <v>6</v>
      </c>
      <c r="G805" s="46">
        <f t="shared" si="114"/>
        <v>341.16999999999996</v>
      </c>
      <c r="H805" s="121">
        <v>3560.26</v>
      </c>
      <c r="I805" s="66"/>
      <c r="J805" s="29"/>
      <c r="K805" s="80">
        <v>25.488225000000003</v>
      </c>
      <c r="O805" s="48">
        <f t="shared" si="116"/>
        <v>3.5514817149510036</v>
      </c>
      <c r="R805" s="48">
        <f t="shared" si="117"/>
        <v>1.4063395922544168</v>
      </c>
      <c r="U805" s="48">
        <v>3.5514817149510036</v>
      </c>
      <c r="V805" s="54">
        <v>1.4063395922544168</v>
      </c>
      <c r="W805" s="49">
        <f t="shared" si="115"/>
        <v>1.4713861228704983</v>
      </c>
      <c r="X805" s="49"/>
      <c r="Y805" s="49"/>
      <c r="Z805" s="49"/>
      <c r="AQ805" s="29"/>
    </row>
    <row r="806" spans="1:43" s="28" customFormat="1" ht="12.75" customHeight="1">
      <c r="A806" s="64" t="s">
        <v>182</v>
      </c>
      <c r="B806" s="23" t="s">
        <v>183</v>
      </c>
      <c r="C806" s="77" t="s">
        <v>179</v>
      </c>
      <c r="D806" s="78">
        <v>1994</v>
      </c>
      <c r="E806" s="26">
        <v>12</v>
      </c>
      <c r="F806" s="66">
        <v>6</v>
      </c>
      <c r="G806" s="46">
        <f t="shared" si="114"/>
        <v>341.16999999999996</v>
      </c>
      <c r="H806" s="121">
        <v>4854.8999999999996</v>
      </c>
      <c r="I806" s="66"/>
      <c r="J806" s="29"/>
      <c r="K806" s="80">
        <v>53.128788999999998</v>
      </c>
      <c r="O806" s="48">
        <f t="shared" si="116"/>
        <v>3.6861802888484601</v>
      </c>
      <c r="R806" s="48">
        <f t="shared" si="117"/>
        <v>1.7253299168581375</v>
      </c>
      <c r="U806" s="48">
        <v>3.6861802888484601</v>
      </c>
      <c r="V806" s="54">
        <v>1.7253299168581375</v>
      </c>
      <c r="W806" s="49">
        <f t="shared" si="115"/>
        <v>1.1267557157638031</v>
      </c>
      <c r="X806" s="49"/>
      <c r="Y806" s="49"/>
      <c r="Z806" s="49"/>
      <c r="AQ806" s="29"/>
    </row>
    <row r="807" spans="1:43" s="28" customFormat="1" ht="12.75" customHeight="1">
      <c r="A807" s="64" t="s">
        <v>182</v>
      </c>
      <c r="B807" s="23" t="s">
        <v>183</v>
      </c>
      <c r="C807" s="77" t="s">
        <v>179</v>
      </c>
      <c r="D807" s="78">
        <v>1994</v>
      </c>
      <c r="E807" s="26">
        <v>12</v>
      </c>
      <c r="F807" s="66">
        <v>6</v>
      </c>
      <c r="G807" s="46">
        <f t="shared" si="114"/>
        <v>341.16999999999996</v>
      </c>
      <c r="H807" s="121">
        <v>4854.8999999999996</v>
      </c>
      <c r="I807" s="66"/>
      <c r="J807" s="29"/>
      <c r="K807" s="80">
        <v>38.628821000000002</v>
      </c>
      <c r="O807" s="48">
        <f t="shared" si="116"/>
        <v>3.6861802888484601</v>
      </c>
      <c r="R807" s="48">
        <f t="shared" si="117"/>
        <v>1.5869114531355522</v>
      </c>
      <c r="U807" s="48">
        <v>3.6861802888484601</v>
      </c>
      <c r="V807" s="54">
        <v>1.5869114531355522</v>
      </c>
      <c r="W807" s="49">
        <f t="shared" si="115"/>
        <v>1.2587930883087772</v>
      </c>
      <c r="X807" s="49"/>
      <c r="Y807" s="49"/>
      <c r="Z807" s="49"/>
      <c r="AQ807" s="29"/>
    </row>
    <row r="808" spans="1:43" s="28" customFormat="1" ht="12.75" customHeight="1">
      <c r="A808" s="64" t="s">
        <v>182</v>
      </c>
      <c r="B808" s="23" t="s">
        <v>183</v>
      </c>
      <c r="C808" s="77" t="s">
        <v>179</v>
      </c>
      <c r="D808" s="78">
        <v>1995</v>
      </c>
      <c r="E808" s="26">
        <v>3</v>
      </c>
      <c r="F808" s="66">
        <v>16</v>
      </c>
      <c r="G808" s="46">
        <f t="shared" si="114"/>
        <v>76.94</v>
      </c>
      <c r="H808" s="121">
        <v>7929.67</v>
      </c>
      <c r="I808" s="66"/>
      <c r="J808" s="29"/>
      <c r="K808" s="80">
        <v>48.791744999999999</v>
      </c>
      <c r="O808" s="48">
        <f t="shared" si="116"/>
        <v>3.8992551141573113</v>
      </c>
      <c r="R808" s="48">
        <f t="shared" si="117"/>
        <v>1.6883463506049676</v>
      </c>
      <c r="U808" s="48">
        <v>3.8992551141573113</v>
      </c>
      <c r="V808" s="54">
        <v>1.6883463506049676</v>
      </c>
      <c r="W808" s="49">
        <f t="shared" si="115"/>
        <v>1.0982131877919983</v>
      </c>
      <c r="X808" s="49"/>
      <c r="Y808" s="49"/>
      <c r="Z808" s="49"/>
      <c r="AQ808" s="29"/>
    </row>
    <row r="809" spans="1:43" s="28" customFormat="1" ht="12.75" customHeight="1">
      <c r="A809" s="64" t="s">
        <v>182</v>
      </c>
      <c r="B809" s="23" t="s">
        <v>183</v>
      </c>
      <c r="C809" s="77" t="s">
        <v>179</v>
      </c>
      <c r="D809" s="78">
        <v>1995</v>
      </c>
      <c r="E809" s="26">
        <v>3</v>
      </c>
      <c r="F809" s="66">
        <v>16</v>
      </c>
      <c r="G809" s="46">
        <f t="shared" si="114"/>
        <v>76.94</v>
      </c>
      <c r="H809" s="121">
        <v>7767.84</v>
      </c>
      <c r="I809" s="66"/>
      <c r="J809" s="29"/>
      <c r="K809" s="80">
        <v>59.148865000000001</v>
      </c>
      <c r="O809" s="48">
        <f t="shared" si="116"/>
        <v>3.8903002715043846</v>
      </c>
      <c r="R809" s="48">
        <f t="shared" si="117"/>
        <v>1.7719464154226767</v>
      </c>
      <c r="U809" s="48">
        <v>3.8903002715043846</v>
      </c>
      <c r="V809" s="54">
        <v>1.7719464154226767</v>
      </c>
      <c r="W809" s="49">
        <f t="shared" si="115"/>
        <v>1.0211492816260666</v>
      </c>
      <c r="X809" s="49"/>
      <c r="Y809" s="49"/>
      <c r="Z809" s="49"/>
      <c r="AQ809" s="29"/>
    </row>
    <row r="810" spans="1:43" s="28" customFormat="1" ht="12.75" customHeight="1">
      <c r="A810" s="64" t="s">
        <v>182</v>
      </c>
      <c r="B810" s="23" t="s">
        <v>183</v>
      </c>
      <c r="C810" s="77" t="s">
        <v>179</v>
      </c>
      <c r="D810" s="78">
        <v>1995</v>
      </c>
      <c r="E810" s="26">
        <v>3</v>
      </c>
      <c r="F810" s="66">
        <v>16</v>
      </c>
      <c r="G810" s="46">
        <f t="shared" si="114"/>
        <v>76.94</v>
      </c>
      <c r="H810" s="121">
        <v>12460.91</v>
      </c>
      <c r="I810" s="66"/>
      <c r="J810" s="29"/>
      <c r="K810" s="80">
        <v>88.682840000000013</v>
      </c>
      <c r="O810" s="48">
        <f t="shared" si="116"/>
        <v>4.0955497593012797</v>
      </c>
      <c r="R810" s="48">
        <f t="shared" si="117"/>
        <v>1.9478395926131669</v>
      </c>
      <c r="U810" s="48">
        <v>4.0955497593012797</v>
      </c>
      <c r="V810" s="54">
        <v>1.9478395926131669</v>
      </c>
      <c r="W810" s="49">
        <f t="shared" si="115"/>
        <v>0.79188750917148809</v>
      </c>
      <c r="X810" s="49"/>
      <c r="Y810" s="49"/>
      <c r="Z810" s="49"/>
      <c r="AQ810" s="29"/>
    </row>
    <row r="811" spans="1:43" s="28" customFormat="1" ht="12.75" customHeight="1">
      <c r="A811" s="64" t="s">
        <v>182</v>
      </c>
      <c r="B811" s="23" t="s">
        <v>183</v>
      </c>
      <c r="C811" s="77" t="s">
        <v>179</v>
      </c>
      <c r="D811" s="78">
        <v>1995</v>
      </c>
      <c r="E811" s="26">
        <v>3</v>
      </c>
      <c r="F811" s="66">
        <v>16</v>
      </c>
      <c r="G811" s="46">
        <f t="shared" si="114"/>
        <v>76.94</v>
      </c>
      <c r="H811" s="121">
        <v>5825.88</v>
      </c>
      <c r="I811" s="66"/>
      <c r="J811" s="29"/>
      <c r="K811" s="80">
        <v>44.438518000000002</v>
      </c>
      <c r="O811" s="48">
        <f t="shared" si="116"/>
        <v>3.7653615348960847</v>
      </c>
      <c r="R811" s="48">
        <f t="shared" si="117"/>
        <v>1.647759567029534</v>
      </c>
      <c r="U811" s="48">
        <v>3.7653615348960847</v>
      </c>
      <c r="V811" s="54">
        <v>1.647759567029534</v>
      </c>
      <c r="W811" s="49">
        <f t="shared" si="115"/>
        <v>1.1770333414153915</v>
      </c>
      <c r="X811" s="49"/>
      <c r="Y811" s="49"/>
      <c r="Z811" s="49"/>
      <c r="AQ811" s="29"/>
    </row>
    <row r="812" spans="1:43" s="28" customFormat="1" ht="12.75" customHeight="1">
      <c r="A812" s="64" t="s">
        <v>182</v>
      </c>
      <c r="B812" s="23" t="s">
        <v>183</v>
      </c>
      <c r="C812" s="77" t="s">
        <v>179</v>
      </c>
      <c r="D812" s="78">
        <v>1995</v>
      </c>
      <c r="E812" s="26">
        <v>6</v>
      </c>
      <c r="F812" s="66">
        <v>15</v>
      </c>
      <c r="G812" s="46">
        <f t="shared" si="114"/>
        <v>167.35</v>
      </c>
      <c r="H812" s="121">
        <v>6635.03</v>
      </c>
      <c r="I812" s="66"/>
      <c r="J812" s="29"/>
      <c r="K812" s="80">
        <v>84.103051000000008</v>
      </c>
      <c r="O812" s="48">
        <f t="shared" si="116"/>
        <v>3.8218428908485329</v>
      </c>
      <c r="R812" s="48">
        <f t="shared" si="117"/>
        <v>1.9248117509516571</v>
      </c>
      <c r="U812" s="48">
        <v>3.8218428908485329</v>
      </c>
      <c r="V812" s="54">
        <v>1.9248117509516571</v>
      </c>
      <c r="W812" s="49">
        <f t="shared" si="115"/>
        <v>0.89583570762296383</v>
      </c>
      <c r="X812" s="49"/>
      <c r="Y812" s="49"/>
      <c r="Z812" s="49"/>
      <c r="AQ812" s="29"/>
    </row>
    <row r="813" spans="1:43" s="28" customFormat="1" ht="12.75" customHeight="1">
      <c r="A813" s="64" t="s">
        <v>182</v>
      </c>
      <c r="B813" s="23" t="s">
        <v>183</v>
      </c>
      <c r="C813" s="77" t="s">
        <v>179</v>
      </c>
      <c r="D813" s="78">
        <v>1995</v>
      </c>
      <c r="E813" s="26">
        <v>6</v>
      </c>
      <c r="F813" s="66">
        <v>15</v>
      </c>
      <c r="G813" s="46">
        <f t="shared" si="114"/>
        <v>167.35</v>
      </c>
      <c r="H813" s="121">
        <v>8091.5</v>
      </c>
      <c r="I813" s="66"/>
      <c r="J813" s="29"/>
      <c r="K813" s="80">
        <v>93.133165000000005</v>
      </c>
      <c r="O813" s="48">
        <f t="shared" si="116"/>
        <v>3.9080290384648162</v>
      </c>
      <c r="R813" s="48">
        <f t="shared" si="117"/>
        <v>1.9691043620946083</v>
      </c>
      <c r="U813" s="48">
        <v>3.9080290384648162</v>
      </c>
      <c r="V813" s="54">
        <v>1.9691043620946083</v>
      </c>
      <c r="W813" s="49">
        <f t="shared" si="115"/>
        <v>0.82777011446339455</v>
      </c>
      <c r="X813" s="49"/>
      <c r="Y813" s="49"/>
      <c r="Z813" s="49"/>
      <c r="AQ813" s="29"/>
    </row>
    <row r="814" spans="1:43" s="28" customFormat="1" ht="12.75" customHeight="1">
      <c r="A814" s="64" t="s">
        <v>182</v>
      </c>
      <c r="B814" s="23" t="s">
        <v>183</v>
      </c>
      <c r="C814" s="77" t="s">
        <v>179</v>
      </c>
      <c r="D814" s="78">
        <v>1995</v>
      </c>
      <c r="E814" s="26">
        <v>6</v>
      </c>
      <c r="F814" s="66">
        <v>15</v>
      </c>
      <c r="G814" s="46">
        <f t="shared" si="114"/>
        <v>167.35</v>
      </c>
      <c r="H814" s="121">
        <v>6635.03</v>
      </c>
      <c r="I814" s="66"/>
      <c r="J814" s="29"/>
      <c r="K814" s="80">
        <v>60.637701</v>
      </c>
      <c r="O814" s="48">
        <f t="shared" si="116"/>
        <v>3.8218428908485329</v>
      </c>
      <c r="R814" s="48">
        <f t="shared" si="117"/>
        <v>1.7827427272225955</v>
      </c>
      <c r="U814" s="48">
        <v>3.8218428908485329</v>
      </c>
      <c r="V814" s="54">
        <v>1.7827427272225955</v>
      </c>
      <c r="W814" s="49">
        <f t="shared" si="115"/>
        <v>1.0313553493581158</v>
      </c>
      <c r="X814" s="49"/>
      <c r="Y814" s="49"/>
      <c r="Z814" s="49"/>
      <c r="AQ814" s="29"/>
    </row>
    <row r="815" spans="1:43" s="28" customFormat="1" ht="12.75" customHeight="1">
      <c r="A815" s="64" t="s">
        <v>182</v>
      </c>
      <c r="B815" s="23" t="s">
        <v>183</v>
      </c>
      <c r="C815" s="77" t="s">
        <v>179</v>
      </c>
      <c r="D815" s="78">
        <v>1995</v>
      </c>
      <c r="E815" s="26">
        <v>6</v>
      </c>
      <c r="F815" s="66">
        <v>15</v>
      </c>
      <c r="G815" s="46">
        <f t="shared" si="114"/>
        <v>167.35</v>
      </c>
      <c r="H815" s="121">
        <v>7282.35</v>
      </c>
      <c r="I815" s="66"/>
      <c r="J815" s="29"/>
      <c r="K815" s="80">
        <v>70.185670999999999</v>
      </c>
      <c r="O815" s="48">
        <f t="shared" si="116"/>
        <v>3.8622715479041414</v>
      </c>
      <c r="R815" s="48">
        <f t="shared" si="117"/>
        <v>1.8462484562775594</v>
      </c>
      <c r="U815" s="48">
        <v>3.8622715479041414</v>
      </c>
      <c r="V815" s="54">
        <v>1.8462484562775594</v>
      </c>
      <c r="W815" s="49">
        <f t="shared" si="115"/>
        <v>0.958667857079467</v>
      </c>
      <c r="X815" s="49"/>
      <c r="Y815" s="49"/>
      <c r="Z815" s="49"/>
      <c r="AQ815" s="29"/>
    </row>
    <row r="816" spans="1:43" s="28" customFormat="1" ht="12.75" customHeight="1">
      <c r="A816" s="64" t="s">
        <v>182</v>
      </c>
      <c r="B816" s="23" t="s">
        <v>183</v>
      </c>
      <c r="C816" s="77" t="s">
        <v>179</v>
      </c>
      <c r="D816" s="78">
        <v>1995</v>
      </c>
      <c r="E816" s="26">
        <v>9</v>
      </c>
      <c r="F816" s="66">
        <v>7</v>
      </c>
      <c r="G816" s="46">
        <f t="shared" si="114"/>
        <v>250.76</v>
      </c>
      <c r="H816" s="121">
        <v>6149.54</v>
      </c>
      <c r="I816" s="66"/>
      <c r="J816" s="29"/>
      <c r="K816" s="80">
        <v>86.368670999999992</v>
      </c>
      <c r="O816" s="48">
        <f t="shared" si="116"/>
        <v>3.7888426307456076</v>
      </c>
      <c r="R816" s="48">
        <f t="shared" si="117"/>
        <v>1.936356236932385</v>
      </c>
      <c r="U816" s="48">
        <v>3.7888426307456076</v>
      </c>
      <c r="V816" s="54">
        <v>1.936356236932385</v>
      </c>
      <c r="W816" s="49">
        <f t="shared" si="115"/>
        <v>0.89470781215317208</v>
      </c>
      <c r="X816" s="49"/>
      <c r="Y816" s="49"/>
      <c r="Z816" s="49"/>
      <c r="AQ816" s="29"/>
    </row>
    <row r="817" spans="1:43" s="28" customFormat="1" ht="12.75" customHeight="1">
      <c r="A817" s="64" t="s">
        <v>182</v>
      </c>
      <c r="B817" s="23" t="s">
        <v>183</v>
      </c>
      <c r="C817" s="77" t="s">
        <v>179</v>
      </c>
      <c r="D817" s="78">
        <v>1995</v>
      </c>
      <c r="E817" s="26">
        <v>9</v>
      </c>
      <c r="F817" s="66">
        <v>7</v>
      </c>
      <c r="G817" s="46">
        <f t="shared" si="114"/>
        <v>250.76</v>
      </c>
      <c r="H817" s="121">
        <v>4854.8999999999996</v>
      </c>
      <c r="I817" s="66"/>
      <c r="J817" s="29"/>
      <c r="K817" s="80">
        <v>80.364778000000001</v>
      </c>
      <c r="O817" s="48">
        <f t="shared" si="116"/>
        <v>3.6861802888484601</v>
      </c>
      <c r="R817" s="48">
        <f t="shared" si="117"/>
        <v>1.9050657493473431</v>
      </c>
      <c r="U817" s="48">
        <v>3.6861802888484601</v>
      </c>
      <c r="V817" s="54">
        <v>1.9050657493473431</v>
      </c>
      <c r="W817" s="49">
        <f t="shared" si="115"/>
        <v>0.9553057051523498</v>
      </c>
      <c r="X817" s="49"/>
      <c r="Y817" s="49"/>
      <c r="Z817" s="49"/>
      <c r="AQ817" s="29"/>
    </row>
    <row r="818" spans="1:43" s="28" customFormat="1" ht="12.75" customHeight="1">
      <c r="A818" s="64" t="s">
        <v>182</v>
      </c>
      <c r="B818" s="23" t="s">
        <v>183</v>
      </c>
      <c r="C818" s="77" t="s">
        <v>179</v>
      </c>
      <c r="D818" s="78">
        <v>1995</v>
      </c>
      <c r="E818" s="26">
        <v>9</v>
      </c>
      <c r="F818" s="66">
        <v>7</v>
      </c>
      <c r="G818" s="46">
        <f t="shared" si="114"/>
        <v>250.76</v>
      </c>
      <c r="H818" s="121">
        <v>10033.459999999999</v>
      </c>
      <c r="I818" s="66"/>
      <c r="J818" s="29"/>
      <c r="K818" s="80">
        <v>133.78486100000001</v>
      </c>
      <c r="O818" s="48">
        <f t="shared" si="116"/>
        <v>4.0014507236270518</v>
      </c>
      <c r="R818" s="48">
        <f t="shared" si="117"/>
        <v>2.1264069717565692</v>
      </c>
      <c r="U818" s="48">
        <v>4.0014507236270518</v>
      </c>
      <c r="V818" s="54">
        <v>2.1264069717565692</v>
      </c>
      <c r="W818" s="49">
        <f t="shared" si="115"/>
        <v>0.64973706222730543</v>
      </c>
      <c r="X818" s="49"/>
      <c r="Y818" s="49"/>
      <c r="Z818" s="49"/>
      <c r="AQ818" s="29"/>
    </row>
    <row r="819" spans="1:43" s="28" customFormat="1" ht="12.75" customHeight="1">
      <c r="A819" s="64" t="s">
        <v>182</v>
      </c>
      <c r="B819" s="23" t="s">
        <v>183</v>
      </c>
      <c r="C819" s="77" t="s">
        <v>179</v>
      </c>
      <c r="D819" s="78">
        <v>1995</v>
      </c>
      <c r="E819" s="26">
        <v>9</v>
      </c>
      <c r="F819" s="66">
        <v>7</v>
      </c>
      <c r="G819" s="46">
        <f t="shared" si="114"/>
        <v>250.76</v>
      </c>
      <c r="H819" s="121">
        <v>6635.03</v>
      </c>
      <c r="I819" s="66"/>
      <c r="J819" s="29"/>
      <c r="K819" s="80">
        <v>89.767100999999997</v>
      </c>
      <c r="O819" s="48">
        <f t="shared" si="116"/>
        <v>3.8218428908485329</v>
      </c>
      <c r="R819" s="48">
        <f t="shared" si="117"/>
        <v>1.9531172000076331</v>
      </c>
      <c r="U819" s="48">
        <v>3.8218428908485329</v>
      </c>
      <c r="V819" s="54">
        <v>1.9531172000076331</v>
      </c>
      <c r="W819" s="49">
        <f t="shared" si="115"/>
        <v>0.86883513976846838</v>
      </c>
      <c r="X819" s="49"/>
      <c r="Y819" s="49"/>
      <c r="Z819" s="49"/>
      <c r="AQ819" s="29"/>
    </row>
    <row r="820" spans="1:43" s="28" customFormat="1" ht="12.75" customHeight="1">
      <c r="A820" s="64" t="s">
        <v>182</v>
      </c>
      <c r="B820" s="23" t="s">
        <v>183</v>
      </c>
      <c r="C820" s="77" t="s">
        <v>179</v>
      </c>
      <c r="D820" s="78">
        <v>1995</v>
      </c>
      <c r="E820" s="26">
        <v>12</v>
      </c>
      <c r="F820" s="66">
        <v>7</v>
      </c>
      <c r="G820" s="46">
        <f t="shared" si="114"/>
        <v>342.16999999999996</v>
      </c>
      <c r="H820" s="121">
        <v>2589.2800000000002</v>
      </c>
      <c r="I820" s="66"/>
      <c r="J820" s="29"/>
      <c r="K820" s="80">
        <v>27.834759999999999</v>
      </c>
      <c r="O820" s="48">
        <f t="shared" si="116"/>
        <v>3.4131790167847225</v>
      </c>
      <c r="R820" s="48">
        <f t="shared" si="117"/>
        <v>1.4445874810363464</v>
      </c>
      <c r="U820" s="48">
        <v>3.4131790167847225</v>
      </c>
      <c r="V820" s="54">
        <v>1.4445874810363464</v>
      </c>
      <c r="W820" s="49">
        <f t="shared" si="115"/>
        <v>1.4763265221085919</v>
      </c>
      <c r="X820" s="49"/>
      <c r="Y820" s="49"/>
      <c r="Z820" s="49"/>
      <c r="AQ820" s="29"/>
    </row>
    <row r="821" spans="1:43" s="28" customFormat="1" ht="12.75" customHeight="1">
      <c r="A821" s="64" t="s">
        <v>182</v>
      </c>
      <c r="B821" s="23" t="s">
        <v>183</v>
      </c>
      <c r="C821" s="77" t="s">
        <v>179</v>
      </c>
      <c r="D821" s="78">
        <v>1995</v>
      </c>
      <c r="E821" s="26">
        <v>12</v>
      </c>
      <c r="F821" s="66">
        <v>7</v>
      </c>
      <c r="G821" s="46">
        <f t="shared" si="114"/>
        <v>342.16999999999996</v>
      </c>
      <c r="H821" s="121">
        <v>3560.26</v>
      </c>
      <c r="I821" s="66"/>
      <c r="J821" s="29"/>
      <c r="K821" s="80">
        <v>29.1294</v>
      </c>
      <c r="O821" s="48">
        <f t="shared" si="116"/>
        <v>3.5514817149510036</v>
      </c>
      <c r="R821" s="48">
        <f t="shared" si="117"/>
        <v>1.4643315392321037</v>
      </c>
      <c r="U821" s="48">
        <v>3.5514817149510036</v>
      </c>
      <c r="V821" s="54">
        <v>1.4643315392321037</v>
      </c>
      <c r="W821" s="49">
        <f t="shared" si="115"/>
        <v>1.4160676046484828</v>
      </c>
      <c r="X821" s="49"/>
      <c r="Y821" s="49"/>
      <c r="Z821" s="49"/>
      <c r="AQ821" s="29"/>
    </row>
    <row r="822" spans="1:43" s="28" customFormat="1" ht="12.75" customHeight="1">
      <c r="A822" s="64" t="s">
        <v>182</v>
      </c>
      <c r="B822" s="23" t="s">
        <v>183</v>
      </c>
      <c r="C822" s="77" t="s">
        <v>179</v>
      </c>
      <c r="D822" s="78">
        <v>1995</v>
      </c>
      <c r="E822" s="26">
        <v>12</v>
      </c>
      <c r="F822" s="66">
        <v>7</v>
      </c>
      <c r="G822" s="46">
        <f t="shared" si="114"/>
        <v>342.16999999999996</v>
      </c>
      <c r="H822" s="121">
        <v>6149.54</v>
      </c>
      <c r="I822" s="66"/>
      <c r="J822" s="29"/>
      <c r="K822" s="80">
        <v>46.76887</v>
      </c>
      <c r="O822" s="48">
        <f t="shared" si="116"/>
        <v>3.7888426307456076</v>
      </c>
      <c r="R822" s="48">
        <f t="shared" si="117"/>
        <v>1.6699568768853454</v>
      </c>
      <c r="U822" s="48">
        <v>3.7888426307456076</v>
      </c>
      <c r="V822" s="54">
        <v>1.6699568768853454</v>
      </c>
      <c r="W822" s="49">
        <f t="shared" si="115"/>
        <v>1.148826161702043</v>
      </c>
      <c r="X822" s="49"/>
      <c r="Y822" s="49"/>
      <c r="Z822" s="49"/>
      <c r="AQ822" s="29"/>
    </row>
    <row r="823" spans="1:43" s="28" customFormat="1" ht="12.75" customHeight="1">
      <c r="A823" s="64" t="s">
        <v>182</v>
      </c>
      <c r="B823" s="23" t="s">
        <v>183</v>
      </c>
      <c r="C823" s="77" t="s">
        <v>179</v>
      </c>
      <c r="D823" s="78">
        <v>1995</v>
      </c>
      <c r="E823" s="26">
        <v>12</v>
      </c>
      <c r="F823" s="66">
        <v>7</v>
      </c>
      <c r="G823" s="46">
        <f t="shared" si="114"/>
        <v>342.16999999999996</v>
      </c>
      <c r="H823" s="121">
        <v>4369.41</v>
      </c>
      <c r="I823" s="66"/>
      <c r="J823" s="29"/>
      <c r="K823" s="80">
        <v>51.461940000000006</v>
      </c>
      <c r="O823" s="48">
        <f t="shared" si="116"/>
        <v>3.6404227982877848</v>
      </c>
      <c r="R823" s="48">
        <f t="shared" si="117"/>
        <v>1.7114861541132302</v>
      </c>
      <c r="U823" s="48">
        <v>3.6404227982877848</v>
      </c>
      <c r="V823" s="54">
        <v>1.7114861541132302</v>
      </c>
      <c r="W823" s="49">
        <f t="shared" si="115"/>
        <v>1.1536667751033605</v>
      </c>
      <c r="X823" s="49"/>
      <c r="Y823" s="49"/>
      <c r="Z823" s="49"/>
      <c r="AQ823" s="29"/>
    </row>
    <row r="824" spans="1:43" s="28" customFormat="1" ht="12.75" customHeight="1">
      <c r="A824" s="64" t="s">
        <v>182</v>
      </c>
      <c r="B824" s="23" t="s">
        <v>183</v>
      </c>
      <c r="C824" s="77" t="s">
        <v>180</v>
      </c>
      <c r="D824" s="78">
        <v>1989</v>
      </c>
      <c r="E824" s="26">
        <v>3</v>
      </c>
      <c r="F824" s="66">
        <v>23</v>
      </c>
      <c r="G824" s="46">
        <f t="shared" si="114"/>
        <v>83.94</v>
      </c>
      <c r="H824" s="121">
        <v>10033.459999999999</v>
      </c>
      <c r="I824" s="66"/>
      <c r="J824" s="29"/>
      <c r="K824" s="80">
        <v>33.806287000000005</v>
      </c>
      <c r="O824" s="48">
        <f t="shared" si="116"/>
        <v>4.0014507236270518</v>
      </c>
      <c r="R824" s="48">
        <f t="shared" si="117"/>
        <v>1.5289974741091061</v>
      </c>
      <c r="U824" s="48">
        <v>4.0014507236270518</v>
      </c>
      <c r="V824" s="54">
        <v>1.5289974741091061</v>
      </c>
      <c r="W824" s="49">
        <f t="shared" si="115"/>
        <v>1.2196059820332206</v>
      </c>
      <c r="X824" s="49"/>
      <c r="Y824" s="49"/>
      <c r="Z824" s="49"/>
      <c r="AQ824" s="29"/>
    </row>
    <row r="825" spans="1:43" s="28" customFormat="1" ht="12.75" customHeight="1">
      <c r="A825" s="64" t="s">
        <v>182</v>
      </c>
      <c r="B825" s="23" t="s">
        <v>183</v>
      </c>
      <c r="C825" s="77" t="s">
        <v>180</v>
      </c>
      <c r="D825" s="78">
        <v>1989</v>
      </c>
      <c r="E825" s="26">
        <v>3</v>
      </c>
      <c r="F825" s="66">
        <v>23</v>
      </c>
      <c r="G825" s="46">
        <f t="shared" si="114"/>
        <v>83.94</v>
      </c>
      <c r="H825" s="121">
        <v>8253.33</v>
      </c>
      <c r="I825" s="66"/>
      <c r="J825" s="29"/>
      <c r="K825" s="80">
        <v>27.219806000000002</v>
      </c>
      <c r="O825" s="48">
        <f t="shared" si="116"/>
        <v>3.9166292102267337</v>
      </c>
      <c r="R825" s="48">
        <f t="shared" si="117"/>
        <v>1.4348850255906909</v>
      </c>
      <c r="U825" s="48">
        <v>3.9166292102267337</v>
      </c>
      <c r="V825" s="54">
        <v>1.4348850255906909</v>
      </c>
      <c r="W825" s="49">
        <f t="shared" si="115"/>
        <v>1.3347859765475618</v>
      </c>
      <c r="X825" s="49"/>
      <c r="Y825" s="49"/>
      <c r="Z825" s="49"/>
      <c r="AQ825" s="29"/>
    </row>
    <row r="826" spans="1:43" s="28" customFormat="1" ht="12.75" customHeight="1">
      <c r="A826" s="64" t="s">
        <v>182</v>
      </c>
      <c r="B826" s="23" t="s">
        <v>183</v>
      </c>
      <c r="C826" s="77" t="s">
        <v>180</v>
      </c>
      <c r="D826" s="78">
        <v>1989</v>
      </c>
      <c r="E826" s="26">
        <v>3</v>
      </c>
      <c r="F826" s="66">
        <v>23</v>
      </c>
      <c r="G826" s="46">
        <f t="shared" si="114"/>
        <v>83.94</v>
      </c>
      <c r="H826" s="121">
        <v>6149.54</v>
      </c>
      <c r="I826" s="66"/>
      <c r="J826" s="29"/>
      <c r="K826" s="80">
        <v>11.732675</v>
      </c>
      <c r="O826" s="48">
        <f t="shared" si="116"/>
        <v>3.7888426307456076</v>
      </c>
      <c r="R826" s="48">
        <f t="shared" si="117"/>
        <v>1.0693970406997912</v>
      </c>
      <c r="U826" s="48">
        <v>3.7888426307456076</v>
      </c>
      <c r="V826" s="54">
        <v>1.0693970406997912</v>
      </c>
      <c r="W826" s="49">
        <f t="shared" si="115"/>
        <v>1.7217001894394433</v>
      </c>
      <c r="X826" s="49"/>
      <c r="Y826" s="49"/>
      <c r="Z826" s="49"/>
      <c r="AQ826" s="29"/>
    </row>
    <row r="827" spans="1:43" s="28" customFormat="1" ht="12.75" customHeight="1">
      <c r="A827" s="64" t="s">
        <v>182</v>
      </c>
      <c r="B827" s="23" t="s">
        <v>183</v>
      </c>
      <c r="C827" s="77" t="s">
        <v>180</v>
      </c>
      <c r="D827" s="78">
        <v>1989</v>
      </c>
      <c r="E827" s="26">
        <v>3</v>
      </c>
      <c r="F827" s="66">
        <v>23</v>
      </c>
      <c r="G827" s="46">
        <f t="shared" ref="G827:G890" si="118">30.47*(E827-1)+F827</f>
        <v>83.94</v>
      </c>
      <c r="H827" s="121">
        <v>6473.2</v>
      </c>
      <c r="I827" s="66"/>
      <c r="J827" s="29"/>
      <c r="K827" s="80">
        <v>19.063574000000003</v>
      </c>
      <c r="O827" s="48">
        <f t="shared" si="116"/>
        <v>3.81111902545676</v>
      </c>
      <c r="R827" s="48">
        <f t="shared" si="117"/>
        <v>1.2802043245798804</v>
      </c>
      <c r="U827" s="48">
        <v>3.81111902545676</v>
      </c>
      <c r="V827" s="54">
        <v>1.2802043245798804</v>
      </c>
      <c r="W827" s="49">
        <f t="shared" ref="W827:W890" si="119">0.9539*(4.064-0.314*U827-V827)</f>
        <v>1.5139387931309265</v>
      </c>
      <c r="X827" s="49"/>
      <c r="Y827" s="49"/>
      <c r="Z827" s="49"/>
      <c r="AQ827" s="29"/>
    </row>
    <row r="828" spans="1:43" s="28" customFormat="1" ht="12.75" customHeight="1">
      <c r="A828" s="64" t="s">
        <v>182</v>
      </c>
      <c r="B828" s="23" t="s">
        <v>183</v>
      </c>
      <c r="C828" s="77" t="s">
        <v>180</v>
      </c>
      <c r="D828" s="78">
        <v>1989</v>
      </c>
      <c r="E828" s="26">
        <v>7</v>
      </c>
      <c r="F828" s="66">
        <v>12</v>
      </c>
      <c r="G828" s="46">
        <f t="shared" si="118"/>
        <v>194.82</v>
      </c>
      <c r="H828" s="121">
        <v>7444.18</v>
      </c>
      <c r="I828" s="66"/>
      <c r="J828" s="29"/>
      <c r="K828" s="80">
        <v>85.98027900000001</v>
      </c>
      <c r="O828" s="48">
        <f t="shared" si="116"/>
        <v>3.8718168658103718</v>
      </c>
      <c r="R828" s="48">
        <f t="shared" si="117"/>
        <v>1.9343988500385347</v>
      </c>
      <c r="U828" s="48">
        <v>3.8718168658103718</v>
      </c>
      <c r="V828" s="54">
        <v>1.9343988500385347</v>
      </c>
      <c r="W828" s="49">
        <f t="shared" si="119"/>
        <v>0.87172213894313633</v>
      </c>
      <c r="X828" s="49"/>
      <c r="Y828" s="49"/>
      <c r="Z828" s="49"/>
      <c r="AQ828" s="29"/>
    </row>
    <row r="829" spans="1:43" s="28" customFormat="1" ht="12.75" customHeight="1">
      <c r="A829" s="64" t="s">
        <v>182</v>
      </c>
      <c r="B829" s="23" t="s">
        <v>183</v>
      </c>
      <c r="C829" s="77" t="s">
        <v>180</v>
      </c>
      <c r="D829" s="78">
        <v>1989</v>
      </c>
      <c r="E829" s="26">
        <v>7</v>
      </c>
      <c r="F829" s="66">
        <v>12</v>
      </c>
      <c r="G829" s="46">
        <f t="shared" si="118"/>
        <v>194.82</v>
      </c>
      <c r="H829" s="121">
        <v>7120.52</v>
      </c>
      <c r="I829" s="66"/>
      <c r="J829" s="29"/>
      <c r="K829" s="80">
        <v>69.716364000000013</v>
      </c>
      <c r="O829" s="48">
        <f t="shared" si="116"/>
        <v>3.8525117106149849</v>
      </c>
      <c r="R829" s="48">
        <f t="shared" si="117"/>
        <v>1.8433347287547417</v>
      </c>
      <c r="U829" s="48">
        <v>3.8525117106149849</v>
      </c>
      <c r="V829" s="54">
        <v>1.8433347287547417</v>
      </c>
      <c r="W829" s="49">
        <f t="shared" si="119"/>
        <v>0.9643705731235831</v>
      </c>
      <c r="X829" s="49"/>
      <c r="Y829" s="49"/>
      <c r="Z829" s="49"/>
      <c r="AQ829" s="29"/>
    </row>
    <row r="830" spans="1:43" s="28" customFormat="1" ht="12.75" customHeight="1">
      <c r="A830" s="64" t="s">
        <v>182</v>
      </c>
      <c r="B830" s="23" t="s">
        <v>183</v>
      </c>
      <c r="C830" s="77" t="s">
        <v>180</v>
      </c>
      <c r="D830" s="78">
        <v>1989</v>
      </c>
      <c r="E830" s="26">
        <v>7</v>
      </c>
      <c r="F830" s="66">
        <v>12</v>
      </c>
      <c r="G830" s="46">
        <f t="shared" si="118"/>
        <v>194.82</v>
      </c>
      <c r="H830" s="121">
        <v>9709.7999999999993</v>
      </c>
      <c r="I830" s="66"/>
      <c r="J830" s="29"/>
      <c r="K830" s="80">
        <v>116.42050200000001</v>
      </c>
      <c r="O830" s="48">
        <f t="shared" si="116"/>
        <v>3.9872102845124413</v>
      </c>
      <c r="R830" s="48">
        <f t="shared" si="117"/>
        <v>2.06602946761129</v>
      </c>
      <c r="U830" s="48">
        <v>3.9872102845124413</v>
      </c>
      <c r="V830" s="54">
        <v>2.06602946761129</v>
      </c>
      <c r="W830" s="49">
        <f t="shared" si="119"/>
        <v>0.71159652526111539</v>
      </c>
      <c r="X830" s="49"/>
      <c r="Y830" s="49"/>
      <c r="Z830" s="49"/>
      <c r="AQ830" s="29"/>
    </row>
    <row r="831" spans="1:43" s="28" customFormat="1" ht="12.75" customHeight="1">
      <c r="A831" s="64" t="s">
        <v>182</v>
      </c>
      <c r="B831" s="23" t="s">
        <v>183</v>
      </c>
      <c r="C831" s="77" t="s">
        <v>180</v>
      </c>
      <c r="D831" s="78">
        <v>1989</v>
      </c>
      <c r="E831" s="26">
        <v>7</v>
      </c>
      <c r="F831" s="66">
        <v>12</v>
      </c>
      <c r="G831" s="46">
        <f t="shared" si="118"/>
        <v>194.82</v>
      </c>
      <c r="H831" s="121">
        <v>8415.16</v>
      </c>
      <c r="I831" s="66"/>
      <c r="J831" s="29"/>
      <c r="K831" s="80">
        <v>113.20008500000002</v>
      </c>
      <c r="O831" s="48">
        <f t="shared" si="116"/>
        <v>3.9250623777635969</v>
      </c>
      <c r="R831" s="48">
        <f t="shared" si="117"/>
        <v>2.0538467529566442</v>
      </c>
      <c r="U831" s="48">
        <v>3.9250623777635969</v>
      </c>
      <c r="V831" s="54">
        <v>2.0538467529566442</v>
      </c>
      <c r="W831" s="49">
        <f t="shared" si="119"/>
        <v>0.74183244367996681</v>
      </c>
      <c r="X831" s="49"/>
      <c r="Y831" s="49"/>
      <c r="Z831" s="49"/>
      <c r="AQ831" s="29"/>
    </row>
    <row r="832" spans="1:43" s="28" customFormat="1" ht="12.75" customHeight="1">
      <c r="A832" s="64" t="s">
        <v>182</v>
      </c>
      <c r="B832" s="23" t="s">
        <v>183</v>
      </c>
      <c r="C832" s="77" t="s">
        <v>180</v>
      </c>
      <c r="D832" s="78">
        <v>1989</v>
      </c>
      <c r="E832" s="26">
        <v>9</v>
      </c>
      <c r="F832" s="66">
        <v>12</v>
      </c>
      <c r="G832" s="46">
        <f t="shared" si="118"/>
        <v>255.76</v>
      </c>
      <c r="H832" s="121">
        <v>6635.03</v>
      </c>
      <c r="I832" s="66"/>
      <c r="J832" s="29"/>
      <c r="K832" s="80">
        <v>68.518822</v>
      </c>
      <c r="O832" s="48">
        <f t="shared" si="116"/>
        <v>3.8218428908485329</v>
      </c>
      <c r="R832" s="48">
        <f t="shared" si="117"/>
        <v>1.8358098878121907</v>
      </c>
      <c r="U832" s="48">
        <v>3.8218428908485329</v>
      </c>
      <c r="V832" s="54">
        <v>1.8358098878121907</v>
      </c>
      <c r="W832" s="49">
        <f t="shared" si="119"/>
        <v>0.98073458487170084</v>
      </c>
      <c r="X832" s="49"/>
      <c r="Y832" s="49"/>
      <c r="Z832" s="49"/>
      <c r="AQ832" s="29"/>
    </row>
    <row r="833" spans="1:43" s="28" customFormat="1" ht="12.75" customHeight="1">
      <c r="A833" s="64" t="s">
        <v>182</v>
      </c>
      <c r="B833" s="23" t="s">
        <v>183</v>
      </c>
      <c r="C833" s="77" t="s">
        <v>180</v>
      </c>
      <c r="D833" s="78">
        <v>1989</v>
      </c>
      <c r="E833" s="26">
        <v>9</v>
      </c>
      <c r="F833" s="66">
        <v>12</v>
      </c>
      <c r="G833" s="46">
        <f t="shared" si="118"/>
        <v>255.76</v>
      </c>
      <c r="H833" s="121">
        <v>7767.84</v>
      </c>
      <c r="I833" s="66"/>
      <c r="J833" s="29"/>
      <c r="K833" s="80">
        <v>80.186765000000008</v>
      </c>
      <c r="O833" s="48">
        <f t="shared" si="116"/>
        <v>3.8903002715043846</v>
      </c>
      <c r="R833" s="48">
        <f t="shared" si="117"/>
        <v>1.9041026929500917</v>
      </c>
      <c r="U833" s="48">
        <v>3.8903002715043846</v>
      </c>
      <c r="V833" s="54">
        <v>1.9041026929500917</v>
      </c>
      <c r="W833" s="49">
        <f t="shared" si="119"/>
        <v>0.89508540849266549</v>
      </c>
      <c r="X833" s="49"/>
      <c r="Y833" s="49"/>
      <c r="Z833" s="49"/>
      <c r="AQ833" s="29"/>
    </row>
    <row r="834" spans="1:43" s="28" customFormat="1" ht="12.75" customHeight="1">
      <c r="A834" s="64" t="s">
        <v>182</v>
      </c>
      <c r="B834" s="23" t="s">
        <v>183</v>
      </c>
      <c r="C834" s="77" t="s">
        <v>180</v>
      </c>
      <c r="D834" s="78">
        <v>1989</v>
      </c>
      <c r="E834" s="26">
        <v>9</v>
      </c>
      <c r="F834" s="66">
        <v>12</v>
      </c>
      <c r="G834" s="46">
        <f t="shared" si="118"/>
        <v>255.76</v>
      </c>
      <c r="H834" s="121">
        <v>4369.41</v>
      </c>
      <c r="I834" s="66"/>
      <c r="J834" s="29"/>
      <c r="K834" s="80">
        <v>27.138891000000001</v>
      </c>
      <c r="O834" s="48">
        <f t="shared" si="116"/>
        <v>3.6404227982877848</v>
      </c>
      <c r="R834" s="48">
        <f t="shared" si="117"/>
        <v>1.4335920967348834</v>
      </c>
      <c r="U834" s="48">
        <v>3.6404227982877848</v>
      </c>
      <c r="V834" s="54">
        <v>1.4335920967348834</v>
      </c>
      <c r="W834" s="49">
        <f t="shared" si="119"/>
        <v>1.4187499164365656</v>
      </c>
      <c r="X834" s="49"/>
      <c r="Y834" s="49"/>
      <c r="Z834" s="49"/>
      <c r="AQ834" s="29"/>
    </row>
    <row r="835" spans="1:43" s="28" customFormat="1" ht="12.75" customHeight="1">
      <c r="A835" s="64" t="s">
        <v>182</v>
      </c>
      <c r="B835" s="23" t="s">
        <v>183</v>
      </c>
      <c r="C835" s="77" t="s">
        <v>180</v>
      </c>
      <c r="D835" s="78">
        <v>1989</v>
      </c>
      <c r="E835" s="26">
        <v>9</v>
      </c>
      <c r="F835" s="66">
        <v>12</v>
      </c>
      <c r="G835" s="46">
        <f t="shared" si="118"/>
        <v>255.76</v>
      </c>
      <c r="H835" s="121">
        <v>6149.54</v>
      </c>
      <c r="I835" s="66"/>
      <c r="J835" s="29"/>
      <c r="K835" s="80">
        <v>26.669584000000004</v>
      </c>
      <c r="O835" s="48">
        <f t="shared" si="116"/>
        <v>3.7888426307456076</v>
      </c>
      <c r="R835" s="48">
        <f t="shared" si="117"/>
        <v>1.4260162414898947</v>
      </c>
      <c r="U835" s="48">
        <v>3.7888426307456076</v>
      </c>
      <c r="V835" s="54">
        <v>1.4260162414898947</v>
      </c>
      <c r="W835" s="49">
        <f t="shared" si="119"/>
        <v>1.3815211338057636</v>
      </c>
      <c r="X835" s="49"/>
      <c r="Y835" s="49"/>
      <c r="Z835" s="49"/>
      <c r="AQ835" s="29"/>
    </row>
    <row r="836" spans="1:43" s="28" customFormat="1" ht="12.75" customHeight="1">
      <c r="A836" s="64" t="s">
        <v>182</v>
      </c>
      <c r="B836" s="23" t="s">
        <v>183</v>
      </c>
      <c r="C836" s="77" t="s">
        <v>180</v>
      </c>
      <c r="D836" s="78">
        <v>1999</v>
      </c>
      <c r="E836" s="26">
        <v>11</v>
      </c>
      <c r="F836" s="66">
        <v>8</v>
      </c>
      <c r="G836" s="46">
        <f t="shared" si="118"/>
        <v>312.7</v>
      </c>
      <c r="H836" s="121">
        <v>7929.67</v>
      </c>
      <c r="I836" s="66"/>
      <c r="J836" s="29"/>
      <c r="K836" s="80">
        <v>90.123126999999997</v>
      </c>
      <c r="O836" s="48">
        <f t="shared" si="116"/>
        <v>3.8992551141573113</v>
      </c>
      <c r="R836" s="48">
        <f t="shared" si="117"/>
        <v>1.9548362520185567</v>
      </c>
      <c r="U836" s="48">
        <v>3.8992551141573113</v>
      </c>
      <c r="V836" s="54">
        <v>1.9548362520185567</v>
      </c>
      <c r="W836" s="49">
        <f t="shared" si="119"/>
        <v>0.84400847083357566</v>
      </c>
      <c r="X836" s="49"/>
      <c r="Y836" s="49"/>
      <c r="Z836" s="49"/>
      <c r="AQ836" s="29"/>
    </row>
    <row r="837" spans="1:43" s="28" customFormat="1" ht="12.75" customHeight="1">
      <c r="A837" s="64" t="s">
        <v>182</v>
      </c>
      <c r="B837" s="23" t="s">
        <v>183</v>
      </c>
      <c r="C837" s="77" t="s">
        <v>180</v>
      </c>
      <c r="D837" s="78">
        <v>1999</v>
      </c>
      <c r="E837" s="26">
        <v>11</v>
      </c>
      <c r="F837" s="66">
        <v>8</v>
      </c>
      <c r="G837" s="46">
        <f t="shared" si="118"/>
        <v>312.7</v>
      </c>
      <c r="H837" s="121">
        <v>8091.5</v>
      </c>
      <c r="I837" s="66"/>
      <c r="J837" s="29"/>
      <c r="K837" s="80">
        <v>67.531659000000005</v>
      </c>
      <c r="O837" s="48">
        <f t="shared" si="116"/>
        <v>3.9080290384648162</v>
      </c>
      <c r="R837" s="48">
        <f t="shared" si="117"/>
        <v>1.8295074188405065</v>
      </c>
      <c r="U837" s="48">
        <v>3.9080290384648162</v>
      </c>
      <c r="V837" s="54">
        <v>1.8295074188405065</v>
      </c>
      <c r="W837" s="49">
        <f t="shared" si="119"/>
        <v>0.9609316386334823</v>
      </c>
      <c r="X837" s="49"/>
      <c r="Y837" s="49"/>
      <c r="Z837" s="49"/>
      <c r="AQ837" s="29"/>
    </row>
    <row r="838" spans="1:43" s="28" customFormat="1" ht="12.75" customHeight="1">
      <c r="A838" s="64" t="s">
        <v>182</v>
      </c>
      <c r="B838" s="23" t="s">
        <v>183</v>
      </c>
      <c r="C838" s="77" t="s">
        <v>180</v>
      </c>
      <c r="D838" s="78">
        <v>1999</v>
      </c>
      <c r="E838" s="26">
        <v>11</v>
      </c>
      <c r="F838" s="66">
        <v>8</v>
      </c>
      <c r="G838" s="46">
        <f t="shared" si="118"/>
        <v>312.7</v>
      </c>
      <c r="H838" s="121">
        <v>6473.2</v>
      </c>
      <c r="I838" s="66"/>
      <c r="J838" s="29"/>
      <c r="K838" s="80">
        <v>55.345860000000009</v>
      </c>
      <c r="O838" s="48">
        <f t="shared" si="116"/>
        <v>3.81111902545676</v>
      </c>
      <c r="R838" s="48">
        <f t="shared" si="117"/>
        <v>1.7430851401849325</v>
      </c>
      <c r="U838" s="48">
        <v>3.81111902545676</v>
      </c>
      <c r="V838" s="54">
        <v>1.7430851401849325</v>
      </c>
      <c r="W838" s="49">
        <f t="shared" si="119"/>
        <v>1.0723967831252672</v>
      </c>
      <c r="X838" s="49"/>
      <c r="Y838" s="49"/>
      <c r="Z838" s="49"/>
      <c r="AQ838" s="29"/>
    </row>
    <row r="839" spans="1:43" s="28" customFormat="1" ht="12.75" customHeight="1">
      <c r="A839" s="64" t="s">
        <v>182</v>
      </c>
      <c r="B839" s="23" t="s">
        <v>183</v>
      </c>
      <c r="C839" s="77" t="s">
        <v>180</v>
      </c>
      <c r="D839" s="78">
        <v>1999</v>
      </c>
      <c r="E839" s="26">
        <v>11</v>
      </c>
      <c r="F839" s="66">
        <v>8</v>
      </c>
      <c r="G839" s="46">
        <f t="shared" si="118"/>
        <v>312.7</v>
      </c>
      <c r="H839" s="121">
        <v>9386.14</v>
      </c>
      <c r="I839" s="66"/>
      <c r="J839" s="29"/>
      <c r="K839" s="80">
        <v>70.266586000000004</v>
      </c>
      <c r="O839" s="48">
        <f t="shared" si="116"/>
        <v>3.9724870276917348</v>
      </c>
      <c r="R839" s="48">
        <f t="shared" si="117"/>
        <v>1.8467488532471987</v>
      </c>
      <c r="U839" s="48">
        <v>3.9724870276917348</v>
      </c>
      <c r="V839" s="54">
        <v>1.8467488532471987</v>
      </c>
      <c r="W839" s="49">
        <f t="shared" si="119"/>
        <v>0.92517828091294152</v>
      </c>
      <c r="X839" s="49"/>
      <c r="Y839" s="49"/>
      <c r="Z839" s="49"/>
      <c r="AQ839" s="29"/>
    </row>
    <row r="840" spans="1:43" s="28" customFormat="1" ht="12.75" customHeight="1">
      <c r="A840" s="64" t="s">
        <v>182</v>
      </c>
      <c r="B840" s="23" t="s">
        <v>183</v>
      </c>
      <c r="C840" s="77" t="s">
        <v>180</v>
      </c>
      <c r="D840" s="78">
        <v>1990</v>
      </c>
      <c r="E840" s="26">
        <v>1</v>
      </c>
      <c r="F840" s="66">
        <v>9</v>
      </c>
      <c r="G840" s="46">
        <f t="shared" si="118"/>
        <v>9</v>
      </c>
      <c r="H840" s="121">
        <v>4369.41</v>
      </c>
      <c r="I840" s="66"/>
      <c r="J840" s="29"/>
      <c r="K840" s="80">
        <v>46.704138000000007</v>
      </c>
      <c r="O840" s="48">
        <f t="shared" ref="O840:O903" si="120">LOG10(H840)</f>
        <v>3.6404227982877848</v>
      </c>
      <c r="R840" s="48">
        <f t="shared" ref="R840:R903" si="121">LOG10(K840)</f>
        <v>1.669355360886273</v>
      </c>
      <c r="U840" s="48">
        <v>3.6404227982877848</v>
      </c>
      <c r="V840" s="54">
        <v>1.669355360886273</v>
      </c>
      <c r="W840" s="49">
        <f t="shared" si="119"/>
        <v>1.193855338762555</v>
      </c>
      <c r="X840" s="49"/>
      <c r="Y840" s="49"/>
      <c r="Z840" s="49"/>
      <c r="AQ840" s="29"/>
    </row>
    <row r="841" spans="1:43" s="28" customFormat="1" ht="12.75" customHeight="1">
      <c r="A841" s="64" t="s">
        <v>182</v>
      </c>
      <c r="B841" s="23" t="s">
        <v>183</v>
      </c>
      <c r="C841" s="77" t="s">
        <v>180</v>
      </c>
      <c r="D841" s="78">
        <v>1990</v>
      </c>
      <c r="E841" s="26">
        <v>1</v>
      </c>
      <c r="F841" s="66">
        <v>9</v>
      </c>
      <c r="G841" s="46">
        <f t="shared" si="118"/>
        <v>9</v>
      </c>
      <c r="H841" s="121">
        <v>6958.69</v>
      </c>
      <c r="I841" s="66"/>
      <c r="J841" s="29"/>
      <c r="K841" s="80">
        <v>44.114858000000005</v>
      </c>
      <c r="O841" s="48">
        <f t="shared" si="120"/>
        <v>3.8425274897083841</v>
      </c>
      <c r="R841" s="48">
        <f t="shared" si="121"/>
        <v>1.6445848856274523</v>
      </c>
      <c r="U841" s="48">
        <v>3.8425274897083841</v>
      </c>
      <c r="V841" s="54">
        <v>1.6445848856274523</v>
      </c>
      <c r="W841" s="49">
        <f t="shared" si="119"/>
        <v>1.1569485682560654</v>
      </c>
      <c r="X841" s="49"/>
      <c r="Y841" s="49"/>
      <c r="Z841" s="49"/>
      <c r="AQ841" s="29"/>
    </row>
    <row r="842" spans="1:43" s="28" customFormat="1" ht="12.75" customHeight="1">
      <c r="A842" s="64" t="s">
        <v>182</v>
      </c>
      <c r="B842" s="23" t="s">
        <v>183</v>
      </c>
      <c r="C842" s="77" t="s">
        <v>180</v>
      </c>
      <c r="D842" s="78">
        <v>1990</v>
      </c>
      <c r="E842" s="26">
        <v>1</v>
      </c>
      <c r="F842" s="66">
        <v>9</v>
      </c>
      <c r="G842" s="46">
        <f t="shared" si="118"/>
        <v>9</v>
      </c>
      <c r="H842" s="121">
        <v>8253.33</v>
      </c>
      <c r="I842" s="66"/>
      <c r="J842" s="29"/>
      <c r="K842" s="80">
        <v>60.880445999999999</v>
      </c>
      <c r="O842" s="48">
        <f t="shared" si="120"/>
        <v>3.9166292102267337</v>
      </c>
      <c r="R842" s="48">
        <f t="shared" si="121"/>
        <v>1.7844778253431577</v>
      </c>
      <c r="U842" s="48">
        <v>3.9166292102267337</v>
      </c>
      <c r="V842" s="54">
        <v>1.7844778253431577</v>
      </c>
      <c r="W842" s="49">
        <f t="shared" si="119"/>
        <v>1.0013094048636837</v>
      </c>
      <c r="X842" s="49"/>
      <c r="Y842" s="49"/>
      <c r="Z842" s="49"/>
      <c r="AQ842" s="29"/>
    </row>
    <row r="843" spans="1:43" s="28" customFormat="1" ht="12.75" customHeight="1">
      <c r="A843" s="64" t="s">
        <v>182</v>
      </c>
      <c r="B843" s="23" t="s">
        <v>183</v>
      </c>
      <c r="C843" s="77" t="s">
        <v>180</v>
      </c>
      <c r="D843" s="78">
        <v>1990</v>
      </c>
      <c r="E843" s="26">
        <v>1</v>
      </c>
      <c r="F843" s="66">
        <v>9</v>
      </c>
      <c r="G843" s="46">
        <f t="shared" si="118"/>
        <v>9</v>
      </c>
      <c r="H843" s="121">
        <v>7120.52</v>
      </c>
      <c r="I843" s="66"/>
      <c r="J843" s="29"/>
      <c r="K843" s="80">
        <v>67.434561000000002</v>
      </c>
      <c r="O843" s="48">
        <f t="shared" si="120"/>
        <v>3.8525117106149849</v>
      </c>
      <c r="R843" s="48">
        <f t="shared" si="121"/>
        <v>1.8288825345860755</v>
      </c>
      <c r="U843" s="48">
        <v>3.8525117106149849</v>
      </c>
      <c r="V843" s="54">
        <v>1.8288825345860755</v>
      </c>
      <c r="W843" s="49">
        <f t="shared" si="119"/>
        <v>0.97815652114107365</v>
      </c>
      <c r="X843" s="49"/>
      <c r="Y843" s="49"/>
      <c r="Z843" s="49"/>
      <c r="AQ843" s="29"/>
    </row>
    <row r="844" spans="1:43" s="28" customFormat="1" ht="12.75" customHeight="1">
      <c r="A844" s="64" t="s">
        <v>182</v>
      </c>
      <c r="B844" s="23" t="s">
        <v>183</v>
      </c>
      <c r="C844" s="77" t="s">
        <v>180</v>
      </c>
      <c r="D844" s="78">
        <v>1990</v>
      </c>
      <c r="E844" s="26">
        <v>2</v>
      </c>
      <c r="F844" s="66">
        <v>25</v>
      </c>
      <c r="G844" s="46">
        <f t="shared" si="118"/>
        <v>55.47</v>
      </c>
      <c r="H844" s="121">
        <v>5178.5600000000004</v>
      </c>
      <c r="I844" s="66"/>
      <c r="J844" s="29"/>
      <c r="K844" s="80">
        <v>40.878258000000002</v>
      </c>
      <c r="O844" s="48">
        <f t="shared" si="120"/>
        <v>3.7142090124487037</v>
      </c>
      <c r="R844" s="48">
        <f t="shared" si="121"/>
        <v>1.6114923803481096</v>
      </c>
      <c r="U844" s="48">
        <v>3.7142090124487037</v>
      </c>
      <c r="V844" s="54">
        <v>1.6114923803481096</v>
      </c>
      <c r="W844" s="49">
        <f t="shared" si="119"/>
        <v>1.2269500496158452</v>
      </c>
      <c r="X844" s="49"/>
      <c r="Y844" s="49"/>
      <c r="Z844" s="49"/>
      <c r="AQ844" s="29"/>
    </row>
    <row r="845" spans="1:43" s="28" customFormat="1" ht="12.75" customHeight="1">
      <c r="A845" s="64" t="s">
        <v>182</v>
      </c>
      <c r="B845" s="23" t="s">
        <v>183</v>
      </c>
      <c r="C845" s="77" t="s">
        <v>180</v>
      </c>
      <c r="D845" s="78">
        <v>1990</v>
      </c>
      <c r="E845" s="26">
        <v>2</v>
      </c>
      <c r="F845" s="66">
        <v>25</v>
      </c>
      <c r="G845" s="46">
        <f t="shared" si="118"/>
        <v>55.47</v>
      </c>
      <c r="H845" s="121">
        <v>5825.88</v>
      </c>
      <c r="I845" s="66"/>
      <c r="J845" s="29"/>
      <c r="K845" s="80">
        <v>46.979249000000003</v>
      </c>
      <c r="O845" s="48">
        <f t="shared" si="120"/>
        <v>3.7653615348960847</v>
      </c>
      <c r="R845" s="48">
        <f t="shared" si="121"/>
        <v>1.6719060699604713</v>
      </c>
      <c r="U845" s="48">
        <v>3.7653615348960847</v>
      </c>
      <c r="V845" s="54">
        <v>1.6719060699604713</v>
      </c>
      <c r="W845" s="49">
        <f t="shared" si="119"/>
        <v>1.1539999922695703</v>
      </c>
      <c r="X845" s="49"/>
      <c r="Y845" s="49"/>
      <c r="Z845" s="49"/>
      <c r="AQ845" s="29"/>
    </row>
    <row r="846" spans="1:43" s="28" customFormat="1" ht="12.75" customHeight="1">
      <c r="A846" s="64" t="s">
        <v>182</v>
      </c>
      <c r="B846" s="23" t="s">
        <v>183</v>
      </c>
      <c r="C846" s="77" t="s">
        <v>180</v>
      </c>
      <c r="D846" s="78">
        <v>1990</v>
      </c>
      <c r="E846" s="26">
        <v>2</v>
      </c>
      <c r="F846" s="66">
        <v>25</v>
      </c>
      <c r="G846" s="46">
        <f t="shared" si="118"/>
        <v>55.47</v>
      </c>
      <c r="H846" s="121">
        <v>3560.26</v>
      </c>
      <c r="I846" s="66"/>
      <c r="J846" s="29"/>
      <c r="K846" s="80">
        <v>30.844798000000001</v>
      </c>
      <c r="O846" s="48">
        <f t="shared" si="120"/>
        <v>3.5514817149510036</v>
      </c>
      <c r="R846" s="48">
        <f t="shared" si="121"/>
        <v>1.4891819304311051</v>
      </c>
      <c r="U846" s="48">
        <v>3.5514817149510036</v>
      </c>
      <c r="V846" s="54">
        <v>1.4891819304311051</v>
      </c>
      <c r="W846" s="49">
        <f t="shared" si="119"/>
        <v>1.3923628164837554</v>
      </c>
      <c r="X846" s="49"/>
      <c r="Y846" s="49"/>
      <c r="Z846" s="49"/>
      <c r="AQ846" s="29"/>
    </row>
    <row r="847" spans="1:43" s="28" customFormat="1" ht="12.75" customHeight="1">
      <c r="A847" s="64" t="s">
        <v>182</v>
      </c>
      <c r="B847" s="23" t="s">
        <v>183</v>
      </c>
      <c r="C847" s="77" t="s">
        <v>180</v>
      </c>
      <c r="D847" s="78">
        <v>1990</v>
      </c>
      <c r="E847" s="26">
        <v>2</v>
      </c>
      <c r="F847" s="66">
        <v>25</v>
      </c>
      <c r="G847" s="46">
        <f t="shared" si="118"/>
        <v>55.47</v>
      </c>
      <c r="H847" s="121">
        <v>5664.05</v>
      </c>
      <c r="I847" s="66"/>
      <c r="J847" s="29"/>
      <c r="K847" s="80">
        <v>42.545107000000009</v>
      </c>
      <c r="O847" s="48">
        <f t="shared" si="120"/>
        <v>3.7531270784790731</v>
      </c>
      <c r="R847" s="48">
        <f t="shared" si="121"/>
        <v>1.6288496202351603</v>
      </c>
      <c r="U847" s="48">
        <v>3.7531270784790731</v>
      </c>
      <c r="V847" s="54">
        <v>1.6288496202351603</v>
      </c>
      <c r="W847" s="49">
        <f t="shared" si="119"/>
        <v>1.1987360603270676</v>
      </c>
      <c r="X847" s="49"/>
      <c r="Y847" s="49"/>
      <c r="Z847" s="49"/>
      <c r="AQ847" s="29"/>
    </row>
    <row r="848" spans="1:43" s="28" customFormat="1" ht="12.75" customHeight="1">
      <c r="A848" s="64" t="s">
        <v>182</v>
      </c>
      <c r="B848" s="23" t="s">
        <v>183</v>
      </c>
      <c r="C848" s="77" t="s">
        <v>180</v>
      </c>
      <c r="D848" s="78">
        <v>1990</v>
      </c>
      <c r="E848" s="26">
        <v>5</v>
      </c>
      <c r="F848" s="66">
        <v>8</v>
      </c>
      <c r="G848" s="46">
        <f t="shared" si="118"/>
        <v>129.88</v>
      </c>
      <c r="H848" s="121">
        <v>10195.290000000001</v>
      </c>
      <c r="I848" s="66"/>
      <c r="J848" s="29"/>
      <c r="K848" s="80">
        <v>147.08728700000003</v>
      </c>
      <c r="O848" s="48">
        <f t="shared" si="120"/>
        <v>4.0083995835823796</v>
      </c>
      <c r="R848" s="48">
        <f t="shared" si="121"/>
        <v>2.1675751375518386</v>
      </c>
      <c r="U848" s="48">
        <v>4.0083995835823796</v>
      </c>
      <c r="V848" s="54">
        <v>2.1675751375518386</v>
      </c>
      <c r="W848" s="49">
        <f t="shared" si="119"/>
        <v>0.60838539437662231</v>
      </c>
      <c r="X848" s="49"/>
      <c r="Y848" s="49"/>
      <c r="Z848" s="49"/>
      <c r="AQ848" s="29"/>
    </row>
    <row r="849" spans="1:43" s="28" customFormat="1" ht="12.75" customHeight="1">
      <c r="A849" s="64" t="s">
        <v>182</v>
      </c>
      <c r="B849" s="23" t="s">
        <v>183</v>
      </c>
      <c r="C849" s="77" t="s">
        <v>180</v>
      </c>
      <c r="D849" s="78">
        <v>1990</v>
      </c>
      <c r="E849" s="26">
        <v>5</v>
      </c>
      <c r="F849" s="66">
        <v>8</v>
      </c>
      <c r="G849" s="46">
        <f t="shared" si="118"/>
        <v>129.88</v>
      </c>
      <c r="H849" s="121">
        <v>4207.58</v>
      </c>
      <c r="I849" s="66"/>
      <c r="J849" s="29"/>
      <c r="K849" s="80">
        <v>60.265492000000009</v>
      </c>
      <c r="O849" s="48">
        <f t="shared" si="120"/>
        <v>3.6240323820996156</v>
      </c>
      <c r="R849" s="48">
        <f t="shared" si="121"/>
        <v>1.7800687064381027</v>
      </c>
      <c r="U849" s="48">
        <v>3.6240323820996156</v>
      </c>
      <c r="V849" s="54">
        <v>1.7800687064381027</v>
      </c>
      <c r="W849" s="49">
        <f t="shared" si="119"/>
        <v>1.0931552112932594</v>
      </c>
      <c r="X849" s="49"/>
      <c r="Y849" s="49"/>
      <c r="Z849" s="49"/>
      <c r="AQ849" s="29"/>
    </row>
    <row r="850" spans="1:43" s="28" customFormat="1" ht="12.75" customHeight="1">
      <c r="A850" s="64" t="s">
        <v>182</v>
      </c>
      <c r="B850" s="23" t="s">
        <v>183</v>
      </c>
      <c r="C850" s="77" t="s">
        <v>180</v>
      </c>
      <c r="D850" s="78">
        <v>1990</v>
      </c>
      <c r="E850" s="26">
        <v>5</v>
      </c>
      <c r="F850" s="66">
        <v>8</v>
      </c>
      <c r="G850" s="46">
        <f t="shared" si="118"/>
        <v>129.88</v>
      </c>
      <c r="H850" s="121">
        <v>6473.2</v>
      </c>
      <c r="I850" s="66"/>
      <c r="J850" s="29"/>
      <c r="K850" s="80">
        <v>127.16601400000002</v>
      </c>
      <c r="O850" s="48">
        <f t="shared" si="120"/>
        <v>3.81111902545676</v>
      </c>
      <c r="R850" s="48">
        <f t="shared" si="121"/>
        <v>2.1043710586045847</v>
      </c>
      <c r="U850" s="48">
        <v>3.81111902545676</v>
      </c>
      <c r="V850" s="54">
        <v>2.1043710586045847</v>
      </c>
      <c r="W850" s="49">
        <f t="shared" si="119"/>
        <v>0.72776614554476105</v>
      </c>
      <c r="X850" s="49"/>
      <c r="Y850" s="49"/>
      <c r="Z850" s="49"/>
      <c r="AQ850" s="29"/>
    </row>
    <row r="851" spans="1:43" s="28" customFormat="1" ht="12.75" customHeight="1">
      <c r="A851" s="64" t="s">
        <v>182</v>
      </c>
      <c r="B851" s="23" t="s">
        <v>183</v>
      </c>
      <c r="C851" s="77" t="s">
        <v>180</v>
      </c>
      <c r="D851" s="78">
        <v>1990</v>
      </c>
      <c r="E851" s="26">
        <v>5</v>
      </c>
      <c r="F851" s="66">
        <v>8</v>
      </c>
      <c r="G851" s="46">
        <f t="shared" si="118"/>
        <v>129.88</v>
      </c>
      <c r="H851" s="121">
        <v>9224.31</v>
      </c>
      <c r="I851" s="66"/>
      <c r="J851" s="29"/>
      <c r="K851" s="80">
        <v>125.38588400000002</v>
      </c>
      <c r="O851" s="48">
        <f t="shared" si="120"/>
        <v>3.9649338898012889</v>
      </c>
      <c r="R851" s="48">
        <f t="shared" si="121"/>
        <v>2.0982486461758709</v>
      </c>
      <c r="U851" s="48">
        <v>3.9649338898012889</v>
      </c>
      <c r="V851" s="54">
        <v>2.0982486461758709</v>
      </c>
      <c r="W851" s="49">
        <f t="shared" si="119"/>
        <v>0.6875349790436619</v>
      </c>
      <c r="X851" s="49"/>
      <c r="Y851" s="49"/>
      <c r="Z851" s="49"/>
      <c r="AQ851" s="29"/>
    </row>
    <row r="852" spans="1:43" s="28" customFormat="1" ht="12.75" customHeight="1">
      <c r="A852" s="64" t="s">
        <v>182</v>
      </c>
      <c r="B852" s="23" t="s">
        <v>183</v>
      </c>
      <c r="C852" s="77" t="s">
        <v>180</v>
      </c>
      <c r="D852" s="78">
        <v>1990</v>
      </c>
      <c r="E852" s="26">
        <v>7</v>
      </c>
      <c r="F852" s="66">
        <v>5</v>
      </c>
      <c r="G852" s="46">
        <f t="shared" si="118"/>
        <v>187.82</v>
      </c>
      <c r="H852" s="121">
        <v>7120.52</v>
      </c>
      <c r="I852" s="66"/>
      <c r="J852" s="29"/>
      <c r="K852" s="80">
        <v>154.33727100000002</v>
      </c>
      <c r="O852" s="48">
        <f t="shared" si="120"/>
        <v>3.8525117106149849</v>
      </c>
      <c r="R852" s="48">
        <f t="shared" si="121"/>
        <v>2.1884708167632327</v>
      </c>
      <c r="U852" s="48">
        <v>3.8525117106149849</v>
      </c>
      <c r="V852" s="54">
        <v>2.1884708167632327</v>
      </c>
      <c r="W852" s="49">
        <f t="shared" si="119"/>
        <v>0.63514525877228345</v>
      </c>
      <c r="X852" s="49"/>
      <c r="Y852" s="49"/>
      <c r="Z852" s="49"/>
      <c r="AQ852" s="29"/>
    </row>
    <row r="853" spans="1:43" s="28" customFormat="1" ht="12.75" customHeight="1">
      <c r="A853" s="64" t="s">
        <v>182</v>
      </c>
      <c r="B853" s="23" t="s">
        <v>183</v>
      </c>
      <c r="C853" s="77" t="s">
        <v>180</v>
      </c>
      <c r="D853" s="78">
        <v>1990</v>
      </c>
      <c r="E853" s="26">
        <v>7</v>
      </c>
      <c r="F853" s="66">
        <v>5</v>
      </c>
      <c r="G853" s="46">
        <f t="shared" si="118"/>
        <v>187.82</v>
      </c>
      <c r="H853" s="121">
        <v>4369.41</v>
      </c>
      <c r="I853" s="66"/>
      <c r="J853" s="29"/>
      <c r="K853" s="80">
        <v>127.91043200000001</v>
      </c>
      <c r="O853" s="48">
        <f t="shared" si="120"/>
        <v>3.6404227982877848</v>
      </c>
      <c r="R853" s="48">
        <f t="shared" si="121"/>
        <v>2.1069059657083695</v>
      </c>
      <c r="U853" s="48">
        <v>3.6404227982877848</v>
      </c>
      <c r="V853" s="54">
        <v>2.1069059657083695</v>
      </c>
      <c r="W853" s="49">
        <f t="shared" si="119"/>
        <v>0.77647581682275713</v>
      </c>
      <c r="X853" s="49"/>
      <c r="Y853" s="49"/>
      <c r="Z853" s="49"/>
      <c r="AQ853" s="29"/>
    </row>
    <row r="854" spans="1:43" s="28" customFormat="1" ht="12.75" customHeight="1">
      <c r="A854" s="64" t="s">
        <v>182</v>
      </c>
      <c r="B854" s="23" t="s">
        <v>183</v>
      </c>
      <c r="C854" s="77" t="s">
        <v>180</v>
      </c>
      <c r="D854" s="78">
        <v>1990</v>
      </c>
      <c r="E854" s="26">
        <v>7</v>
      </c>
      <c r="F854" s="66">
        <v>5</v>
      </c>
      <c r="G854" s="46">
        <f t="shared" si="118"/>
        <v>187.82</v>
      </c>
      <c r="H854" s="121">
        <v>6311.37</v>
      </c>
      <c r="I854" s="66"/>
      <c r="J854" s="29"/>
      <c r="K854" s="80">
        <v>266.74438900000001</v>
      </c>
      <c r="O854" s="48">
        <f t="shared" si="120"/>
        <v>3.8001236411552965</v>
      </c>
      <c r="R854" s="48">
        <f t="shared" si="121"/>
        <v>2.4260952927564241</v>
      </c>
      <c r="U854" s="48">
        <v>3.8001236411552965</v>
      </c>
      <c r="V854" s="54">
        <v>2.4260952927564241</v>
      </c>
      <c r="W854" s="49">
        <f t="shared" si="119"/>
        <v>0.42416678667206359</v>
      </c>
      <c r="X854" s="49"/>
      <c r="Y854" s="49"/>
      <c r="Z854" s="49"/>
      <c r="AQ854" s="29"/>
    </row>
    <row r="855" spans="1:43" s="28" customFormat="1" ht="12.75" customHeight="1">
      <c r="A855" s="64" t="s">
        <v>182</v>
      </c>
      <c r="B855" s="23" t="s">
        <v>183</v>
      </c>
      <c r="C855" s="77" t="s">
        <v>180</v>
      </c>
      <c r="D855" s="78">
        <v>1990</v>
      </c>
      <c r="E855" s="26">
        <v>7</v>
      </c>
      <c r="F855" s="66">
        <v>5</v>
      </c>
      <c r="G855" s="46">
        <f t="shared" si="118"/>
        <v>187.82</v>
      </c>
      <c r="H855" s="121">
        <v>2912.94</v>
      </c>
      <c r="I855" s="66"/>
      <c r="J855" s="29"/>
      <c r="K855" s="80">
        <v>119.980762</v>
      </c>
      <c r="O855" s="48">
        <f t="shared" si="120"/>
        <v>3.4643315392321035</v>
      </c>
      <c r="R855" s="48">
        <f t="shared" si="121"/>
        <v>2.0791116158223426</v>
      </c>
      <c r="U855" s="48">
        <v>3.4643315392321035</v>
      </c>
      <c r="V855" s="54">
        <v>2.0791116158223426</v>
      </c>
      <c r="W855" s="49">
        <f t="shared" si="119"/>
        <v>0.85573251111118753</v>
      </c>
      <c r="X855" s="49"/>
      <c r="Y855" s="49"/>
      <c r="Z855" s="49"/>
      <c r="AQ855" s="29"/>
    </row>
    <row r="856" spans="1:43" s="28" customFormat="1" ht="12.75" customHeight="1">
      <c r="A856" s="64" t="s">
        <v>182</v>
      </c>
      <c r="B856" s="23" t="s">
        <v>183</v>
      </c>
      <c r="C856" s="77" t="s">
        <v>180</v>
      </c>
      <c r="D856" s="78">
        <v>1990</v>
      </c>
      <c r="E856" s="26">
        <v>9</v>
      </c>
      <c r="F856" s="66">
        <v>6</v>
      </c>
      <c r="G856" s="46">
        <f t="shared" si="118"/>
        <v>249.76</v>
      </c>
      <c r="H856" s="121">
        <v>11166.27</v>
      </c>
      <c r="I856" s="66"/>
      <c r="J856" s="29"/>
      <c r="K856" s="80">
        <v>172.05765600000001</v>
      </c>
      <c r="O856" s="48">
        <f t="shared" si="120"/>
        <v>4.0479081248660531</v>
      </c>
      <c r="R856" s="48">
        <f t="shared" si="121"/>
        <v>2.2356740020634733</v>
      </c>
      <c r="U856" s="48">
        <v>4.0479081248660531</v>
      </c>
      <c r="V856" s="54">
        <v>2.2356740020634733</v>
      </c>
      <c r="W856" s="49">
        <f t="shared" si="119"/>
        <v>0.53159210749439789</v>
      </c>
      <c r="X856" s="49"/>
      <c r="Y856" s="49"/>
      <c r="Z856" s="49"/>
      <c r="AQ856" s="29"/>
    </row>
    <row r="857" spans="1:43" s="28" customFormat="1" ht="12.75" customHeight="1">
      <c r="A857" s="64" t="s">
        <v>182</v>
      </c>
      <c r="B857" s="23" t="s">
        <v>183</v>
      </c>
      <c r="C857" s="77" t="s">
        <v>180</v>
      </c>
      <c r="D857" s="78">
        <v>1990</v>
      </c>
      <c r="E857" s="26">
        <v>9</v>
      </c>
      <c r="F857" s="66">
        <v>6</v>
      </c>
      <c r="G857" s="46">
        <f t="shared" si="118"/>
        <v>249.76</v>
      </c>
      <c r="H857" s="121">
        <v>12137.25</v>
      </c>
      <c r="I857" s="66"/>
      <c r="J857" s="29"/>
      <c r="K857" s="80">
        <v>193.66196100000002</v>
      </c>
      <c r="O857" s="48">
        <f t="shared" si="120"/>
        <v>4.0841202975204975</v>
      </c>
      <c r="R857" s="48">
        <f t="shared" si="121"/>
        <v>2.2870443251582997</v>
      </c>
      <c r="U857" s="48">
        <v>4.0841202975204975</v>
      </c>
      <c r="V857" s="54">
        <v>2.2870443251582997</v>
      </c>
      <c r="W857" s="49">
        <f t="shared" si="119"/>
        <v>0.4717435197647899</v>
      </c>
      <c r="X857" s="49"/>
      <c r="Y857" s="49"/>
      <c r="Z857" s="49"/>
      <c r="AQ857" s="29"/>
    </row>
    <row r="858" spans="1:43" s="28" customFormat="1" ht="12.75" customHeight="1">
      <c r="A858" s="64" t="s">
        <v>182</v>
      </c>
      <c r="B858" s="23" t="s">
        <v>183</v>
      </c>
      <c r="C858" s="77" t="s">
        <v>180</v>
      </c>
      <c r="D858" s="78">
        <v>1990</v>
      </c>
      <c r="E858" s="26">
        <v>9</v>
      </c>
      <c r="F858" s="66">
        <v>6</v>
      </c>
      <c r="G858" s="46">
        <f t="shared" si="118"/>
        <v>249.76</v>
      </c>
      <c r="H858" s="121">
        <v>9062.48</v>
      </c>
      <c r="I858" s="66"/>
      <c r="J858" s="29"/>
      <c r="K858" s="80">
        <v>231.35216800000001</v>
      </c>
      <c r="O858" s="48">
        <f t="shared" si="120"/>
        <v>3.9572470611349981</v>
      </c>
      <c r="R858" s="48">
        <f t="shared" si="121"/>
        <v>2.3642735736263853</v>
      </c>
      <c r="U858" s="48">
        <v>3.9572470611349981</v>
      </c>
      <c r="V858" s="54">
        <v>2.3642735736263853</v>
      </c>
      <c r="W858" s="49">
        <f t="shared" si="119"/>
        <v>0.43607619503015527</v>
      </c>
      <c r="X858" s="49"/>
      <c r="Y858" s="49"/>
      <c r="Z858" s="49"/>
      <c r="AQ858" s="29"/>
    </row>
    <row r="859" spans="1:43" s="28" customFormat="1" ht="12.75" customHeight="1">
      <c r="A859" s="64" t="s">
        <v>182</v>
      </c>
      <c r="B859" s="23" t="s">
        <v>183</v>
      </c>
      <c r="C859" s="77" t="s">
        <v>180</v>
      </c>
      <c r="D859" s="78">
        <v>1990</v>
      </c>
      <c r="E859" s="26">
        <v>9</v>
      </c>
      <c r="F859" s="66">
        <v>6</v>
      </c>
      <c r="G859" s="46">
        <f t="shared" si="118"/>
        <v>249.76</v>
      </c>
      <c r="H859" s="121">
        <v>10033.459999999999</v>
      </c>
      <c r="I859" s="66"/>
      <c r="J859" s="29"/>
      <c r="K859" s="80">
        <v>237.50170800000001</v>
      </c>
      <c r="O859" s="48">
        <f t="shared" si="120"/>
        <v>4.0014507236270518</v>
      </c>
      <c r="R859" s="48">
        <f t="shared" si="121"/>
        <v>2.375666737212708</v>
      </c>
      <c r="U859" s="48">
        <v>4.0014507236270518</v>
      </c>
      <c r="V859" s="54">
        <v>2.375666737212708</v>
      </c>
      <c r="W859" s="49">
        <f t="shared" si="119"/>
        <v>0.41196817195869467</v>
      </c>
      <c r="X859" s="49"/>
      <c r="Y859" s="49"/>
      <c r="Z859" s="49"/>
      <c r="AQ859" s="29"/>
    </row>
    <row r="860" spans="1:43" s="28" customFormat="1" ht="12.75" customHeight="1">
      <c r="A860" s="64" t="s">
        <v>182</v>
      </c>
      <c r="B860" s="23" t="s">
        <v>183</v>
      </c>
      <c r="C860" s="77" t="s">
        <v>180</v>
      </c>
      <c r="D860" s="78">
        <v>1990</v>
      </c>
      <c r="E860" s="26">
        <v>11</v>
      </c>
      <c r="F860" s="66">
        <v>15</v>
      </c>
      <c r="G860" s="46">
        <f t="shared" si="118"/>
        <v>319.7</v>
      </c>
      <c r="H860" s="121">
        <v>2589.2800000000002</v>
      </c>
      <c r="I860" s="66"/>
      <c r="J860" s="29"/>
      <c r="K860" s="80">
        <v>48.710830000000001</v>
      </c>
      <c r="O860" s="48">
        <f t="shared" si="120"/>
        <v>3.4131790167847225</v>
      </c>
      <c r="R860" s="48">
        <f t="shared" si="121"/>
        <v>1.687625529722641</v>
      </c>
      <c r="U860" s="48">
        <v>3.4131790167847225</v>
      </c>
      <c r="V860" s="54">
        <v>1.687625529722641</v>
      </c>
      <c r="W860" s="49">
        <f t="shared" si="119"/>
        <v>1.2444925274667356</v>
      </c>
      <c r="X860" s="49"/>
      <c r="Y860" s="49"/>
      <c r="Z860" s="49"/>
      <c r="AQ860" s="29"/>
    </row>
    <row r="861" spans="1:43" s="28" customFormat="1" ht="12.75" customHeight="1">
      <c r="A861" s="64" t="s">
        <v>182</v>
      </c>
      <c r="B861" s="23" t="s">
        <v>183</v>
      </c>
      <c r="C861" s="77" t="s">
        <v>180</v>
      </c>
      <c r="D861" s="78">
        <v>1990</v>
      </c>
      <c r="E861" s="26">
        <v>11</v>
      </c>
      <c r="F861" s="66">
        <v>15</v>
      </c>
      <c r="G861" s="46">
        <f t="shared" si="118"/>
        <v>319.7</v>
      </c>
      <c r="H861" s="121">
        <v>4531.24</v>
      </c>
      <c r="I861" s="66"/>
      <c r="J861" s="29"/>
      <c r="K861" s="80">
        <v>60.848080000000003</v>
      </c>
      <c r="O861" s="48">
        <f t="shared" si="120"/>
        <v>3.6562170654710169</v>
      </c>
      <c r="R861" s="48">
        <f t="shared" si="121"/>
        <v>1.7842468790564587</v>
      </c>
      <c r="U861" s="48">
        <v>3.6562170654710169</v>
      </c>
      <c r="V861" s="54">
        <v>1.7842468790564587</v>
      </c>
      <c r="W861" s="49">
        <f t="shared" si="119"/>
        <v>1.0795295480196641</v>
      </c>
      <c r="X861" s="49"/>
      <c r="Y861" s="49"/>
      <c r="Z861" s="49"/>
      <c r="AQ861" s="29"/>
    </row>
    <row r="862" spans="1:43" s="28" customFormat="1" ht="12.75" customHeight="1">
      <c r="A862" s="64" t="s">
        <v>182</v>
      </c>
      <c r="B862" s="23" t="s">
        <v>183</v>
      </c>
      <c r="C862" s="77" t="s">
        <v>180</v>
      </c>
      <c r="D862" s="78">
        <v>1990</v>
      </c>
      <c r="E862" s="26">
        <v>11</v>
      </c>
      <c r="F862" s="66">
        <v>15</v>
      </c>
      <c r="G862" s="46">
        <f t="shared" si="118"/>
        <v>319.7</v>
      </c>
      <c r="H862" s="121">
        <v>5502.22</v>
      </c>
      <c r="I862" s="66"/>
      <c r="J862" s="29"/>
      <c r="K862" s="80">
        <v>61.026093000000003</v>
      </c>
      <c r="O862" s="48">
        <f t="shared" si="120"/>
        <v>3.7405379511710528</v>
      </c>
      <c r="R862" s="48">
        <f t="shared" si="121"/>
        <v>1.7855155665344178</v>
      </c>
      <c r="U862" s="48">
        <v>3.7405379511710528</v>
      </c>
      <c r="V862" s="54">
        <v>1.7855155665344178</v>
      </c>
      <c r="W862" s="49">
        <f t="shared" si="119"/>
        <v>1.0530631674734896</v>
      </c>
      <c r="X862" s="49"/>
      <c r="Y862" s="49"/>
      <c r="Z862" s="49"/>
      <c r="AQ862" s="29"/>
    </row>
    <row r="863" spans="1:43" s="28" customFormat="1" ht="12.75" customHeight="1">
      <c r="A863" s="64" t="s">
        <v>182</v>
      </c>
      <c r="B863" s="23" t="s">
        <v>183</v>
      </c>
      <c r="C863" s="77" t="s">
        <v>180</v>
      </c>
      <c r="D863" s="78">
        <v>1990</v>
      </c>
      <c r="E863" s="26">
        <v>11</v>
      </c>
      <c r="F863" s="66">
        <v>15</v>
      </c>
      <c r="G863" s="46">
        <f t="shared" si="118"/>
        <v>319.7</v>
      </c>
      <c r="H863" s="121">
        <v>3398.43</v>
      </c>
      <c r="I863" s="66"/>
      <c r="J863" s="29"/>
      <c r="K863" s="80">
        <v>40.506049000000004</v>
      </c>
      <c r="O863" s="48">
        <f t="shared" si="120"/>
        <v>3.531278328862717</v>
      </c>
      <c r="R863" s="48">
        <f t="shared" si="121"/>
        <v>1.6075198837370208</v>
      </c>
      <c r="U863" s="48">
        <v>3.531278328862717</v>
      </c>
      <c r="V863" s="54">
        <v>1.6075198837370208</v>
      </c>
      <c r="W863" s="49">
        <f t="shared" si="119"/>
        <v>1.2855316539619819</v>
      </c>
      <c r="X863" s="49"/>
      <c r="Y863" s="49"/>
      <c r="Z863" s="49"/>
      <c r="AQ863" s="29"/>
    </row>
    <row r="864" spans="1:43" s="28" customFormat="1" ht="12.75" customHeight="1">
      <c r="A864" s="64" t="s">
        <v>182</v>
      </c>
      <c r="B864" s="23" t="s">
        <v>183</v>
      </c>
      <c r="C864" s="77" t="s">
        <v>180</v>
      </c>
      <c r="D864" s="78">
        <v>1991</v>
      </c>
      <c r="E864" s="26">
        <v>1</v>
      </c>
      <c r="F864" s="66">
        <v>25</v>
      </c>
      <c r="G864" s="46">
        <f t="shared" si="118"/>
        <v>25</v>
      </c>
      <c r="H864" s="121">
        <v>4693.07</v>
      </c>
      <c r="I864" s="66"/>
      <c r="J864" s="29"/>
      <c r="K864" s="80">
        <v>38.046233000000001</v>
      </c>
      <c r="O864" s="48">
        <f t="shared" si="120"/>
        <v>3.6714570320277535</v>
      </c>
      <c r="R864" s="48">
        <f t="shared" si="121"/>
        <v>1.5803116632537368</v>
      </c>
      <c r="U864" s="48">
        <v>3.6714570320277535</v>
      </c>
      <c r="V864" s="54">
        <v>1.5803116632537368</v>
      </c>
      <c r="W864" s="49">
        <f t="shared" si="119"/>
        <v>1.2694986054869601</v>
      </c>
      <c r="X864" s="49"/>
      <c r="Y864" s="49"/>
      <c r="Z864" s="49"/>
      <c r="AQ864" s="29"/>
    </row>
    <row r="865" spans="1:43" s="28" customFormat="1" ht="12.75" customHeight="1">
      <c r="A865" s="64" t="s">
        <v>182</v>
      </c>
      <c r="B865" s="23" t="s">
        <v>183</v>
      </c>
      <c r="C865" s="77" t="s">
        <v>180</v>
      </c>
      <c r="D865" s="78">
        <v>1991</v>
      </c>
      <c r="E865" s="26">
        <v>1</v>
      </c>
      <c r="F865" s="66">
        <v>25</v>
      </c>
      <c r="G865" s="46">
        <f t="shared" si="118"/>
        <v>25</v>
      </c>
      <c r="H865" s="121">
        <v>3560.26</v>
      </c>
      <c r="I865" s="66"/>
      <c r="J865" s="29"/>
      <c r="K865" s="80">
        <v>62.531112000000007</v>
      </c>
      <c r="O865" s="48">
        <f t="shared" si="120"/>
        <v>3.5514817149510036</v>
      </c>
      <c r="R865" s="48">
        <f t="shared" si="121"/>
        <v>1.7960961518722534</v>
      </c>
      <c r="U865" s="48">
        <v>3.5514817149510036</v>
      </c>
      <c r="V865" s="54">
        <v>1.7960961518722534</v>
      </c>
      <c r="W865" s="49">
        <f t="shared" si="119"/>
        <v>1.099597340651044</v>
      </c>
      <c r="X865" s="49"/>
      <c r="Y865" s="49"/>
      <c r="Z865" s="49"/>
      <c r="AQ865" s="29"/>
    </row>
    <row r="866" spans="1:43" s="28" customFormat="1" ht="12.75" customHeight="1">
      <c r="A866" s="64" t="s">
        <v>182</v>
      </c>
      <c r="B866" s="23" t="s">
        <v>183</v>
      </c>
      <c r="C866" s="77" t="s">
        <v>180</v>
      </c>
      <c r="D866" s="78">
        <v>1991</v>
      </c>
      <c r="E866" s="26">
        <v>1</v>
      </c>
      <c r="F866" s="66">
        <v>25</v>
      </c>
      <c r="G866" s="46">
        <f t="shared" si="118"/>
        <v>25</v>
      </c>
      <c r="H866" s="121">
        <v>5340.39</v>
      </c>
      <c r="I866" s="66"/>
      <c r="J866" s="29"/>
      <c r="K866" s="80">
        <v>31.136092000000001</v>
      </c>
      <c r="O866" s="48">
        <f t="shared" si="120"/>
        <v>3.727572974006685</v>
      </c>
      <c r="R866" s="48">
        <f t="shared" si="121"/>
        <v>1.4932641018305917</v>
      </c>
      <c r="U866" s="48">
        <v>3.727572974006685</v>
      </c>
      <c r="V866" s="54">
        <v>1.4932641018305917</v>
      </c>
      <c r="W866" s="49">
        <f t="shared" si="119"/>
        <v>1.3357251692536358</v>
      </c>
      <c r="X866" s="49"/>
      <c r="Y866" s="49"/>
      <c r="Z866" s="49"/>
      <c r="AQ866" s="29"/>
    </row>
    <row r="867" spans="1:43" s="28" customFormat="1" ht="12.75" customHeight="1">
      <c r="A867" s="64" t="s">
        <v>182</v>
      </c>
      <c r="B867" s="23" t="s">
        <v>183</v>
      </c>
      <c r="C867" s="77" t="s">
        <v>180</v>
      </c>
      <c r="D867" s="78">
        <v>1991</v>
      </c>
      <c r="E867" s="26">
        <v>1</v>
      </c>
      <c r="F867" s="66">
        <v>25</v>
      </c>
      <c r="G867" s="46">
        <f t="shared" si="118"/>
        <v>25</v>
      </c>
      <c r="H867" s="121">
        <v>4693.07</v>
      </c>
      <c r="I867" s="66"/>
      <c r="J867" s="29"/>
      <c r="K867" s="80">
        <v>57.320186000000007</v>
      </c>
      <c r="O867" s="48">
        <f t="shared" si="120"/>
        <v>3.6714570320277535</v>
      </c>
      <c r="R867" s="48">
        <f t="shared" si="121"/>
        <v>1.7583075909828536</v>
      </c>
      <c r="U867" s="48">
        <v>3.6714570320277535</v>
      </c>
      <c r="V867" s="54">
        <v>1.7583075909828536</v>
      </c>
      <c r="W867" s="49">
        <f t="shared" si="119"/>
        <v>1.0997082900261557</v>
      </c>
      <c r="X867" s="49"/>
      <c r="Y867" s="49"/>
      <c r="Z867" s="49"/>
      <c r="AQ867" s="29"/>
    </row>
    <row r="868" spans="1:43" s="28" customFormat="1" ht="12.75" customHeight="1">
      <c r="A868" s="64" t="s">
        <v>182</v>
      </c>
      <c r="B868" s="23" t="s">
        <v>183</v>
      </c>
      <c r="C868" s="77" t="s">
        <v>180</v>
      </c>
      <c r="D868" s="78">
        <v>1991</v>
      </c>
      <c r="E868" s="26">
        <v>3</v>
      </c>
      <c r="F868" s="66">
        <v>27</v>
      </c>
      <c r="G868" s="46">
        <f t="shared" si="118"/>
        <v>87.94</v>
      </c>
      <c r="H868" s="121">
        <v>10195.290000000001</v>
      </c>
      <c r="I868" s="66"/>
      <c r="J868" s="29"/>
      <c r="K868" s="80">
        <v>118.13590000000001</v>
      </c>
      <c r="O868" s="48">
        <f t="shared" si="120"/>
        <v>4.0083995835823796</v>
      </c>
      <c r="R868" s="48">
        <f t="shared" si="121"/>
        <v>2.0723818942492533</v>
      </c>
      <c r="U868" s="48">
        <v>4.0083995835823796</v>
      </c>
      <c r="V868" s="54">
        <v>2.0723818942492533</v>
      </c>
      <c r="W868" s="49">
        <f t="shared" si="119"/>
        <v>0.69919022916295848</v>
      </c>
      <c r="X868" s="49"/>
      <c r="Y868" s="49"/>
      <c r="Z868" s="49"/>
      <c r="AQ868" s="29"/>
    </row>
    <row r="869" spans="1:43" s="28" customFormat="1" ht="12.75" customHeight="1">
      <c r="A869" s="64" t="s">
        <v>182</v>
      </c>
      <c r="B869" s="23" t="s">
        <v>183</v>
      </c>
      <c r="C869" s="77" t="s">
        <v>180</v>
      </c>
      <c r="D869" s="78">
        <v>1991</v>
      </c>
      <c r="E869" s="26">
        <v>3</v>
      </c>
      <c r="F869" s="66">
        <v>27</v>
      </c>
      <c r="G869" s="46">
        <f t="shared" si="118"/>
        <v>87.94</v>
      </c>
      <c r="H869" s="121">
        <v>7767.84</v>
      </c>
      <c r="I869" s="66"/>
      <c r="J869" s="29"/>
      <c r="K869" s="80">
        <v>125.54771400000001</v>
      </c>
      <c r="O869" s="48">
        <f t="shared" si="120"/>
        <v>3.8903002715043846</v>
      </c>
      <c r="R869" s="48">
        <f t="shared" si="121"/>
        <v>2.0988088093928354</v>
      </c>
      <c r="U869" s="48">
        <v>3.8903002715043846</v>
      </c>
      <c r="V869" s="54">
        <v>2.0988088093928354</v>
      </c>
      <c r="W869" s="49">
        <f t="shared" si="119"/>
        <v>0.70935524401793226</v>
      </c>
      <c r="X869" s="49"/>
      <c r="Y869" s="49"/>
      <c r="Z869" s="49"/>
      <c r="AQ869" s="29"/>
    </row>
    <row r="870" spans="1:43" s="28" customFormat="1" ht="12.75" customHeight="1">
      <c r="A870" s="64" t="s">
        <v>182</v>
      </c>
      <c r="B870" s="23" t="s">
        <v>183</v>
      </c>
      <c r="C870" s="77" t="s">
        <v>180</v>
      </c>
      <c r="D870" s="78">
        <v>1991</v>
      </c>
      <c r="E870" s="26">
        <v>3</v>
      </c>
      <c r="F870" s="66">
        <v>27</v>
      </c>
      <c r="G870" s="46">
        <f t="shared" si="118"/>
        <v>87.94</v>
      </c>
      <c r="H870" s="121">
        <v>9547.9699999999993</v>
      </c>
      <c r="I870" s="66"/>
      <c r="J870" s="29"/>
      <c r="K870" s="80">
        <v>139.69165599999999</v>
      </c>
      <c r="O870" s="48">
        <f t="shared" si="120"/>
        <v>3.9799110457709417</v>
      </c>
      <c r="R870" s="48">
        <f t="shared" si="121"/>
        <v>2.1451704658036519</v>
      </c>
      <c r="U870" s="48">
        <v>3.9799110457709417</v>
      </c>
      <c r="V870" s="54">
        <v>2.1451704658036519</v>
      </c>
      <c r="W870" s="49">
        <f t="shared" si="119"/>
        <v>0.63829022864977358</v>
      </c>
      <c r="X870" s="49"/>
      <c r="Y870" s="49"/>
      <c r="Z870" s="49"/>
      <c r="AQ870" s="29"/>
    </row>
    <row r="871" spans="1:43" s="28" customFormat="1" ht="12.75" customHeight="1">
      <c r="A871" s="64" t="s">
        <v>182</v>
      </c>
      <c r="B871" s="23" t="s">
        <v>183</v>
      </c>
      <c r="C871" s="77" t="s">
        <v>180</v>
      </c>
      <c r="D871" s="78">
        <v>1991</v>
      </c>
      <c r="E871" s="26">
        <v>3</v>
      </c>
      <c r="F871" s="66">
        <v>27</v>
      </c>
      <c r="G871" s="46">
        <f t="shared" si="118"/>
        <v>87.94</v>
      </c>
      <c r="H871" s="121">
        <v>8738.82</v>
      </c>
      <c r="I871" s="66"/>
      <c r="J871" s="29"/>
      <c r="K871" s="80">
        <v>138.52648000000002</v>
      </c>
      <c r="O871" s="48">
        <f t="shared" si="120"/>
        <v>3.9414527939517661</v>
      </c>
      <c r="R871" s="48">
        <f t="shared" si="121"/>
        <v>2.1415327988059509</v>
      </c>
      <c r="U871" s="48">
        <v>3.9414527939517661</v>
      </c>
      <c r="V871" s="54">
        <v>2.1415327988059509</v>
      </c>
      <c r="W871" s="49">
        <f t="shared" si="119"/>
        <v>0.65327939169171834</v>
      </c>
      <c r="X871" s="49"/>
      <c r="Y871" s="49"/>
      <c r="Z871" s="49"/>
      <c r="AQ871" s="29"/>
    </row>
    <row r="872" spans="1:43" s="28" customFormat="1" ht="12.75" customHeight="1">
      <c r="A872" s="64" t="s">
        <v>182</v>
      </c>
      <c r="B872" s="23" t="s">
        <v>183</v>
      </c>
      <c r="C872" s="77" t="s">
        <v>180</v>
      </c>
      <c r="D872" s="78">
        <v>1991</v>
      </c>
      <c r="E872" s="26">
        <v>5</v>
      </c>
      <c r="F872" s="66">
        <v>15</v>
      </c>
      <c r="G872" s="46">
        <f t="shared" si="118"/>
        <v>136.88</v>
      </c>
      <c r="H872" s="121">
        <v>8415.16</v>
      </c>
      <c r="I872" s="66"/>
      <c r="J872" s="29"/>
      <c r="K872" s="80">
        <v>169.92150000000001</v>
      </c>
      <c r="O872" s="48">
        <f t="shared" si="120"/>
        <v>3.9250623777635969</v>
      </c>
      <c r="R872" s="48">
        <f t="shared" si="121"/>
        <v>2.2302483331987357</v>
      </c>
      <c r="U872" s="48">
        <v>3.9250623777635969</v>
      </c>
      <c r="V872" s="54">
        <v>2.2302483331987357</v>
      </c>
      <c r="W872" s="49">
        <f t="shared" si="119"/>
        <v>0.57356297628703568</v>
      </c>
      <c r="X872" s="49"/>
      <c r="Y872" s="49"/>
      <c r="Z872" s="49"/>
      <c r="AQ872" s="29"/>
    </row>
    <row r="873" spans="1:43" s="28" customFormat="1" ht="12.75" customHeight="1">
      <c r="A873" s="64" t="s">
        <v>182</v>
      </c>
      <c r="B873" s="23" t="s">
        <v>183</v>
      </c>
      <c r="C873" s="77" t="s">
        <v>180</v>
      </c>
      <c r="D873" s="78">
        <v>1991</v>
      </c>
      <c r="E873" s="26">
        <v>5</v>
      </c>
      <c r="F873" s="66">
        <v>15</v>
      </c>
      <c r="G873" s="46">
        <f t="shared" si="118"/>
        <v>136.88</v>
      </c>
      <c r="H873" s="121">
        <v>8415.16</v>
      </c>
      <c r="I873" s="66"/>
      <c r="J873" s="29"/>
      <c r="K873" s="80">
        <v>218.47050000000004</v>
      </c>
      <c r="O873" s="48">
        <f t="shared" si="120"/>
        <v>3.9250623777635969</v>
      </c>
      <c r="R873" s="48">
        <f t="shared" si="121"/>
        <v>2.3393928026238036</v>
      </c>
      <c r="U873" s="48">
        <v>3.9250623777635969</v>
      </c>
      <c r="V873" s="54">
        <v>2.3393928026238036</v>
      </c>
      <c r="W873" s="49">
        <f t="shared" si="119"/>
        <v>0.46945006690246349</v>
      </c>
      <c r="X873" s="49"/>
      <c r="Y873" s="49"/>
      <c r="Z873" s="49"/>
      <c r="AQ873" s="29"/>
    </row>
    <row r="874" spans="1:43" s="28" customFormat="1" ht="12.75" customHeight="1">
      <c r="A874" s="64" t="s">
        <v>182</v>
      </c>
      <c r="B874" s="23" t="s">
        <v>183</v>
      </c>
      <c r="C874" s="77" t="s">
        <v>180</v>
      </c>
      <c r="D874" s="78">
        <v>1991</v>
      </c>
      <c r="E874" s="26">
        <v>5</v>
      </c>
      <c r="F874" s="66">
        <v>15</v>
      </c>
      <c r="G874" s="46">
        <f t="shared" si="118"/>
        <v>136.88</v>
      </c>
      <c r="H874" s="121">
        <v>5825.88</v>
      </c>
      <c r="I874" s="66"/>
      <c r="J874" s="29"/>
      <c r="K874" s="80">
        <v>186.1045</v>
      </c>
      <c r="O874" s="48">
        <f t="shared" si="120"/>
        <v>3.7653615348960847</v>
      </c>
      <c r="R874" s="48">
        <f t="shared" si="121"/>
        <v>2.2697568744824093</v>
      </c>
      <c r="U874" s="48">
        <v>3.7653615348960847</v>
      </c>
      <c r="V874" s="54">
        <v>2.2697568744824093</v>
      </c>
      <c r="W874" s="49">
        <f t="shared" si="119"/>
        <v>0.58371010983609373</v>
      </c>
      <c r="X874" s="49"/>
      <c r="Y874" s="49"/>
      <c r="Z874" s="49"/>
      <c r="AQ874" s="29"/>
    </row>
    <row r="875" spans="1:43" s="28" customFormat="1" ht="12.75" customHeight="1">
      <c r="A875" s="64" t="s">
        <v>182</v>
      </c>
      <c r="B875" s="23" t="s">
        <v>183</v>
      </c>
      <c r="C875" s="77" t="s">
        <v>180</v>
      </c>
      <c r="D875" s="78">
        <v>1991</v>
      </c>
      <c r="E875" s="26">
        <v>5</v>
      </c>
      <c r="F875" s="66">
        <v>15</v>
      </c>
      <c r="G875" s="46">
        <f t="shared" si="118"/>
        <v>136.88</v>
      </c>
      <c r="H875" s="121">
        <v>6796.86</v>
      </c>
      <c r="I875" s="66"/>
      <c r="J875" s="29"/>
      <c r="K875" s="80">
        <v>265.40120000000002</v>
      </c>
      <c r="O875" s="48">
        <f t="shared" si="120"/>
        <v>3.8323083245266978</v>
      </c>
      <c r="R875" s="48">
        <f t="shared" si="121"/>
        <v>2.4239028821764954</v>
      </c>
      <c r="U875" s="48">
        <v>3.8323083245266978</v>
      </c>
      <c r="V875" s="54">
        <v>2.4239028821764954</v>
      </c>
      <c r="W875" s="49">
        <f t="shared" si="119"/>
        <v>0.41661802271131171</v>
      </c>
      <c r="X875" s="49"/>
      <c r="Y875" s="49"/>
      <c r="Z875" s="49"/>
      <c r="AQ875" s="29"/>
    </row>
    <row r="876" spans="1:43" s="28" customFormat="1" ht="12.75" customHeight="1">
      <c r="A876" s="64" t="s">
        <v>182</v>
      </c>
      <c r="B876" s="23" t="s">
        <v>183</v>
      </c>
      <c r="C876" s="77" t="s">
        <v>180</v>
      </c>
      <c r="D876" s="78">
        <v>1991</v>
      </c>
      <c r="E876" s="26">
        <v>7</v>
      </c>
      <c r="F876" s="66">
        <v>18</v>
      </c>
      <c r="G876" s="46">
        <f t="shared" si="118"/>
        <v>200.82</v>
      </c>
      <c r="H876" s="121">
        <v>3398.43</v>
      </c>
      <c r="I876" s="66"/>
      <c r="J876" s="29"/>
      <c r="K876" s="80">
        <v>105.78827099999999</v>
      </c>
      <c r="O876" s="48">
        <f t="shared" si="120"/>
        <v>3.531278328862717</v>
      </c>
      <c r="R876" s="48">
        <f t="shared" si="121"/>
        <v>2.0244375190947155</v>
      </c>
      <c r="U876" s="48">
        <v>3.531278328862717</v>
      </c>
      <c r="V876" s="54">
        <v>2.0244375190947155</v>
      </c>
      <c r="W876" s="49">
        <f t="shared" si="119"/>
        <v>0.88783392159427699</v>
      </c>
      <c r="X876" s="49"/>
      <c r="Y876" s="49"/>
      <c r="Z876" s="49"/>
      <c r="AQ876" s="29"/>
    </row>
    <row r="877" spans="1:43" s="28" customFormat="1" ht="12.75" customHeight="1">
      <c r="A877" s="64" t="s">
        <v>182</v>
      </c>
      <c r="B877" s="23" t="s">
        <v>183</v>
      </c>
      <c r="C877" s="77" t="s">
        <v>180</v>
      </c>
      <c r="D877" s="78">
        <v>1991</v>
      </c>
      <c r="E877" s="26">
        <v>7</v>
      </c>
      <c r="F877" s="66">
        <v>18</v>
      </c>
      <c r="G877" s="46">
        <f t="shared" si="118"/>
        <v>200.82</v>
      </c>
      <c r="H877" s="121">
        <v>3883.92</v>
      </c>
      <c r="I877" s="66"/>
      <c r="J877" s="29"/>
      <c r="K877" s="80">
        <v>115.40097300000001</v>
      </c>
      <c r="O877" s="48">
        <f t="shared" si="120"/>
        <v>3.5892702758404034</v>
      </c>
      <c r="R877" s="48">
        <f t="shared" si="121"/>
        <v>2.0622094705766405</v>
      </c>
      <c r="U877" s="48">
        <v>3.5892702758404034</v>
      </c>
      <c r="V877" s="54">
        <v>2.0622094705766405</v>
      </c>
      <c r="W877" s="49">
        <f t="shared" si="119"/>
        <v>0.834433242353956</v>
      </c>
      <c r="X877" s="49"/>
      <c r="Y877" s="49"/>
      <c r="Z877" s="49"/>
      <c r="AQ877" s="29"/>
    </row>
    <row r="878" spans="1:43" s="28" customFormat="1" ht="12.75" customHeight="1">
      <c r="A878" s="64" t="s">
        <v>182</v>
      </c>
      <c r="B878" s="23" t="s">
        <v>183</v>
      </c>
      <c r="C878" s="77" t="s">
        <v>180</v>
      </c>
      <c r="D878" s="78">
        <v>1991</v>
      </c>
      <c r="E878" s="26">
        <v>7</v>
      </c>
      <c r="F878" s="66">
        <v>18</v>
      </c>
      <c r="G878" s="46">
        <f t="shared" si="118"/>
        <v>200.82</v>
      </c>
      <c r="H878" s="121">
        <v>2427.4499999999998</v>
      </c>
      <c r="I878" s="66"/>
      <c r="J878" s="29"/>
      <c r="K878" s="80">
        <v>45.409498000000006</v>
      </c>
      <c r="O878" s="48">
        <f t="shared" si="120"/>
        <v>3.3851502931844788</v>
      </c>
      <c r="R878" s="48">
        <f t="shared" si="121"/>
        <v>1.6571467008211387</v>
      </c>
      <c r="U878" s="48">
        <v>3.3851502931844788</v>
      </c>
      <c r="V878" s="54">
        <v>1.6571467008211387</v>
      </c>
      <c r="W878" s="49">
        <f t="shared" si="119"/>
        <v>1.281961574580752</v>
      </c>
      <c r="X878" s="49"/>
      <c r="Y878" s="49"/>
      <c r="Z878" s="49"/>
      <c r="AQ878" s="29"/>
    </row>
    <row r="879" spans="1:43" s="28" customFormat="1" ht="12.75" customHeight="1">
      <c r="A879" s="64" t="s">
        <v>182</v>
      </c>
      <c r="B879" s="23" t="s">
        <v>183</v>
      </c>
      <c r="C879" s="77" t="s">
        <v>180</v>
      </c>
      <c r="D879" s="78">
        <v>1991</v>
      </c>
      <c r="E879" s="26">
        <v>7</v>
      </c>
      <c r="F879" s="66">
        <v>18</v>
      </c>
      <c r="G879" s="46">
        <f t="shared" si="118"/>
        <v>200.82</v>
      </c>
      <c r="H879" s="121">
        <v>3074.77</v>
      </c>
      <c r="I879" s="66"/>
      <c r="J879" s="29"/>
      <c r="K879" s="80">
        <v>45.733158000000003</v>
      </c>
      <c r="O879" s="48">
        <f t="shared" si="120"/>
        <v>3.4878126350816263</v>
      </c>
      <c r="R879" s="48">
        <f t="shared" si="121"/>
        <v>1.6602311916413375</v>
      </c>
      <c r="U879" s="48">
        <v>3.4878126350816263</v>
      </c>
      <c r="V879" s="54">
        <v>1.6602311916413375</v>
      </c>
      <c r="W879" s="49">
        <f t="shared" si="119"/>
        <v>1.2482693818955581</v>
      </c>
      <c r="X879" s="49"/>
      <c r="Y879" s="49"/>
      <c r="Z879" s="49"/>
      <c r="AQ879" s="29"/>
    </row>
    <row r="880" spans="1:43" s="28" customFormat="1" ht="12.75" customHeight="1">
      <c r="A880" s="64" t="s">
        <v>182</v>
      </c>
      <c r="B880" s="23" t="s">
        <v>183</v>
      </c>
      <c r="C880" s="77" t="s">
        <v>180</v>
      </c>
      <c r="D880" s="78">
        <v>1991</v>
      </c>
      <c r="E880" s="26">
        <v>9</v>
      </c>
      <c r="F880" s="66">
        <v>25</v>
      </c>
      <c r="G880" s="46">
        <f t="shared" si="118"/>
        <v>268.76</v>
      </c>
      <c r="H880" s="121">
        <v>4369.41</v>
      </c>
      <c r="I880" s="66"/>
      <c r="J880" s="29"/>
      <c r="K880" s="80">
        <v>143.81832100000003</v>
      </c>
      <c r="O880" s="48">
        <f t="shared" si="120"/>
        <v>3.6404227982877848</v>
      </c>
      <c r="R880" s="48">
        <f t="shared" si="121"/>
        <v>2.1578142142970673</v>
      </c>
      <c r="U880" s="48">
        <v>3.6404227982877848</v>
      </c>
      <c r="V880" s="54">
        <v>2.1578142142970673</v>
      </c>
      <c r="W880" s="49">
        <f t="shared" si="119"/>
        <v>0.72791443849399828</v>
      </c>
      <c r="X880" s="49"/>
      <c r="Y880" s="49"/>
      <c r="Z880" s="49"/>
      <c r="AQ880" s="29"/>
    </row>
    <row r="881" spans="1:43" s="28" customFormat="1" ht="12.75" customHeight="1">
      <c r="A881" s="64" t="s">
        <v>182</v>
      </c>
      <c r="B881" s="23" t="s">
        <v>183</v>
      </c>
      <c r="C881" s="77" t="s">
        <v>180</v>
      </c>
      <c r="D881" s="78">
        <v>1991</v>
      </c>
      <c r="E881" s="26">
        <v>9</v>
      </c>
      <c r="F881" s="66">
        <v>25</v>
      </c>
      <c r="G881" s="46">
        <f t="shared" si="118"/>
        <v>268.76</v>
      </c>
      <c r="H881" s="121">
        <v>11813.59</v>
      </c>
      <c r="I881" s="66"/>
      <c r="J881" s="29"/>
      <c r="K881" s="80">
        <v>280.80741600000005</v>
      </c>
      <c r="O881" s="48">
        <f t="shared" si="120"/>
        <v>4.0723818942492533</v>
      </c>
      <c r="R881" s="48">
        <f t="shared" si="121"/>
        <v>2.4484085731349343</v>
      </c>
      <c r="U881" s="48">
        <v>4.0723818942492533</v>
      </c>
      <c r="V881" s="54">
        <v>2.4484085731349343</v>
      </c>
      <c r="W881" s="49">
        <f t="shared" si="119"/>
        <v>0.32133410416433622</v>
      </c>
      <c r="X881" s="49"/>
      <c r="Y881" s="49"/>
      <c r="Z881" s="49"/>
      <c r="AQ881" s="29"/>
    </row>
    <row r="882" spans="1:43" s="28" customFormat="1" ht="12.75" customHeight="1">
      <c r="A882" s="64" t="s">
        <v>182</v>
      </c>
      <c r="B882" s="23" t="s">
        <v>183</v>
      </c>
      <c r="C882" s="77" t="s">
        <v>180</v>
      </c>
      <c r="D882" s="78">
        <v>1991</v>
      </c>
      <c r="E882" s="26">
        <v>9</v>
      </c>
      <c r="F882" s="66">
        <v>25</v>
      </c>
      <c r="G882" s="46">
        <f t="shared" si="118"/>
        <v>268.76</v>
      </c>
      <c r="H882" s="121">
        <v>7282.35</v>
      </c>
      <c r="I882" s="66"/>
      <c r="J882" s="29"/>
      <c r="K882" s="80">
        <v>158.72286400000002</v>
      </c>
      <c r="O882" s="48">
        <f t="shared" si="120"/>
        <v>3.8622715479041414</v>
      </c>
      <c r="R882" s="48">
        <f t="shared" si="121"/>
        <v>2.2006394913031375</v>
      </c>
      <c r="U882" s="48">
        <v>3.8622715479041414</v>
      </c>
      <c r="V882" s="54">
        <v>2.2006394913031375</v>
      </c>
      <c r="W882" s="49">
        <f t="shared" si="119"/>
        <v>0.62061424876856808</v>
      </c>
      <c r="X882" s="49"/>
      <c r="Y882" s="49"/>
      <c r="Z882" s="49"/>
      <c r="AQ882" s="29"/>
    </row>
    <row r="883" spans="1:43" s="28" customFormat="1" ht="12.75" customHeight="1">
      <c r="A883" s="64" t="s">
        <v>182</v>
      </c>
      <c r="B883" s="23" t="s">
        <v>183</v>
      </c>
      <c r="C883" s="77" t="s">
        <v>180</v>
      </c>
      <c r="D883" s="78">
        <v>1991</v>
      </c>
      <c r="E883" s="26">
        <v>9</v>
      </c>
      <c r="F883" s="66">
        <v>25</v>
      </c>
      <c r="G883" s="46">
        <f t="shared" si="118"/>
        <v>268.76</v>
      </c>
      <c r="H883" s="121">
        <v>13917.38</v>
      </c>
      <c r="I883" s="66"/>
      <c r="J883" s="29"/>
      <c r="K883" s="80">
        <v>334.11421800000005</v>
      </c>
      <c r="O883" s="48">
        <f t="shared" si="120"/>
        <v>4.1435574853723649</v>
      </c>
      <c r="R883" s="48">
        <f t="shared" si="121"/>
        <v>2.5238949571333715</v>
      </c>
      <c r="U883" s="48">
        <v>4.1435574853723649</v>
      </c>
      <c r="V883" s="54">
        <v>2.5238949571333715</v>
      </c>
      <c r="W883" s="49">
        <f t="shared" si="119"/>
        <v>0.2280088020073136</v>
      </c>
      <c r="X883" s="49"/>
      <c r="Y883" s="49"/>
      <c r="Z883" s="49"/>
      <c r="AQ883" s="29"/>
    </row>
    <row r="884" spans="1:43" s="28" customFormat="1" ht="12.75" customHeight="1">
      <c r="A884" s="64" t="s">
        <v>182</v>
      </c>
      <c r="B884" s="23" t="s">
        <v>183</v>
      </c>
      <c r="C884" s="77" t="s">
        <v>180</v>
      </c>
      <c r="D884" s="78">
        <v>1991</v>
      </c>
      <c r="E884" s="26">
        <v>11</v>
      </c>
      <c r="F884" s="66">
        <v>27</v>
      </c>
      <c r="G884" s="46">
        <f t="shared" si="118"/>
        <v>331.7</v>
      </c>
      <c r="H884" s="121">
        <v>6311.37</v>
      </c>
      <c r="I884" s="66"/>
      <c r="J884" s="29"/>
      <c r="K884" s="80">
        <v>102.85914800000002</v>
      </c>
      <c r="O884" s="48">
        <f t="shared" si="120"/>
        <v>3.8001236411552965</v>
      </c>
      <c r="R884" s="48">
        <f t="shared" si="121"/>
        <v>2.0122429226641394</v>
      </c>
      <c r="U884" s="48">
        <v>3.8001236411552965</v>
      </c>
      <c r="V884" s="54">
        <v>2.0122429226641394</v>
      </c>
      <c r="W884" s="49">
        <f t="shared" si="119"/>
        <v>0.81894056250309399</v>
      </c>
      <c r="X884" s="49"/>
      <c r="Y884" s="49"/>
      <c r="Z884" s="49"/>
      <c r="AQ884" s="29"/>
    </row>
    <row r="885" spans="1:43" s="28" customFormat="1" ht="12.75" customHeight="1">
      <c r="A885" s="64" t="s">
        <v>182</v>
      </c>
      <c r="B885" s="23" t="s">
        <v>183</v>
      </c>
      <c r="C885" s="77" t="s">
        <v>180</v>
      </c>
      <c r="D885" s="78">
        <v>1991</v>
      </c>
      <c r="E885" s="26">
        <v>11</v>
      </c>
      <c r="F885" s="66">
        <v>27</v>
      </c>
      <c r="G885" s="46">
        <f t="shared" si="118"/>
        <v>331.7</v>
      </c>
      <c r="H885" s="121">
        <v>3883.92</v>
      </c>
      <c r="I885" s="66"/>
      <c r="J885" s="29"/>
      <c r="K885" s="80">
        <v>52.287273000000006</v>
      </c>
      <c r="O885" s="48">
        <f t="shared" si="120"/>
        <v>3.5892702758404034</v>
      </c>
      <c r="R885" s="48">
        <f t="shared" si="121"/>
        <v>1.7183959921464416</v>
      </c>
      <c r="U885" s="48">
        <v>3.5892702758404034</v>
      </c>
      <c r="V885" s="54">
        <v>1.7183959921464416</v>
      </c>
      <c r="W885" s="49">
        <f t="shared" si="119"/>
        <v>1.1623969194285226</v>
      </c>
      <c r="X885" s="49"/>
      <c r="Y885" s="49"/>
      <c r="Z885" s="49"/>
      <c r="AQ885" s="29"/>
    </row>
    <row r="886" spans="1:43" s="28" customFormat="1" ht="12.75" customHeight="1">
      <c r="A886" s="64" t="s">
        <v>182</v>
      </c>
      <c r="B886" s="23" t="s">
        <v>183</v>
      </c>
      <c r="C886" s="77" t="s">
        <v>180</v>
      </c>
      <c r="D886" s="78">
        <v>1991</v>
      </c>
      <c r="E886" s="26">
        <v>11</v>
      </c>
      <c r="F886" s="66">
        <v>27</v>
      </c>
      <c r="G886" s="46">
        <f t="shared" si="118"/>
        <v>331.7</v>
      </c>
      <c r="H886" s="121">
        <v>2751.11</v>
      </c>
      <c r="I886" s="66"/>
      <c r="J886" s="29"/>
      <c r="K886" s="80">
        <v>33.385529000000005</v>
      </c>
      <c r="O886" s="48">
        <f t="shared" si="120"/>
        <v>3.4395079555070716</v>
      </c>
      <c r="R886" s="48">
        <f t="shared" si="121"/>
        <v>1.5235582621019492</v>
      </c>
      <c r="U886" s="48">
        <v>3.4395079555070716</v>
      </c>
      <c r="V886" s="54">
        <v>1.5235582621019492</v>
      </c>
      <c r="W886" s="49">
        <f t="shared" si="119"/>
        <v>1.3931101292108774</v>
      </c>
      <c r="X886" s="49"/>
      <c r="Y886" s="49"/>
      <c r="Z886" s="49"/>
      <c r="AQ886" s="29"/>
    </row>
    <row r="887" spans="1:43" s="28" customFormat="1" ht="12.75" customHeight="1">
      <c r="A887" s="64" t="s">
        <v>182</v>
      </c>
      <c r="B887" s="23" t="s">
        <v>183</v>
      </c>
      <c r="C887" s="77" t="s">
        <v>180</v>
      </c>
      <c r="D887" s="78">
        <v>1991</v>
      </c>
      <c r="E887" s="26">
        <v>11</v>
      </c>
      <c r="F887" s="66">
        <v>27</v>
      </c>
      <c r="G887" s="46">
        <f t="shared" si="118"/>
        <v>331.7</v>
      </c>
      <c r="H887" s="121">
        <v>3883.92</v>
      </c>
      <c r="I887" s="66"/>
      <c r="J887" s="29"/>
      <c r="K887" s="80">
        <v>37.285632</v>
      </c>
      <c r="O887" s="48">
        <f t="shared" si="120"/>
        <v>3.5892702758404034</v>
      </c>
      <c r="R887" s="48">
        <f t="shared" si="121"/>
        <v>1.571541508879972</v>
      </c>
      <c r="U887" s="48">
        <v>3.5892702758404034</v>
      </c>
      <c r="V887" s="54">
        <v>1.571541508879972</v>
      </c>
      <c r="W887" s="49">
        <f t="shared" si="119"/>
        <v>1.302481411016408</v>
      </c>
      <c r="X887" s="49"/>
      <c r="Y887" s="49"/>
      <c r="Z887" s="49"/>
      <c r="AQ887" s="29"/>
    </row>
    <row r="888" spans="1:43" s="28" customFormat="1" ht="12.75" customHeight="1">
      <c r="A888" s="64" t="s">
        <v>182</v>
      </c>
      <c r="B888" s="23" t="s">
        <v>183</v>
      </c>
      <c r="C888" s="77" t="s">
        <v>180</v>
      </c>
      <c r="D888" s="78">
        <v>1992</v>
      </c>
      <c r="E888" s="26">
        <v>1</v>
      </c>
      <c r="F888" s="66">
        <v>21</v>
      </c>
      <c r="G888" s="46">
        <f t="shared" si="118"/>
        <v>21</v>
      </c>
      <c r="H888" s="121">
        <v>5987.71</v>
      </c>
      <c r="I888" s="66"/>
      <c r="J888" s="29"/>
      <c r="K888" s="80">
        <v>50.976450000000007</v>
      </c>
      <c r="O888" s="48">
        <f t="shared" si="120"/>
        <v>3.7772607581957924</v>
      </c>
      <c r="R888" s="48">
        <f t="shared" si="121"/>
        <v>1.7073695879183981</v>
      </c>
      <c r="U888" s="48">
        <v>3.7772607581957924</v>
      </c>
      <c r="V888" s="54">
        <v>1.7073695879183981</v>
      </c>
      <c r="W888" s="49">
        <f t="shared" si="119"/>
        <v>1.1166072323903484</v>
      </c>
      <c r="X888" s="49"/>
      <c r="Y888" s="49"/>
      <c r="Z888" s="49"/>
      <c r="AQ888" s="29"/>
    </row>
    <row r="889" spans="1:43" s="28" customFormat="1" ht="12.75" customHeight="1">
      <c r="A889" s="64" t="s">
        <v>182</v>
      </c>
      <c r="B889" s="23" t="s">
        <v>183</v>
      </c>
      <c r="C889" s="77" t="s">
        <v>180</v>
      </c>
      <c r="D889" s="78">
        <v>1992</v>
      </c>
      <c r="E889" s="26">
        <v>1</v>
      </c>
      <c r="F889" s="66">
        <v>21</v>
      </c>
      <c r="G889" s="46">
        <f t="shared" si="118"/>
        <v>21</v>
      </c>
      <c r="H889" s="121">
        <v>8576.99</v>
      </c>
      <c r="I889" s="66"/>
      <c r="J889" s="29"/>
      <c r="K889" s="80">
        <v>98.425005999999996</v>
      </c>
      <c r="O889" s="48">
        <f t="shared" si="120"/>
        <v>3.9333349037295866</v>
      </c>
      <c r="R889" s="48">
        <f t="shared" si="121"/>
        <v>1.993105449936911</v>
      </c>
      <c r="U889" s="48">
        <v>3.9333349037295866</v>
      </c>
      <c r="V889" s="54">
        <v>1.993105449936911</v>
      </c>
      <c r="W889" s="49">
        <f t="shared" si="119"/>
        <v>0.79729574759953747</v>
      </c>
      <c r="X889" s="49"/>
      <c r="Y889" s="49"/>
      <c r="Z889" s="49"/>
      <c r="AQ889" s="29"/>
    </row>
    <row r="890" spans="1:43" s="28" customFormat="1" ht="12.75" customHeight="1">
      <c r="A890" s="64" t="s">
        <v>182</v>
      </c>
      <c r="B890" s="23" t="s">
        <v>183</v>
      </c>
      <c r="C890" s="77" t="s">
        <v>180</v>
      </c>
      <c r="D890" s="78">
        <v>1992</v>
      </c>
      <c r="E890" s="26">
        <v>1</v>
      </c>
      <c r="F890" s="66">
        <v>21</v>
      </c>
      <c r="G890" s="46">
        <f t="shared" si="118"/>
        <v>21</v>
      </c>
      <c r="H890" s="121">
        <v>5664.05</v>
      </c>
      <c r="I890" s="66"/>
      <c r="J890" s="29"/>
      <c r="K890" s="80">
        <v>71.189017000000007</v>
      </c>
      <c r="O890" s="48">
        <f t="shared" si="120"/>
        <v>3.7531270784790731</v>
      </c>
      <c r="R890" s="48">
        <f t="shared" si="121"/>
        <v>1.8524129961056606</v>
      </c>
      <c r="U890" s="48">
        <v>3.7531270784790731</v>
      </c>
      <c r="V890" s="54">
        <v>1.8524129961056606</v>
      </c>
      <c r="W890" s="49">
        <f t="shared" si="119"/>
        <v>0.98547895608419744</v>
      </c>
      <c r="X890" s="49"/>
      <c r="Y890" s="49"/>
      <c r="Z890" s="49"/>
      <c r="AQ890" s="29"/>
    </row>
    <row r="891" spans="1:43" s="28" customFormat="1" ht="12.75" customHeight="1">
      <c r="A891" s="64" t="s">
        <v>182</v>
      </c>
      <c r="B891" s="23" t="s">
        <v>183</v>
      </c>
      <c r="C891" s="77" t="s">
        <v>180</v>
      </c>
      <c r="D891" s="78">
        <v>1992</v>
      </c>
      <c r="E891" s="26">
        <v>1</v>
      </c>
      <c r="F891" s="66">
        <v>21</v>
      </c>
      <c r="G891" s="46">
        <f t="shared" ref="G891:G954" si="122">30.47*(E891-1)+F891</f>
        <v>21</v>
      </c>
      <c r="H891" s="121">
        <v>5016.7299999999996</v>
      </c>
      <c r="I891" s="66"/>
      <c r="J891" s="29"/>
      <c r="K891" s="80">
        <v>53.015508000000004</v>
      </c>
      <c r="O891" s="48">
        <f t="shared" si="120"/>
        <v>3.7004207279630701</v>
      </c>
      <c r="R891" s="48">
        <f t="shared" si="121"/>
        <v>1.7244029272171784</v>
      </c>
      <c r="U891" s="48">
        <v>3.7004207279630701</v>
      </c>
      <c r="V891" s="54">
        <v>1.7244029272171784</v>
      </c>
      <c r="W891" s="49">
        <f t="shared" ref="W891:W954" si="123">0.9539*(4.064-0.314*U891-V891)</f>
        <v>1.1233746093526862</v>
      </c>
      <c r="X891" s="49"/>
      <c r="Y891" s="49"/>
      <c r="Z891" s="49"/>
      <c r="AQ891" s="29"/>
    </row>
    <row r="892" spans="1:43" s="28" customFormat="1" ht="12.75" customHeight="1">
      <c r="A892" s="64" t="s">
        <v>182</v>
      </c>
      <c r="B892" s="23" t="s">
        <v>183</v>
      </c>
      <c r="C892" s="77" t="s">
        <v>180</v>
      </c>
      <c r="D892" s="78">
        <v>1992</v>
      </c>
      <c r="E892" s="26">
        <v>3</v>
      </c>
      <c r="F892" s="66">
        <v>26</v>
      </c>
      <c r="G892" s="46">
        <f t="shared" si="122"/>
        <v>86.94</v>
      </c>
      <c r="H892" s="121">
        <v>10842.61</v>
      </c>
      <c r="I892" s="66"/>
      <c r="J892" s="29"/>
      <c r="K892" s="80">
        <v>96.337399000000019</v>
      </c>
      <c r="O892" s="48">
        <f t="shared" si="120"/>
        <v>4.0351338368296243</v>
      </c>
      <c r="R892" s="48">
        <f t="shared" si="121"/>
        <v>1.9837949166805511</v>
      </c>
      <c r="U892" s="48">
        <v>4.0351338368296243</v>
      </c>
      <c r="V892" s="54">
        <v>1.9837949166805511</v>
      </c>
      <c r="W892" s="49">
        <f t="shared" si="123"/>
        <v>0.77568578055556392</v>
      </c>
      <c r="X892" s="49"/>
      <c r="Y892" s="49"/>
      <c r="Z892" s="49"/>
      <c r="AQ892" s="29"/>
    </row>
    <row r="893" spans="1:43" s="28" customFormat="1" ht="12.75" customHeight="1">
      <c r="A893" s="64" t="s">
        <v>182</v>
      </c>
      <c r="B893" s="23" t="s">
        <v>183</v>
      </c>
      <c r="C893" s="77" t="s">
        <v>180</v>
      </c>
      <c r="D893" s="78">
        <v>1992</v>
      </c>
      <c r="E893" s="26">
        <v>3</v>
      </c>
      <c r="F893" s="66">
        <v>26</v>
      </c>
      <c r="G893" s="46">
        <f t="shared" si="122"/>
        <v>86.94</v>
      </c>
      <c r="H893" s="121">
        <v>7606.01</v>
      </c>
      <c r="I893" s="66"/>
      <c r="J893" s="29"/>
      <c r="K893" s="80">
        <v>99.266521999999995</v>
      </c>
      <c r="O893" s="48">
        <f t="shared" si="120"/>
        <v>3.881156892064515</v>
      </c>
      <c r="R893" s="48">
        <f t="shared" si="121"/>
        <v>1.9968028057752643</v>
      </c>
      <c r="U893" s="48">
        <v>3.881156892064515</v>
      </c>
      <c r="V893" s="54">
        <v>1.9968028057752643</v>
      </c>
      <c r="W893" s="49">
        <f t="shared" si="123"/>
        <v>0.8093974379381087</v>
      </c>
      <c r="X893" s="49"/>
      <c r="Y893" s="49"/>
      <c r="Z893" s="49"/>
      <c r="AQ893" s="29"/>
    </row>
    <row r="894" spans="1:43" s="28" customFormat="1" ht="12.75" customHeight="1">
      <c r="A894" s="64" t="s">
        <v>182</v>
      </c>
      <c r="B894" s="23" t="s">
        <v>183</v>
      </c>
      <c r="C894" s="77" t="s">
        <v>180</v>
      </c>
      <c r="D894" s="78">
        <v>1992</v>
      </c>
      <c r="E894" s="26">
        <v>3</v>
      </c>
      <c r="F894" s="66">
        <v>26</v>
      </c>
      <c r="G894" s="46">
        <f t="shared" si="122"/>
        <v>86.94</v>
      </c>
      <c r="H894" s="121">
        <v>7282.35</v>
      </c>
      <c r="I894" s="66"/>
      <c r="J894" s="29"/>
      <c r="K894" s="80">
        <v>96.434497000000007</v>
      </c>
      <c r="O894" s="48">
        <f t="shared" si="120"/>
        <v>3.8622715479041414</v>
      </c>
      <c r="R894" s="48">
        <f t="shared" si="121"/>
        <v>1.9842324195535843</v>
      </c>
      <c r="U894" s="48">
        <v>3.8622715479041414</v>
      </c>
      <c r="V894" s="54">
        <v>1.9842324195535843</v>
      </c>
      <c r="W894" s="49">
        <f t="shared" si="123"/>
        <v>0.82704495451046689</v>
      </c>
      <c r="X894" s="49"/>
      <c r="Y894" s="49"/>
      <c r="Z894" s="49"/>
      <c r="AQ894" s="29"/>
    </row>
    <row r="895" spans="1:43" s="28" customFormat="1" ht="12.75" customHeight="1">
      <c r="A895" s="64" t="s">
        <v>182</v>
      </c>
      <c r="B895" s="23" t="s">
        <v>183</v>
      </c>
      <c r="C895" s="77" t="s">
        <v>180</v>
      </c>
      <c r="D895" s="78">
        <v>1992</v>
      </c>
      <c r="E895" s="26">
        <v>3</v>
      </c>
      <c r="F895" s="66">
        <v>26</v>
      </c>
      <c r="G895" s="46">
        <f t="shared" si="122"/>
        <v>86.94</v>
      </c>
      <c r="H895" s="121">
        <v>7767.84</v>
      </c>
      <c r="I895" s="66"/>
      <c r="J895" s="29"/>
      <c r="K895" s="80">
        <v>98.716300000000004</v>
      </c>
      <c r="O895" s="48">
        <f t="shared" si="120"/>
        <v>3.8903002715043846</v>
      </c>
      <c r="R895" s="48">
        <f t="shared" si="121"/>
        <v>1.9943888691395646</v>
      </c>
      <c r="U895" s="48">
        <v>3.8903002715043846</v>
      </c>
      <c r="V895" s="54">
        <v>1.9943888691395646</v>
      </c>
      <c r="W895" s="49">
        <f t="shared" si="123"/>
        <v>0.80896142502552726</v>
      </c>
      <c r="X895" s="49"/>
      <c r="Y895" s="49"/>
      <c r="Z895" s="49"/>
      <c r="AQ895" s="29"/>
    </row>
    <row r="896" spans="1:43" s="28" customFormat="1" ht="12.75" customHeight="1">
      <c r="A896" s="64" t="s">
        <v>182</v>
      </c>
      <c r="B896" s="23" t="s">
        <v>183</v>
      </c>
      <c r="C896" s="77" t="s">
        <v>180</v>
      </c>
      <c r="D896" s="78">
        <v>1992</v>
      </c>
      <c r="E896" s="26">
        <v>5</v>
      </c>
      <c r="F896" s="66">
        <v>29</v>
      </c>
      <c r="G896" s="46">
        <f t="shared" si="122"/>
        <v>150.88</v>
      </c>
      <c r="H896" s="121">
        <v>14241.04</v>
      </c>
      <c r="I896" s="66"/>
      <c r="J896" s="29"/>
      <c r="K896" s="80">
        <v>194.94041799999999</v>
      </c>
      <c r="O896" s="48">
        <f t="shared" si="120"/>
        <v>4.1535417062789666</v>
      </c>
      <c r="R896" s="48">
        <f t="shared" si="121"/>
        <v>2.2899018929633592</v>
      </c>
      <c r="U896" s="48">
        <v>4.1535417062789666</v>
      </c>
      <c r="V896" s="54">
        <v>2.2899018929633592</v>
      </c>
      <c r="W896" s="49">
        <f t="shared" si="123"/>
        <v>0.44822426614572652</v>
      </c>
      <c r="X896" s="49"/>
      <c r="Y896" s="49"/>
      <c r="Z896" s="49"/>
      <c r="AQ896" s="29"/>
    </row>
    <row r="897" spans="1:43" s="28" customFormat="1" ht="12.75" customHeight="1">
      <c r="A897" s="64" t="s">
        <v>182</v>
      </c>
      <c r="B897" s="23" t="s">
        <v>183</v>
      </c>
      <c r="C897" s="77" t="s">
        <v>180</v>
      </c>
      <c r="D897" s="78">
        <v>1992</v>
      </c>
      <c r="E897" s="26">
        <v>5</v>
      </c>
      <c r="F897" s="66">
        <v>29</v>
      </c>
      <c r="G897" s="46">
        <f t="shared" si="122"/>
        <v>150.88</v>
      </c>
      <c r="H897" s="121">
        <v>8738.82</v>
      </c>
      <c r="I897" s="66"/>
      <c r="J897" s="29"/>
      <c r="K897" s="80">
        <v>170.63355200000001</v>
      </c>
      <c r="O897" s="48">
        <f t="shared" si="120"/>
        <v>3.9414527939517661</v>
      </c>
      <c r="R897" s="48">
        <f t="shared" si="121"/>
        <v>2.2320644313787321</v>
      </c>
      <c r="U897" s="48">
        <v>3.9414527939517661</v>
      </c>
      <c r="V897" s="54">
        <v>2.2320644313787321</v>
      </c>
      <c r="W897" s="49">
        <f t="shared" si="123"/>
        <v>0.56692126738054238</v>
      </c>
      <c r="X897" s="49"/>
      <c r="Y897" s="49"/>
      <c r="Z897" s="49"/>
      <c r="AQ897" s="29"/>
    </row>
    <row r="898" spans="1:43" s="28" customFormat="1" ht="12.75" customHeight="1">
      <c r="A898" s="64" t="s">
        <v>182</v>
      </c>
      <c r="B898" s="23" t="s">
        <v>183</v>
      </c>
      <c r="C898" s="77" t="s">
        <v>180</v>
      </c>
      <c r="D898" s="78">
        <v>1992</v>
      </c>
      <c r="E898" s="26">
        <v>5</v>
      </c>
      <c r="F898" s="66">
        <v>29</v>
      </c>
      <c r="G898" s="46">
        <f t="shared" si="122"/>
        <v>150.88</v>
      </c>
      <c r="H898" s="121">
        <v>6473.2</v>
      </c>
      <c r="I898" s="66"/>
      <c r="J898" s="29"/>
      <c r="K898" s="80">
        <v>66.609228000000002</v>
      </c>
      <c r="O898" s="48">
        <f t="shared" si="120"/>
        <v>3.81111902545676</v>
      </c>
      <c r="R898" s="48">
        <f t="shared" si="121"/>
        <v>1.8235344002191929</v>
      </c>
      <c r="U898" s="48">
        <v>3.81111902545676</v>
      </c>
      <c r="V898" s="54">
        <v>1.8235344002191929</v>
      </c>
      <c r="W898" s="49">
        <f t="shared" si="123"/>
        <v>0.99565623397858627</v>
      </c>
      <c r="X898" s="49"/>
      <c r="Y898" s="49"/>
      <c r="Z898" s="49"/>
      <c r="AQ898" s="29"/>
    </row>
    <row r="899" spans="1:43" s="28" customFormat="1" ht="12.75" customHeight="1">
      <c r="A899" s="64" t="s">
        <v>182</v>
      </c>
      <c r="B899" s="23" t="s">
        <v>183</v>
      </c>
      <c r="C899" s="77" t="s">
        <v>180</v>
      </c>
      <c r="D899" s="78">
        <v>1992</v>
      </c>
      <c r="E899" s="26">
        <v>5</v>
      </c>
      <c r="F899" s="66">
        <v>29</v>
      </c>
      <c r="G899" s="46">
        <f t="shared" si="122"/>
        <v>150.88</v>
      </c>
      <c r="H899" s="121">
        <v>5987.71</v>
      </c>
      <c r="I899" s="66"/>
      <c r="J899" s="29"/>
      <c r="K899" s="80">
        <v>62.239818000000007</v>
      </c>
      <c r="O899" s="48">
        <f t="shared" si="120"/>
        <v>3.7772607581957924</v>
      </c>
      <c r="R899" s="48">
        <f t="shared" si="121"/>
        <v>1.7940683140312585</v>
      </c>
      <c r="U899" s="48">
        <v>3.7772607581957924</v>
      </c>
      <c r="V899" s="54">
        <v>1.7940683140312585</v>
      </c>
      <c r="W899" s="49">
        <f t="shared" si="123"/>
        <v>1.0339053175512909</v>
      </c>
      <c r="X899" s="49"/>
      <c r="Y899" s="49"/>
      <c r="Z899" s="49"/>
      <c r="AQ899" s="29"/>
    </row>
    <row r="900" spans="1:43" s="28" customFormat="1" ht="12.75" customHeight="1">
      <c r="A900" s="64" t="s">
        <v>182</v>
      </c>
      <c r="B900" s="23" t="s">
        <v>183</v>
      </c>
      <c r="C900" s="77" t="s">
        <v>180</v>
      </c>
      <c r="D900" s="78">
        <v>1992</v>
      </c>
      <c r="E900" s="26">
        <v>7</v>
      </c>
      <c r="F900" s="66">
        <v>16</v>
      </c>
      <c r="G900" s="46">
        <f t="shared" si="122"/>
        <v>198.82</v>
      </c>
      <c r="H900" s="121">
        <v>10842.61</v>
      </c>
      <c r="I900" s="66"/>
      <c r="J900" s="29"/>
      <c r="K900" s="80">
        <v>99.784378000000018</v>
      </c>
      <c r="O900" s="48">
        <f t="shared" si="120"/>
        <v>4.0351338368296243</v>
      </c>
      <c r="R900" s="48">
        <f t="shared" si="121"/>
        <v>1.999062554519287</v>
      </c>
      <c r="U900" s="48">
        <v>4.0351338368296243</v>
      </c>
      <c r="V900" s="54">
        <v>1.999062554519287</v>
      </c>
      <c r="W900" s="49">
        <f t="shared" si="123"/>
        <v>0.76112198082119376</v>
      </c>
      <c r="X900" s="49"/>
      <c r="Y900" s="49"/>
      <c r="Z900" s="49"/>
      <c r="AQ900" s="29"/>
    </row>
    <row r="901" spans="1:43" s="28" customFormat="1" ht="12.75" customHeight="1">
      <c r="A901" s="64" t="s">
        <v>182</v>
      </c>
      <c r="B901" s="23" t="s">
        <v>183</v>
      </c>
      <c r="C901" s="77" t="s">
        <v>180</v>
      </c>
      <c r="D901" s="78">
        <v>1992</v>
      </c>
      <c r="E901" s="26">
        <v>7</v>
      </c>
      <c r="F901" s="66">
        <v>16</v>
      </c>
      <c r="G901" s="46">
        <f t="shared" si="122"/>
        <v>198.82</v>
      </c>
      <c r="H901" s="121">
        <v>13108.23</v>
      </c>
      <c r="I901" s="66"/>
      <c r="J901" s="29"/>
      <c r="K901" s="80">
        <v>131.56779</v>
      </c>
      <c r="O901" s="48">
        <f t="shared" si="120"/>
        <v>4.117544053007447</v>
      </c>
      <c r="R901" s="48">
        <f t="shared" si="121"/>
        <v>2.1191495797228659</v>
      </c>
      <c r="U901" s="48">
        <v>4.117544053007447</v>
      </c>
      <c r="V901" s="54">
        <v>2.1191495797228659</v>
      </c>
      <c r="W901" s="49">
        <f t="shared" si="123"/>
        <v>0.62188708044292418</v>
      </c>
      <c r="X901" s="49"/>
      <c r="Y901" s="49"/>
      <c r="Z901" s="49"/>
      <c r="AQ901" s="29"/>
    </row>
    <row r="902" spans="1:43" s="28" customFormat="1" ht="12.75" customHeight="1">
      <c r="A902" s="64" t="s">
        <v>182</v>
      </c>
      <c r="B902" s="23" t="s">
        <v>183</v>
      </c>
      <c r="C902" s="77" t="s">
        <v>180</v>
      </c>
      <c r="D902" s="78">
        <v>1992</v>
      </c>
      <c r="E902" s="26">
        <v>7</v>
      </c>
      <c r="F902" s="66">
        <v>16</v>
      </c>
      <c r="G902" s="46">
        <f t="shared" si="122"/>
        <v>198.82</v>
      </c>
      <c r="H902" s="121">
        <v>8091.5</v>
      </c>
      <c r="I902" s="66"/>
      <c r="J902" s="29"/>
      <c r="K902" s="80">
        <v>117.00309</v>
      </c>
      <c r="O902" s="48">
        <f t="shared" si="120"/>
        <v>3.9080290384648162</v>
      </c>
      <c r="R902" s="48">
        <f t="shared" si="121"/>
        <v>2.0681973314233284</v>
      </c>
      <c r="U902" s="48">
        <v>3.9080290384648162</v>
      </c>
      <c r="V902" s="54">
        <v>2.0681973314233284</v>
      </c>
      <c r="W902" s="49">
        <f t="shared" si="123"/>
        <v>0.73324533102072842</v>
      </c>
      <c r="X902" s="49"/>
      <c r="Y902" s="49"/>
      <c r="Z902" s="49"/>
      <c r="AQ902" s="29"/>
    </row>
    <row r="903" spans="1:43" s="28" customFormat="1" ht="12.75" customHeight="1">
      <c r="A903" s="64" t="s">
        <v>182</v>
      </c>
      <c r="B903" s="23" t="s">
        <v>183</v>
      </c>
      <c r="C903" s="77" t="s">
        <v>180</v>
      </c>
      <c r="D903" s="78">
        <v>1992</v>
      </c>
      <c r="E903" s="26">
        <v>7</v>
      </c>
      <c r="F903" s="66">
        <v>16</v>
      </c>
      <c r="G903" s="46">
        <f t="shared" si="122"/>
        <v>198.82</v>
      </c>
      <c r="H903" s="121">
        <v>10033.459999999999</v>
      </c>
      <c r="I903" s="66"/>
      <c r="J903" s="29"/>
      <c r="K903" s="80">
        <v>133.331737</v>
      </c>
      <c r="O903" s="48">
        <f t="shared" si="120"/>
        <v>4.0014507236270518</v>
      </c>
      <c r="R903" s="48">
        <f t="shared" si="121"/>
        <v>2.124933536986489</v>
      </c>
      <c r="U903" s="48">
        <v>4.0014507236270518</v>
      </c>
      <c r="V903" s="54">
        <v>2.124933536986489</v>
      </c>
      <c r="W903" s="49">
        <f t="shared" si="123"/>
        <v>0.65114257165448497</v>
      </c>
      <c r="X903" s="49"/>
      <c r="Y903" s="49"/>
      <c r="Z903" s="49"/>
      <c r="AQ903" s="29"/>
    </row>
    <row r="904" spans="1:43" s="28" customFormat="1" ht="12.75" customHeight="1">
      <c r="A904" s="64" t="s">
        <v>182</v>
      </c>
      <c r="B904" s="23" t="s">
        <v>183</v>
      </c>
      <c r="C904" s="77" t="s">
        <v>180</v>
      </c>
      <c r="D904" s="78">
        <v>1992</v>
      </c>
      <c r="E904" s="26">
        <v>8</v>
      </c>
      <c r="F904" s="66">
        <v>21</v>
      </c>
      <c r="G904" s="46">
        <f t="shared" si="122"/>
        <v>234.29</v>
      </c>
      <c r="H904" s="121">
        <v>6958.69</v>
      </c>
      <c r="I904" s="66"/>
      <c r="J904" s="29"/>
      <c r="K904" s="80">
        <v>77.306191000000013</v>
      </c>
      <c r="O904" s="48">
        <f t="shared" ref="O904:O967" si="124">LOG10(H904)</f>
        <v>3.8425274897083841</v>
      </c>
      <c r="R904" s="48">
        <f t="shared" ref="R904:R967" si="125">LOG10(K904)</f>
        <v>1.8882142754121514</v>
      </c>
      <c r="U904" s="48">
        <v>3.8425274897083841</v>
      </c>
      <c r="V904" s="54">
        <v>1.8882142754121514</v>
      </c>
      <c r="W904" s="49">
        <f t="shared" si="123"/>
        <v>0.92455049334044093</v>
      </c>
      <c r="X904" s="49"/>
      <c r="Y904" s="49"/>
      <c r="Z904" s="49"/>
      <c r="AQ904" s="29"/>
    </row>
    <row r="905" spans="1:43" s="28" customFormat="1" ht="12.75" customHeight="1">
      <c r="A905" s="64" t="s">
        <v>182</v>
      </c>
      <c r="B905" s="23" t="s">
        <v>183</v>
      </c>
      <c r="C905" s="77" t="s">
        <v>180</v>
      </c>
      <c r="D905" s="78">
        <v>1992</v>
      </c>
      <c r="E905" s="26">
        <v>8</v>
      </c>
      <c r="F905" s="66">
        <v>21</v>
      </c>
      <c r="G905" s="46">
        <f t="shared" si="122"/>
        <v>234.29</v>
      </c>
      <c r="H905" s="121">
        <v>11651.76</v>
      </c>
      <c r="I905" s="66"/>
      <c r="J905" s="29"/>
      <c r="K905" s="80">
        <v>176.961105</v>
      </c>
      <c r="O905" s="48">
        <f t="shared" si="124"/>
        <v>4.0663915305600664</v>
      </c>
      <c r="R905" s="48">
        <f t="shared" si="125"/>
        <v>2.2478778215024535</v>
      </c>
      <c r="U905" s="48">
        <v>4.0663915305600664</v>
      </c>
      <c r="V905" s="54">
        <v>2.2478778215024535</v>
      </c>
      <c r="W905" s="49">
        <f t="shared" si="123"/>
        <v>0.51441464943441817</v>
      </c>
      <c r="X905" s="49"/>
      <c r="Y905" s="49"/>
      <c r="Z905" s="49"/>
      <c r="AQ905" s="29"/>
    </row>
    <row r="906" spans="1:43" s="28" customFormat="1" ht="12.75" customHeight="1">
      <c r="A906" s="64" t="s">
        <v>182</v>
      </c>
      <c r="B906" s="23" t="s">
        <v>183</v>
      </c>
      <c r="C906" s="77" t="s">
        <v>180</v>
      </c>
      <c r="D906" s="78">
        <v>1992</v>
      </c>
      <c r="E906" s="26">
        <v>8</v>
      </c>
      <c r="F906" s="66">
        <v>21</v>
      </c>
      <c r="G906" s="46">
        <f t="shared" si="122"/>
        <v>234.29</v>
      </c>
      <c r="H906" s="121">
        <v>9062.48</v>
      </c>
      <c r="I906" s="66"/>
      <c r="J906" s="29"/>
      <c r="K906" s="80">
        <v>103.5712</v>
      </c>
      <c r="O906" s="48">
        <f t="shared" si="124"/>
        <v>3.9572470611349981</v>
      </c>
      <c r="R906" s="48">
        <f t="shared" si="125"/>
        <v>2.0152390081126845</v>
      </c>
      <c r="U906" s="48">
        <v>3.9572470611349981</v>
      </c>
      <c r="V906" s="54">
        <v>2.0152390081126845</v>
      </c>
      <c r="W906" s="49">
        <f t="shared" si="123"/>
        <v>0.76902026707367444</v>
      </c>
      <c r="X906" s="49"/>
      <c r="Y906" s="49"/>
      <c r="Z906" s="49"/>
      <c r="AQ906" s="29"/>
    </row>
    <row r="907" spans="1:43" s="28" customFormat="1" ht="12.75" customHeight="1">
      <c r="A907" s="64" t="s">
        <v>182</v>
      </c>
      <c r="B907" s="23" t="s">
        <v>183</v>
      </c>
      <c r="C907" s="77" t="s">
        <v>180</v>
      </c>
      <c r="D907" s="78">
        <v>1992</v>
      </c>
      <c r="E907" s="26">
        <v>8</v>
      </c>
      <c r="F907" s="66">
        <v>21</v>
      </c>
      <c r="G907" s="46">
        <f t="shared" si="122"/>
        <v>234.29</v>
      </c>
      <c r="H907" s="121">
        <v>5825.88</v>
      </c>
      <c r="I907" s="66"/>
      <c r="J907" s="29"/>
      <c r="K907" s="80">
        <v>61.899975000000005</v>
      </c>
      <c r="O907" s="48">
        <f t="shared" si="124"/>
        <v>3.7653615348960847</v>
      </c>
      <c r="R907" s="48">
        <f t="shared" si="125"/>
        <v>1.791690473618434</v>
      </c>
      <c r="U907" s="48">
        <v>3.7653615348960847</v>
      </c>
      <c r="V907" s="54">
        <v>1.791690473618434</v>
      </c>
      <c r="W907" s="49">
        <f t="shared" si="123"/>
        <v>1.0397376496202397</v>
      </c>
      <c r="X907" s="49"/>
      <c r="Y907" s="49"/>
      <c r="Z907" s="49"/>
      <c r="AQ907" s="29"/>
    </row>
    <row r="908" spans="1:43" s="28" customFormat="1" ht="12.75" customHeight="1">
      <c r="A908" s="64" t="s">
        <v>182</v>
      </c>
      <c r="B908" s="23" t="s">
        <v>183</v>
      </c>
      <c r="C908" s="77" t="s">
        <v>180</v>
      </c>
      <c r="D908" s="78">
        <v>1992</v>
      </c>
      <c r="E908" s="26">
        <v>10</v>
      </c>
      <c r="F908" s="66">
        <v>14</v>
      </c>
      <c r="G908" s="46">
        <f t="shared" si="122"/>
        <v>288.23</v>
      </c>
      <c r="H908" s="121">
        <v>2912.94</v>
      </c>
      <c r="I908" s="66"/>
      <c r="J908" s="29"/>
      <c r="K908" s="80">
        <v>38.127148000000005</v>
      </c>
      <c r="O908" s="48">
        <f t="shared" si="124"/>
        <v>3.4643315392321035</v>
      </c>
      <c r="R908" s="48">
        <f t="shared" si="125"/>
        <v>1.5812343202438617</v>
      </c>
      <c r="U908" s="48">
        <v>3.4643315392321035</v>
      </c>
      <c r="V908" s="54">
        <v>1.5812343202438617</v>
      </c>
      <c r="W908" s="49">
        <f t="shared" si="123"/>
        <v>1.3306576633635006</v>
      </c>
      <c r="X908" s="49"/>
      <c r="Y908" s="49"/>
      <c r="Z908" s="49"/>
      <c r="AQ908" s="29"/>
    </row>
    <row r="909" spans="1:43" s="28" customFormat="1" ht="12.75" customHeight="1">
      <c r="A909" s="64" t="s">
        <v>182</v>
      </c>
      <c r="B909" s="23" t="s">
        <v>183</v>
      </c>
      <c r="C909" s="77" t="s">
        <v>180</v>
      </c>
      <c r="D909" s="78">
        <v>1992</v>
      </c>
      <c r="E909" s="26">
        <v>10</v>
      </c>
      <c r="F909" s="66">
        <v>14</v>
      </c>
      <c r="G909" s="46">
        <f t="shared" si="122"/>
        <v>288.23</v>
      </c>
      <c r="H909" s="121">
        <v>5016.7299999999996</v>
      </c>
      <c r="I909" s="66"/>
      <c r="J909" s="29"/>
      <c r="K909" s="80">
        <v>48.548999999999999</v>
      </c>
      <c r="O909" s="48">
        <f t="shared" si="124"/>
        <v>3.7004207279630701</v>
      </c>
      <c r="R909" s="48">
        <f t="shared" si="125"/>
        <v>1.6861802888484601</v>
      </c>
      <c r="U909" s="48">
        <v>3.7004207279630701</v>
      </c>
      <c r="V909" s="54">
        <v>1.6861802888484601</v>
      </c>
      <c r="W909" s="49">
        <f t="shared" si="123"/>
        <v>1.1598351840926067</v>
      </c>
      <c r="X909" s="49"/>
      <c r="Y909" s="49"/>
      <c r="Z909" s="49"/>
      <c r="AQ909" s="29"/>
    </row>
    <row r="910" spans="1:43" s="28" customFormat="1" ht="12.75" customHeight="1">
      <c r="A910" s="64" t="s">
        <v>182</v>
      </c>
      <c r="B910" s="23" t="s">
        <v>183</v>
      </c>
      <c r="C910" s="77" t="s">
        <v>180</v>
      </c>
      <c r="D910" s="78">
        <v>1992</v>
      </c>
      <c r="E910" s="26">
        <v>10</v>
      </c>
      <c r="F910" s="66">
        <v>14</v>
      </c>
      <c r="G910" s="46">
        <f t="shared" si="122"/>
        <v>288.23</v>
      </c>
      <c r="H910" s="121">
        <v>7444.18</v>
      </c>
      <c r="I910" s="66"/>
      <c r="J910" s="29"/>
      <c r="K910" s="80">
        <v>103.87867700000001</v>
      </c>
      <c r="O910" s="48">
        <f t="shared" si="124"/>
        <v>3.8718168658103718</v>
      </c>
      <c r="R910" s="48">
        <f t="shared" si="125"/>
        <v>2.0165264098130757</v>
      </c>
      <c r="U910" s="48">
        <v>3.8718168658103718</v>
      </c>
      <c r="V910" s="54">
        <v>2.0165264098130757</v>
      </c>
      <c r="W910" s="49">
        <f t="shared" si="123"/>
        <v>0.79338065967420157</v>
      </c>
      <c r="X910" s="49"/>
      <c r="Y910" s="49"/>
      <c r="Z910" s="49"/>
      <c r="AQ910" s="29"/>
    </row>
    <row r="911" spans="1:43" s="28" customFormat="1" ht="12.75" customHeight="1">
      <c r="A911" s="64" t="s">
        <v>182</v>
      </c>
      <c r="B911" s="23" t="s">
        <v>183</v>
      </c>
      <c r="C911" s="77" t="s">
        <v>180</v>
      </c>
      <c r="D911" s="78">
        <v>1992</v>
      </c>
      <c r="E911" s="26">
        <v>10</v>
      </c>
      <c r="F911" s="66">
        <v>14</v>
      </c>
      <c r="G911" s="46">
        <f t="shared" si="122"/>
        <v>288.23</v>
      </c>
      <c r="H911" s="121">
        <v>7767.84</v>
      </c>
      <c r="I911" s="66"/>
      <c r="J911" s="29"/>
      <c r="K911" s="80">
        <v>89.783283999999995</v>
      </c>
      <c r="O911" s="48">
        <f t="shared" si="124"/>
        <v>3.8903002715043846</v>
      </c>
      <c r="R911" s="48">
        <f t="shared" si="125"/>
        <v>1.9531954865300447</v>
      </c>
      <c r="U911" s="48">
        <v>3.8903002715043846</v>
      </c>
      <c r="V911" s="54">
        <v>1.9531954865300447</v>
      </c>
      <c r="W911" s="49">
        <f t="shared" si="123"/>
        <v>0.84825579269674833</v>
      </c>
      <c r="X911" s="49"/>
      <c r="Y911" s="49"/>
      <c r="Z911" s="49"/>
      <c r="AQ911" s="29"/>
    </row>
    <row r="912" spans="1:43" s="28" customFormat="1" ht="12.75" customHeight="1">
      <c r="A912" s="64" t="s">
        <v>182</v>
      </c>
      <c r="B912" s="23" t="s">
        <v>183</v>
      </c>
      <c r="C912" s="77" t="s">
        <v>180</v>
      </c>
      <c r="D912" s="78">
        <v>1992</v>
      </c>
      <c r="E912" s="26">
        <v>12</v>
      </c>
      <c r="F912" s="66">
        <v>7</v>
      </c>
      <c r="G912" s="46">
        <f t="shared" si="122"/>
        <v>342.16999999999996</v>
      </c>
      <c r="H912" s="121">
        <v>11004.44</v>
      </c>
      <c r="I912" s="66"/>
      <c r="J912" s="29"/>
      <c r="K912" s="80">
        <v>87.711860000000016</v>
      </c>
      <c r="O912" s="48">
        <f t="shared" si="124"/>
        <v>4.0415679468350341</v>
      </c>
      <c r="R912" s="48">
        <f t="shared" si="125"/>
        <v>1.9430583206671845</v>
      </c>
      <c r="U912" s="48">
        <v>4.0415679468350341</v>
      </c>
      <c r="V912" s="54">
        <v>1.9430583206671845</v>
      </c>
      <c r="W912" s="49">
        <f t="shared" si="123"/>
        <v>0.81261724526698764</v>
      </c>
      <c r="X912" s="49"/>
      <c r="Y912" s="49"/>
      <c r="Z912" s="49"/>
      <c r="AQ912" s="29"/>
    </row>
    <row r="913" spans="1:43" s="28" customFormat="1" ht="12.75" customHeight="1">
      <c r="A913" s="64" t="s">
        <v>182</v>
      </c>
      <c r="B913" s="23" t="s">
        <v>183</v>
      </c>
      <c r="C913" s="77" t="s">
        <v>180</v>
      </c>
      <c r="D913" s="78">
        <v>1992</v>
      </c>
      <c r="E913" s="26">
        <v>12</v>
      </c>
      <c r="F913" s="66">
        <v>7</v>
      </c>
      <c r="G913" s="46">
        <f t="shared" si="122"/>
        <v>342.16999999999996</v>
      </c>
      <c r="H913" s="121">
        <v>6311.37</v>
      </c>
      <c r="I913" s="66"/>
      <c r="J913" s="29"/>
      <c r="K913" s="80">
        <v>55.167847000000002</v>
      </c>
      <c r="O913" s="48">
        <f t="shared" si="124"/>
        <v>3.8001236411552965</v>
      </c>
      <c r="R913" s="48">
        <f t="shared" si="125"/>
        <v>1.7416860353576888</v>
      </c>
      <c r="U913" s="48">
        <v>3.8001236411552965</v>
      </c>
      <c r="V913" s="54">
        <v>1.7416860353576888</v>
      </c>
      <c r="W913" s="49">
        <f t="shared" si="123"/>
        <v>1.077024777304717</v>
      </c>
      <c r="X913" s="49"/>
      <c r="Y913" s="49"/>
      <c r="Z913" s="49"/>
      <c r="AQ913" s="29"/>
    </row>
    <row r="914" spans="1:43" s="28" customFormat="1" ht="12.75" customHeight="1">
      <c r="A914" s="64" t="s">
        <v>182</v>
      </c>
      <c r="B914" s="23" t="s">
        <v>183</v>
      </c>
      <c r="C914" s="77" t="s">
        <v>180</v>
      </c>
      <c r="D914" s="78">
        <v>1992</v>
      </c>
      <c r="E914" s="26">
        <v>12</v>
      </c>
      <c r="F914" s="66">
        <v>7</v>
      </c>
      <c r="G914" s="46">
        <f t="shared" si="122"/>
        <v>342.16999999999996</v>
      </c>
      <c r="H914" s="121">
        <v>7282.35</v>
      </c>
      <c r="I914" s="66"/>
      <c r="J914" s="29"/>
      <c r="K914" s="80">
        <v>85.89936400000002</v>
      </c>
      <c r="O914" s="48">
        <f t="shared" si="124"/>
        <v>3.8622715479041414</v>
      </c>
      <c r="R914" s="48">
        <f t="shared" si="125"/>
        <v>1.9339899483211955</v>
      </c>
      <c r="U914" s="48">
        <v>3.8622715479041414</v>
      </c>
      <c r="V914" s="54">
        <v>1.9339899483211955</v>
      </c>
      <c r="W914" s="49">
        <f t="shared" si="123"/>
        <v>0.87497124781904256</v>
      </c>
      <c r="X914" s="49"/>
      <c r="Y914" s="49"/>
      <c r="Z914" s="49"/>
      <c r="AQ914" s="29"/>
    </row>
    <row r="915" spans="1:43" s="28" customFormat="1" ht="12.75" customHeight="1">
      <c r="A915" s="64" t="s">
        <v>182</v>
      </c>
      <c r="B915" s="23" t="s">
        <v>183</v>
      </c>
      <c r="C915" s="77" t="s">
        <v>180</v>
      </c>
      <c r="D915" s="78">
        <v>1992</v>
      </c>
      <c r="E915" s="26">
        <v>12</v>
      </c>
      <c r="F915" s="66">
        <v>7</v>
      </c>
      <c r="G915" s="46">
        <f t="shared" si="122"/>
        <v>342.16999999999996</v>
      </c>
      <c r="H915" s="121">
        <v>6635.03</v>
      </c>
      <c r="I915" s="66"/>
      <c r="J915" s="29"/>
      <c r="K915" s="80">
        <v>46.849784999999997</v>
      </c>
      <c r="O915" s="48">
        <f t="shared" si="124"/>
        <v>3.8218428908485329</v>
      </c>
      <c r="R915" s="48">
        <f t="shared" si="125"/>
        <v>1.6707076021922525</v>
      </c>
      <c r="U915" s="48">
        <v>3.8218428908485329</v>
      </c>
      <c r="V915" s="54">
        <v>1.6707076021922525</v>
      </c>
      <c r="W915" s="49">
        <f t="shared" si="123"/>
        <v>1.13822565512456</v>
      </c>
      <c r="X915" s="49"/>
      <c r="Y915" s="49"/>
      <c r="Z915" s="49"/>
      <c r="AQ915" s="29"/>
    </row>
    <row r="916" spans="1:43" s="28" customFormat="1" ht="12.75" customHeight="1">
      <c r="A916" s="64" t="s">
        <v>182</v>
      </c>
      <c r="B916" s="23" t="s">
        <v>183</v>
      </c>
      <c r="C916" s="77" t="s">
        <v>180</v>
      </c>
      <c r="D916" s="78">
        <v>1993</v>
      </c>
      <c r="E916" s="26">
        <v>2</v>
      </c>
      <c r="F916" s="66">
        <v>16</v>
      </c>
      <c r="G916" s="46">
        <f t="shared" si="122"/>
        <v>46.47</v>
      </c>
      <c r="H916" s="121">
        <v>4854.8999999999996</v>
      </c>
      <c r="I916" s="66"/>
      <c r="J916" s="29"/>
      <c r="K916" s="80">
        <v>74.71691100000001</v>
      </c>
      <c r="O916" s="48">
        <f t="shared" si="124"/>
        <v>3.6861802888484601</v>
      </c>
      <c r="R916" s="48">
        <f t="shared" si="125"/>
        <v>1.8734189086799387</v>
      </c>
      <c r="U916" s="48">
        <v>3.6861802888484601</v>
      </c>
      <c r="V916" s="54">
        <v>1.8734189086799387</v>
      </c>
      <c r="W916" s="49">
        <f t="shared" si="123"/>
        <v>0.98549362646498684</v>
      </c>
      <c r="X916" s="49"/>
      <c r="Y916" s="49"/>
      <c r="Z916" s="49"/>
      <c r="AQ916" s="29"/>
    </row>
    <row r="917" spans="1:43" s="28" customFormat="1" ht="12.75" customHeight="1">
      <c r="A917" s="64" t="s">
        <v>182</v>
      </c>
      <c r="B917" s="23" t="s">
        <v>183</v>
      </c>
      <c r="C917" s="77" t="s">
        <v>180</v>
      </c>
      <c r="D917" s="78">
        <v>1993</v>
      </c>
      <c r="E917" s="26">
        <v>2</v>
      </c>
      <c r="F917" s="66">
        <v>16</v>
      </c>
      <c r="G917" s="46">
        <f t="shared" si="122"/>
        <v>46.47</v>
      </c>
      <c r="H917" s="121">
        <v>8091.5</v>
      </c>
      <c r="I917" s="66"/>
      <c r="J917" s="29"/>
      <c r="K917" s="80">
        <v>57.951323000000002</v>
      </c>
      <c r="O917" s="48">
        <f t="shared" si="124"/>
        <v>3.9080290384648162</v>
      </c>
      <c r="R917" s="48">
        <f t="shared" si="125"/>
        <v>1.7630633551407005</v>
      </c>
      <c r="U917" s="48">
        <v>3.9080290384648162</v>
      </c>
      <c r="V917" s="54">
        <v>1.7630633551407005</v>
      </c>
      <c r="W917" s="49">
        <f t="shared" si="123"/>
        <v>1.0243126309967272</v>
      </c>
      <c r="X917" s="49"/>
      <c r="Y917" s="49"/>
      <c r="Z917" s="49"/>
      <c r="AQ917" s="29"/>
    </row>
    <row r="918" spans="1:43" s="28" customFormat="1" ht="12.75" customHeight="1">
      <c r="A918" s="64" t="s">
        <v>182</v>
      </c>
      <c r="B918" s="23" t="s">
        <v>183</v>
      </c>
      <c r="C918" s="77" t="s">
        <v>180</v>
      </c>
      <c r="D918" s="78">
        <v>1993</v>
      </c>
      <c r="E918" s="26">
        <v>2</v>
      </c>
      <c r="F918" s="66">
        <v>16</v>
      </c>
      <c r="G918" s="46">
        <f t="shared" si="122"/>
        <v>46.47</v>
      </c>
      <c r="H918" s="121">
        <v>7444.18</v>
      </c>
      <c r="I918" s="66"/>
      <c r="J918" s="29"/>
      <c r="K918" s="80">
        <v>62.272184000000003</v>
      </c>
      <c r="O918" s="48">
        <f t="shared" si="124"/>
        <v>3.8718168658103718</v>
      </c>
      <c r="R918" s="48">
        <f t="shared" si="125"/>
        <v>1.7942940974945729</v>
      </c>
      <c r="U918" s="48">
        <v>3.8718168658103718</v>
      </c>
      <c r="V918" s="54">
        <v>1.7942940974945729</v>
      </c>
      <c r="W918" s="49">
        <f t="shared" si="123"/>
        <v>1.0053680623948213</v>
      </c>
      <c r="X918" s="49"/>
      <c r="Y918" s="49"/>
      <c r="Z918" s="49"/>
      <c r="AQ918" s="29"/>
    </row>
    <row r="919" spans="1:43" s="28" customFormat="1" ht="12.75" customHeight="1">
      <c r="A919" s="64" t="s">
        <v>182</v>
      </c>
      <c r="B919" s="23" t="s">
        <v>183</v>
      </c>
      <c r="C919" s="77" t="s">
        <v>180</v>
      </c>
      <c r="D919" s="78">
        <v>1993</v>
      </c>
      <c r="E919" s="26">
        <v>2</v>
      </c>
      <c r="F919" s="66">
        <v>16</v>
      </c>
      <c r="G919" s="46">
        <f t="shared" si="122"/>
        <v>46.47</v>
      </c>
      <c r="H919" s="121">
        <v>3560.26</v>
      </c>
      <c r="I919" s="66"/>
      <c r="J919" s="29"/>
      <c r="K919" s="80">
        <v>38.369893000000005</v>
      </c>
      <c r="O919" s="48">
        <f t="shared" si="124"/>
        <v>3.5514817149510036</v>
      </c>
      <c r="R919" s="48">
        <f t="shared" si="125"/>
        <v>1.5839905881069858</v>
      </c>
      <c r="U919" s="48">
        <v>3.5514817149510036</v>
      </c>
      <c r="V919" s="54">
        <v>1.5839905881069858</v>
      </c>
      <c r="W919" s="49">
        <f t="shared" si="123"/>
        <v>1.3019248379267327</v>
      </c>
      <c r="X919" s="49"/>
      <c r="Y919" s="49"/>
      <c r="Z919" s="49"/>
      <c r="AQ919" s="29"/>
    </row>
    <row r="920" spans="1:43" s="28" customFormat="1" ht="12.75" customHeight="1">
      <c r="A920" s="64" t="s">
        <v>182</v>
      </c>
      <c r="B920" s="23" t="s">
        <v>183</v>
      </c>
      <c r="C920" s="77" t="s">
        <v>180</v>
      </c>
      <c r="D920" s="78">
        <v>1993</v>
      </c>
      <c r="E920" s="26">
        <v>5</v>
      </c>
      <c r="F920" s="66">
        <v>20</v>
      </c>
      <c r="G920" s="46">
        <f t="shared" si="122"/>
        <v>141.88</v>
      </c>
      <c r="H920" s="121">
        <v>5987.71</v>
      </c>
      <c r="I920" s="66"/>
      <c r="J920" s="29"/>
      <c r="K920" s="80">
        <v>62.984236000000003</v>
      </c>
      <c r="O920" s="48">
        <f t="shared" si="124"/>
        <v>3.7772607581957924</v>
      </c>
      <c r="R920" s="48">
        <f t="shared" si="125"/>
        <v>1.7992318657251118</v>
      </c>
      <c r="U920" s="48">
        <v>3.7772607581957924</v>
      </c>
      <c r="V920" s="54">
        <v>1.7992318657251118</v>
      </c>
      <c r="W920" s="49">
        <f t="shared" si="123"/>
        <v>1.0289798055905242</v>
      </c>
      <c r="X920" s="49"/>
      <c r="Y920" s="49"/>
      <c r="Z920" s="49"/>
      <c r="AQ920" s="29"/>
    </row>
    <row r="921" spans="1:43" s="28" customFormat="1" ht="12.75" customHeight="1">
      <c r="A921" s="64" t="s">
        <v>182</v>
      </c>
      <c r="B921" s="23" t="s">
        <v>183</v>
      </c>
      <c r="C921" s="77" t="s">
        <v>180</v>
      </c>
      <c r="D921" s="78">
        <v>1993</v>
      </c>
      <c r="E921" s="26">
        <v>5</v>
      </c>
      <c r="F921" s="66">
        <v>20</v>
      </c>
      <c r="G921" s="46">
        <f t="shared" si="122"/>
        <v>141.88</v>
      </c>
      <c r="H921" s="121">
        <v>7606.01</v>
      </c>
      <c r="I921" s="66"/>
      <c r="J921" s="29"/>
      <c r="K921" s="80">
        <v>116.08065900000001</v>
      </c>
      <c r="O921" s="48">
        <f t="shared" si="124"/>
        <v>3.881156892064515</v>
      </c>
      <c r="R921" s="48">
        <f t="shared" si="125"/>
        <v>2.0647598649642349</v>
      </c>
      <c r="U921" s="48">
        <v>3.881156892064515</v>
      </c>
      <c r="V921" s="54">
        <v>2.0647598649642349</v>
      </c>
      <c r="W921" s="49">
        <f t="shared" si="123"/>
        <v>0.74457319917774956</v>
      </c>
      <c r="X921" s="49"/>
      <c r="Y921" s="49"/>
      <c r="Z921" s="49"/>
      <c r="AQ921" s="29"/>
    </row>
    <row r="922" spans="1:43" s="28" customFormat="1" ht="12.75" customHeight="1">
      <c r="A922" s="64" t="s">
        <v>182</v>
      </c>
      <c r="B922" s="23" t="s">
        <v>183</v>
      </c>
      <c r="C922" s="77" t="s">
        <v>180</v>
      </c>
      <c r="D922" s="78">
        <v>1993</v>
      </c>
      <c r="E922" s="26">
        <v>5</v>
      </c>
      <c r="F922" s="66">
        <v>20</v>
      </c>
      <c r="G922" s="46">
        <f t="shared" si="122"/>
        <v>141.88</v>
      </c>
      <c r="H922" s="121">
        <v>4854.8999999999996</v>
      </c>
      <c r="I922" s="66"/>
      <c r="J922" s="29"/>
      <c r="K922" s="80">
        <v>62.45019700000001</v>
      </c>
      <c r="O922" s="48">
        <f t="shared" si="124"/>
        <v>3.6861802888484601</v>
      </c>
      <c r="R922" s="48">
        <f t="shared" si="125"/>
        <v>1.7955338127001943</v>
      </c>
      <c r="U922" s="48">
        <v>3.6861802888484601</v>
      </c>
      <c r="V922" s="54">
        <v>1.7955338127001943</v>
      </c>
      <c r="W922" s="49">
        <f t="shared" si="123"/>
        <v>1.059788219520065</v>
      </c>
      <c r="X922" s="49"/>
      <c r="Y922" s="49"/>
      <c r="Z922" s="49"/>
      <c r="AQ922" s="29"/>
    </row>
    <row r="923" spans="1:43" s="28" customFormat="1" ht="12.75" customHeight="1">
      <c r="A923" s="64" t="s">
        <v>182</v>
      </c>
      <c r="B923" s="23" t="s">
        <v>183</v>
      </c>
      <c r="C923" s="77" t="s">
        <v>180</v>
      </c>
      <c r="D923" s="78">
        <v>1993</v>
      </c>
      <c r="E923" s="26">
        <v>5</v>
      </c>
      <c r="F923" s="66">
        <v>20</v>
      </c>
      <c r="G923" s="46">
        <f t="shared" si="122"/>
        <v>141.88</v>
      </c>
      <c r="H923" s="121">
        <v>6635.03</v>
      </c>
      <c r="I923" s="66"/>
      <c r="J923" s="29"/>
      <c r="K923" s="80">
        <v>82.031627000000015</v>
      </c>
      <c r="O923" s="48">
        <f t="shared" si="124"/>
        <v>3.8218428908485329</v>
      </c>
      <c r="R923" s="48">
        <f t="shared" si="125"/>
        <v>1.9139813253521993</v>
      </c>
      <c r="U923" s="48">
        <v>3.8218428908485329</v>
      </c>
      <c r="V923" s="54">
        <v>1.9139813253521993</v>
      </c>
      <c r="W923" s="49">
        <f t="shared" si="123"/>
        <v>0.90616685060228663</v>
      </c>
      <c r="X923" s="49"/>
      <c r="Y923" s="49"/>
      <c r="Z923" s="49"/>
      <c r="AQ923" s="29"/>
    </row>
    <row r="924" spans="1:43" s="28" customFormat="1" ht="12.75" customHeight="1">
      <c r="A924" s="64" t="s">
        <v>182</v>
      </c>
      <c r="B924" s="23" t="s">
        <v>183</v>
      </c>
      <c r="C924" s="77" t="s">
        <v>180</v>
      </c>
      <c r="D924" s="78">
        <v>1993</v>
      </c>
      <c r="E924" s="26">
        <v>8</v>
      </c>
      <c r="F924" s="66">
        <v>30</v>
      </c>
      <c r="G924" s="46">
        <f t="shared" si="122"/>
        <v>243.29</v>
      </c>
      <c r="H924" s="121">
        <v>4369.41</v>
      </c>
      <c r="I924" s="66"/>
      <c r="J924" s="29"/>
      <c r="K924" s="80">
        <v>91.838525000000004</v>
      </c>
      <c r="O924" s="48">
        <f t="shared" si="124"/>
        <v>3.6404227982877848</v>
      </c>
      <c r="R924" s="48">
        <f t="shared" si="125"/>
        <v>1.9630248999939579</v>
      </c>
      <c r="U924" s="48">
        <v>3.6404227982877848</v>
      </c>
      <c r="V924" s="54">
        <v>1.9630248999939579</v>
      </c>
      <c r="W924" s="49">
        <f t="shared" si="123"/>
        <v>0.91372396540773426</v>
      </c>
      <c r="X924" s="49"/>
      <c r="Y924" s="49"/>
      <c r="Z924" s="49"/>
      <c r="AQ924" s="29"/>
    </row>
    <row r="925" spans="1:43" s="28" customFormat="1" ht="12.75" customHeight="1">
      <c r="A925" s="64" t="s">
        <v>182</v>
      </c>
      <c r="B925" s="23" t="s">
        <v>183</v>
      </c>
      <c r="C925" s="77" t="s">
        <v>180</v>
      </c>
      <c r="D925" s="78">
        <v>1993</v>
      </c>
      <c r="E925" s="26">
        <v>8</v>
      </c>
      <c r="F925" s="66">
        <v>30</v>
      </c>
      <c r="G925" s="46">
        <f t="shared" si="122"/>
        <v>243.29</v>
      </c>
      <c r="H925" s="121">
        <v>4531.24</v>
      </c>
      <c r="I925" s="66"/>
      <c r="J925" s="29"/>
      <c r="K925" s="80">
        <v>76.545590000000004</v>
      </c>
      <c r="O925" s="48">
        <f t="shared" si="124"/>
        <v>3.6562170654710169</v>
      </c>
      <c r="R925" s="48">
        <f t="shared" si="125"/>
        <v>1.8839201748666092</v>
      </c>
      <c r="U925" s="48">
        <v>3.6562170654710169</v>
      </c>
      <c r="V925" s="54">
        <v>1.8839201748666092</v>
      </c>
      <c r="W925" s="49">
        <f t="shared" si="123"/>
        <v>0.98445119114636148</v>
      </c>
      <c r="X925" s="49"/>
      <c r="Y925" s="49"/>
      <c r="Z925" s="49"/>
      <c r="AQ925" s="29"/>
    </row>
    <row r="926" spans="1:43" s="28" customFormat="1" ht="12.75" customHeight="1">
      <c r="A926" s="64" t="s">
        <v>182</v>
      </c>
      <c r="B926" s="23" t="s">
        <v>183</v>
      </c>
      <c r="C926" s="77" t="s">
        <v>180</v>
      </c>
      <c r="D926" s="78">
        <v>1993</v>
      </c>
      <c r="E926" s="26">
        <v>8</v>
      </c>
      <c r="F926" s="66">
        <v>30</v>
      </c>
      <c r="G926" s="46">
        <f t="shared" si="122"/>
        <v>243.29</v>
      </c>
      <c r="H926" s="121">
        <v>7282.35</v>
      </c>
      <c r="I926" s="66"/>
      <c r="J926" s="29"/>
      <c r="K926" s="80">
        <v>117.27820100000001</v>
      </c>
      <c r="O926" s="48">
        <f t="shared" si="124"/>
        <v>3.8622715479041414</v>
      </c>
      <c r="R926" s="48">
        <f t="shared" si="125"/>
        <v>2.0692172954470758</v>
      </c>
      <c r="U926" s="48">
        <v>3.8622715479041414</v>
      </c>
      <c r="V926" s="54">
        <v>2.0692172954470758</v>
      </c>
      <c r="W926" s="49">
        <f t="shared" si="123"/>
        <v>0.74597788139566534</v>
      </c>
      <c r="X926" s="49"/>
      <c r="Y926" s="49"/>
      <c r="Z926" s="49"/>
      <c r="AQ926" s="29"/>
    </row>
    <row r="927" spans="1:43" s="28" customFormat="1" ht="12.75" customHeight="1">
      <c r="A927" s="64" t="s">
        <v>182</v>
      </c>
      <c r="B927" s="23" t="s">
        <v>183</v>
      </c>
      <c r="C927" s="77" t="s">
        <v>180</v>
      </c>
      <c r="D927" s="78">
        <v>1993</v>
      </c>
      <c r="E927" s="26">
        <v>8</v>
      </c>
      <c r="F927" s="66">
        <v>30</v>
      </c>
      <c r="G927" s="46">
        <f t="shared" si="122"/>
        <v>243.29</v>
      </c>
      <c r="H927" s="121">
        <v>5825.88</v>
      </c>
      <c r="I927" s="66"/>
      <c r="J927" s="29"/>
      <c r="K927" s="80">
        <v>90.64098300000002</v>
      </c>
      <c r="O927" s="48">
        <f t="shared" si="124"/>
        <v>3.7653615348960847</v>
      </c>
      <c r="R927" s="48">
        <f t="shared" si="125"/>
        <v>1.9573246067975385</v>
      </c>
      <c r="U927" s="48">
        <v>3.7653615348960847</v>
      </c>
      <c r="V927" s="54">
        <v>1.9573246067975385</v>
      </c>
      <c r="W927" s="49">
        <f t="shared" si="123"/>
        <v>0.88173924998069197</v>
      </c>
      <c r="X927" s="49"/>
      <c r="Y927" s="49"/>
      <c r="Z927" s="49"/>
      <c r="AQ927" s="29"/>
    </row>
    <row r="928" spans="1:43" s="28" customFormat="1" ht="12.75" customHeight="1">
      <c r="A928" s="64" t="s">
        <v>182</v>
      </c>
      <c r="B928" s="23" t="s">
        <v>183</v>
      </c>
      <c r="C928" s="77" t="s">
        <v>180</v>
      </c>
      <c r="D928" s="78">
        <v>1993</v>
      </c>
      <c r="E928" s="26">
        <v>12</v>
      </c>
      <c r="F928" s="66">
        <v>8</v>
      </c>
      <c r="G928" s="46">
        <f t="shared" si="122"/>
        <v>343.16999999999996</v>
      </c>
      <c r="H928" s="121">
        <v>2103.79</v>
      </c>
      <c r="I928" s="66"/>
      <c r="J928" s="29"/>
      <c r="K928" s="80">
        <v>31.799595000000004</v>
      </c>
      <c r="O928" s="48">
        <f t="shared" si="124"/>
        <v>3.3230023864356344</v>
      </c>
      <c r="R928" s="48">
        <f t="shared" si="125"/>
        <v>1.502421588840243</v>
      </c>
      <c r="U928" s="48">
        <v>3.3230023864356344</v>
      </c>
      <c r="V928" s="54">
        <v>1.502421588840243</v>
      </c>
      <c r="W928" s="49">
        <f t="shared" si="123"/>
        <v>1.4481686858091136</v>
      </c>
      <c r="X928" s="49"/>
      <c r="Y928" s="49"/>
      <c r="Z928" s="49"/>
      <c r="AQ928" s="29"/>
    </row>
    <row r="929" spans="1:43" s="28" customFormat="1" ht="12.75" customHeight="1">
      <c r="A929" s="64" t="s">
        <v>182</v>
      </c>
      <c r="B929" s="23" t="s">
        <v>183</v>
      </c>
      <c r="C929" s="77" t="s">
        <v>180</v>
      </c>
      <c r="D929" s="78">
        <v>1993</v>
      </c>
      <c r="E929" s="26">
        <v>12</v>
      </c>
      <c r="F929" s="66">
        <v>8</v>
      </c>
      <c r="G929" s="46">
        <f t="shared" si="122"/>
        <v>343.16999999999996</v>
      </c>
      <c r="H929" s="121">
        <v>5178.5600000000004</v>
      </c>
      <c r="I929" s="66"/>
      <c r="J929" s="29"/>
      <c r="K929" s="80">
        <v>48.160607999999996</v>
      </c>
      <c r="O929" s="48">
        <f t="shared" si="124"/>
        <v>3.7142090124487037</v>
      </c>
      <c r="R929" s="48">
        <f t="shared" si="125"/>
        <v>1.6826919610026385</v>
      </c>
      <c r="U929" s="48">
        <v>3.7142090124487037</v>
      </c>
      <c r="V929" s="54">
        <v>1.6826919610026385</v>
      </c>
      <c r="W929" s="49">
        <f t="shared" si="123"/>
        <v>1.15903276962949</v>
      </c>
      <c r="X929" s="49"/>
      <c r="Y929" s="49"/>
      <c r="Z929" s="49"/>
      <c r="AQ929" s="29"/>
    </row>
    <row r="930" spans="1:43" s="28" customFormat="1" ht="12.75" customHeight="1">
      <c r="A930" s="64" t="s">
        <v>182</v>
      </c>
      <c r="B930" s="23" t="s">
        <v>183</v>
      </c>
      <c r="C930" s="77" t="s">
        <v>180</v>
      </c>
      <c r="D930" s="78">
        <v>1993</v>
      </c>
      <c r="E930" s="26">
        <v>12</v>
      </c>
      <c r="F930" s="66">
        <v>8</v>
      </c>
      <c r="G930" s="46">
        <f t="shared" si="122"/>
        <v>343.16999999999996</v>
      </c>
      <c r="H930" s="121">
        <v>5825.88</v>
      </c>
      <c r="I930" s="66"/>
      <c r="J930" s="29"/>
      <c r="K930" s="80">
        <v>44.098675000000007</v>
      </c>
      <c r="O930" s="48">
        <f t="shared" si="124"/>
        <v>3.7653615348960847</v>
      </c>
      <c r="R930" s="48">
        <f t="shared" si="125"/>
        <v>1.644425540741459</v>
      </c>
      <c r="U930" s="48">
        <v>3.7653615348960847</v>
      </c>
      <c r="V930" s="54">
        <v>1.644425540741459</v>
      </c>
      <c r="W930" s="49">
        <f t="shared" si="123"/>
        <v>1.1802136690915863</v>
      </c>
      <c r="X930" s="49"/>
      <c r="Y930" s="49"/>
      <c r="Z930" s="49"/>
      <c r="AQ930" s="29"/>
    </row>
    <row r="931" spans="1:43" s="28" customFormat="1" ht="12.75" customHeight="1">
      <c r="A931" s="64" t="s">
        <v>182</v>
      </c>
      <c r="B931" s="23" t="s">
        <v>183</v>
      </c>
      <c r="C931" s="77" t="s">
        <v>180</v>
      </c>
      <c r="D931" s="78">
        <v>1993</v>
      </c>
      <c r="E931" s="26">
        <v>12</v>
      </c>
      <c r="F931" s="66">
        <v>8</v>
      </c>
      <c r="G931" s="46">
        <f t="shared" si="122"/>
        <v>343.16999999999996</v>
      </c>
      <c r="H931" s="121">
        <v>1456.47</v>
      </c>
      <c r="I931" s="66"/>
      <c r="J931" s="29"/>
      <c r="K931" s="80">
        <v>24.2745</v>
      </c>
      <c r="O931" s="48">
        <f t="shared" si="124"/>
        <v>3.1633015435681227</v>
      </c>
      <c r="R931" s="48">
        <f t="shared" si="125"/>
        <v>1.3851502931844788</v>
      </c>
      <c r="U931" s="48">
        <v>3.1633015435681227</v>
      </c>
      <c r="V931" s="54">
        <v>1.3851502931844788</v>
      </c>
      <c r="W931" s="49">
        <f t="shared" si="123"/>
        <v>1.6078681058147013</v>
      </c>
      <c r="X931" s="49"/>
      <c r="Y931" s="49"/>
      <c r="Z931" s="49"/>
      <c r="AQ931" s="29"/>
    </row>
    <row r="932" spans="1:43" s="28" customFormat="1" ht="12.75" customHeight="1">
      <c r="A932" s="64" t="s">
        <v>182</v>
      </c>
      <c r="B932" s="23" t="s">
        <v>183</v>
      </c>
      <c r="C932" s="77" t="s">
        <v>180</v>
      </c>
      <c r="D932" s="78">
        <v>1994</v>
      </c>
      <c r="E932" s="26">
        <v>3</v>
      </c>
      <c r="F932" s="66">
        <v>8</v>
      </c>
      <c r="G932" s="46">
        <f t="shared" si="122"/>
        <v>68.94</v>
      </c>
      <c r="H932" s="121">
        <v>4531.24</v>
      </c>
      <c r="I932" s="66"/>
      <c r="J932" s="29"/>
      <c r="K932" s="80">
        <v>33.725372</v>
      </c>
      <c r="O932" s="48">
        <f t="shared" si="124"/>
        <v>3.6562170654710169</v>
      </c>
      <c r="R932" s="48">
        <f t="shared" si="125"/>
        <v>1.5279567487562844</v>
      </c>
      <c r="U932" s="48">
        <v>3.6562170654710169</v>
      </c>
      <c r="V932" s="54">
        <v>1.5279567487562844</v>
      </c>
      <c r="W932" s="49">
        <f t="shared" si="123"/>
        <v>1.3240047033130005</v>
      </c>
      <c r="X932" s="49"/>
      <c r="Y932" s="49"/>
      <c r="Z932" s="49"/>
      <c r="AQ932" s="29"/>
    </row>
    <row r="933" spans="1:43" s="28" customFormat="1" ht="12.75" customHeight="1">
      <c r="A933" s="64" t="s">
        <v>182</v>
      </c>
      <c r="B933" s="23" t="s">
        <v>183</v>
      </c>
      <c r="C933" s="77" t="s">
        <v>180</v>
      </c>
      <c r="D933" s="78">
        <v>1994</v>
      </c>
      <c r="E933" s="26">
        <v>3</v>
      </c>
      <c r="F933" s="66">
        <v>8</v>
      </c>
      <c r="G933" s="46">
        <f t="shared" si="122"/>
        <v>68.94</v>
      </c>
      <c r="H933" s="121">
        <v>2912.94</v>
      </c>
      <c r="I933" s="66"/>
      <c r="J933" s="29"/>
      <c r="K933" s="80">
        <v>33.369346</v>
      </c>
      <c r="O933" s="48">
        <f t="shared" si="124"/>
        <v>3.4643315392321035</v>
      </c>
      <c r="R933" s="48">
        <f t="shared" si="125"/>
        <v>1.5233476950762952</v>
      </c>
      <c r="U933" s="48">
        <v>3.4643315392321035</v>
      </c>
      <c r="V933" s="54">
        <v>1.5233476950762952</v>
      </c>
      <c r="W933" s="49">
        <f t="shared" si="123"/>
        <v>1.3858757151108423</v>
      </c>
      <c r="X933" s="49"/>
      <c r="Y933" s="49"/>
      <c r="Z933" s="49"/>
      <c r="AQ933" s="29"/>
    </row>
    <row r="934" spans="1:43" s="28" customFormat="1" ht="12.75" customHeight="1">
      <c r="A934" s="64" t="s">
        <v>182</v>
      </c>
      <c r="B934" s="23" t="s">
        <v>183</v>
      </c>
      <c r="C934" s="77" t="s">
        <v>180</v>
      </c>
      <c r="D934" s="78">
        <v>1994</v>
      </c>
      <c r="E934" s="26">
        <v>3</v>
      </c>
      <c r="F934" s="66">
        <v>8</v>
      </c>
      <c r="G934" s="46">
        <f t="shared" si="122"/>
        <v>68.94</v>
      </c>
      <c r="H934" s="121">
        <v>5340.39</v>
      </c>
      <c r="I934" s="66"/>
      <c r="J934" s="29"/>
      <c r="K934" s="80">
        <v>48.273889000000004</v>
      </c>
      <c r="O934" s="48">
        <f t="shared" si="124"/>
        <v>3.727572974006685</v>
      </c>
      <c r="R934" s="48">
        <f t="shared" si="125"/>
        <v>1.6837122874908603</v>
      </c>
      <c r="U934" s="48">
        <v>3.727572974006685</v>
      </c>
      <c r="V934" s="54">
        <v>1.6837122874908603</v>
      </c>
      <c r="W934" s="49">
        <f t="shared" si="123"/>
        <v>1.1540566449523055</v>
      </c>
      <c r="X934" s="49"/>
      <c r="Y934" s="49"/>
      <c r="Z934" s="49"/>
      <c r="AQ934" s="29"/>
    </row>
    <row r="935" spans="1:43" s="28" customFormat="1" ht="12.75" customHeight="1">
      <c r="A935" s="64" t="s">
        <v>182</v>
      </c>
      <c r="B935" s="23" t="s">
        <v>183</v>
      </c>
      <c r="C935" s="77" t="s">
        <v>180</v>
      </c>
      <c r="D935" s="78">
        <v>1994</v>
      </c>
      <c r="E935" s="26">
        <v>3</v>
      </c>
      <c r="F935" s="66">
        <v>8</v>
      </c>
      <c r="G935" s="46">
        <f t="shared" si="122"/>
        <v>68.94</v>
      </c>
      <c r="H935" s="121">
        <v>4854.8999999999996</v>
      </c>
      <c r="I935" s="66"/>
      <c r="J935" s="29"/>
      <c r="K935" s="80">
        <v>31.346471000000005</v>
      </c>
      <c r="O935" s="48">
        <f t="shared" si="124"/>
        <v>3.6861802888484601</v>
      </c>
      <c r="R935" s="48">
        <f t="shared" si="125"/>
        <v>1.4961886548479084</v>
      </c>
      <c r="U935" s="48">
        <v>3.6861802888484601</v>
      </c>
      <c r="V935" s="54">
        <v>1.4961886548479084</v>
      </c>
      <c r="W935" s="49">
        <f t="shared" si="123"/>
        <v>1.3453335655953604</v>
      </c>
      <c r="X935" s="49"/>
      <c r="Y935" s="49"/>
      <c r="Z935" s="49"/>
      <c r="AQ935" s="29"/>
    </row>
    <row r="936" spans="1:43" s="28" customFormat="1" ht="12.75" customHeight="1">
      <c r="A936" s="64" t="s">
        <v>182</v>
      </c>
      <c r="B936" s="23" t="s">
        <v>183</v>
      </c>
      <c r="C936" s="77" t="s">
        <v>180</v>
      </c>
      <c r="D936" s="78">
        <v>1994</v>
      </c>
      <c r="E936" s="26">
        <v>6</v>
      </c>
      <c r="F936" s="66">
        <v>3</v>
      </c>
      <c r="G936" s="46">
        <f t="shared" si="122"/>
        <v>155.35</v>
      </c>
      <c r="H936" s="121">
        <v>647.32000000000005</v>
      </c>
      <c r="I936" s="66"/>
      <c r="J936" s="29"/>
      <c r="K936" s="80">
        <v>2.637829</v>
      </c>
      <c r="O936" s="48">
        <f t="shared" si="124"/>
        <v>2.81111902545676</v>
      </c>
      <c r="R936" s="48">
        <f t="shared" si="125"/>
        <v>0.42124663853275535</v>
      </c>
      <c r="U936" s="48">
        <v>2.81111902545676</v>
      </c>
      <c r="V936" s="54">
        <v>0.42124663853275535</v>
      </c>
      <c r="W936" s="49">
        <f t="shared" si="123"/>
        <v>2.6328231298512788</v>
      </c>
      <c r="X936" s="49"/>
      <c r="Y936" s="49"/>
      <c r="Z936" s="49"/>
      <c r="AQ936" s="29"/>
    </row>
    <row r="937" spans="1:43" s="28" customFormat="1" ht="12.75" customHeight="1">
      <c r="A937" s="64" t="s">
        <v>182</v>
      </c>
      <c r="B937" s="23" t="s">
        <v>183</v>
      </c>
      <c r="C937" s="77" t="s">
        <v>180</v>
      </c>
      <c r="D937" s="78">
        <v>1994</v>
      </c>
      <c r="E937" s="26">
        <v>6</v>
      </c>
      <c r="F937" s="66">
        <v>3</v>
      </c>
      <c r="G937" s="46">
        <f t="shared" si="122"/>
        <v>155.35</v>
      </c>
      <c r="H937" s="121">
        <v>2427.4499999999998</v>
      </c>
      <c r="I937" s="66"/>
      <c r="J937" s="29"/>
      <c r="K937" s="80">
        <v>15.050190000000001</v>
      </c>
      <c r="O937" s="48">
        <f t="shared" si="124"/>
        <v>3.3851502931844788</v>
      </c>
      <c r="R937" s="48">
        <f t="shared" si="125"/>
        <v>1.1775419826827327</v>
      </c>
      <c r="U937" s="48">
        <v>3.3851502931844788</v>
      </c>
      <c r="V937" s="54">
        <v>1.1775419826827327</v>
      </c>
      <c r="W937" s="49">
        <f t="shared" si="123"/>
        <v>1.7394565152129775</v>
      </c>
      <c r="X937" s="49"/>
      <c r="Y937" s="49"/>
      <c r="Z937" s="49"/>
      <c r="AQ937" s="29"/>
    </row>
    <row r="938" spans="1:43" s="28" customFormat="1" ht="12.75" customHeight="1">
      <c r="A938" s="64" t="s">
        <v>182</v>
      </c>
      <c r="B938" s="23" t="s">
        <v>183</v>
      </c>
      <c r="C938" s="77" t="s">
        <v>180</v>
      </c>
      <c r="D938" s="78">
        <v>1994</v>
      </c>
      <c r="E938" s="26">
        <v>6</v>
      </c>
      <c r="F938" s="66">
        <v>3</v>
      </c>
      <c r="G938" s="46">
        <f t="shared" si="122"/>
        <v>155.35</v>
      </c>
      <c r="H938" s="121">
        <v>2103.79</v>
      </c>
      <c r="I938" s="66"/>
      <c r="J938" s="29"/>
      <c r="K938" s="80">
        <v>11.570845</v>
      </c>
      <c r="O938" s="48">
        <f t="shared" si="124"/>
        <v>3.3230023864356344</v>
      </c>
      <c r="R938" s="48">
        <f t="shared" si="125"/>
        <v>1.0633650759298783</v>
      </c>
      <c r="U938" s="48">
        <v>3.3230023864356344</v>
      </c>
      <c r="V938" s="54">
        <v>1.0633650759298783</v>
      </c>
      <c r="W938" s="49">
        <f t="shared" si="123"/>
        <v>1.8669846934743104</v>
      </c>
      <c r="X938" s="49"/>
      <c r="Y938" s="49"/>
      <c r="Z938" s="49"/>
      <c r="AQ938" s="29"/>
    </row>
    <row r="939" spans="1:43" s="28" customFormat="1" ht="12.75" customHeight="1">
      <c r="A939" s="64" t="s">
        <v>182</v>
      </c>
      <c r="B939" s="23" t="s">
        <v>183</v>
      </c>
      <c r="C939" s="77" t="s">
        <v>180</v>
      </c>
      <c r="D939" s="78">
        <v>1994</v>
      </c>
      <c r="E939" s="26">
        <v>6</v>
      </c>
      <c r="F939" s="66">
        <v>3</v>
      </c>
      <c r="G939" s="46">
        <f t="shared" si="122"/>
        <v>155.35</v>
      </c>
      <c r="H939" s="121">
        <v>3883.92</v>
      </c>
      <c r="I939" s="66"/>
      <c r="J939" s="29"/>
      <c r="K939" s="80">
        <v>14.499968000000001</v>
      </c>
      <c r="O939" s="48">
        <f t="shared" si="124"/>
        <v>3.5892702758404034</v>
      </c>
      <c r="R939" s="48">
        <f t="shared" si="125"/>
        <v>1.1613670437909227</v>
      </c>
      <c r="U939" s="48">
        <v>3.5892702758404034</v>
      </c>
      <c r="V939" s="54">
        <v>1.1613670437909227</v>
      </c>
      <c r="W939" s="49">
        <f t="shared" si="123"/>
        <v>1.6937468332648522</v>
      </c>
      <c r="X939" s="49"/>
      <c r="Y939" s="49"/>
      <c r="Z939" s="49"/>
      <c r="AQ939" s="29"/>
    </row>
    <row r="940" spans="1:43" s="28" customFormat="1" ht="12.75" customHeight="1">
      <c r="A940" s="64" t="s">
        <v>182</v>
      </c>
      <c r="B940" s="23" t="s">
        <v>183</v>
      </c>
      <c r="C940" s="77" t="s">
        <v>180</v>
      </c>
      <c r="D940" s="78">
        <v>1994</v>
      </c>
      <c r="E940" s="26">
        <v>9</v>
      </c>
      <c r="F940" s="66">
        <v>12</v>
      </c>
      <c r="G940" s="46">
        <f t="shared" si="122"/>
        <v>255.76</v>
      </c>
      <c r="H940" s="121">
        <v>3074.77</v>
      </c>
      <c r="I940" s="66"/>
      <c r="J940" s="29"/>
      <c r="K940" s="80">
        <v>97.000902000000011</v>
      </c>
      <c r="O940" s="48">
        <f t="shared" si="124"/>
        <v>3.4878126350816263</v>
      </c>
      <c r="R940" s="48">
        <f t="shared" si="125"/>
        <v>1.9867757727384237</v>
      </c>
      <c r="U940" s="48">
        <v>3.4878126350816263</v>
      </c>
      <c r="V940" s="54">
        <v>1.9867757727384237</v>
      </c>
      <c r="W940" s="49">
        <f t="shared" si="123"/>
        <v>0.93677850598704759</v>
      </c>
      <c r="X940" s="49"/>
      <c r="Y940" s="49"/>
      <c r="Z940" s="49"/>
      <c r="AQ940" s="29"/>
    </row>
    <row r="941" spans="1:43" s="28" customFormat="1" ht="12.75" customHeight="1">
      <c r="A941" s="64" t="s">
        <v>182</v>
      </c>
      <c r="B941" s="23" t="s">
        <v>183</v>
      </c>
      <c r="C941" s="77" t="s">
        <v>180</v>
      </c>
      <c r="D941" s="78">
        <v>1994</v>
      </c>
      <c r="E941" s="26">
        <v>9</v>
      </c>
      <c r="F941" s="66">
        <v>12</v>
      </c>
      <c r="G941" s="46">
        <f t="shared" si="122"/>
        <v>255.76</v>
      </c>
      <c r="H941" s="121">
        <v>4531.24</v>
      </c>
      <c r="I941" s="66"/>
      <c r="J941" s="29"/>
      <c r="K941" s="80">
        <v>92.663858000000005</v>
      </c>
      <c r="O941" s="48">
        <f t="shared" si="124"/>
        <v>3.6562170654710169</v>
      </c>
      <c r="R941" s="48">
        <f t="shared" si="125"/>
        <v>1.9669103778143775</v>
      </c>
      <c r="U941" s="48">
        <v>3.6562170654710169</v>
      </c>
      <c r="V941" s="54">
        <v>1.9669103778143775</v>
      </c>
      <c r="W941" s="49">
        <f t="shared" si="123"/>
        <v>0.90528683655448539</v>
      </c>
      <c r="X941" s="49"/>
      <c r="Y941" s="49"/>
      <c r="Z941" s="49"/>
      <c r="AQ941" s="29"/>
    </row>
    <row r="942" spans="1:43" s="28" customFormat="1" ht="12.75" customHeight="1">
      <c r="A942" s="64" t="s">
        <v>182</v>
      </c>
      <c r="B942" s="23" t="s">
        <v>183</v>
      </c>
      <c r="C942" s="77" t="s">
        <v>180</v>
      </c>
      <c r="D942" s="78">
        <v>1994</v>
      </c>
      <c r="E942" s="26">
        <v>9</v>
      </c>
      <c r="F942" s="66">
        <v>12</v>
      </c>
      <c r="G942" s="46">
        <f t="shared" si="122"/>
        <v>255.76</v>
      </c>
      <c r="H942" s="121">
        <v>3074.77</v>
      </c>
      <c r="I942" s="66"/>
      <c r="J942" s="29"/>
      <c r="K942" s="80">
        <v>70.930089000000009</v>
      </c>
      <c r="O942" s="48">
        <f t="shared" si="124"/>
        <v>3.4878126350816263</v>
      </c>
      <c r="R942" s="48">
        <f t="shared" si="125"/>
        <v>1.8508305047827569</v>
      </c>
      <c r="U942" s="48">
        <v>3.4878126350816263</v>
      </c>
      <c r="V942" s="54">
        <v>1.8508305047827569</v>
      </c>
      <c r="W942" s="49">
        <f t="shared" si="123"/>
        <v>1.0664566970899581</v>
      </c>
      <c r="X942" s="49"/>
      <c r="Y942" s="49"/>
      <c r="Z942" s="49"/>
      <c r="AQ942" s="29"/>
    </row>
    <row r="943" spans="1:43" s="28" customFormat="1" ht="12.75" customHeight="1">
      <c r="A943" s="64" t="s">
        <v>182</v>
      </c>
      <c r="B943" s="23" t="s">
        <v>183</v>
      </c>
      <c r="C943" s="77" t="s">
        <v>180</v>
      </c>
      <c r="D943" s="78">
        <v>1994</v>
      </c>
      <c r="E943" s="26">
        <v>9</v>
      </c>
      <c r="F943" s="66">
        <v>12</v>
      </c>
      <c r="G943" s="46">
        <f t="shared" si="122"/>
        <v>255.76</v>
      </c>
      <c r="H943" s="121">
        <v>2589.2800000000002</v>
      </c>
      <c r="I943" s="66"/>
      <c r="J943" s="29"/>
      <c r="K943" s="80">
        <v>52.432920000000003</v>
      </c>
      <c r="O943" s="48">
        <f t="shared" si="124"/>
        <v>3.4131790167847225</v>
      </c>
      <c r="R943" s="48">
        <f t="shared" si="125"/>
        <v>1.7196040443354097</v>
      </c>
      <c r="U943" s="48">
        <v>3.4131790167847225</v>
      </c>
      <c r="V943" s="54">
        <v>1.7196040443354097</v>
      </c>
      <c r="W943" s="49">
        <f t="shared" si="123"/>
        <v>1.2139882223776155</v>
      </c>
      <c r="X943" s="49"/>
      <c r="Y943" s="49"/>
      <c r="Z943" s="49"/>
      <c r="AQ943" s="29"/>
    </row>
    <row r="944" spans="1:43" s="28" customFormat="1" ht="12.75" customHeight="1">
      <c r="A944" s="64" t="s">
        <v>182</v>
      </c>
      <c r="B944" s="23" t="s">
        <v>183</v>
      </c>
      <c r="C944" s="77" t="s">
        <v>180</v>
      </c>
      <c r="D944" s="78">
        <v>1994</v>
      </c>
      <c r="E944" s="26">
        <v>12</v>
      </c>
      <c r="F944" s="66">
        <v>6</v>
      </c>
      <c r="G944" s="46">
        <f t="shared" si="122"/>
        <v>341.16999999999996</v>
      </c>
      <c r="H944" s="121">
        <v>3236.6</v>
      </c>
      <c r="I944" s="66"/>
      <c r="J944" s="29"/>
      <c r="K944" s="80">
        <v>50.086385</v>
      </c>
      <c r="O944" s="48">
        <f t="shared" si="124"/>
        <v>3.5100890297927787</v>
      </c>
      <c r="R944" s="48">
        <f t="shared" si="125"/>
        <v>1.6997196874849343</v>
      </c>
      <c r="U944" s="48">
        <v>3.5100890297927787</v>
      </c>
      <c r="V944" s="54">
        <v>1.6997196874849343</v>
      </c>
      <c r="W944" s="49">
        <f t="shared" si="123"/>
        <v>1.203928977495051</v>
      </c>
      <c r="X944" s="49"/>
      <c r="Y944" s="49"/>
      <c r="Z944" s="49"/>
      <c r="AQ944" s="29"/>
    </row>
    <row r="945" spans="1:43" s="28" customFormat="1" ht="12.75" customHeight="1">
      <c r="A945" s="64" t="s">
        <v>182</v>
      </c>
      <c r="B945" s="23" t="s">
        <v>183</v>
      </c>
      <c r="C945" s="77" t="s">
        <v>180</v>
      </c>
      <c r="D945" s="78">
        <v>1994</v>
      </c>
      <c r="E945" s="26">
        <v>12</v>
      </c>
      <c r="F945" s="66">
        <v>6</v>
      </c>
      <c r="G945" s="46">
        <f t="shared" si="122"/>
        <v>341.16999999999996</v>
      </c>
      <c r="H945" s="121">
        <v>5340.39</v>
      </c>
      <c r="I945" s="66"/>
      <c r="J945" s="29"/>
      <c r="K945" s="80">
        <v>28.692459000000003</v>
      </c>
      <c r="O945" s="48">
        <f t="shared" si="124"/>
        <v>3.727572974006685</v>
      </c>
      <c r="R945" s="48">
        <f t="shared" si="125"/>
        <v>1.4577677697297153</v>
      </c>
      <c r="U945" s="48">
        <v>3.727572974006685</v>
      </c>
      <c r="V945" s="54">
        <v>1.4577677697297153</v>
      </c>
      <c r="W945" s="49">
        <f t="shared" si="123"/>
        <v>1.3695851204446616</v>
      </c>
      <c r="X945" s="49"/>
      <c r="Y945" s="49"/>
      <c r="Z945" s="49"/>
      <c r="AQ945" s="29"/>
    </row>
    <row r="946" spans="1:43" s="28" customFormat="1" ht="12.75" customHeight="1">
      <c r="A946" s="64" t="s">
        <v>182</v>
      </c>
      <c r="B946" s="23" t="s">
        <v>183</v>
      </c>
      <c r="C946" s="77" t="s">
        <v>180</v>
      </c>
      <c r="D946" s="78">
        <v>1994</v>
      </c>
      <c r="E946" s="26">
        <v>12</v>
      </c>
      <c r="F946" s="66">
        <v>6</v>
      </c>
      <c r="G946" s="46">
        <f t="shared" si="122"/>
        <v>341.16999999999996</v>
      </c>
      <c r="H946" s="121">
        <v>1294.6400000000001</v>
      </c>
      <c r="I946" s="66"/>
      <c r="J946" s="29"/>
      <c r="K946" s="80">
        <v>20.099286000000003</v>
      </c>
      <c r="O946" s="48">
        <f t="shared" si="124"/>
        <v>3.1121490211207412</v>
      </c>
      <c r="R946" s="48">
        <f t="shared" si="125"/>
        <v>1.3031806299693589</v>
      </c>
      <c r="U946" s="48">
        <v>3.1121490211207412</v>
      </c>
      <c r="V946" s="54">
        <v>1.3031806299693589</v>
      </c>
      <c r="W946" s="49">
        <f t="shared" si="123"/>
        <v>1.7013804063806468</v>
      </c>
      <c r="X946" s="49"/>
      <c r="Y946" s="49"/>
      <c r="Z946" s="49"/>
      <c r="AQ946" s="29"/>
    </row>
    <row r="947" spans="1:43" s="28" customFormat="1" ht="12.75" customHeight="1">
      <c r="A947" s="64" t="s">
        <v>182</v>
      </c>
      <c r="B947" s="23" t="s">
        <v>183</v>
      </c>
      <c r="C947" s="77" t="s">
        <v>180</v>
      </c>
      <c r="D947" s="78">
        <v>1994</v>
      </c>
      <c r="E947" s="26">
        <v>12</v>
      </c>
      <c r="F947" s="66">
        <v>6</v>
      </c>
      <c r="G947" s="46">
        <f t="shared" si="122"/>
        <v>341.16999999999996</v>
      </c>
      <c r="H947" s="121">
        <v>323.66000000000003</v>
      </c>
      <c r="I947" s="66"/>
      <c r="J947" s="29"/>
      <c r="K947" s="80">
        <v>2.4921820000000001</v>
      </c>
      <c r="O947" s="48">
        <f t="shared" si="124"/>
        <v>2.5100890297927787</v>
      </c>
      <c r="R947" s="48">
        <f t="shared" si="125"/>
        <v>0.39657975496526066</v>
      </c>
      <c r="U947" s="48">
        <v>2.5100890297927787</v>
      </c>
      <c r="V947" s="54">
        <v>0.39657975496526066</v>
      </c>
      <c r="W947" s="49">
        <f t="shared" si="123"/>
        <v>2.7465187591255678</v>
      </c>
      <c r="X947" s="49"/>
      <c r="Y947" s="49"/>
      <c r="Z947" s="49"/>
      <c r="AQ947" s="29"/>
    </row>
    <row r="948" spans="1:43" s="28" customFormat="1" ht="12.75" customHeight="1">
      <c r="A948" s="64" t="s">
        <v>182</v>
      </c>
      <c r="B948" s="23" t="s">
        <v>183</v>
      </c>
      <c r="C948" s="77" t="s">
        <v>180</v>
      </c>
      <c r="D948" s="78">
        <v>1995</v>
      </c>
      <c r="E948" s="26">
        <v>3</v>
      </c>
      <c r="F948" s="66">
        <v>16</v>
      </c>
      <c r="G948" s="46">
        <f t="shared" si="122"/>
        <v>76.94</v>
      </c>
      <c r="H948" s="121">
        <v>2103.79</v>
      </c>
      <c r="I948" s="66"/>
      <c r="J948" s="29"/>
      <c r="K948" s="80">
        <v>15.454765000000002</v>
      </c>
      <c r="O948" s="48">
        <f t="shared" si="124"/>
        <v>3.3230023864356344</v>
      </c>
      <c r="R948" s="48">
        <f t="shared" si="125"/>
        <v>1.1890624057125438</v>
      </c>
      <c r="U948" s="48">
        <v>3.3230023864356344</v>
      </c>
      <c r="V948" s="54">
        <v>1.1890624057125438</v>
      </c>
      <c r="W948" s="49">
        <f t="shared" si="123"/>
        <v>1.7470820105946256</v>
      </c>
      <c r="X948" s="49"/>
      <c r="Y948" s="49"/>
      <c r="Z948" s="49"/>
      <c r="AQ948" s="29"/>
    </row>
    <row r="949" spans="1:43" s="28" customFormat="1" ht="12.75" customHeight="1">
      <c r="A949" s="64" t="s">
        <v>182</v>
      </c>
      <c r="B949" s="23" t="s">
        <v>183</v>
      </c>
      <c r="C949" s="77" t="s">
        <v>180</v>
      </c>
      <c r="D949" s="78">
        <v>1995</v>
      </c>
      <c r="E949" s="26">
        <v>3</v>
      </c>
      <c r="F949" s="66">
        <v>16</v>
      </c>
      <c r="G949" s="46">
        <f t="shared" si="122"/>
        <v>76.94</v>
      </c>
      <c r="H949" s="121">
        <v>3236.6</v>
      </c>
      <c r="I949" s="66"/>
      <c r="J949" s="29"/>
      <c r="K949" s="80">
        <v>29.695805</v>
      </c>
      <c r="O949" s="48">
        <f t="shared" si="124"/>
        <v>3.5100890297927787</v>
      </c>
      <c r="R949" s="48">
        <f t="shared" si="125"/>
        <v>1.4726951027169057</v>
      </c>
      <c r="U949" s="48">
        <v>3.5100890297927787</v>
      </c>
      <c r="V949" s="54">
        <v>1.4726951027169057</v>
      </c>
      <c r="W949" s="49">
        <f t="shared" si="123"/>
        <v>1.4204877289052733</v>
      </c>
      <c r="X949" s="49"/>
      <c r="Y949" s="49"/>
      <c r="Z949" s="49"/>
      <c r="AQ949" s="29"/>
    </row>
    <row r="950" spans="1:43" s="28" customFormat="1" ht="12.75" customHeight="1">
      <c r="A950" s="64" t="s">
        <v>182</v>
      </c>
      <c r="B950" s="23" t="s">
        <v>183</v>
      </c>
      <c r="C950" s="77" t="s">
        <v>180</v>
      </c>
      <c r="D950" s="78">
        <v>1995</v>
      </c>
      <c r="E950" s="26">
        <v>3</v>
      </c>
      <c r="F950" s="66">
        <v>16</v>
      </c>
      <c r="G950" s="46">
        <f t="shared" si="122"/>
        <v>76.94</v>
      </c>
      <c r="H950" s="121">
        <v>2103.79</v>
      </c>
      <c r="I950" s="66"/>
      <c r="J950" s="29"/>
      <c r="K950" s="80">
        <v>14.791262</v>
      </c>
      <c r="O950" s="48">
        <f t="shared" si="124"/>
        <v>3.3230023864356344</v>
      </c>
      <c r="R950" s="48">
        <f t="shared" si="125"/>
        <v>1.1700052298626289</v>
      </c>
      <c r="U950" s="48">
        <v>3.3230023864356344</v>
      </c>
      <c r="V950" s="54">
        <v>1.1700052298626289</v>
      </c>
      <c r="W950" s="49">
        <f t="shared" si="123"/>
        <v>1.7652606506378596</v>
      </c>
      <c r="X950" s="49"/>
      <c r="Y950" s="49"/>
      <c r="Z950" s="49"/>
      <c r="AQ950" s="29"/>
    </row>
    <row r="951" spans="1:43" s="28" customFormat="1" ht="12.75" customHeight="1">
      <c r="A951" s="64" t="s">
        <v>182</v>
      </c>
      <c r="B951" s="23" t="s">
        <v>183</v>
      </c>
      <c r="C951" s="77" t="s">
        <v>180</v>
      </c>
      <c r="D951" s="78">
        <v>1995</v>
      </c>
      <c r="E951" s="26">
        <v>3</v>
      </c>
      <c r="F951" s="66">
        <v>16</v>
      </c>
      <c r="G951" s="46">
        <f t="shared" si="122"/>
        <v>76.94</v>
      </c>
      <c r="H951" s="121">
        <v>1456.47</v>
      </c>
      <c r="I951" s="66"/>
      <c r="J951" s="29"/>
      <c r="K951" s="80">
        <v>9.467055000000002</v>
      </c>
      <c r="O951" s="48">
        <f t="shared" si="124"/>
        <v>3.1633015435681227</v>
      </c>
      <c r="R951" s="48">
        <f t="shared" si="125"/>
        <v>0.97621490021097812</v>
      </c>
      <c r="U951" s="48">
        <v>3.1633015435681227</v>
      </c>
      <c r="V951" s="54">
        <v>0.97621490021097812</v>
      </c>
      <c r="W951" s="49">
        <f t="shared" si="123"/>
        <v>1.9979515771721232</v>
      </c>
      <c r="X951" s="49"/>
      <c r="Y951" s="49"/>
      <c r="Z951" s="49"/>
      <c r="AQ951" s="29"/>
    </row>
    <row r="952" spans="1:43" s="28" customFormat="1" ht="12.75" customHeight="1">
      <c r="A952" s="64" t="s">
        <v>182</v>
      </c>
      <c r="B952" s="23" t="s">
        <v>183</v>
      </c>
      <c r="C952" s="77" t="s">
        <v>180</v>
      </c>
      <c r="D952" s="78">
        <v>1995</v>
      </c>
      <c r="E952" s="26">
        <v>6</v>
      </c>
      <c r="F952" s="66">
        <v>15</v>
      </c>
      <c r="G952" s="46">
        <f t="shared" si="122"/>
        <v>167.35</v>
      </c>
      <c r="H952" s="121">
        <v>1780.13</v>
      </c>
      <c r="I952" s="66"/>
      <c r="J952" s="29"/>
      <c r="K952" s="80">
        <v>13.027315000000002</v>
      </c>
      <c r="O952" s="48">
        <f t="shared" si="124"/>
        <v>3.2504517192870228</v>
      </c>
      <c r="R952" s="48">
        <f t="shared" si="125"/>
        <v>1.1148549144966662</v>
      </c>
      <c r="U952" s="48">
        <v>3.2504517192870228</v>
      </c>
      <c r="V952" s="54">
        <v>1.1148549144966662</v>
      </c>
      <c r="W952" s="49">
        <f t="shared" si="123"/>
        <v>1.8395992460228721</v>
      </c>
      <c r="X952" s="49"/>
      <c r="Y952" s="49"/>
      <c r="Z952" s="49"/>
      <c r="AQ952" s="29"/>
    </row>
    <row r="953" spans="1:43" s="28" customFormat="1" ht="12.75" customHeight="1">
      <c r="A953" s="64" t="s">
        <v>182</v>
      </c>
      <c r="B953" s="23" t="s">
        <v>183</v>
      </c>
      <c r="C953" s="77" t="s">
        <v>180</v>
      </c>
      <c r="D953" s="78">
        <v>1995</v>
      </c>
      <c r="E953" s="26">
        <v>6</v>
      </c>
      <c r="F953" s="66">
        <v>15</v>
      </c>
      <c r="G953" s="46">
        <f t="shared" si="122"/>
        <v>167.35</v>
      </c>
      <c r="H953" s="121">
        <v>1294.6400000000001</v>
      </c>
      <c r="I953" s="66"/>
      <c r="J953" s="29"/>
      <c r="K953" s="80">
        <v>43.127695000000003</v>
      </c>
      <c r="O953" s="48">
        <f t="shared" si="124"/>
        <v>3.1121490211207412</v>
      </c>
      <c r="R953" s="48">
        <f t="shared" si="125"/>
        <v>1.6347562474913886</v>
      </c>
      <c r="U953" s="48">
        <v>3.1121490211207412</v>
      </c>
      <c r="V953" s="54">
        <v>1.6347562474913886</v>
      </c>
      <c r="W953" s="49">
        <f t="shared" si="123"/>
        <v>1.3850904248263827</v>
      </c>
      <c r="X953" s="49"/>
      <c r="Y953" s="49"/>
      <c r="Z953" s="49"/>
      <c r="AQ953" s="29"/>
    </row>
    <row r="954" spans="1:43" s="28" customFormat="1" ht="12.75" customHeight="1">
      <c r="A954" s="64" t="s">
        <v>182</v>
      </c>
      <c r="B954" s="23" t="s">
        <v>183</v>
      </c>
      <c r="C954" s="77" t="s">
        <v>180</v>
      </c>
      <c r="D954" s="78">
        <v>1995</v>
      </c>
      <c r="E954" s="26">
        <v>6</v>
      </c>
      <c r="F954" s="66">
        <v>15</v>
      </c>
      <c r="G954" s="46">
        <f t="shared" si="122"/>
        <v>167.35</v>
      </c>
      <c r="H954" s="121">
        <v>1780.13</v>
      </c>
      <c r="I954" s="66"/>
      <c r="J954" s="29"/>
      <c r="K954" s="80">
        <v>34.566888000000006</v>
      </c>
      <c r="O954" s="48">
        <f t="shared" si="124"/>
        <v>3.2504517192870228</v>
      </c>
      <c r="R954" s="48">
        <f t="shared" si="125"/>
        <v>1.5386602824853164</v>
      </c>
      <c r="U954" s="48">
        <v>3.2504517192870228</v>
      </c>
      <c r="V954" s="54">
        <v>1.5386602824853164</v>
      </c>
      <c r="W954" s="49">
        <f t="shared" si="123"/>
        <v>1.4353313054984986</v>
      </c>
      <c r="X954" s="49"/>
      <c r="Y954" s="49"/>
      <c r="Z954" s="49"/>
      <c r="AQ954" s="29"/>
    </row>
    <row r="955" spans="1:43" s="28" customFormat="1" ht="12.75" customHeight="1">
      <c r="A955" s="64" t="s">
        <v>182</v>
      </c>
      <c r="B955" s="23" t="s">
        <v>183</v>
      </c>
      <c r="C955" s="77" t="s">
        <v>180</v>
      </c>
      <c r="D955" s="78">
        <v>1995</v>
      </c>
      <c r="E955" s="26">
        <v>6</v>
      </c>
      <c r="F955" s="66">
        <v>15</v>
      </c>
      <c r="G955" s="46">
        <f t="shared" ref="G955:G1018" si="126">30.47*(E955-1)+F955</f>
        <v>167.35</v>
      </c>
      <c r="H955" s="121">
        <v>2265.62</v>
      </c>
      <c r="I955" s="66"/>
      <c r="J955" s="29"/>
      <c r="K955" s="80">
        <v>78.358086000000014</v>
      </c>
      <c r="O955" s="48">
        <f t="shared" si="124"/>
        <v>3.3551870698070356</v>
      </c>
      <c r="R955" s="48">
        <f t="shared" si="125"/>
        <v>1.8940838192345117</v>
      </c>
      <c r="U955" s="48">
        <v>3.3551870698070356</v>
      </c>
      <c r="V955" s="54">
        <v>1.8940838192345117</v>
      </c>
      <c r="W955" s="49">
        <f t="shared" ref="W955:W1018" si="127">0.9539*(4.064-0.314*U955-V955)</f>
        <v>1.0649219798230747</v>
      </c>
      <c r="X955" s="49"/>
      <c r="Y955" s="49"/>
      <c r="Z955" s="49"/>
      <c r="AQ955" s="29"/>
    </row>
    <row r="956" spans="1:43" s="28" customFormat="1" ht="12.75" customHeight="1">
      <c r="A956" s="64" t="s">
        <v>182</v>
      </c>
      <c r="B956" s="23" t="s">
        <v>183</v>
      </c>
      <c r="C956" s="77" t="s">
        <v>180</v>
      </c>
      <c r="D956" s="78">
        <v>1995</v>
      </c>
      <c r="E956" s="26">
        <v>9</v>
      </c>
      <c r="F956" s="66">
        <v>7</v>
      </c>
      <c r="G956" s="46">
        <f t="shared" si="126"/>
        <v>250.76</v>
      </c>
      <c r="H956" s="121">
        <v>6311.37</v>
      </c>
      <c r="I956" s="66"/>
      <c r="J956" s="29"/>
      <c r="K956" s="80">
        <v>138.15427100000002</v>
      </c>
      <c r="O956" s="48">
        <f t="shared" si="124"/>
        <v>3.8001236411552965</v>
      </c>
      <c r="R956" s="48">
        <f t="shared" si="125"/>
        <v>2.140364315550471</v>
      </c>
      <c r="U956" s="48">
        <v>3.8001236411552965</v>
      </c>
      <c r="V956" s="54">
        <v>2.140364315550471</v>
      </c>
      <c r="W956" s="49">
        <f t="shared" si="127"/>
        <v>0.69672556582882217</v>
      </c>
      <c r="X956" s="49"/>
      <c r="Y956" s="49"/>
      <c r="Z956" s="49"/>
      <c r="AQ956" s="29"/>
    </row>
    <row r="957" spans="1:43" s="28" customFormat="1" ht="12.75" customHeight="1">
      <c r="A957" s="64" t="s">
        <v>182</v>
      </c>
      <c r="B957" s="23" t="s">
        <v>183</v>
      </c>
      <c r="C957" s="77" t="s">
        <v>180</v>
      </c>
      <c r="D957" s="78">
        <v>1995</v>
      </c>
      <c r="E957" s="26">
        <v>9</v>
      </c>
      <c r="F957" s="66">
        <v>7</v>
      </c>
      <c r="G957" s="46">
        <f t="shared" si="126"/>
        <v>250.76</v>
      </c>
      <c r="H957" s="121">
        <v>2751.11</v>
      </c>
      <c r="I957" s="66"/>
      <c r="J957" s="29"/>
      <c r="K957" s="80">
        <v>36.508848</v>
      </c>
      <c r="O957" s="48">
        <f t="shared" si="124"/>
        <v>3.4395079555070716</v>
      </c>
      <c r="R957" s="48">
        <f t="shared" si="125"/>
        <v>1.5623981294401021</v>
      </c>
      <c r="U957" s="48">
        <v>3.4395079555070716</v>
      </c>
      <c r="V957" s="54">
        <v>1.5623981294401021</v>
      </c>
      <c r="W957" s="49">
        <f t="shared" si="127"/>
        <v>1.3560607797570132</v>
      </c>
      <c r="X957" s="49"/>
      <c r="Y957" s="49"/>
      <c r="Z957" s="49"/>
      <c r="AQ957" s="29"/>
    </row>
    <row r="958" spans="1:43" s="28" customFormat="1" ht="12.75" customHeight="1">
      <c r="A958" s="64" t="s">
        <v>182</v>
      </c>
      <c r="B958" s="23" t="s">
        <v>183</v>
      </c>
      <c r="C958" s="77" t="s">
        <v>180</v>
      </c>
      <c r="D958" s="78">
        <v>1995</v>
      </c>
      <c r="E958" s="26">
        <v>9</v>
      </c>
      <c r="F958" s="66">
        <v>7</v>
      </c>
      <c r="G958" s="46">
        <f t="shared" si="126"/>
        <v>250.76</v>
      </c>
      <c r="H958" s="121">
        <v>5502.22</v>
      </c>
      <c r="I958" s="66"/>
      <c r="J958" s="29"/>
      <c r="K958" s="80">
        <v>75.849721000000002</v>
      </c>
      <c r="O958" s="48">
        <f t="shared" si="124"/>
        <v>3.7405379511710528</v>
      </c>
      <c r="R958" s="48">
        <f t="shared" si="125"/>
        <v>1.8799539876490077</v>
      </c>
      <c r="U958" s="48">
        <v>3.7405379511710528</v>
      </c>
      <c r="V958" s="54">
        <v>1.8799539876490077</v>
      </c>
      <c r="W958" s="49">
        <f t="shared" si="127"/>
        <v>0.96297835757228245</v>
      </c>
      <c r="X958" s="49"/>
      <c r="Y958" s="49"/>
      <c r="Z958" s="49"/>
      <c r="AQ958" s="29"/>
    </row>
    <row r="959" spans="1:43" s="28" customFormat="1" ht="12.75" customHeight="1">
      <c r="A959" s="64" t="s">
        <v>182</v>
      </c>
      <c r="B959" s="23" t="s">
        <v>183</v>
      </c>
      <c r="C959" s="77" t="s">
        <v>180</v>
      </c>
      <c r="D959" s="78">
        <v>1995</v>
      </c>
      <c r="E959" s="26">
        <v>9</v>
      </c>
      <c r="F959" s="66">
        <v>7</v>
      </c>
      <c r="G959" s="46">
        <f t="shared" si="126"/>
        <v>250.76</v>
      </c>
      <c r="H959" s="121">
        <v>3560.26</v>
      </c>
      <c r="I959" s="66"/>
      <c r="J959" s="29"/>
      <c r="K959" s="80">
        <v>55.200213000000005</v>
      </c>
      <c r="O959" s="48">
        <f t="shared" si="124"/>
        <v>3.5514817149510036</v>
      </c>
      <c r="R959" s="48">
        <f t="shared" si="125"/>
        <v>1.7419407535361948</v>
      </c>
      <c r="U959" s="48">
        <v>3.5514817149510036</v>
      </c>
      <c r="V959" s="54">
        <v>1.7419407535361948</v>
      </c>
      <c r="W959" s="49">
        <f t="shared" si="127"/>
        <v>1.1512561751238104</v>
      </c>
      <c r="X959" s="49"/>
      <c r="Y959" s="49"/>
      <c r="Z959" s="49"/>
      <c r="AQ959" s="29"/>
    </row>
    <row r="960" spans="1:43" s="28" customFormat="1" ht="12.75" customHeight="1">
      <c r="A960" s="64" t="s">
        <v>182</v>
      </c>
      <c r="B960" s="23" t="s">
        <v>183</v>
      </c>
      <c r="C960" s="77" t="s">
        <v>180</v>
      </c>
      <c r="D960" s="78">
        <v>1995</v>
      </c>
      <c r="E960" s="26">
        <v>12</v>
      </c>
      <c r="F960" s="66">
        <v>7</v>
      </c>
      <c r="G960" s="46">
        <f t="shared" si="126"/>
        <v>342.16999999999996</v>
      </c>
      <c r="H960" s="121">
        <v>6311.37</v>
      </c>
      <c r="I960" s="66"/>
      <c r="J960" s="29"/>
      <c r="K960" s="80">
        <v>29.1294</v>
      </c>
      <c r="O960" s="48">
        <f t="shared" si="124"/>
        <v>3.8001236411552965</v>
      </c>
      <c r="R960" s="48">
        <f t="shared" si="125"/>
        <v>1.4643315392321037</v>
      </c>
      <c r="U960" s="48">
        <v>3.8001236411552965</v>
      </c>
      <c r="V960" s="54">
        <v>1.4643315392321037</v>
      </c>
      <c r="W960" s="49">
        <f t="shared" si="127"/>
        <v>1.3415932311589127</v>
      </c>
      <c r="X960" s="49"/>
      <c r="Y960" s="49"/>
      <c r="Z960" s="49"/>
      <c r="AQ960" s="29"/>
    </row>
    <row r="961" spans="1:43" s="28" customFormat="1" ht="12.75" customHeight="1">
      <c r="A961" s="64" t="s">
        <v>182</v>
      </c>
      <c r="B961" s="23" t="s">
        <v>183</v>
      </c>
      <c r="C961" s="77" t="s">
        <v>180</v>
      </c>
      <c r="D961" s="78">
        <v>1995</v>
      </c>
      <c r="E961" s="26">
        <v>12</v>
      </c>
      <c r="F961" s="66">
        <v>7</v>
      </c>
      <c r="G961" s="46">
        <f t="shared" si="126"/>
        <v>342.16999999999996</v>
      </c>
      <c r="H961" s="121">
        <v>5502.22</v>
      </c>
      <c r="I961" s="66"/>
      <c r="J961" s="29"/>
      <c r="K961" s="80">
        <v>43.532270000000004</v>
      </c>
      <c r="O961" s="48">
        <f t="shared" si="124"/>
        <v>3.7405379511710528</v>
      </c>
      <c r="R961" s="48">
        <f t="shared" si="125"/>
        <v>1.6388113141312055</v>
      </c>
      <c r="U961" s="48">
        <v>3.7405379511710528</v>
      </c>
      <c r="V961" s="54">
        <v>1.6388113141312055</v>
      </c>
      <c r="W961" s="49">
        <f t="shared" si="127"/>
        <v>1.1930043538409139</v>
      </c>
      <c r="X961" s="49"/>
      <c r="Y961" s="49"/>
      <c r="Z961" s="49"/>
      <c r="AQ961" s="29"/>
    </row>
    <row r="962" spans="1:43" s="28" customFormat="1" ht="12.75" customHeight="1">
      <c r="A962" s="64" t="s">
        <v>182</v>
      </c>
      <c r="B962" s="23" t="s">
        <v>183</v>
      </c>
      <c r="C962" s="77" t="s">
        <v>180</v>
      </c>
      <c r="D962" s="78">
        <v>1995</v>
      </c>
      <c r="E962" s="26">
        <v>12</v>
      </c>
      <c r="F962" s="66">
        <v>7</v>
      </c>
      <c r="G962" s="46">
        <f t="shared" si="126"/>
        <v>342.16999999999996</v>
      </c>
      <c r="H962" s="121">
        <v>4045.75</v>
      </c>
      <c r="I962" s="66"/>
      <c r="J962" s="29"/>
      <c r="K962" s="80">
        <v>26.540120000000002</v>
      </c>
      <c r="O962" s="48">
        <f t="shared" si="124"/>
        <v>3.6069990428008354</v>
      </c>
      <c r="R962" s="48">
        <f t="shared" si="125"/>
        <v>1.4239028821764954</v>
      </c>
      <c r="U962" s="48">
        <v>3.6069990428008354</v>
      </c>
      <c r="V962" s="54">
        <v>1.4239028821764954</v>
      </c>
      <c r="W962" s="49">
        <f t="shared" si="127"/>
        <v>1.4380036951965378</v>
      </c>
      <c r="X962" s="49"/>
      <c r="Y962" s="49"/>
      <c r="Z962" s="49"/>
      <c r="AQ962" s="29"/>
    </row>
    <row r="963" spans="1:43" s="28" customFormat="1" ht="12.75" customHeight="1">
      <c r="A963" s="64" t="s">
        <v>182</v>
      </c>
      <c r="B963" s="23" t="s">
        <v>183</v>
      </c>
      <c r="C963" s="77" t="s">
        <v>180</v>
      </c>
      <c r="D963" s="78">
        <v>1995</v>
      </c>
      <c r="E963" s="26">
        <v>12</v>
      </c>
      <c r="F963" s="66">
        <v>7</v>
      </c>
      <c r="G963" s="46">
        <f t="shared" si="126"/>
        <v>342.16999999999996</v>
      </c>
      <c r="H963" s="121">
        <v>3074.77</v>
      </c>
      <c r="I963" s="66"/>
      <c r="J963" s="29"/>
      <c r="K963" s="80">
        <v>21.685220000000005</v>
      </c>
      <c r="O963" s="48">
        <f t="shared" si="124"/>
        <v>3.4878126350816263</v>
      </c>
      <c r="R963" s="48">
        <f t="shared" si="125"/>
        <v>1.3361638324936054</v>
      </c>
      <c r="U963" s="48">
        <v>3.4878126350816263</v>
      </c>
      <c r="V963" s="54">
        <v>1.3361638324936054</v>
      </c>
      <c r="W963" s="49">
        <f t="shared" si="127"/>
        <v>1.5573972357865797</v>
      </c>
      <c r="X963" s="49"/>
      <c r="Y963" s="49"/>
      <c r="Z963" s="49"/>
      <c r="AQ963" s="29"/>
    </row>
    <row r="964" spans="1:43" s="28" customFormat="1" ht="12.75" customHeight="1">
      <c r="A964" s="64" t="s">
        <v>182</v>
      </c>
      <c r="B964" s="23" t="s">
        <v>183</v>
      </c>
      <c r="C964" s="52" t="s">
        <v>162</v>
      </c>
      <c r="D964" s="65">
        <v>1995</v>
      </c>
      <c r="E964" s="26">
        <v>8</v>
      </c>
      <c r="F964" s="66">
        <v>15</v>
      </c>
      <c r="G964" s="46">
        <f t="shared" si="126"/>
        <v>228.29</v>
      </c>
      <c r="H964" s="84">
        <v>1019.391304347826</v>
      </c>
      <c r="I964" s="66"/>
      <c r="K964" s="67">
        <v>3.1654782608695644</v>
      </c>
      <c r="O964" s="48">
        <f t="shared" si="124"/>
        <v>3.0083409246324591</v>
      </c>
      <c r="R964" s="48">
        <f t="shared" si="125"/>
        <v>0.50043933532177409</v>
      </c>
      <c r="U964" s="48">
        <v>3.0083409246324591</v>
      </c>
      <c r="V964" s="54">
        <v>0.50043933532177409</v>
      </c>
      <c r="W964" s="49">
        <f t="shared" si="127"/>
        <v>2.4982084059223926</v>
      </c>
      <c r="X964" s="49"/>
      <c r="Y964" s="49"/>
      <c r="Z964" s="49"/>
    </row>
    <row r="965" spans="1:43" s="28" customFormat="1" ht="12.75" customHeight="1">
      <c r="A965" s="64" t="s">
        <v>182</v>
      </c>
      <c r="B965" s="23" t="s">
        <v>183</v>
      </c>
      <c r="C965" s="52" t="s">
        <v>162</v>
      </c>
      <c r="D965" s="65">
        <v>1995</v>
      </c>
      <c r="E965" s="26">
        <v>8</v>
      </c>
      <c r="F965" s="66">
        <v>15</v>
      </c>
      <c r="G965" s="46">
        <f t="shared" si="126"/>
        <v>228.29</v>
      </c>
      <c r="H965" s="84">
        <v>629.91949685534598</v>
      </c>
      <c r="I965" s="66"/>
      <c r="K965" s="67">
        <v>1.3038893081761007</v>
      </c>
      <c r="O965" s="48">
        <f t="shared" si="124"/>
        <v>2.7992850505560187</v>
      </c>
      <c r="R965" s="48">
        <f t="shared" si="125"/>
        <v>0.11524072414989565</v>
      </c>
      <c r="U965" s="48">
        <v>2.7992850505560187</v>
      </c>
      <c r="V965" s="54">
        <v>0.11524072414989565</v>
      </c>
      <c r="W965" s="49">
        <f t="shared" si="127"/>
        <v>2.9282667381796434</v>
      </c>
      <c r="X965" s="49"/>
      <c r="Y965" s="49"/>
      <c r="Z965" s="49"/>
    </row>
    <row r="966" spans="1:43" s="28" customFormat="1" ht="12.75" customHeight="1">
      <c r="A966" s="64" t="s">
        <v>182</v>
      </c>
      <c r="B966" s="23" t="s">
        <v>183</v>
      </c>
      <c r="C966" s="52" t="s">
        <v>162</v>
      </c>
      <c r="D966" s="65">
        <v>1995</v>
      </c>
      <c r="E966" s="26">
        <v>8</v>
      </c>
      <c r="F966" s="66">
        <v>15</v>
      </c>
      <c r="G966" s="46">
        <f t="shared" si="126"/>
        <v>228.29</v>
      </c>
      <c r="H966" s="84">
        <v>522.85286783042386</v>
      </c>
      <c r="I966" s="66"/>
      <c r="K966" s="67">
        <v>1.0581546134663342</v>
      </c>
      <c r="O966" s="48">
        <f t="shared" si="124"/>
        <v>2.7183794944520856</v>
      </c>
      <c r="R966" s="48">
        <f t="shared" si="125"/>
        <v>2.454912976847802E-2</v>
      </c>
      <c r="U966" s="48">
        <v>2.7183794944520856</v>
      </c>
      <c r="V966" s="54">
        <v>2.454912976847802E-2</v>
      </c>
      <c r="W966" s="49">
        <f t="shared" si="127"/>
        <v>3.0390106543898852</v>
      </c>
      <c r="X966" s="49"/>
      <c r="Y966" s="49"/>
      <c r="Z966" s="49"/>
    </row>
    <row r="967" spans="1:43" s="28" customFormat="1" ht="12.75" customHeight="1">
      <c r="A967" s="64" t="s">
        <v>182</v>
      </c>
      <c r="B967" s="23" t="s">
        <v>183</v>
      </c>
      <c r="C967" s="52" t="s">
        <v>162</v>
      </c>
      <c r="D967" s="65">
        <v>1995</v>
      </c>
      <c r="E967" s="26">
        <v>8</v>
      </c>
      <c r="F967" s="66">
        <v>15</v>
      </c>
      <c r="G967" s="46">
        <f t="shared" si="126"/>
        <v>228.29</v>
      </c>
      <c r="H967" s="84">
        <v>542.19565217391312</v>
      </c>
      <c r="I967" s="66"/>
      <c r="K967" s="67">
        <v>1.2116413043478262</v>
      </c>
      <c r="O967" s="48">
        <f t="shared" si="124"/>
        <v>2.7341560306836983</v>
      </c>
      <c r="R967" s="48">
        <f t="shared" si="125"/>
        <v>8.3374069831321868E-2</v>
      </c>
      <c r="U967" s="48">
        <v>2.7341560306836983</v>
      </c>
      <c r="V967" s="54">
        <v>8.3374069831321868E-2</v>
      </c>
      <c r="W967" s="49">
        <f t="shared" si="127"/>
        <v>2.9781720833597798</v>
      </c>
      <c r="X967" s="49"/>
      <c r="Y967" s="49"/>
      <c r="Z967" s="49"/>
    </row>
    <row r="968" spans="1:43" s="28" customFormat="1" ht="12.75" customHeight="1">
      <c r="A968" s="64" t="s">
        <v>182</v>
      </c>
      <c r="B968" s="23" t="s">
        <v>183</v>
      </c>
      <c r="C968" s="52" t="s">
        <v>162</v>
      </c>
      <c r="D968" s="65">
        <v>1995</v>
      </c>
      <c r="E968" s="26">
        <v>8</v>
      </c>
      <c r="F968" s="66">
        <v>15</v>
      </c>
      <c r="G968" s="46">
        <f t="shared" si="126"/>
        <v>228.29</v>
      </c>
      <c r="H968" s="84">
        <v>1523.6414048059148</v>
      </c>
      <c r="I968" s="66"/>
      <c r="K968" s="67">
        <v>3.5584399260628459</v>
      </c>
      <c r="O968" s="48">
        <f t="shared" ref="O968:O1031" si="128">LOG10(H968)</f>
        <v>3.1828827660592705</v>
      </c>
      <c r="R968" s="48">
        <f t="shared" ref="R968:R1031" si="129">LOG10(K968)</f>
        <v>0.55125963842214443</v>
      </c>
      <c r="U968" s="48">
        <v>3.1828827660592705</v>
      </c>
      <c r="V968" s="54">
        <v>0.55125963842214443</v>
      </c>
      <c r="W968" s="49">
        <f t="shared" si="127"/>
        <v>2.3974513435583198</v>
      </c>
      <c r="X968" s="49"/>
      <c r="Y968" s="49"/>
      <c r="Z968" s="49"/>
    </row>
    <row r="969" spans="1:43" s="28" customFormat="1" ht="12.75" customHeight="1">
      <c r="A969" s="64" t="s">
        <v>182</v>
      </c>
      <c r="B969" s="23" t="s">
        <v>183</v>
      </c>
      <c r="C969" s="52" t="s">
        <v>162</v>
      </c>
      <c r="D969" s="65">
        <v>1995</v>
      </c>
      <c r="E969" s="26">
        <v>8</v>
      </c>
      <c r="F969" s="66">
        <v>15</v>
      </c>
      <c r="G969" s="46">
        <f t="shared" si="126"/>
        <v>228.29</v>
      </c>
      <c r="H969" s="84">
        <v>2025.0275555555554</v>
      </c>
      <c r="I969" s="66"/>
      <c r="K969" s="67">
        <v>4.4911502222222222</v>
      </c>
      <c r="O969" s="48">
        <f t="shared" si="128"/>
        <v>3.306430937251577</v>
      </c>
      <c r="R969" s="48">
        <f t="shared" si="129"/>
        <v>0.65235758180309711</v>
      </c>
      <c r="U969" s="48">
        <v>3.306430937251577</v>
      </c>
      <c r="V969" s="54">
        <v>0.65235758180309711</v>
      </c>
      <c r="W969" s="49">
        <f t="shared" si="127"/>
        <v>2.264008298810122</v>
      </c>
      <c r="X969" s="49"/>
      <c r="Y969" s="49"/>
      <c r="Z969" s="49"/>
    </row>
    <row r="970" spans="1:43" s="28" customFormat="1" ht="12.75" customHeight="1">
      <c r="A970" s="64" t="s">
        <v>182</v>
      </c>
      <c r="B970" s="23" t="s">
        <v>183</v>
      </c>
      <c r="C970" s="52" t="s">
        <v>162</v>
      </c>
      <c r="D970" s="65">
        <v>1995</v>
      </c>
      <c r="E970" s="26">
        <v>8</v>
      </c>
      <c r="F970" s="66">
        <v>15</v>
      </c>
      <c r="G970" s="46">
        <f t="shared" si="126"/>
        <v>228.29</v>
      </c>
      <c r="H970" s="84">
        <v>1905.2670270270266</v>
      </c>
      <c r="I970" s="66"/>
      <c r="K970" s="67">
        <v>4.4370983783783773</v>
      </c>
      <c r="O970" s="48">
        <f t="shared" si="128"/>
        <v>3.2799558515273213</v>
      </c>
      <c r="R970" s="48">
        <f t="shared" si="129"/>
        <v>0.64709905790592104</v>
      </c>
      <c r="U970" s="48">
        <v>3.2799558515273213</v>
      </c>
      <c r="V970" s="54">
        <v>0.64709905790592104</v>
      </c>
      <c r="W970" s="49">
        <f t="shared" si="127"/>
        <v>2.2769543442171614</v>
      </c>
      <c r="X970" s="49"/>
      <c r="Y970" s="49"/>
      <c r="Z970" s="49"/>
    </row>
    <row r="971" spans="1:43" s="28" customFormat="1" ht="12.75" customHeight="1">
      <c r="A971" s="64" t="s">
        <v>182</v>
      </c>
      <c r="B971" s="23" t="s">
        <v>183</v>
      </c>
      <c r="C971" s="52" t="s">
        <v>162</v>
      </c>
      <c r="D971" s="65">
        <v>1995</v>
      </c>
      <c r="E971" s="26">
        <v>8</v>
      </c>
      <c r="F971" s="66">
        <v>15</v>
      </c>
      <c r="G971" s="46">
        <f t="shared" si="126"/>
        <v>228.29</v>
      </c>
      <c r="H971" s="84">
        <v>2045.9947871416157</v>
      </c>
      <c r="I971" s="66"/>
      <c r="K971" s="67">
        <v>4.4368201563857514</v>
      </c>
      <c r="O971" s="48">
        <f t="shared" si="128"/>
        <v>3.3109045228666032</v>
      </c>
      <c r="R971" s="48">
        <f t="shared" si="129"/>
        <v>0.64707182522946416</v>
      </c>
      <c r="U971" s="48">
        <v>3.3109045228666032</v>
      </c>
      <c r="V971" s="54">
        <v>0.64707182522946416</v>
      </c>
      <c r="W971" s="49">
        <f t="shared" si="127"/>
        <v>2.2677104330638036</v>
      </c>
      <c r="X971" s="49"/>
      <c r="Y971" s="49"/>
      <c r="Z971" s="49"/>
    </row>
    <row r="972" spans="1:43" s="28" customFormat="1" ht="12.75" customHeight="1">
      <c r="A972" s="64" t="s">
        <v>182</v>
      </c>
      <c r="B972" s="23" t="s">
        <v>183</v>
      </c>
      <c r="C972" s="52" t="s">
        <v>162</v>
      </c>
      <c r="D972" s="65">
        <v>1995</v>
      </c>
      <c r="E972" s="26">
        <v>8</v>
      </c>
      <c r="F972" s="66">
        <v>15</v>
      </c>
      <c r="G972" s="46">
        <f t="shared" si="126"/>
        <v>228.29</v>
      </c>
      <c r="H972" s="84">
        <v>2091.1294964028775</v>
      </c>
      <c r="I972" s="66"/>
      <c r="K972" s="67">
        <v>3.5332877697841725</v>
      </c>
      <c r="O972" s="48">
        <f t="shared" si="128"/>
        <v>3.3203809280026548</v>
      </c>
      <c r="R972" s="48">
        <f t="shared" si="129"/>
        <v>0.54817901013221226</v>
      </c>
      <c r="U972" s="48">
        <v>3.3203809280026548</v>
      </c>
      <c r="V972" s="54">
        <v>0.54817901013221226</v>
      </c>
      <c r="W972" s="49">
        <f t="shared" si="127"/>
        <v>2.3592058729272591</v>
      </c>
      <c r="X972" s="49"/>
      <c r="Y972" s="49"/>
      <c r="Z972" s="49"/>
    </row>
    <row r="973" spans="1:43" s="28" customFormat="1" ht="12.75" customHeight="1">
      <c r="A973" s="64" t="s">
        <v>182</v>
      </c>
      <c r="B973" s="23" t="s">
        <v>183</v>
      </c>
      <c r="C973" s="52" t="s">
        <v>162</v>
      </c>
      <c r="D973" s="65">
        <v>1995</v>
      </c>
      <c r="E973" s="26">
        <v>8</v>
      </c>
      <c r="F973" s="66">
        <v>15</v>
      </c>
      <c r="G973" s="46">
        <f t="shared" si="126"/>
        <v>228.29</v>
      </c>
      <c r="H973" s="84">
        <v>2024.4805781391146</v>
      </c>
      <c r="I973" s="66"/>
      <c r="K973" s="67">
        <v>4.5342818428184284</v>
      </c>
      <c r="O973" s="48">
        <f t="shared" si="128"/>
        <v>3.3063136147189196</v>
      </c>
      <c r="R973" s="48">
        <f t="shared" si="129"/>
        <v>0.65650851159476853</v>
      </c>
      <c r="U973" s="48">
        <v>3.3063136147189196</v>
      </c>
      <c r="V973" s="54">
        <v>0.65650851159476853</v>
      </c>
      <c r="W973" s="49">
        <f t="shared" si="127"/>
        <v>2.2600838678665118</v>
      </c>
      <c r="X973" s="49"/>
      <c r="Y973" s="49"/>
      <c r="Z973" s="49"/>
    </row>
    <row r="974" spans="1:43" s="28" customFormat="1" ht="12.75" customHeight="1">
      <c r="A974" s="64" t="s">
        <v>182</v>
      </c>
      <c r="B974" s="23" t="s">
        <v>183</v>
      </c>
      <c r="C974" s="52" t="s">
        <v>162</v>
      </c>
      <c r="D974" s="65">
        <v>1995</v>
      </c>
      <c r="E974" s="26">
        <v>8</v>
      </c>
      <c r="F974" s="66">
        <v>15</v>
      </c>
      <c r="G974" s="46">
        <f t="shared" si="126"/>
        <v>228.29</v>
      </c>
      <c r="H974" s="84">
        <v>232</v>
      </c>
      <c r="I974" s="66"/>
      <c r="K974" s="67">
        <v>0.57599999999999996</v>
      </c>
      <c r="O974" s="48">
        <f t="shared" si="128"/>
        <v>2.3654879848908998</v>
      </c>
      <c r="R974" s="48">
        <f t="shared" si="129"/>
        <v>-0.239577516576788</v>
      </c>
      <c r="U974" s="48">
        <v>2.3654879848908998</v>
      </c>
      <c r="V974" s="54">
        <v>-0.239577516576788</v>
      </c>
      <c r="W974" s="49">
        <f t="shared" si="127"/>
        <v>3.3966607505833455</v>
      </c>
      <c r="X974" s="49"/>
      <c r="Y974" s="49"/>
      <c r="Z974" s="49"/>
    </row>
    <row r="975" spans="1:43" s="28" customFormat="1" ht="12.75" customHeight="1">
      <c r="A975" s="64" t="s">
        <v>182</v>
      </c>
      <c r="B975" s="23" t="s">
        <v>183</v>
      </c>
      <c r="C975" s="52" t="s">
        <v>162</v>
      </c>
      <c r="D975" s="65">
        <v>1995</v>
      </c>
      <c r="E975" s="26">
        <v>8</v>
      </c>
      <c r="F975" s="66">
        <v>15</v>
      </c>
      <c r="G975" s="46">
        <f t="shared" si="126"/>
        <v>228.29</v>
      </c>
      <c r="H975" s="84">
        <v>412.33195020746888</v>
      </c>
      <c r="I975" s="66"/>
      <c r="K975" s="67">
        <v>0.72044813278008302</v>
      </c>
      <c r="O975" s="48">
        <f t="shared" si="128"/>
        <v>2.6152469881149436</v>
      </c>
      <c r="R975" s="48">
        <f t="shared" si="129"/>
        <v>-0.14239727988569845</v>
      </c>
      <c r="U975" s="48">
        <v>2.6152469881149436</v>
      </c>
      <c r="V975" s="54">
        <v>-0.14239727988569845</v>
      </c>
      <c r="W975" s="49">
        <f t="shared" si="127"/>
        <v>3.2291515572666345</v>
      </c>
      <c r="X975" s="49"/>
      <c r="Y975" s="49"/>
      <c r="Z975" s="49"/>
    </row>
    <row r="976" spans="1:43" s="28" customFormat="1" ht="12.75" customHeight="1">
      <c r="A976" s="64" t="s">
        <v>182</v>
      </c>
      <c r="B976" s="23" t="s">
        <v>183</v>
      </c>
      <c r="C976" s="52" t="s">
        <v>162</v>
      </c>
      <c r="D976" s="65">
        <v>1995</v>
      </c>
      <c r="E976" s="26">
        <v>8</v>
      </c>
      <c r="F976" s="66">
        <v>15</v>
      </c>
      <c r="G976" s="46">
        <f t="shared" si="126"/>
        <v>228.29</v>
      </c>
      <c r="H976" s="84">
        <v>561.09964664310951</v>
      </c>
      <c r="I976" s="66"/>
      <c r="K976" s="67">
        <v>1.2045625441696113</v>
      </c>
      <c r="O976" s="48">
        <f t="shared" si="128"/>
        <v>2.749039995203197</v>
      </c>
      <c r="R976" s="48">
        <f t="shared" si="129"/>
        <v>8.0829354672716194E-2</v>
      </c>
      <c r="U976" s="48">
        <v>2.749039995203197</v>
      </c>
      <c r="V976" s="54">
        <v>8.0829354672716194E-2</v>
      </c>
      <c r="W976" s="49">
        <f t="shared" si="127"/>
        <v>2.9761413736304565</v>
      </c>
      <c r="X976" s="49"/>
      <c r="Y976" s="49"/>
      <c r="Z976" s="49"/>
    </row>
    <row r="977" spans="1:26" s="28" customFormat="1" ht="12.75" customHeight="1">
      <c r="A977" s="64" t="s">
        <v>182</v>
      </c>
      <c r="B977" s="23" t="s">
        <v>183</v>
      </c>
      <c r="C977" s="52" t="s">
        <v>162</v>
      </c>
      <c r="D977" s="65">
        <v>1995</v>
      </c>
      <c r="E977" s="26">
        <v>8</v>
      </c>
      <c r="F977" s="66">
        <v>15</v>
      </c>
      <c r="G977" s="46">
        <f t="shared" si="126"/>
        <v>228.29</v>
      </c>
      <c r="H977" s="84">
        <v>1117.8680203045687</v>
      </c>
      <c r="I977" s="66"/>
      <c r="K977" s="67">
        <v>2.2279187817258888</v>
      </c>
      <c r="O977" s="48">
        <f t="shared" si="128"/>
        <v>3.0483905321399321</v>
      </c>
      <c r="R977" s="48">
        <f t="shared" si="129"/>
        <v>0.3478993546833804</v>
      </c>
      <c r="U977" s="48">
        <v>3.0483905321399321</v>
      </c>
      <c r="V977" s="54">
        <v>0.3478993546833804</v>
      </c>
      <c r="W977" s="49">
        <f t="shared" si="127"/>
        <v>2.6317204507845231</v>
      </c>
      <c r="X977" s="49"/>
      <c r="Y977" s="49"/>
      <c r="Z977" s="49"/>
    </row>
    <row r="978" spans="1:26" s="28" customFormat="1" ht="12.75" customHeight="1">
      <c r="A978" s="64" t="s">
        <v>182</v>
      </c>
      <c r="B978" s="23" t="s">
        <v>183</v>
      </c>
      <c r="C978" s="52" t="s">
        <v>162</v>
      </c>
      <c r="D978" s="65">
        <v>1995</v>
      </c>
      <c r="E978" s="26">
        <v>8</v>
      </c>
      <c r="F978" s="66">
        <v>15</v>
      </c>
      <c r="G978" s="46">
        <f t="shared" si="126"/>
        <v>228.29</v>
      </c>
      <c r="H978" s="84">
        <v>1040.7298620382735</v>
      </c>
      <c r="I978" s="66"/>
      <c r="K978" s="67">
        <v>2.69977570093458</v>
      </c>
      <c r="O978" s="48">
        <f t="shared" si="128"/>
        <v>3.0173380161091208</v>
      </c>
      <c r="R978" s="48">
        <f t="shared" si="129"/>
        <v>0.43132768419868556</v>
      </c>
      <c r="U978" s="48">
        <v>3.0173380161091208</v>
      </c>
      <c r="V978" s="54">
        <v>0.43132768419868556</v>
      </c>
      <c r="W978" s="49">
        <f t="shared" si="127"/>
        <v>2.5614391597029957</v>
      </c>
      <c r="X978" s="49"/>
      <c r="Y978" s="49"/>
      <c r="Z978" s="49"/>
    </row>
    <row r="979" spans="1:26" s="28" customFormat="1" ht="12.75" customHeight="1">
      <c r="A979" s="64" t="s">
        <v>182</v>
      </c>
      <c r="B979" s="23" t="s">
        <v>183</v>
      </c>
      <c r="C979" s="52" t="s">
        <v>162</v>
      </c>
      <c r="D979" s="65">
        <v>1995</v>
      </c>
      <c r="E979" s="26">
        <v>8</v>
      </c>
      <c r="F979" s="66">
        <v>15</v>
      </c>
      <c r="G979" s="46">
        <f t="shared" si="126"/>
        <v>228.29</v>
      </c>
      <c r="H979" s="84">
        <v>1569.8700696055685</v>
      </c>
      <c r="I979" s="66"/>
      <c r="K979" s="67">
        <v>3.1966194895591653</v>
      </c>
      <c r="O979" s="48">
        <f t="shared" si="128"/>
        <v>3.1958637094866833</v>
      </c>
      <c r="R979" s="48">
        <f t="shared" si="129"/>
        <v>0.50469094299052664</v>
      </c>
      <c r="U979" s="48">
        <v>3.1958637094866833</v>
      </c>
      <c r="V979" s="54">
        <v>0.50469094299052664</v>
      </c>
      <c r="W979" s="49">
        <f t="shared" si="127"/>
        <v>2.4379851102428214</v>
      </c>
      <c r="X979" s="49"/>
      <c r="Y979" s="49"/>
      <c r="Z979" s="49"/>
    </row>
    <row r="980" spans="1:26" s="28" customFormat="1" ht="12.75" customHeight="1">
      <c r="A980" s="64" t="s">
        <v>182</v>
      </c>
      <c r="B980" s="23" t="s">
        <v>183</v>
      </c>
      <c r="C980" s="52" t="s">
        <v>162</v>
      </c>
      <c r="D980" s="65">
        <v>1995</v>
      </c>
      <c r="E980" s="26">
        <v>8</v>
      </c>
      <c r="F980" s="66">
        <v>15</v>
      </c>
      <c r="G980" s="46">
        <f t="shared" si="126"/>
        <v>228.29</v>
      </c>
      <c r="H980" s="84">
        <v>2877.7605177993523</v>
      </c>
      <c r="I980" s="66"/>
      <c r="K980" s="67">
        <v>5.5578122977346274</v>
      </c>
      <c r="O980" s="48">
        <f t="shared" si="128"/>
        <v>3.4590546498765677</v>
      </c>
      <c r="R980" s="48">
        <f t="shared" si="129"/>
        <v>0.7449038753966214</v>
      </c>
      <c r="U980" s="48">
        <v>3.4590546498765677</v>
      </c>
      <c r="V980" s="54">
        <v>0.7449038753966214</v>
      </c>
      <c r="W980" s="49">
        <f t="shared" si="127"/>
        <v>2.130013832876744</v>
      </c>
      <c r="X980" s="49"/>
      <c r="Y980" s="49"/>
      <c r="Z980" s="49"/>
    </row>
    <row r="981" spans="1:26" s="28" customFormat="1" ht="12.75" customHeight="1">
      <c r="A981" s="64" t="s">
        <v>182</v>
      </c>
      <c r="B981" s="23" t="s">
        <v>183</v>
      </c>
      <c r="C981" s="52" t="s">
        <v>162</v>
      </c>
      <c r="D981" s="65">
        <v>1995</v>
      </c>
      <c r="E981" s="26">
        <v>8</v>
      </c>
      <c r="F981" s="66">
        <v>15</v>
      </c>
      <c r="G981" s="46">
        <f t="shared" si="126"/>
        <v>228.29</v>
      </c>
      <c r="H981" s="84">
        <v>392</v>
      </c>
      <c r="I981" s="66"/>
      <c r="K981" s="67">
        <v>0.81200000000000006</v>
      </c>
      <c r="O981" s="48">
        <f t="shared" si="128"/>
        <v>2.5932860670204572</v>
      </c>
      <c r="R981" s="48">
        <f t="shared" si="129"/>
        <v>-9.0443970758824668E-2</v>
      </c>
      <c r="U981" s="48">
        <v>2.5932860670204572</v>
      </c>
      <c r="V981" s="54">
        <v>-9.0443970758824668E-2</v>
      </c>
      <c r="W981" s="49">
        <f t="shared" si="127"/>
        <v>3.186171131796967</v>
      </c>
      <c r="X981" s="49"/>
      <c r="Y981" s="49"/>
      <c r="Z981" s="49"/>
    </row>
    <row r="982" spans="1:26" s="28" customFormat="1" ht="12.75" customHeight="1">
      <c r="A982" s="64" t="s">
        <v>182</v>
      </c>
      <c r="B982" s="23" t="s">
        <v>183</v>
      </c>
      <c r="C982" s="52" t="s">
        <v>162</v>
      </c>
      <c r="D982" s="65">
        <v>1995</v>
      </c>
      <c r="E982" s="26">
        <v>8</v>
      </c>
      <c r="F982" s="66">
        <v>15</v>
      </c>
      <c r="G982" s="46">
        <f t="shared" si="126"/>
        <v>228.29</v>
      </c>
      <c r="H982" s="84">
        <v>1293.5690607734807</v>
      </c>
      <c r="I982" s="66"/>
      <c r="K982" s="67">
        <v>3.0388606507059546</v>
      </c>
      <c r="O982" s="48">
        <f t="shared" si="128"/>
        <v>3.1117896196874306</v>
      </c>
      <c r="R982" s="48">
        <f t="shared" si="129"/>
        <v>0.48271078562880632</v>
      </c>
      <c r="U982" s="48">
        <v>3.1117896196874306</v>
      </c>
      <c r="V982" s="54">
        <v>0.48271078562880632</v>
      </c>
      <c r="W982" s="49">
        <f t="shared" si="127"/>
        <v>2.4841342404676521</v>
      </c>
      <c r="X982" s="49"/>
      <c r="Y982" s="49"/>
      <c r="Z982" s="49"/>
    </row>
    <row r="983" spans="1:26" s="28" customFormat="1" ht="12.75" customHeight="1">
      <c r="A983" s="64" t="s">
        <v>182</v>
      </c>
      <c r="B983" s="23" t="s">
        <v>183</v>
      </c>
      <c r="C983" s="52" t="s">
        <v>162</v>
      </c>
      <c r="D983" s="65">
        <v>1995</v>
      </c>
      <c r="E983" s="26">
        <v>8</v>
      </c>
      <c r="F983" s="66">
        <v>15</v>
      </c>
      <c r="G983" s="46">
        <f t="shared" si="126"/>
        <v>228.29</v>
      </c>
      <c r="H983" s="84">
        <v>1331.9500693481277</v>
      </c>
      <c r="I983" s="66"/>
      <c r="K983" s="67">
        <v>3.0395783633841891</v>
      </c>
      <c r="O983" s="48">
        <f t="shared" si="128"/>
        <v>3.1244879447944736</v>
      </c>
      <c r="R983" s="48">
        <f t="shared" si="129"/>
        <v>0.48281334441288731</v>
      </c>
      <c r="U983" s="48">
        <v>3.1244879447944736</v>
      </c>
      <c r="V983" s="54">
        <v>0.48281334441288731</v>
      </c>
      <c r="W983" s="49">
        <f t="shared" si="127"/>
        <v>2.4802329488951598</v>
      </c>
      <c r="X983" s="49"/>
      <c r="Y983" s="49"/>
      <c r="Z983" s="49"/>
    </row>
    <row r="984" spans="1:26" s="28" customFormat="1" ht="12.75" customHeight="1">
      <c r="A984" s="64" t="s">
        <v>182</v>
      </c>
      <c r="B984" s="23" t="s">
        <v>183</v>
      </c>
      <c r="C984" s="52" t="s">
        <v>162</v>
      </c>
      <c r="D984" s="65">
        <v>1995</v>
      </c>
      <c r="E984" s="26">
        <v>8</v>
      </c>
      <c r="F984" s="66">
        <v>15</v>
      </c>
      <c r="G984" s="46">
        <f t="shared" si="126"/>
        <v>228.29</v>
      </c>
      <c r="H984" s="84">
        <v>1463.9261538461535</v>
      </c>
      <c r="I984" s="66"/>
      <c r="K984" s="67">
        <v>2.5792984615384609</v>
      </c>
      <c r="O984" s="48">
        <f t="shared" si="128"/>
        <v>3.1655191697647198</v>
      </c>
      <c r="R984" s="48">
        <f t="shared" si="129"/>
        <v>0.41150159909779549</v>
      </c>
      <c r="U984" s="48">
        <v>3.1655191697647198</v>
      </c>
      <c r="V984" s="54">
        <v>0.41150159909779549</v>
      </c>
      <c r="W984" s="49">
        <f t="shared" si="127"/>
        <v>2.5359673615045031</v>
      </c>
      <c r="X984" s="49"/>
      <c r="Y984" s="49"/>
      <c r="Z984" s="49"/>
    </row>
    <row r="985" spans="1:26" s="28" customFormat="1" ht="12.75" customHeight="1">
      <c r="A985" s="64" t="s">
        <v>182</v>
      </c>
      <c r="B985" s="23" t="s">
        <v>183</v>
      </c>
      <c r="C985" s="52" t="s">
        <v>162</v>
      </c>
      <c r="D985" s="65">
        <v>1995</v>
      </c>
      <c r="E985" s="26">
        <v>8</v>
      </c>
      <c r="F985" s="66">
        <v>15</v>
      </c>
      <c r="G985" s="46">
        <f t="shared" si="126"/>
        <v>228.29</v>
      </c>
      <c r="H985" s="84">
        <v>1701.4035957842527</v>
      </c>
      <c r="I985" s="66"/>
      <c r="K985" s="67">
        <v>4.751667699938003</v>
      </c>
      <c r="O985" s="48">
        <f t="shared" si="128"/>
        <v>3.2308073463174836</v>
      </c>
      <c r="R985" s="48">
        <f t="shared" si="129"/>
        <v>0.67684606136509895</v>
      </c>
      <c r="U985" s="48">
        <v>3.2308073463174836</v>
      </c>
      <c r="V985" s="54">
        <v>0.67684606136509895</v>
      </c>
      <c r="W985" s="49">
        <f t="shared" si="127"/>
        <v>2.2632998639810262</v>
      </c>
      <c r="X985" s="49"/>
      <c r="Y985" s="49"/>
      <c r="Z985" s="49"/>
    </row>
    <row r="986" spans="1:26" s="28" customFormat="1" ht="12.75" customHeight="1">
      <c r="A986" s="64" t="s">
        <v>182</v>
      </c>
      <c r="B986" s="23" t="s">
        <v>183</v>
      </c>
      <c r="C986" s="52" t="s">
        <v>162</v>
      </c>
      <c r="D986" s="65">
        <v>1995</v>
      </c>
      <c r="E986" s="26">
        <v>8</v>
      </c>
      <c r="F986" s="66">
        <v>15</v>
      </c>
      <c r="G986" s="46">
        <f t="shared" si="126"/>
        <v>228.29</v>
      </c>
      <c r="H986" s="84">
        <v>1481.9689119170985</v>
      </c>
      <c r="I986" s="66"/>
      <c r="K986" s="67">
        <v>2.8298549222797931</v>
      </c>
      <c r="O986" s="48">
        <f t="shared" si="128"/>
        <v>3.170839093302912</v>
      </c>
      <c r="R986" s="48">
        <f t="shared" si="129"/>
        <v>0.45176417118917495</v>
      </c>
      <c r="U986" s="48">
        <v>3.170839093302912</v>
      </c>
      <c r="V986" s="54">
        <v>0.45176417118917495</v>
      </c>
      <c r="W986" s="49">
        <f t="shared" si="127"/>
        <v>2.4959674460167283</v>
      </c>
      <c r="X986" s="49"/>
      <c r="Y986" s="49"/>
      <c r="Z986" s="49"/>
    </row>
    <row r="987" spans="1:26" s="28" customFormat="1" ht="12.75" customHeight="1">
      <c r="A987" s="64" t="s">
        <v>182</v>
      </c>
      <c r="B987" s="23" t="s">
        <v>183</v>
      </c>
      <c r="C987" s="52" t="s">
        <v>162</v>
      </c>
      <c r="D987" s="65">
        <v>1995</v>
      </c>
      <c r="E987" s="26">
        <v>8</v>
      </c>
      <c r="F987" s="66">
        <v>15</v>
      </c>
      <c r="G987" s="46">
        <f t="shared" si="126"/>
        <v>228.29</v>
      </c>
      <c r="H987" s="84">
        <v>376</v>
      </c>
      <c r="I987" s="66"/>
      <c r="K987" s="67">
        <v>0.7320000000000001</v>
      </c>
      <c r="O987" s="48">
        <f t="shared" si="128"/>
        <v>2.5751878449276608</v>
      </c>
      <c r="R987" s="48">
        <f t="shared" si="129"/>
        <v>-0.13548891894160808</v>
      </c>
      <c r="U987" s="48">
        <v>2.5751878449276608</v>
      </c>
      <c r="V987" s="54">
        <v>-0.13548891894160808</v>
      </c>
      <c r="W987" s="49">
        <f t="shared" si="127"/>
        <v>3.2345603706015806</v>
      </c>
      <c r="X987" s="49"/>
      <c r="Y987" s="49"/>
      <c r="Z987" s="49"/>
    </row>
    <row r="988" spans="1:26" s="28" customFormat="1" ht="12.75" customHeight="1">
      <c r="A988" s="64" t="s">
        <v>182</v>
      </c>
      <c r="B988" s="23" t="s">
        <v>183</v>
      </c>
      <c r="C988" s="52" t="s">
        <v>162</v>
      </c>
      <c r="D988" s="65">
        <v>1995</v>
      </c>
      <c r="E988" s="26">
        <v>8</v>
      </c>
      <c r="F988" s="66">
        <v>15</v>
      </c>
      <c r="G988" s="46">
        <f t="shared" si="126"/>
        <v>228.29</v>
      </c>
      <c r="H988" s="84">
        <v>436</v>
      </c>
      <c r="I988" s="66"/>
      <c r="K988" s="67">
        <v>1.304</v>
      </c>
      <c r="O988" s="48">
        <f t="shared" si="128"/>
        <v>2.6394864892685859</v>
      </c>
      <c r="R988" s="48">
        <f t="shared" si="129"/>
        <v>0.11527759139590141</v>
      </c>
      <c r="U988" s="48">
        <v>2.6394864892685859</v>
      </c>
      <c r="V988" s="54">
        <v>0.11527759139590141</v>
      </c>
      <c r="W988" s="49">
        <f t="shared" si="127"/>
        <v>2.9760951706638719</v>
      </c>
      <c r="X988" s="49"/>
      <c r="Y988" s="49"/>
      <c r="Z988" s="49"/>
    </row>
    <row r="989" spans="1:26" s="28" customFormat="1" ht="12.75" customHeight="1">
      <c r="A989" s="64" t="s">
        <v>182</v>
      </c>
      <c r="B989" s="23" t="s">
        <v>183</v>
      </c>
      <c r="C989" s="52" t="s">
        <v>162</v>
      </c>
      <c r="D989" s="65">
        <v>1995</v>
      </c>
      <c r="E989" s="26">
        <v>8</v>
      </c>
      <c r="F989" s="66">
        <v>15</v>
      </c>
      <c r="G989" s="46">
        <f t="shared" si="126"/>
        <v>228.29</v>
      </c>
      <c r="H989" s="84">
        <v>272</v>
      </c>
      <c r="I989" s="66"/>
      <c r="K989" s="67">
        <v>1.056</v>
      </c>
      <c r="O989" s="48">
        <f t="shared" si="128"/>
        <v>2.4345689040341987</v>
      </c>
      <c r="R989" s="48">
        <f t="shared" si="129"/>
        <v>2.3663918197793475E-2</v>
      </c>
      <c r="U989" s="48">
        <v>2.4345689040341987</v>
      </c>
      <c r="V989" s="54">
        <v>2.3663918197793475E-2</v>
      </c>
      <c r="W989" s="49">
        <f t="shared" si="127"/>
        <v>3.124863311277843</v>
      </c>
      <c r="X989" s="49"/>
      <c r="Y989" s="49"/>
      <c r="Z989" s="49"/>
    </row>
    <row r="990" spans="1:26" s="28" customFormat="1" ht="12.75" customHeight="1">
      <c r="A990" s="64" t="s">
        <v>182</v>
      </c>
      <c r="B990" s="23" t="s">
        <v>183</v>
      </c>
      <c r="C990" s="52" t="s">
        <v>162</v>
      </c>
      <c r="D990" s="65">
        <v>1995</v>
      </c>
      <c r="E990" s="26">
        <v>8</v>
      </c>
      <c r="F990" s="66">
        <v>15</v>
      </c>
      <c r="G990" s="46">
        <f t="shared" si="126"/>
        <v>228.29</v>
      </c>
      <c r="H990" s="84">
        <v>987.95735129068453</v>
      </c>
      <c r="I990" s="66"/>
      <c r="K990" s="67">
        <v>2.1158024691358022</v>
      </c>
      <c r="O990" s="48">
        <f t="shared" si="128"/>
        <v>2.9947381971191094</v>
      </c>
      <c r="R990" s="48">
        <f t="shared" si="129"/>
        <v>0.32547511961612086</v>
      </c>
      <c r="U990" s="48">
        <v>2.9947381971191094</v>
      </c>
      <c r="V990" s="54">
        <v>0.32547511961612086</v>
      </c>
      <c r="W990" s="49">
        <f t="shared" si="127"/>
        <v>2.6691811228013602</v>
      </c>
      <c r="X990" s="49"/>
      <c r="Y990" s="49"/>
      <c r="Z990" s="49"/>
    </row>
    <row r="991" spans="1:26" s="28" customFormat="1" ht="12.75" customHeight="1">
      <c r="A991" s="64" t="s">
        <v>182</v>
      </c>
      <c r="B991" s="23" t="s">
        <v>183</v>
      </c>
      <c r="C991" s="52" t="s">
        <v>162</v>
      </c>
      <c r="D991" s="65">
        <v>1995</v>
      </c>
      <c r="E991" s="26">
        <v>8</v>
      </c>
      <c r="F991" s="66">
        <v>15</v>
      </c>
      <c r="G991" s="46">
        <f t="shared" si="126"/>
        <v>228.29</v>
      </c>
      <c r="H991" s="84">
        <v>1270.1317870321561</v>
      </c>
      <c r="I991" s="66"/>
      <c r="K991" s="67">
        <v>2.4887717448603057</v>
      </c>
      <c r="O991" s="48">
        <f t="shared" si="128"/>
        <v>3.1038487850594771</v>
      </c>
      <c r="R991" s="48">
        <f t="shared" si="129"/>
        <v>0.39598506756347596</v>
      </c>
      <c r="U991" s="48">
        <v>3.1038487850594771</v>
      </c>
      <c r="V991" s="54">
        <v>0.39598506756347596</v>
      </c>
      <c r="W991" s="49">
        <f t="shared" si="127"/>
        <v>2.569240378245774</v>
      </c>
      <c r="X991" s="49"/>
      <c r="Y991" s="49"/>
      <c r="Z991" s="49"/>
    </row>
    <row r="992" spans="1:26" s="28" customFormat="1" ht="12.75" customHeight="1">
      <c r="A992" s="64" t="s">
        <v>182</v>
      </c>
      <c r="B992" s="23" t="s">
        <v>183</v>
      </c>
      <c r="C992" s="52" t="s">
        <v>162</v>
      </c>
      <c r="D992" s="65">
        <v>1995</v>
      </c>
      <c r="E992" s="26">
        <v>8</v>
      </c>
      <c r="F992" s="66">
        <v>15</v>
      </c>
      <c r="G992" s="46">
        <f t="shared" si="126"/>
        <v>228.29</v>
      </c>
      <c r="H992" s="84">
        <v>1286.0774193548386</v>
      </c>
      <c r="I992" s="66"/>
      <c r="K992" s="67">
        <v>2.9050219354838709</v>
      </c>
      <c r="O992" s="48">
        <f t="shared" si="128"/>
        <v>3.1092671130567608</v>
      </c>
      <c r="R992" s="48">
        <f t="shared" si="129"/>
        <v>0.46314941604601778</v>
      </c>
      <c r="U992" s="48">
        <v>3.1092671130567608</v>
      </c>
      <c r="V992" s="54">
        <v>0.46314941604601778</v>
      </c>
      <c r="W992" s="49">
        <f t="shared" si="127"/>
        <v>2.5035493837022229</v>
      </c>
      <c r="X992" s="49"/>
      <c r="Y992" s="49"/>
      <c r="Z992" s="49"/>
    </row>
    <row r="993" spans="1:26" s="28" customFormat="1" ht="12.75" customHeight="1">
      <c r="A993" s="64" t="s">
        <v>182</v>
      </c>
      <c r="B993" s="23" t="s">
        <v>183</v>
      </c>
      <c r="C993" s="52" t="s">
        <v>162</v>
      </c>
      <c r="D993" s="65">
        <v>1995</v>
      </c>
      <c r="E993" s="26">
        <v>8</v>
      </c>
      <c r="F993" s="66">
        <v>15</v>
      </c>
      <c r="G993" s="46">
        <f t="shared" si="126"/>
        <v>228.29</v>
      </c>
      <c r="H993" s="84">
        <v>1968.0194594594591</v>
      </c>
      <c r="I993" s="66"/>
      <c r="K993" s="67">
        <v>3.7655805405405398</v>
      </c>
      <c r="O993" s="48">
        <f t="shared" si="128"/>
        <v>3.2940293883504457</v>
      </c>
      <c r="R993" s="48">
        <f t="shared" si="129"/>
        <v>0.57583194099280099</v>
      </c>
      <c r="U993" s="48">
        <v>3.2940293883504457</v>
      </c>
      <c r="V993" s="54">
        <v>0.57583194099280099</v>
      </c>
      <c r="W993" s="49">
        <f t="shared" si="127"/>
        <v>2.3407206765530555</v>
      </c>
      <c r="X993" s="49"/>
      <c r="Y993" s="49"/>
      <c r="Z993" s="49"/>
    </row>
    <row r="994" spans="1:26" s="28" customFormat="1" ht="12.75" customHeight="1">
      <c r="A994" s="64" t="s">
        <v>182</v>
      </c>
      <c r="B994" s="23" t="s">
        <v>183</v>
      </c>
      <c r="C994" s="52" t="s">
        <v>162</v>
      </c>
      <c r="D994" s="65">
        <v>1995</v>
      </c>
      <c r="E994" s="26">
        <v>8</v>
      </c>
      <c r="F994" s="66">
        <v>15</v>
      </c>
      <c r="G994" s="46">
        <f t="shared" si="126"/>
        <v>228.29</v>
      </c>
      <c r="H994" s="84">
        <v>708.17291066282428</v>
      </c>
      <c r="I994" s="66"/>
      <c r="K994" s="67">
        <v>1.9409183477425553</v>
      </c>
      <c r="O994" s="48">
        <f t="shared" si="128"/>
        <v>2.8501393099190335</v>
      </c>
      <c r="R994" s="48">
        <f t="shared" si="129"/>
        <v>0.28800726549102251</v>
      </c>
      <c r="U994" s="48">
        <v>2.8501393099190335</v>
      </c>
      <c r="V994" s="54">
        <v>0.28800726549102251</v>
      </c>
      <c r="W994" s="49">
        <f t="shared" si="127"/>
        <v>2.748232632700339</v>
      </c>
      <c r="X994" s="49"/>
      <c r="Y994" s="49"/>
      <c r="Z994" s="49"/>
    </row>
    <row r="995" spans="1:26" s="28" customFormat="1" ht="12.75" customHeight="1">
      <c r="A995" s="64" t="s">
        <v>182</v>
      </c>
      <c r="B995" s="23" t="s">
        <v>183</v>
      </c>
      <c r="C995" s="52" t="s">
        <v>162</v>
      </c>
      <c r="D995" s="65">
        <v>1995</v>
      </c>
      <c r="E995" s="26">
        <v>8</v>
      </c>
      <c r="F995" s="66">
        <v>15</v>
      </c>
      <c r="G995" s="46">
        <f t="shared" si="126"/>
        <v>228.29</v>
      </c>
      <c r="H995" s="84">
        <v>1029.0951821386604</v>
      </c>
      <c r="I995" s="66"/>
      <c r="K995" s="67">
        <v>2.2297062279670978</v>
      </c>
      <c r="O995" s="48">
        <f t="shared" si="128"/>
        <v>3.0124555449916666</v>
      </c>
      <c r="R995" s="48">
        <f t="shared" si="129"/>
        <v>0.3482476469148596</v>
      </c>
      <c r="U995" s="48">
        <v>3.0124555449916666</v>
      </c>
      <c r="V995" s="54">
        <v>0.3482476469148596</v>
      </c>
      <c r="W995" s="49">
        <f t="shared" si="127"/>
        <v>2.6421516274765042</v>
      </c>
      <c r="X995" s="49"/>
      <c r="Y995" s="49"/>
      <c r="Z995" s="49"/>
    </row>
    <row r="996" spans="1:26" s="28" customFormat="1" ht="12.75" customHeight="1">
      <c r="A996" s="64" t="s">
        <v>182</v>
      </c>
      <c r="B996" s="23" t="s">
        <v>183</v>
      </c>
      <c r="C996" s="52" t="s">
        <v>162</v>
      </c>
      <c r="D996" s="65">
        <v>1995</v>
      </c>
      <c r="E996" s="26">
        <v>8</v>
      </c>
      <c r="F996" s="66">
        <v>15</v>
      </c>
      <c r="G996" s="46">
        <f t="shared" si="126"/>
        <v>228.29</v>
      </c>
      <c r="H996" s="84">
        <v>1352.1686746987953</v>
      </c>
      <c r="I996" s="66"/>
      <c r="K996" s="67">
        <v>2.8170180722891569</v>
      </c>
      <c r="O996" s="48">
        <f t="shared" si="128"/>
        <v>3.1310308705417937</v>
      </c>
      <c r="R996" s="48">
        <f t="shared" si="129"/>
        <v>0.4497896331662064</v>
      </c>
      <c r="U996" s="48">
        <v>3.1310308705417937</v>
      </c>
      <c r="V996" s="54">
        <v>0.4497896331662064</v>
      </c>
      <c r="W996" s="49">
        <f t="shared" si="127"/>
        <v>2.5097744998360731</v>
      </c>
      <c r="X996" s="49"/>
      <c r="Y996" s="49"/>
      <c r="Z996" s="49"/>
    </row>
    <row r="997" spans="1:26" s="28" customFormat="1" ht="12.75" customHeight="1">
      <c r="A997" s="64" t="s">
        <v>182</v>
      </c>
      <c r="B997" s="23" t="s">
        <v>183</v>
      </c>
      <c r="C997" s="52" t="s">
        <v>162</v>
      </c>
      <c r="D997" s="65">
        <v>1995</v>
      </c>
      <c r="E997" s="26">
        <v>8</v>
      </c>
      <c r="F997" s="66">
        <v>15</v>
      </c>
      <c r="G997" s="46">
        <f t="shared" si="126"/>
        <v>228.29</v>
      </c>
      <c r="H997" s="84">
        <v>1530.9610007358351</v>
      </c>
      <c r="I997" s="66"/>
      <c r="K997" s="67">
        <v>2.929942604856512</v>
      </c>
      <c r="O997" s="48">
        <f t="shared" si="128"/>
        <v>3.1849641277453222</v>
      </c>
      <c r="R997" s="48">
        <f t="shared" si="129"/>
        <v>0.46685911296904226</v>
      </c>
      <c r="U997" s="48">
        <v>3.1849641277453222</v>
      </c>
      <c r="V997" s="54">
        <v>0.46685911296904226</v>
      </c>
      <c r="W997" s="49">
        <f t="shared" si="127"/>
        <v>2.477337585761564</v>
      </c>
      <c r="X997" s="49"/>
      <c r="Y997" s="49"/>
      <c r="Z997" s="49"/>
    </row>
    <row r="998" spans="1:26" s="28" customFormat="1" ht="12.75" customHeight="1">
      <c r="A998" s="64" t="s">
        <v>182</v>
      </c>
      <c r="B998" s="23" t="s">
        <v>183</v>
      </c>
      <c r="C998" s="52" t="s">
        <v>162</v>
      </c>
      <c r="D998" s="65">
        <v>1995</v>
      </c>
      <c r="E998" s="26">
        <v>8</v>
      </c>
      <c r="F998" s="66">
        <v>15</v>
      </c>
      <c r="G998" s="46">
        <f t="shared" si="126"/>
        <v>228.29</v>
      </c>
      <c r="H998" s="84">
        <v>1546.9381818181821</v>
      </c>
      <c r="I998" s="66"/>
      <c r="K998" s="67">
        <v>2.3317818181818182</v>
      </c>
      <c r="O998" s="48">
        <f t="shared" si="128"/>
        <v>3.1894729589277655</v>
      </c>
      <c r="R998" s="48">
        <f t="shared" si="129"/>
        <v>0.36768791161330205</v>
      </c>
      <c r="U998" s="48">
        <v>3.1894729589277655</v>
      </c>
      <c r="V998" s="54">
        <v>0.36768791161330205</v>
      </c>
      <c r="W998" s="49">
        <f t="shared" si="127"/>
        <v>2.570586488878416</v>
      </c>
      <c r="X998" s="49"/>
      <c r="Y998" s="49"/>
      <c r="Z998" s="49"/>
    </row>
    <row r="999" spans="1:26" s="28" customFormat="1" ht="12.75" customHeight="1">
      <c r="A999" s="64" t="s">
        <v>182</v>
      </c>
      <c r="B999" s="23" t="s">
        <v>183</v>
      </c>
      <c r="C999" s="52" t="s">
        <v>162</v>
      </c>
      <c r="D999" s="65">
        <v>1995</v>
      </c>
      <c r="E999" s="26">
        <v>8</v>
      </c>
      <c r="F999" s="66">
        <v>15</v>
      </c>
      <c r="G999" s="46">
        <f t="shared" si="126"/>
        <v>228.29</v>
      </c>
      <c r="H999" s="84">
        <v>1398.6052141527</v>
      </c>
      <c r="I999" s="66"/>
      <c r="K999" s="67">
        <v>2.4501880819366852</v>
      </c>
      <c r="O999" s="48">
        <f t="shared" si="128"/>
        <v>3.1456951430044091</v>
      </c>
      <c r="R999" s="48">
        <f t="shared" si="129"/>
        <v>0.38919942306334254</v>
      </c>
      <c r="U999" s="48">
        <v>3.1456951430044091</v>
      </c>
      <c r="V999" s="54">
        <v>0.38919942306334254</v>
      </c>
      <c r="W999" s="49">
        <f t="shared" si="127"/>
        <v>2.5631791909095392</v>
      </c>
      <c r="X999" s="49"/>
      <c r="Y999" s="49"/>
      <c r="Z999" s="49"/>
    </row>
    <row r="1000" spans="1:26" s="28" customFormat="1" ht="12.75" customHeight="1">
      <c r="A1000" s="64" t="s">
        <v>182</v>
      </c>
      <c r="B1000" s="23" t="s">
        <v>183</v>
      </c>
      <c r="C1000" s="52" t="s">
        <v>162</v>
      </c>
      <c r="D1000" s="65">
        <v>1995</v>
      </c>
      <c r="E1000" s="26">
        <v>8</v>
      </c>
      <c r="F1000" s="66">
        <v>15</v>
      </c>
      <c r="G1000" s="46">
        <f t="shared" si="126"/>
        <v>228.29</v>
      </c>
      <c r="H1000" s="84">
        <v>1813.7759756715659</v>
      </c>
      <c r="I1000" s="66"/>
      <c r="K1000" s="67">
        <v>4.0005980739989857</v>
      </c>
      <c r="O1000" s="48">
        <f t="shared" si="128"/>
        <v>3.2585836451618748</v>
      </c>
      <c r="R1000" s="48">
        <f t="shared" si="129"/>
        <v>0.60212492153333219</v>
      </c>
      <c r="U1000" s="48">
        <v>3.2585836451618748</v>
      </c>
      <c r="V1000" s="54">
        <v>0.60212492153333219</v>
      </c>
      <c r="W1000" s="49">
        <f t="shared" si="127"/>
        <v>2.3262566744657018</v>
      </c>
      <c r="X1000" s="49"/>
      <c r="Y1000" s="49"/>
      <c r="Z1000" s="49"/>
    </row>
    <row r="1001" spans="1:26" s="28" customFormat="1" ht="12.75" customHeight="1">
      <c r="A1001" s="64" t="s">
        <v>182</v>
      </c>
      <c r="B1001" s="23" t="s">
        <v>183</v>
      </c>
      <c r="C1001" s="52" t="s">
        <v>162</v>
      </c>
      <c r="D1001" s="65">
        <v>1995</v>
      </c>
      <c r="E1001" s="26">
        <v>8</v>
      </c>
      <c r="F1001" s="66">
        <v>15</v>
      </c>
      <c r="G1001" s="46">
        <f t="shared" si="126"/>
        <v>228.29</v>
      </c>
      <c r="H1001" s="84">
        <v>2207.1372549019607</v>
      </c>
      <c r="I1001" s="66"/>
      <c r="K1001" s="67">
        <v>4.4349019607843134</v>
      </c>
      <c r="O1001" s="48">
        <f t="shared" si="128"/>
        <v>3.3438293414049935</v>
      </c>
      <c r="R1001" s="48">
        <f t="shared" si="129"/>
        <v>0.64688402363538922</v>
      </c>
      <c r="U1001" s="48">
        <v>3.3438293414049935</v>
      </c>
      <c r="V1001" s="54">
        <v>0.64688402363538922</v>
      </c>
      <c r="W1001" s="49">
        <f t="shared" si="127"/>
        <v>2.2580277839016079</v>
      </c>
      <c r="X1001" s="49"/>
      <c r="Y1001" s="49"/>
      <c r="Z1001" s="49"/>
    </row>
    <row r="1002" spans="1:26" s="28" customFormat="1" ht="12.75" customHeight="1">
      <c r="A1002" s="64" t="s">
        <v>182</v>
      </c>
      <c r="B1002" s="23" t="s">
        <v>183</v>
      </c>
      <c r="C1002" s="52" t="s">
        <v>162</v>
      </c>
      <c r="D1002" s="65">
        <v>1995</v>
      </c>
      <c r="E1002" s="26">
        <v>8</v>
      </c>
      <c r="F1002" s="66">
        <v>15</v>
      </c>
      <c r="G1002" s="46">
        <f t="shared" si="126"/>
        <v>228.29</v>
      </c>
      <c r="H1002" s="84">
        <v>3158.4024114544081</v>
      </c>
      <c r="I1002" s="66"/>
      <c r="K1002" s="67">
        <v>4.7691876412961562</v>
      </c>
      <c r="O1002" s="48">
        <f t="shared" si="128"/>
        <v>3.499467462575454</v>
      </c>
      <c r="R1002" s="48">
        <f t="shared" si="129"/>
        <v>0.67844440986862364</v>
      </c>
      <c r="U1002" s="48">
        <v>3.499467462575454</v>
      </c>
      <c r="V1002" s="54">
        <v>0.67844440986862364</v>
      </c>
      <c r="W1002" s="49">
        <f t="shared" si="127"/>
        <v>2.181304885485392</v>
      </c>
      <c r="X1002" s="49"/>
      <c r="Y1002" s="49"/>
      <c r="Z1002" s="49"/>
    </row>
    <row r="1003" spans="1:26" s="28" customFormat="1" ht="12.75" customHeight="1">
      <c r="A1003" s="64" t="s">
        <v>182</v>
      </c>
      <c r="B1003" s="23" t="s">
        <v>183</v>
      </c>
      <c r="C1003" s="52" t="s">
        <v>162</v>
      </c>
      <c r="D1003" s="65">
        <v>1995</v>
      </c>
      <c r="E1003" s="26">
        <v>8</v>
      </c>
      <c r="F1003" s="66">
        <v>15</v>
      </c>
      <c r="G1003" s="46">
        <f t="shared" si="126"/>
        <v>228.29</v>
      </c>
      <c r="H1003" s="84">
        <v>2264.0458306810947</v>
      </c>
      <c r="I1003" s="66"/>
      <c r="K1003" s="67">
        <v>3.7429789942711649</v>
      </c>
      <c r="O1003" s="48">
        <f t="shared" si="128"/>
        <v>3.3548852139519418</v>
      </c>
      <c r="R1003" s="48">
        <f t="shared" si="129"/>
        <v>0.57321738984546122</v>
      </c>
      <c r="U1003" s="48">
        <v>3.3548852139519418</v>
      </c>
      <c r="V1003" s="54">
        <v>0.57321738984546122</v>
      </c>
      <c r="W1003" s="49">
        <f t="shared" si="127"/>
        <v>2.3249868800715445</v>
      </c>
      <c r="X1003" s="49"/>
      <c r="Y1003" s="49"/>
      <c r="Z1003" s="49"/>
    </row>
    <row r="1004" spans="1:26" s="28" customFormat="1" ht="12.75" customHeight="1">
      <c r="A1004" s="64" t="s">
        <v>182</v>
      </c>
      <c r="B1004" s="23" t="s">
        <v>183</v>
      </c>
      <c r="C1004" s="52" t="s">
        <v>162</v>
      </c>
      <c r="D1004" s="65">
        <v>1995</v>
      </c>
      <c r="E1004" s="26">
        <v>8</v>
      </c>
      <c r="F1004" s="66">
        <v>15</v>
      </c>
      <c r="G1004" s="46">
        <f t="shared" si="126"/>
        <v>228.29</v>
      </c>
      <c r="H1004" s="84">
        <v>3201.2421281216075</v>
      </c>
      <c r="I1004" s="66"/>
      <c r="K1004" s="67">
        <v>5.4205081433224764</v>
      </c>
      <c r="O1004" s="48">
        <f t="shared" si="128"/>
        <v>3.5053185235444122</v>
      </c>
      <c r="R1004" s="48">
        <f t="shared" si="129"/>
        <v>0.73404000120567214</v>
      </c>
      <c r="U1004" s="48">
        <v>3.5053185235444122</v>
      </c>
      <c r="V1004" s="54">
        <v>0.73404000120567214</v>
      </c>
      <c r="W1004" s="49">
        <f t="shared" si="127"/>
        <v>2.1265197142126784</v>
      </c>
      <c r="X1004" s="49"/>
      <c r="Y1004" s="49"/>
      <c r="Z1004" s="49"/>
    </row>
    <row r="1005" spans="1:26" s="28" customFormat="1" ht="12.75" customHeight="1">
      <c r="A1005" s="64" t="s">
        <v>182</v>
      </c>
      <c r="B1005" s="23" t="s">
        <v>183</v>
      </c>
      <c r="C1005" s="52" t="s">
        <v>162</v>
      </c>
      <c r="D1005" s="65">
        <v>1995</v>
      </c>
      <c r="E1005" s="26">
        <v>8</v>
      </c>
      <c r="F1005" s="66">
        <v>15</v>
      </c>
      <c r="G1005" s="46">
        <f t="shared" si="126"/>
        <v>228.29</v>
      </c>
      <c r="H1005" s="84">
        <v>1789.7912317327764</v>
      </c>
      <c r="I1005" s="66"/>
      <c r="K1005" s="67">
        <v>3.6848643006263044</v>
      </c>
      <c r="O1005" s="48">
        <f t="shared" si="128"/>
        <v>3.252802376122844</v>
      </c>
      <c r="R1005" s="48">
        <f t="shared" si="129"/>
        <v>0.56642149909484585</v>
      </c>
      <c r="U1005" s="48">
        <v>3.252802376122844</v>
      </c>
      <c r="V1005" s="54">
        <v>0.56642149909484585</v>
      </c>
      <c r="W1005" s="49">
        <f t="shared" si="127"/>
        <v>2.3620458014261825</v>
      </c>
      <c r="X1005" s="49"/>
      <c r="Y1005" s="49"/>
      <c r="Z1005" s="49"/>
    </row>
    <row r="1006" spans="1:26" s="28" customFormat="1" ht="12.75" customHeight="1">
      <c r="A1006" s="64" t="s">
        <v>182</v>
      </c>
      <c r="B1006" s="23" t="s">
        <v>183</v>
      </c>
      <c r="C1006" s="52" t="s">
        <v>162</v>
      </c>
      <c r="D1006" s="65">
        <v>1995</v>
      </c>
      <c r="E1006" s="26">
        <v>8</v>
      </c>
      <c r="F1006" s="66">
        <v>15</v>
      </c>
      <c r="G1006" s="46">
        <f t="shared" si="126"/>
        <v>228.29</v>
      </c>
      <c r="H1006" s="84">
        <v>2072.8331177231562</v>
      </c>
      <c r="I1006" s="66"/>
      <c r="K1006" s="67">
        <v>3.7449184993531697</v>
      </c>
      <c r="O1006" s="48">
        <f t="shared" si="128"/>
        <v>3.3165643387704749</v>
      </c>
      <c r="R1006" s="48">
        <f t="shared" si="129"/>
        <v>0.57344237058919934</v>
      </c>
      <c r="U1006" s="48">
        <v>3.3165643387704749</v>
      </c>
      <c r="V1006" s="54">
        <v>0.57344237058919934</v>
      </c>
      <c r="W1006" s="49">
        <f t="shared" si="127"/>
        <v>2.3362503157504717</v>
      </c>
      <c r="X1006" s="49"/>
      <c r="Y1006" s="49"/>
      <c r="Z1006" s="49"/>
    </row>
    <row r="1007" spans="1:26" s="28" customFormat="1" ht="12.75" customHeight="1">
      <c r="A1007" s="64" t="s">
        <v>182</v>
      </c>
      <c r="B1007" s="23" t="s">
        <v>183</v>
      </c>
      <c r="C1007" s="52" t="s">
        <v>162</v>
      </c>
      <c r="D1007" s="65">
        <v>1995</v>
      </c>
      <c r="E1007" s="26">
        <v>8</v>
      </c>
      <c r="F1007" s="66">
        <v>15</v>
      </c>
      <c r="G1007" s="46">
        <f t="shared" si="126"/>
        <v>228.29</v>
      </c>
      <c r="H1007" s="84">
        <v>1523.9133289560075</v>
      </c>
      <c r="I1007" s="66"/>
      <c r="K1007" s="67">
        <v>3.5670860144451733</v>
      </c>
      <c r="O1007" s="48">
        <f t="shared" si="128"/>
        <v>3.1829602676423505</v>
      </c>
      <c r="R1007" s="48">
        <f t="shared" si="129"/>
        <v>0.55231358176574807</v>
      </c>
      <c r="U1007" s="48">
        <v>3.1829602676423505</v>
      </c>
      <c r="V1007" s="54">
        <v>0.55231358176574807</v>
      </c>
      <c r="W1007" s="49">
        <f t="shared" si="127"/>
        <v>2.3964227733721848</v>
      </c>
      <c r="X1007" s="49"/>
      <c r="Y1007" s="49"/>
      <c r="Z1007" s="49"/>
    </row>
    <row r="1008" spans="1:26" s="28" customFormat="1" ht="12.75" customHeight="1">
      <c r="A1008" s="64" t="s">
        <v>182</v>
      </c>
      <c r="B1008" s="23" t="s">
        <v>183</v>
      </c>
      <c r="C1008" s="52" t="s">
        <v>162</v>
      </c>
      <c r="D1008" s="65">
        <v>1995</v>
      </c>
      <c r="E1008" s="26">
        <v>12</v>
      </c>
      <c r="F1008" s="66">
        <v>15</v>
      </c>
      <c r="G1008" s="46">
        <f t="shared" si="126"/>
        <v>350.16999999999996</v>
      </c>
      <c r="H1008" s="84">
        <v>904.90400000000011</v>
      </c>
      <c r="I1008" s="66"/>
      <c r="K1008" s="67">
        <v>2.2342320000000004</v>
      </c>
      <c r="O1008" s="48">
        <f t="shared" si="128"/>
        <v>2.956602507954682</v>
      </c>
      <c r="R1008" s="48">
        <f t="shared" si="129"/>
        <v>0.34912826774485989</v>
      </c>
      <c r="U1008" s="48">
        <v>2.956602507954682</v>
      </c>
      <c r="V1008" s="54">
        <v>0.34912826774485989</v>
      </c>
      <c r="W1008" s="49">
        <f t="shared" si="127"/>
        <v>2.6580409618440548</v>
      </c>
      <c r="X1008" s="49"/>
      <c r="Y1008" s="49"/>
      <c r="Z1008" s="49"/>
    </row>
    <row r="1009" spans="1:26" s="28" customFormat="1" ht="12.75" customHeight="1">
      <c r="A1009" s="64" t="s">
        <v>182</v>
      </c>
      <c r="B1009" s="23" t="s">
        <v>183</v>
      </c>
      <c r="C1009" s="52" t="s">
        <v>162</v>
      </c>
      <c r="D1009" s="65">
        <v>1995</v>
      </c>
      <c r="E1009" s="26">
        <v>12</v>
      </c>
      <c r="F1009" s="66">
        <v>15</v>
      </c>
      <c r="G1009" s="46">
        <f t="shared" si="126"/>
        <v>350.16999999999996</v>
      </c>
      <c r="H1009" s="84">
        <v>1168</v>
      </c>
      <c r="I1009" s="66"/>
      <c r="K1009" s="67">
        <v>2.5080000000000005</v>
      </c>
      <c r="O1009" s="48">
        <f t="shared" si="128"/>
        <v>3.0674428427763805</v>
      </c>
      <c r="R1009" s="48">
        <f t="shared" si="129"/>
        <v>0.39932753215867889</v>
      </c>
      <c r="U1009" s="48">
        <v>3.0674428427763805</v>
      </c>
      <c r="V1009" s="54">
        <v>0.39932753215867889</v>
      </c>
      <c r="W1009" s="49">
        <f t="shared" si="127"/>
        <v>2.5769564765683781</v>
      </c>
      <c r="X1009" s="49"/>
      <c r="Y1009" s="49"/>
      <c r="Z1009" s="49"/>
    </row>
    <row r="1010" spans="1:26" s="28" customFormat="1" ht="12.75" customHeight="1">
      <c r="A1010" s="64" t="s">
        <v>182</v>
      </c>
      <c r="B1010" s="23" t="s">
        <v>183</v>
      </c>
      <c r="C1010" s="52" t="s">
        <v>162</v>
      </c>
      <c r="D1010" s="65">
        <v>1995</v>
      </c>
      <c r="E1010" s="26">
        <v>12</v>
      </c>
      <c r="F1010" s="66">
        <v>15</v>
      </c>
      <c r="G1010" s="46">
        <f t="shared" si="126"/>
        <v>350.16999999999996</v>
      </c>
      <c r="H1010" s="84">
        <v>1256.1839684625493</v>
      </c>
      <c r="I1010" s="66"/>
      <c r="K1010" s="67">
        <v>2.5686149802890932</v>
      </c>
      <c r="O1010" s="48">
        <f t="shared" si="128"/>
        <v>3.0990532465965699</v>
      </c>
      <c r="R1010" s="48">
        <f t="shared" si="129"/>
        <v>0.40969901105215034</v>
      </c>
      <c r="U1010" s="48">
        <v>3.0990532465965699</v>
      </c>
      <c r="V1010" s="54">
        <v>0.40969901105215034</v>
      </c>
      <c r="W1010" s="49">
        <f t="shared" si="127"/>
        <v>2.5575950292918148</v>
      </c>
      <c r="X1010" s="49"/>
      <c r="Y1010" s="49"/>
      <c r="Z1010" s="49"/>
    </row>
    <row r="1011" spans="1:26" s="28" customFormat="1" ht="12.75" customHeight="1">
      <c r="A1011" s="64" t="s">
        <v>182</v>
      </c>
      <c r="B1011" s="23" t="s">
        <v>183</v>
      </c>
      <c r="C1011" s="52" t="s">
        <v>162</v>
      </c>
      <c r="D1011" s="65">
        <v>1995</v>
      </c>
      <c r="E1011" s="26">
        <v>12</v>
      </c>
      <c r="F1011" s="66">
        <v>15</v>
      </c>
      <c r="G1011" s="46">
        <f t="shared" si="126"/>
        <v>350.16999999999996</v>
      </c>
      <c r="H1011" s="84">
        <v>1411.5229357798166</v>
      </c>
      <c r="I1011" s="66"/>
      <c r="K1011" s="67">
        <v>2.434877064220184</v>
      </c>
      <c r="O1011" s="48">
        <f t="shared" si="128"/>
        <v>3.1496879393739654</v>
      </c>
      <c r="R1011" s="48">
        <f t="shared" si="129"/>
        <v>0.38647703878325845</v>
      </c>
      <c r="U1011" s="48">
        <v>3.1496879393739654</v>
      </c>
      <c r="V1011" s="54">
        <v>0.38647703878325845</v>
      </c>
      <c r="W1011" s="49">
        <f t="shared" si="127"/>
        <v>2.5645801325388384</v>
      </c>
      <c r="X1011" s="49"/>
      <c r="Y1011" s="49"/>
      <c r="Z1011" s="49"/>
    </row>
    <row r="1012" spans="1:26" s="28" customFormat="1" ht="12.75" customHeight="1">
      <c r="A1012" s="64" t="s">
        <v>182</v>
      </c>
      <c r="B1012" s="23" t="s">
        <v>183</v>
      </c>
      <c r="C1012" s="52" t="s">
        <v>162</v>
      </c>
      <c r="D1012" s="65">
        <v>1995</v>
      </c>
      <c r="E1012" s="26">
        <v>12</v>
      </c>
      <c r="F1012" s="66">
        <v>15</v>
      </c>
      <c r="G1012" s="46">
        <f t="shared" si="126"/>
        <v>350.16999999999996</v>
      </c>
      <c r="H1012" s="84">
        <v>1193.6952714535901</v>
      </c>
      <c r="I1012" s="66"/>
      <c r="K1012" s="67">
        <v>3.0558598949211908</v>
      </c>
      <c r="O1012" s="48">
        <f t="shared" si="128"/>
        <v>3.0768934735127957</v>
      </c>
      <c r="R1012" s="48">
        <f t="shared" si="129"/>
        <v>0.48513343882464521</v>
      </c>
      <c r="U1012" s="48">
        <v>3.0768934735127957</v>
      </c>
      <c r="V1012" s="54">
        <v>0.48513343882464521</v>
      </c>
      <c r="W1012" s="49">
        <f t="shared" si="127"/>
        <v>2.49227552580864</v>
      </c>
      <c r="X1012" s="49"/>
      <c r="Y1012" s="49"/>
      <c r="Z1012" s="49"/>
    </row>
    <row r="1013" spans="1:26" s="28" customFormat="1" ht="12.75" customHeight="1">
      <c r="A1013" s="64" t="s">
        <v>182</v>
      </c>
      <c r="B1013" s="23" t="s">
        <v>183</v>
      </c>
      <c r="C1013" s="52" t="s">
        <v>162</v>
      </c>
      <c r="D1013" s="65">
        <v>1995</v>
      </c>
      <c r="E1013" s="26">
        <v>12</v>
      </c>
      <c r="F1013" s="66">
        <v>15</v>
      </c>
      <c r="G1013" s="46">
        <f t="shared" si="126"/>
        <v>350.16999999999996</v>
      </c>
      <c r="H1013" s="84">
        <v>1090.4020100502514</v>
      </c>
      <c r="I1013" s="66"/>
      <c r="K1013" s="67">
        <v>2.9481239530988277</v>
      </c>
      <c r="O1013" s="48">
        <f t="shared" si="128"/>
        <v>3.0375866434070717</v>
      </c>
      <c r="R1013" s="48">
        <f t="shared" si="129"/>
        <v>0.46954573936854049</v>
      </c>
      <c r="U1013" s="48">
        <v>3.0375866434070717</v>
      </c>
      <c r="V1013" s="54">
        <v>0.46954573936854049</v>
      </c>
      <c r="W1013" s="49">
        <f t="shared" si="127"/>
        <v>2.5189179948845033</v>
      </c>
      <c r="X1013" s="49"/>
      <c r="Y1013" s="49"/>
      <c r="Z1013" s="49"/>
    </row>
    <row r="1014" spans="1:26" s="28" customFormat="1" ht="12.75" customHeight="1">
      <c r="A1014" s="64" t="s">
        <v>182</v>
      </c>
      <c r="B1014" s="23" t="s">
        <v>183</v>
      </c>
      <c r="C1014" s="52" t="s">
        <v>162</v>
      </c>
      <c r="D1014" s="65">
        <v>1995</v>
      </c>
      <c r="E1014" s="26">
        <v>12</v>
      </c>
      <c r="F1014" s="66">
        <v>15</v>
      </c>
      <c r="G1014" s="46">
        <f t="shared" si="126"/>
        <v>350.16999999999996</v>
      </c>
      <c r="H1014" s="84">
        <v>1306.6823316764574</v>
      </c>
      <c r="I1014" s="66"/>
      <c r="K1014" s="67">
        <v>2.49373881608676</v>
      </c>
      <c r="O1014" s="48">
        <f t="shared" si="128"/>
        <v>3.1161700188210992</v>
      </c>
      <c r="R1014" s="48">
        <f t="shared" si="129"/>
        <v>0.3968509653124484</v>
      </c>
      <c r="U1014" s="48">
        <v>3.1161700188210992</v>
      </c>
      <c r="V1014" s="54">
        <v>0.3968509653124484</v>
      </c>
      <c r="W1014" s="49">
        <f t="shared" si="127"/>
        <v>2.5647238857690731</v>
      </c>
      <c r="X1014" s="49"/>
      <c r="Y1014" s="49"/>
      <c r="Z1014" s="49"/>
    </row>
    <row r="1015" spans="1:26" s="28" customFormat="1" ht="12.75" customHeight="1">
      <c r="A1015" s="64" t="s">
        <v>182</v>
      </c>
      <c r="B1015" s="23" t="s">
        <v>183</v>
      </c>
      <c r="C1015" s="52" t="s">
        <v>162</v>
      </c>
      <c r="D1015" s="65">
        <v>1995</v>
      </c>
      <c r="E1015" s="26">
        <v>12</v>
      </c>
      <c r="F1015" s="66">
        <v>15</v>
      </c>
      <c r="G1015" s="46">
        <f t="shared" si="126"/>
        <v>350.16999999999996</v>
      </c>
      <c r="H1015" s="84">
        <v>1784.3025830258305</v>
      </c>
      <c r="I1015" s="66"/>
      <c r="K1015" s="67">
        <v>3.4865682656826573</v>
      </c>
      <c r="O1015" s="48">
        <f t="shared" si="128"/>
        <v>3.2514685041855658</v>
      </c>
      <c r="R1015" s="48">
        <f t="shared" si="129"/>
        <v>0.5423981729452213</v>
      </c>
      <c r="U1015" s="48">
        <v>3.2514685041855658</v>
      </c>
      <c r="V1015" s="54">
        <v>0.5423981729452213</v>
      </c>
      <c r="W1015" s="49">
        <f t="shared" si="127"/>
        <v>2.3853611796987737</v>
      </c>
      <c r="X1015" s="49"/>
      <c r="Y1015" s="49"/>
      <c r="Z1015" s="49"/>
    </row>
    <row r="1016" spans="1:26" s="28" customFormat="1" ht="12.75" customHeight="1">
      <c r="A1016" s="64" t="s">
        <v>182</v>
      </c>
      <c r="B1016" s="23" t="s">
        <v>183</v>
      </c>
      <c r="C1016" s="52" t="s">
        <v>162</v>
      </c>
      <c r="D1016" s="65">
        <v>1995</v>
      </c>
      <c r="E1016" s="26">
        <v>12</v>
      </c>
      <c r="F1016" s="66">
        <v>15</v>
      </c>
      <c r="G1016" s="46">
        <f t="shared" si="126"/>
        <v>350.16999999999996</v>
      </c>
      <c r="H1016" s="84">
        <v>1257.2304347826087</v>
      </c>
      <c r="I1016" s="66"/>
      <c r="K1016" s="67">
        <v>4.0579913043478264</v>
      </c>
      <c r="O1016" s="48">
        <f t="shared" si="128"/>
        <v>3.0994148857866484</v>
      </c>
      <c r="R1016" s="48">
        <f t="shared" si="129"/>
        <v>0.60831111207194477</v>
      </c>
      <c r="U1016" s="48">
        <v>3.0994148857866484</v>
      </c>
      <c r="V1016" s="54">
        <v>0.60831111207194477</v>
      </c>
      <c r="W1016" s="49">
        <f t="shared" si="127"/>
        <v>2.3680306262952806</v>
      </c>
      <c r="X1016" s="49"/>
      <c r="Y1016" s="49"/>
      <c r="Z1016" s="49"/>
    </row>
    <row r="1017" spans="1:26" s="28" customFormat="1" ht="12.75" customHeight="1">
      <c r="A1017" s="64" t="s">
        <v>182</v>
      </c>
      <c r="B1017" s="23" t="s">
        <v>183</v>
      </c>
      <c r="C1017" s="52" t="s">
        <v>162</v>
      </c>
      <c r="D1017" s="65">
        <v>1995</v>
      </c>
      <c r="E1017" s="26">
        <v>12</v>
      </c>
      <c r="F1017" s="66">
        <v>15</v>
      </c>
      <c r="G1017" s="46">
        <f t="shared" si="126"/>
        <v>350.16999999999996</v>
      </c>
      <c r="H1017" s="84">
        <v>3140.7254901960782</v>
      </c>
      <c r="I1017" s="66"/>
      <c r="K1017" s="67">
        <v>5.5975833333333336</v>
      </c>
      <c r="O1017" s="48">
        <f t="shared" si="128"/>
        <v>3.4970299792819981</v>
      </c>
      <c r="R1017" s="48">
        <f t="shared" si="129"/>
        <v>0.74800056780487367</v>
      </c>
      <c r="U1017" s="48">
        <v>3.4970299792819981</v>
      </c>
      <c r="V1017" s="54">
        <v>0.74800056780487367</v>
      </c>
      <c r="W1017" s="49">
        <f t="shared" si="127"/>
        <v>2.1156853526384825</v>
      </c>
      <c r="X1017" s="49"/>
      <c r="Y1017" s="49"/>
      <c r="Z1017" s="49"/>
    </row>
    <row r="1018" spans="1:26" s="28" customFormat="1" ht="12.75" customHeight="1">
      <c r="A1018" s="64" t="s">
        <v>182</v>
      </c>
      <c r="B1018" s="23" t="s">
        <v>183</v>
      </c>
      <c r="C1018" s="52" t="s">
        <v>162</v>
      </c>
      <c r="D1018" s="65">
        <v>1995</v>
      </c>
      <c r="E1018" s="26">
        <v>12</v>
      </c>
      <c r="F1018" s="66">
        <v>15</v>
      </c>
      <c r="G1018" s="46">
        <f t="shared" si="126"/>
        <v>350.16999999999996</v>
      </c>
      <c r="H1018" s="84">
        <v>1207.0491803278687</v>
      </c>
      <c r="I1018" s="66"/>
      <c r="K1018" s="67">
        <v>3.2786065573770489</v>
      </c>
      <c r="O1018" s="48">
        <f t="shared" si="128"/>
        <v>3.0817249654659347</v>
      </c>
      <c r="R1018" s="48">
        <f t="shared" si="129"/>
        <v>0.51568930315544725</v>
      </c>
      <c r="U1018" s="48">
        <v>3.0817249654659347</v>
      </c>
      <c r="V1018" s="54">
        <v>0.51568930315544725</v>
      </c>
      <c r="W1018" s="49">
        <f t="shared" si="127"/>
        <v>2.4616811361288207</v>
      </c>
      <c r="X1018" s="49"/>
      <c r="Y1018" s="49"/>
      <c r="Z1018" s="49"/>
    </row>
    <row r="1019" spans="1:26" s="28" customFormat="1" ht="12.75" customHeight="1">
      <c r="A1019" s="64" t="s">
        <v>182</v>
      </c>
      <c r="B1019" s="23" t="s">
        <v>183</v>
      </c>
      <c r="C1019" s="52" t="s">
        <v>162</v>
      </c>
      <c r="D1019" s="65">
        <v>1995</v>
      </c>
      <c r="E1019" s="26">
        <v>12</v>
      </c>
      <c r="F1019" s="66">
        <v>15</v>
      </c>
      <c r="G1019" s="46">
        <f t="shared" ref="G1019:G1082" si="130">30.47*(E1019-1)+F1019</f>
        <v>350.16999999999996</v>
      </c>
      <c r="H1019" s="84">
        <v>3141.4257611241219</v>
      </c>
      <c r="I1019" s="66"/>
      <c r="K1019" s="67">
        <v>4.4056580796252929</v>
      </c>
      <c r="O1019" s="48">
        <f t="shared" si="128"/>
        <v>3.4971268008289425</v>
      </c>
      <c r="R1019" s="48">
        <f t="shared" si="129"/>
        <v>0.64401078879883755</v>
      </c>
      <c r="U1019" s="48">
        <v>3.4971268008289425</v>
      </c>
      <c r="V1019" s="54">
        <v>0.64401078879883755</v>
      </c>
      <c r="W1019" s="49">
        <f t="shared" ref="W1019:W1082" si="131">0.9539*(4.064-0.314*U1019-V1019)</f>
        <v>2.2148522023972204</v>
      </c>
      <c r="X1019" s="49"/>
      <c r="Y1019" s="49"/>
      <c r="Z1019" s="49"/>
    </row>
    <row r="1020" spans="1:26" s="28" customFormat="1" ht="12.75" customHeight="1">
      <c r="A1020" s="64" t="s">
        <v>182</v>
      </c>
      <c r="B1020" s="23" t="s">
        <v>183</v>
      </c>
      <c r="C1020" s="52" t="s">
        <v>162</v>
      </c>
      <c r="D1020" s="65">
        <v>1995</v>
      </c>
      <c r="E1020" s="26">
        <v>12</v>
      </c>
      <c r="F1020" s="66">
        <v>15</v>
      </c>
      <c r="G1020" s="46">
        <f t="shared" si="130"/>
        <v>350.16999999999996</v>
      </c>
      <c r="H1020" s="84">
        <v>2754.1319796954317</v>
      </c>
      <c r="I1020" s="66"/>
      <c r="K1020" s="67">
        <v>3.9965975344452502</v>
      </c>
      <c r="O1020" s="48">
        <f t="shared" si="128"/>
        <v>3.4399847480777925</v>
      </c>
      <c r="R1020" s="48">
        <f t="shared" si="129"/>
        <v>0.60169041611848062</v>
      </c>
      <c r="U1020" s="48">
        <v>3.4399847480777925</v>
      </c>
      <c r="V1020" s="54">
        <v>0.60169041611848062</v>
      </c>
      <c r="W1020" s="49">
        <f t="shared" si="131"/>
        <v>2.2723370563904797</v>
      </c>
      <c r="X1020" s="49"/>
      <c r="Y1020" s="49"/>
      <c r="Z1020" s="49"/>
    </row>
    <row r="1021" spans="1:26" s="28" customFormat="1" ht="12.75" customHeight="1">
      <c r="A1021" s="64" t="s">
        <v>182</v>
      </c>
      <c r="B1021" s="23" t="s">
        <v>183</v>
      </c>
      <c r="C1021" s="52" t="s">
        <v>162</v>
      </c>
      <c r="D1021" s="65">
        <v>1995</v>
      </c>
      <c r="E1021" s="26">
        <v>12</v>
      </c>
      <c r="F1021" s="66">
        <v>15</v>
      </c>
      <c r="G1021" s="46">
        <f t="shared" si="130"/>
        <v>350.16999999999996</v>
      </c>
      <c r="H1021" s="84">
        <v>1672.2841661649609</v>
      </c>
      <c r="I1021" s="66"/>
      <c r="K1021" s="67">
        <v>3.3627453341360627</v>
      </c>
      <c r="O1021" s="48">
        <f t="shared" si="128"/>
        <v>3.2233100777150168</v>
      </c>
      <c r="R1021" s="48">
        <f t="shared" si="129"/>
        <v>0.52669397877247548</v>
      </c>
      <c r="U1021" s="48">
        <v>3.2233100777150168</v>
      </c>
      <c r="V1021" s="54">
        <v>0.52669397877247548</v>
      </c>
      <c r="W1021" s="49">
        <f t="shared" si="131"/>
        <v>2.4087755519453764</v>
      </c>
      <c r="X1021" s="49"/>
      <c r="Y1021" s="49"/>
      <c r="Z1021" s="49"/>
    </row>
    <row r="1022" spans="1:26" s="28" customFormat="1" ht="12.75" customHeight="1">
      <c r="A1022" s="64" t="s">
        <v>182</v>
      </c>
      <c r="B1022" s="23" t="s">
        <v>183</v>
      </c>
      <c r="C1022" s="52" t="s">
        <v>162</v>
      </c>
      <c r="D1022" s="65">
        <v>1995</v>
      </c>
      <c r="E1022" s="26">
        <v>12</v>
      </c>
      <c r="F1022" s="66">
        <v>15</v>
      </c>
      <c r="G1022" s="46">
        <f t="shared" si="130"/>
        <v>350.16999999999996</v>
      </c>
      <c r="H1022" s="84">
        <v>1536.3348604748023</v>
      </c>
      <c r="I1022" s="66"/>
      <c r="K1022" s="67">
        <v>3.8074385672636399</v>
      </c>
      <c r="O1022" s="48">
        <f t="shared" si="128"/>
        <v>3.1864858851007463</v>
      </c>
      <c r="R1022" s="48">
        <f t="shared" si="129"/>
        <v>0.58063290475564489</v>
      </c>
      <c r="U1022" s="48">
        <v>3.1864858851007463</v>
      </c>
      <c r="V1022" s="54">
        <v>0.58063290475564489</v>
      </c>
      <c r="W1022" s="49">
        <f t="shared" si="131"/>
        <v>2.3683529620131427</v>
      </c>
      <c r="X1022" s="49"/>
      <c r="Y1022" s="49"/>
      <c r="Z1022" s="49"/>
    </row>
    <row r="1023" spans="1:26" s="28" customFormat="1" ht="12.75" customHeight="1">
      <c r="A1023" s="64" t="s">
        <v>182</v>
      </c>
      <c r="B1023" s="23" t="s">
        <v>183</v>
      </c>
      <c r="C1023" s="52" t="s">
        <v>162</v>
      </c>
      <c r="D1023" s="65">
        <v>1995</v>
      </c>
      <c r="E1023" s="26">
        <v>12</v>
      </c>
      <c r="F1023" s="66">
        <v>15</v>
      </c>
      <c r="G1023" s="46">
        <f t="shared" si="130"/>
        <v>350.16999999999996</v>
      </c>
      <c r="H1023" s="84">
        <v>3040.5283540802211</v>
      </c>
      <c r="I1023" s="66"/>
      <c r="K1023" s="67">
        <v>3.9504674965421849</v>
      </c>
      <c r="O1023" s="48">
        <f t="shared" si="128"/>
        <v>3.4829490577283519</v>
      </c>
      <c r="R1023" s="48">
        <f t="shared" si="129"/>
        <v>0.59664849288083932</v>
      </c>
      <c r="U1023" s="48">
        <v>3.4829490577283519</v>
      </c>
      <c r="V1023" s="54">
        <v>0.59664849288083932</v>
      </c>
      <c r="W1023" s="49">
        <f t="shared" si="131"/>
        <v>2.2642776793045063</v>
      </c>
      <c r="X1023" s="49"/>
      <c r="Y1023" s="49"/>
      <c r="Z1023" s="49"/>
    </row>
    <row r="1024" spans="1:26" s="28" customFormat="1" ht="12.75" customHeight="1">
      <c r="A1024" s="64" t="s">
        <v>182</v>
      </c>
      <c r="B1024" s="23" t="s">
        <v>183</v>
      </c>
      <c r="C1024" s="52" t="s">
        <v>162</v>
      </c>
      <c r="D1024" s="65">
        <v>1995</v>
      </c>
      <c r="E1024" s="26">
        <v>12</v>
      </c>
      <c r="F1024" s="66">
        <v>15</v>
      </c>
      <c r="G1024" s="46">
        <f t="shared" si="130"/>
        <v>350.16999999999996</v>
      </c>
      <c r="H1024" s="84">
        <v>1460.8139003200731</v>
      </c>
      <c r="I1024" s="66"/>
      <c r="K1024" s="67">
        <v>2.8590214906264291</v>
      </c>
      <c r="O1024" s="48">
        <f t="shared" si="128"/>
        <v>3.1645948927227967</v>
      </c>
      <c r="R1024" s="48">
        <f t="shared" si="129"/>
        <v>0.45621741986494674</v>
      </c>
      <c r="U1024" s="48">
        <v>3.1645948927227967</v>
      </c>
      <c r="V1024" s="54">
        <v>0.45621741986494674</v>
      </c>
      <c r="W1024" s="49">
        <f t="shared" si="131"/>
        <v>2.4935897837859886</v>
      </c>
      <c r="X1024" s="49"/>
      <c r="Y1024" s="49"/>
      <c r="Z1024" s="49"/>
    </row>
    <row r="1025" spans="1:26" s="28" customFormat="1" ht="12.75" customHeight="1">
      <c r="A1025" s="64" t="s">
        <v>182</v>
      </c>
      <c r="B1025" s="23" t="s">
        <v>183</v>
      </c>
      <c r="C1025" s="52" t="s">
        <v>162</v>
      </c>
      <c r="D1025" s="65">
        <v>1995</v>
      </c>
      <c r="E1025" s="26">
        <v>12</v>
      </c>
      <c r="F1025" s="66">
        <v>15</v>
      </c>
      <c r="G1025" s="46">
        <f t="shared" si="130"/>
        <v>350.16999999999996</v>
      </c>
      <c r="H1025" s="84">
        <v>2979.2943508424187</v>
      </c>
      <c r="I1025" s="66"/>
      <c r="K1025" s="67">
        <v>3.1963290386521312</v>
      </c>
      <c r="O1025" s="48">
        <f t="shared" si="128"/>
        <v>3.4741134131282445</v>
      </c>
      <c r="R1025" s="48">
        <f t="shared" si="129"/>
        <v>0.50465148037770602</v>
      </c>
      <c r="U1025" s="48">
        <v>3.4741134131282445</v>
      </c>
      <c r="V1025" s="54">
        <v>0.50465148037770602</v>
      </c>
      <c r="W1025" s="49">
        <f t="shared" si="131"/>
        <v>2.354680122445834</v>
      </c>
      <c r="X1025" s="49"/>
      <c r="Y1025" s="49"/>
      <c r="Z1025" s="49"/>
    </row>
    <row r="1026" spans="1:26" s="28" customFormat="1" ht="12.75" customHeight="1">
      <c r="A1026" s="64" t="s">
        <v>182</v>
      </c>
      <c r="B1026" s="23" t="s">
        <v>183</v>
      </c>
      <c r="C1026" s="52" t="s">
        <v>162</v>
      </c>
      <c r="D1026" s="65">
        <v>1995</v>
      </c>
      <c r="E1026" s="26">
        <v>12</v>
      </c>
      <c r="F1026" s="66">
        <v>15</v>
      </c>
      <c r="G1026" s="46">
        <f t="shared" si="130"/>
        <v>350.16999999999996</v>
      </c>
      <c r="H1026" s="84">
        <v>3520.5986842105249</v>
      </c>
      <c r="I1026" s="66"/>
      <c r="K1026" s="67">
        <v>4.3135263157894723</v>
      </c>
      <c r="O1026" s="48">
        <f t="shared" si="128"/>
        <v>3.5466165223248916</v>
      </c>
      <c r="R1026" s="48">
        <f t="shared" si="129"/>
        <v>0.63483245190845183</v>
      </c>
      <c r="U1026" s="48">
        <v>3.5466165223248916</v>
      </c>
      <c r="V1026" s="54">
        <v>0.63483245190845183</v>
      </c>
      <c r="W1026" s="49">
        <f t="shared" si="131"/>
        <v>2.2087840289217735</v>
      </c>
      <c r="X1026" s="49"/>
      <c r="Y1026" s="49"/>
      <c r="Z1026" s="49"/>
    </row>
    <row r="1027" spans="1:26" s="28" customFormat="1" ht="12.75" customHeight="1">
      <c r="A1027" s="64" t="s">
        <v>182</v>
      </c>
      <c r="B1027" s="23" t="s">
        <v>183</v>
      </c>
      <c r="C1027" s="52" t="s">
        <v>162</v>
      </c>
      <c r="D1027" s="65">
        <v>1995</v>
      </c>
      <c r="E1027" s="26">
        <v>12</v>
      </c>
      <c r="F1027" s="66">
        <v>15</v>
      </c>
      <c r="G1027" s="46">
        <f t="shared" si="130"/>
        <v>350.16999999999996</v>
      </c>
      <c r="H1027" s="84">
        <v>1521.9</v>
      </c>
      <c r="I1027" s="66"/>
      <c r="K1027" s="67">
        <v>2.8408799999999998</v>
      </c>
      <c r="O1027" s="48">
        <f t="shared" si="128"/>
        <v>3.1823861170370669</v>
      </c>
      <c r="R1027" s="48">
        <f t="shared" si="129"/>
        <v>0.45345288932360456</v>
      </c>
      <c r="U1027" s="48">
        <v>3.1823861170370669</v>
      </c>
      <c r="V1027" s="54">
        <v>0.45345288932360456</v>
      </c>
      <c r="W1027" s="49">
        <f t="shared" si="131"/>
        <v>2.4908979601231334</v>
      </c>
      <c r="X1027" s="49"/>
      <c r="Y1027" s="49"/>
      <c r="Z1027" s="49"/>
    </row>
    <row r="1028" spans="1:26" s="28" customFormat="1" ht="12.75" customHeight="1">
      <c r="A1028" s="64" t="s">
        <v>182</v>
      </c>
      <c r="B1028" s="23" t="s">
        <v>183</v>
      </c>
      <c r="C1028" s="52" t="s">
        <v>162</v>
      </c>
      <c r="D1028" s="65">
        <v>1995</v>
      </c>
      <c r="E1028" s="26">
        <v>12</v>
      </c>
      <c r="F1028" s="66">
        <v>15</v>
      </c>
      <c r="G1028" s="46">
        <f t="shared" si="130"/>
        <v>350.16999999999996</v>
      </c>
      <c r="H1028" s="84">
        <v>1211.2584573748309</v>
      </c>
      <c r="I1028" s="66"/>
      <c r="K1028" s="67">
        <v>1.5086332882273341</v>
      </c>
      <c r="O1028" s="48">
        <f t="shared" si="128"/>
        <v>3.0832368224455275</v>
      </c>
      <c r="R1028" s="48">
        <f t="shared" si="129"/>
        <v>0.17858368626070581</v>
      </c>
      <c r="U1028" s="48">
        <v>3.0832368224455275</v>
      </c>
      <c r="V1028" s="54">
        <v>0.17858368626070581</v>
      </c>
      <c r="W1028" s="49">
        <f t="shared" si="131"/>
        <v>2.782793345727645</v>
      </c>
      <c r="X1028" s="49"/>
      <c r="Y1028" s="49"/>
      <c r="Z1028" s="49"/>
    </row>
    <row r="1029" spans="1:26" s="28" customFormat="1" ht="12.75" customHeight="1">
      <c r="A1029" s="64" t="s">
        <v>182</v>
      </c>
      <c r="B1029" s="23" t="s">
        <v>183</v>
      </c>
      <c r="C1029" s="52" t="s">
        <v>162</v>
      </c>
      <c r="D1029" s="65">
        <v>1995</v>
      </c>
      <c r="E1029" s="26">
        <v>12</v>
      </c>
      <c r="F1029" s="66">
        <v>15</v>
      </c>
      <c r="G1029" s="46">
        <f t="shared" si="130"/>
        <v>350.16999999999996</v>
      </c>
      <c r="H1029" s="84">
        <v>509.00073800738005</v>
      </c>
      <c r="I1029" s="66"/>
      <c r="K1029" s="67">
        <v>1.7815025830258302</v>
      </c>
      <c r="O1029" s="48">
        <f t="shared" si="128"/>
        <v>2.7067184120269365</v>
      </c>
      <c r="R1029" s="48">
        <f t="shared" si="129"/>
        <v>0.25078645637721197</v>
      </c>
      <c r="U1029" s="48">
        <v>2.7067184120269365</v>
      </c>
      <c r="V1029" s="54">
        <v>0.25078645637721197</v>
      </c>
      <c r="W1029" s="49">
        <f t="shared" si="131"/>
        <v>2.8266956495867737</v>
      </c>
      <c r="X1029" s="49"/>
      <c r="Y1029" s="49"/>
      <c r="Z1029" s="49"/>
    </row>
    <row r="1030" spans="1:26" s="28" customFormat="1" ht="12.75" customHeight="1">
      <c r="A1030" s="64" t="s">
        <v>182</v>
      </c>
      <c r="B1030" s="23" t="s">
        <v>183</v>
      </c>
      <c r="C1030" s="52" t="s">
        <v>162</v>
      </c>
      <c r="D1030" s="65">
        <v>1995</v>
      </c>
      <c r="E1030" s="26">
        <v>12</v>
      </c>
      <c r="F1030" s="66">
        <v>15</v>
      </c>
      <c r="G1030" s="46">
        <f t="shared" si="130"/>
        <v>350.16999999999996</v>
      </c>
      <c r="H1030" s="84">
        <v>498.05225653206656</v>
      </c>
      <c r="I1030" s="66"/>
      <c r="K1030" s="67">
        <v>2.0606912114014255</v>
      </c>
      <c r="O1030" s="48">
        <f t="shared" si="128"/>
        <v>2.6972749121028756</v>
      </c>
      <c r="R1030" s="48">
        <f t="shared" si="129"/>
        <v>0.31401291888665095</v>
      </c>
      <c r="U1030" s="48">
        <v>2.6972749121028756</v>
      </c>
      <c r="V1030" s="54">
        <v>0.31401291888665095</v>
      </c>
      <c r="W1030" s="49">
        <f t="shared" si="131"/>
        <v>2.7692124875363748</v>
      </c>
      <c r="X1030" s="49"/>
      <c r="Y1030" s="49"/>
      <c r="Z1030" s="49"/>
    </row>
    <row r="1031" spans="1:26" s="28" customFormat="1" ht="12.75" customHeight="1">
      <c r="A1031" s="64" t="s">
        <v>182</v>
      </c>
      <c r="B1031" s="23" t="s">
        <v>183</v>
      </c>
      <c r="C1031" s="52" t="s">
        <v>162</v>
      </c>
      <c r="D1031" s="65">
        <v>1995</v>
      </c>
      <c r="E1031" s="26">
        <v>12</v>
      </c>
      <c r="F1031" s="66">
        <v>15</v>
      </c>
      <c r="G1031" s="46">
        <f t="shared" si="130"/>
        <v>350.16999999999996</v>
      </c>
      <c r="H1031" s="84">
        <v>1063.7383177570093</v>
      </c>
      <c r="I1031" s="66"/>
      <c r="K1031" s="67">
        <v>3.3621728971962619</v>
      </c>
      <c r="O1031" s="48">
        <f t="shared" si="128"/>
        <v>3.0268348035870964</v>
      </c>
      <c r="R1031" s="48">
        <f t="shared" si="129"/>
        <v>0.52662004294270282</v>
      </c>
      <c r="U1031" s="48">
        <v>3.0268348035870964</v>
      </c>
      <c r="V1031" s="54">
        <v>0.52662004294270282</v>
      </c>
      <c r="W1031" s="49">
        <f t="shared" si="131"/>
        <v>2.4676952572264521</v>
      </c>
      <c r="X1031" s="49"/>
      <c r="Y1031" s="49"/>
      <c r="Z1031" s="49"/>
    </row>
    <row r="1032" spans="1:26" s="28" customFormat="1" ht="12.75" customHeight="1">
      <c r="A1032" s="64" t="s">
        <v>182</v>
      </c>
      <c r="B1032" s="23" t="s">
        <v>183</v>
      </c>
      <c r="C1032" s="52" t="s">
        <v>162</v>
      </c>
      <c r="D1032" s="65">
        <v>1995</v>
      </c>
      <c r="E1032" s="26">
        <v>12</v>
      </c>
      <c r="F1032" s="66">
        <v>15</v>
      </c>
      <c r="G1032" s="46">
        <f t="shared" si="130"/>
        <v>350.16999999999996</v>
      </c>
      <c r="H1032" s="84">
        <v>797.6567164179105</v>
      </c>
      <c r="I1032" s="66"/>
      <c r="K1032" s="67">
        <v>3.1117377398720687</v>
      </c>
      <c r="O1032" s="48">
        <f t="shared" ref="O1032:O1095" si="132">LOG10(H1032)</f>
        <v>2.9018160263863599</v>
      </c>
      <c r="R1032" s="48">
        <f t="shared" ref="R1032:R1095" si="133">LOG10(K1032)</f>
        <v>0.49300298712036067</v>
      </c>
      <c r="U1032" s="48">
        <v>2.9018160263863599</v>
      </c>
      <c r="V1032" s="54">
        <v>0.49300298712036067</v>
      </c>
      <c r="W1032" s="49">
        <f t="shared" si="131"/>
        <v>2.537208766008924</v>
      </c>
      <c r="X1032" s="49"/>
      <c r="Y1032" s="49"/>
      <c r="Z1032" s="49"/>
    </row>
    <row r="1033" spans="1:26" s="28" customFormat="1" ht="12.75" customHeight="1">
      <c r="A1033" s="64" t="s">
        <v>182</v>
      </c>
      <c r="B1033" s="23" t="s">
        <v>183</v>
      </c>
      <c r="C1033" s="52" t="s">
        <v>162</v>
      </c>
      <c r="D1033" s="65">
        <v>1995</v>
      </c>
      <c r="E1033" s="26">
        <v>12</v>
      </c>
      <c r="F1033" s="66">
        <v>15</v>
      </c>
      <c r="G1033" s="46">
        <f t="shared" si="130"/>
        <v>350.16999999999996</v>
      </c>
      <c r="H1033" s="84">
        <v>814.98316889146849</v>
      </c>
      <c r="I1033" s="66"/>
      <c r="K1033" s="67">
        <v>2.2638421358096346</v>
      </c>
      <c r="O1033" s="48">
        <f t="shared" si="132"/>
        <v>2.9111486397423829</v>
      </c>
      <c r="R1033" s="48">
        <f t="shared" si="133"/>
        <v>0.35484613897509559</v>
      </c>
      <c r="U1033" s="48">
        <v>2.9111486397423829</v>
      </c>
      <c r="V1033" s="54">
        <v>0.35484613897509559</v>
      </c>
      <c r="W1033" s="49">
        <f t="shared" si="131"/>
        <v>2.6662012361722747</v>
      </c>
      <c r="X1033" s="49"/>
      <c r="Y1033" s="49"/>
      <c r="Z1033" s="49"/>
    </row>
    <row r="1034" spans="1:26" s="28" customFormat="1" ht="12.75" customHeight="1">
      <c r="A1034" s="64" t="s">
        <v>182</v>
      </c>
      <c r="B1034" s="23" t="s">
        <v>183</v>
      </c>
      <c r="C1034" s="52" t="s">
        <v>162</v>
      </c>
      <c r="D1034" s="65">
        <v>1995</v>
      </c>
      <c r="E1034" s="26">
        <v>12</v>
      </c>
      <c r="F1034" s="66">
        <v>15</v>
      </c>
      <c r="G1034" s="46">
        <f t="shared" si="130"/>
        <v>350.16999999999996</v>
      </c>
      <c r="H1034" s="84">
        <v>1192.521570528357</v>
      </c>
      <c r="I1034" s="66"/>
      <c r="K1034" s="67">
        <v>3.1340649539505581</v>
      </c>
      <c r="O1034" s="48">
        <f t="shared" si="132"/>
        <v>3.0764662433739645</v>
      </c>
      <c r="R1034" s="48">
        <f t="shared" si="133"/>
        <v>0.49610799304194719</v>
      </c>
      <c r="U1034" s="48">
        <v>3.0764662433739645</v>
      </c>
      <c r="V1034" s="54">
        <v>0.49610799304194719</v>
      </c>
      <c r="W1034" s="49">
        <f t="shared" si="131"/>
        <v>2.4819348644771972</v>
      </c>
      <c r="X1034" s="49"/>
      <c r="Y1034" s="49"/>
      <c r="Z1034" s="49"/>
    </row>
    <row r="1035" spans="1:26" s="28" customFormat="1" ht="12.75" customHeight="1">
      <c r="A1035" s="64" t="s">
        <v>182</v>
      </c>
      <c r="B1035" s="23" t="s">
        <v>183</v>
      </c>
      <c r="C1035" s="52" t="s">
        <v>162</v>
      </c>
      <c r="D1035" s="65">
        <v>1995</v>
      </c>
      <c r="E1035" s="26">
        <v>12</v>
      </c>
      <c r="F1035" s="66">
        <v>15</v>
      </c>
      <c r="G1035" s="46">
        <f t="shared" si="130"/>
        <v>350.16999999999996</v>
      </c>
      <c r="H1035" s="84">
        <v>1089.0983606557375</v>
      </c>
      <c r="I1035" s="66"/>
      <c r="K1035" s="67">
        <v>3.8805737704918024</v>
      </c>
      <c r="O1035" s="48">
        <f t="shared" si="132"/>
        <v>3.0370671043296729</v>
      </c>
      <c r="R1035" s="48">
        <f t="shared" si="133"/>
        <v>0.58889594387658994</v>
      </c>
      <c r="U1035" s="48">
        <v>3.0370671043296729</v>
      </c>
      <c r="V1035" s="54">
        <v>0.58889594387658994</v>
      </c>
      <c r="W1035" s="49">
        <f t="shared" si="131"/>
        <v>2.4052254495386172</v>
      </c>
      <c r="X1035" s="49"/>
      <c r="Y1035" s="49"/>
      <c r="Z1035" s="49"/>
    </row>
    <row r="1036" spans="1:26" s="28" customFormat="1" ht="12.75" customHeight="1">
      <c r="A1036" s="64" t="s">
        <v>182</v>
      </c>
      <c r="B1036" s="23" t="s">
        <v>183</v>
      </c>
      <c r="C1036" s="52" t="s">
        <v>162</v>
      </c>
      <c r="D1036" s="65">
        <v>1995</v>
      </c>
      <c r="E1036" s="26">
        <v>12</v>
      </c>
      <c r="F1036" s="66">
        <v>15</v>
      </c>
      <c r="G1036" s="46">
        <f t="shared" si="130"/>
        <v>350.16999999999996</v>
      </c>
      <c r="H1036" s="84">
        <v>1085.7197604790422</v>
      </c>
      <c r="I1036" s="66"/>
      <c r="K1036" s="67">
        <v>5.275062674650699</v>
      </c>
      <c r="O1036" s="48">
        <f t="shared" si="132"/>
        <v>3.0357177422111268</v>
      </c>
      <c r="R1036" s="48">
        <f t="shared" si="133"/>
        <v>0.72222762398740858</v>
      </c>
      <c r="U1036" s="48">
        <v>3.0357177422111268</v>
      </c>
      <c r="V1036" s="54">
        <v>0.72222762398740858</v>
      </c>
      <c r="W1036" s="49">
        <f t="shared" si="131"/>
        <v>2.2784445270297202</v>
      </c>
      <c r="X1036" s="49"/>
      <c r="Y1036" s="49"/>
      <c r="Z1036" s="49"/>
    </row>
    <row r="1037" spans="1:26" s="28" customFormat="1" ht="12.75" customHeight="1">
      <c r="A1037" s="64" t="s">
        <v>182</v>
      </c>
      <c r="B1037" s="23" t="s">
        <v>183</v>
      </c>
      <c r="C1037" s="52" t="s">
        <v>162</v>
      </c>
      <c r="D1037" s="65">
        <v>1995</v>
      </c>
      <c r="E1037" s="26">
        <v>12</v>
      </c>
      <c r="F1037" s="66">
        <v>15</v>
      </c>
      <c r="G1037" s="46">
        <f t="shared" si="130"/>
        <v>350.16999999999996</v>
      </c>
      <c r="H1037" s="84">
        <v>1136.3152053274141</v>
      </c>
      <c r="I1037" s="66"/>
      <c r="K1037" s="67">
        <v>4.3342308546059938</v>
      </c>
      <c r="O1037" s="48">
        <f t="shared" si="132"/>
        <v>3.0554988181234224</v>
      </c>
      <c r="R1037" s="48">
        <f t="shared" si="133"/>
        <v>0.63691203947374098</v>
      </c>
      <c r="U1037" s="48">
        <v>3.0554988181234224</v>
      </c>
      <c r="V1037" s="54">
        <v>0.63691203947374098</v>
      </c>
      <c r="W1037" s="49">
        <f t="shared" si="131"/>
        <v>2.3539021442471078</v>
      </c>
      <c r="X1037" s="49"/>
      <c r="Y1037" s="49"/>
      <c r="Z1037" s="49"/>
    </row>
    <row r="1038" spans="1:26" s="28" customFormat="1" ht="12.75" customHeight="1">
      <c r="A1038" s="64" t="s">
        <v>182</v>
      </c>
      <c r="B1038" s="23" t="s">
        <v>183</v>
      </c>
      <c r="C1038" s="52" t="s">
        <v>162</v>
      </c>
      <c r="D1038" s="65">
        <v>1995</v>
      </c>
      <c r="E1038" s="26">
        <v>12</v>
      </c>
      <c r="F1038" s="66">
        <v>15</v>
      </c>
      <c r="G1038" s="46">
        <f t="shared" si="130"/>
        <v>350.16999999999996</v>
      </c>
      <c r="H1038" s="84">
        <v>2502.1421143847483</v>
      </c>
      <c r="I1038" s="66"/>
      <c r="K1038" s="67">
        <v>5.0239861351819757</v>
      </c>
      <c r="O1038" s="48">
        <f t="shared" si="132"/>
        <v>3.3983119727196387</v>
      </c>
      <c r="R1038" s="48">
        <f t="shared" si="133"/>
        <v>0.70104843219763702</v>
      </c>
      <c r="U1038" s="48">
        <v>3.3983119727196387</v>
      </c>
      <c r="V1038" s="54">
        <v>0.70104843219763702</v>
      </c>
      <c r="W1038" s="49">
        <f t="shared" si="131"/>
        <v>2.1900414662226133</v>
      </c>
      <c r="X1038" s="49"/>
      <c r="Y1038" s="49"/>
      <c r="Z1038" s="49"/>
    </row>
    <row r="1039" spans="1:26" s="28" customFormat="1" ht="12.75" customHeight="1">
      <c r="A1039" s="64" t="s">
        <v>182</v>
      </c>
      <c r="B1039" s="23" t="s">
        <v>183</v>
      </c>
      <c r="C1039" s="52" t="s">
        <v>162</v>
      </c>
      <c r="D1039" s="65">
        <v>1995</v>
      </c>
      <c r="E1039" s="26">
        <v>12</v>
      </c>
      <c r="F1039" s="66">
        <v>15</v>
      </c>
      <c r="G1039" s="46">
        <f t="shared" si="130"/>
        <v>350.16999999999996</v>
      </c>
      <c r="H1039" s="84">
        <v>427.22139673105494</v>
      </c>
      <c r="I1039" s="66"/>
      <c r="K1039" s="67">
        <v>1.8156909361069835</v>
      </c>
      <c r="O1039" s="48">
        <f t="shared" si="132"/>
        <v>2.6306529955409217</v>
      </c>
      <c r="R1039" s="48">
        <f t="shared" si="133"/>
        <v>0.25904192559123324</v>
      </c>
      <c r="U1039" s="48">
        <v>2.6306529955409217</v>
      </c>
      <c r="V1039" s="54">
        <v>0.25904192559123324</v>
      </c>
      <c r="W1039" s="49">
        <f t="shared" si="131"/>
        <v>2.8416042209503263</v>
      </c>
      <c r="X1039" s="49"/>
      <c r="Y1039" s="49"/>
      <c r="Z1039" s="49"/>
    </row>
    <row r="1040" spans="1:26" s="28" customFormat="1" ht="12.75" customHeight="1">
      <c r="A1040" s="64" t="s">
        <v>182</v>
      </c>
      <c r="B1040" s="23" t="s">
        <v>183</v>
      </c>
      <c r="C1040" s="52" t="s">
        <v>162</v>
      </c>
      <c r="D1040" s="65">
        <v>1995</v>
      </c>
      <c r="E1040" s="26">
        <v>12</v>
      </c>
      <c r="F1040" s="66">
        <v>15</v>
      </c>
      <c r="G1040" s="46">
        <f t="shared" si="130"/>
        <v>350.16999999999996</v>
      </c>
      <c r="H1040" s="84">
        <v>844.80958721704394</v>
      </c>
      <c r="I1040" s="66"/>
      <c r="K1040" s="67">
        <v>2.837693741677763</v>
      </c>
      <c r="O1040" s="48">
        <f t="shared" si="132"/>
        <v>2.9267588337548807</v>
      </c>
      <c r="R1040" s="48">
        <f t="shared" si="133"/>
        <v>0.45296552238414584</v>
      </c>
      <c r="U1040" s="48">
        <v>2.9267588337548807</v>
      </c>
      <c r="V1040" s="54">
        <v>0.45296552238414584</v>
      </c>
      <c r="W1040" s="49">
        <f t="shared" si="131"/>
        <v>2.5679295192208658</v>
      </c>
      <c r="X1040" s="49"/>
      <c r="Y1040" s="49"/>
      <c r="Z1040" s="49"/>
    </row>
    <row r="1041" spans="1:26" s="28" customFormat="1" ht="12.75" customHeight="1">
      <c r="A1041" s="64" t="s">
        <v>182</v>
      </c>
      <c r="B1041" s="23" t="s">
        <v>183</v>
      </c>
      <c r="C1041" s="52" t="s">
        <v>162</v>
      </c>
      <c r="D1041" s="65">
        <v>1995</v>
      </c>
      <c r="E1041" s="26">
        <v>12</v>
      </c>
      <c r="F1041" s="66">
        <v>15</v>
      </c>
      <c r="G1041" s="46">
        <f t="shared" si="130"/>
        <v>350.16999999999996</v>
      </c>
      <c r="H1041" s="84">
        <v>934.65967488201375</v>
      </c>
      <c r="I1041" s="66"/>
      <c r="K1041" s="67">
        <v>2.3696927110644994</v>
      </c>
      <c r="O1041" s="48">
        <f t="shared" si="132"/>
        <v>2.9706535058179857</v>
      </c>
      <c r="R1041" s="48">
        <f t="shared" si="133"/>
        <v>0.37469203270147383</v>
      </c>
      <c r="U1041" s="48">
        <v>2.9706535058179857</v>
      </c>
      <c r="V1041" s="54">
        <v>0.37469203270147383</v>
      </c>
      <c r="W1041" s="49">
        <f t="shared" si="131"/>
        <v>2.6294470669373342</v>
      </c>
      <c r="X1041" s="49"/>
      <c r="Y1041" s="49"/>
      <c r="Z1041" s="49"/>
    </row>
    <row r="1042" spans="1:26" s="28" customFormat="1" ht="12.75" customHeight="1">
      <c r="A1042" s="64" t="s">
        <v>182</v>
      </c>
      <c r="B1042" s="23" t="s">
        <v>183</v>
      </c>
      <c r="C1042" s="52" t="s">
        <v>162</v>
      </c>
      <c r="D1042" s="65">
        <v>1995</v>
      </c>
      <c r="E1042" s="26">
        <v>12</v>
      </c>
      <c r="F1042" s="66">
        <v>15</v>
      </c>
      <c r="G1042" s="46">
        <f t="shared" si="130"/>
        <v>350.16999999999996</v>
      </c>
      <c r="H1042" s="84">
        <v>1388.808510638298</v>
      </c>
      <c r="I1042" s="66"/>
      <c r="K1042" s="67">
        <v>3.520468085106383</v>
      </c>
      <c r="O1042" s="48">
        <f t="shared" si="132"/>
        <v>3.1426423692033305</v>
      </c>
      <c r="R1042" s="48">
        <f t="shared" si="133"/>
        <v>0.54660041156436767</v>
      </c>
      <c r="U1042" s="48">
        <v>3.1426423692033305</v>
      </c>
      <c r="V1042" s="54">
        <v>0.54660041156436767</v>
      </c>
      <c r="W1042" s="49">
        <f t="shared" si="131"/>
        <v>2.4139487688300698</v>
      </c>
      <c r="X1042" s="49"/>
      <c r="Y1042" s="49"/>
      <c r="Z1042" s="49"/>
    </row>
    <row r="1043" spans="1:26" s="28" customFormat="1" ht="12.75" customHeight="1">
      <c r="A1043" s="64" t="s">
        <v>182</v>
      </c>
      <c r="B1043" s="23" t="s">
        <v>183</v>
      </c>
      <c r="C1043" s="52" t="s">
        <v>162</v>
      </c>
      <c r="D1043" s="65">
        <v>1995</v>
      </c>
      <c r="E1043" s="26">
        <v>12</v>
      </c>
      <c r="F1043" s="66">
        <v>15</v>
      </c>
      <c r="G1043" s="46">
        <f t="shared" si="130"/>
        <v>350.16999999999996</v>
      </c>
      <c r="H1043" s="84">
        <v>1063.0434358223526</v>
      </c>
      <c r="I1043" s="66"/>
      <c r="K1043" s="67">
        <v>3.1623308931185949</v>
      </c>
      <c r="O1043" s="48">
        <f t="shared" si="132"/>
        <v>3.0265510101042659</v>
      </c>
      <c r="R1043" s="48">
        <f t="shared" si="133"/>
        <v>0.50000731073752303</v>
      </c>
      <c r="U1043" s="48">
        <v>3.0265510101042659</v>
      </c>
      <c r="V1043" s="54">
        <v>0.50000731073752303</v>
      </c>
      <c r="W1043" s="49">
        <f t="shared" si="131"/>
        <v>2.4931661456064007</v>
      </c>
      <c r="X1043" s="49"/>
      <c r="Y1043" s="49"/>
      <c r="Z1043" s="49"/>
    </row>
    <row r="1044" spans="1:26" s="28" customFormat="1" ht="12.75" customHeight="1">
      <c r="A1044" s="64" t="s">
        <v>182</v>
      </c>
      <c r="B1044" s="23" t="s">
        <v>183</v>
      </c>
      <c r="C1044" s="52" t="s">
        <v>162</v>
      </c>
      <c r="D1044" s="65">
        <v>1995</v>
      </c>
      <c r="E1044" s="26">
        <v>12</v>
      </c>
      <c r="F1044" s="66">
        <v>15</v>
      </c>
      <c r="G1044" s="46">
        <f t="shared" si="130"/>
        <v>350.16999999999996</v>
      </c>
      <c r="H1044" s="84">
        <v>1122.7435158501441</v>
      </c>
      <c r="I1044" s="66"/>
      <c r="K1044" s="67">
        <v>3.2809060518731994</v>
      </c>
      <c r="O1044" s="48">
        <f t="shared" si="132"/>
        <v>3.0502805555729764</v>
      </c>
      <c r="R1044" s="48">
        <f t="shared" si="133"/>
        <v>0.51599379462340955</v>
      </c>
      <c r="U1044" s="48">
        <v>3.0502805555729764</v>
      </c>
      <c r="V1044" s="54">
        <v>0.51599379462340955</v>
      </c>
      <c r="W1044" s="49">
        <f t="shared" si="131"/>
        <v>2.4708090560129561</v>
      </c>
      <c r="X1044" s="49"/>
      <c r="Y1044" s="49"/>
      <c r="Z1044" s="49"/>
    </row>
    <row r="1045" spans="1:26" s="28" customFormat="1" ht="12.75" customHeight="1">
      <c r="A1045" s="64" t="s">
        <v>182</v>
      </c>
      <c r="B1045" s="23" t="s">
        <v>183</v>
      </c>
      <c r="C1045" s="52" t="s">
        <v>162</v>
      </c>
      <c r="D1045" s="65">
        <v>1995</v>
      </c>
      <c r="E1045" s="26">
        <v>12</v>
      </c>
      <c r="F1045" s="66">
        <v>15</v>
      </c>
      <c r="G1045" s="46">
        <f t="shared" si="130"/>
        <v>350.16999999999996</v>
      </c>
      <c r="H1045" s="84">
        <v>1890.3333333333333</v>
      </c>
      <c r="I1045" s="66"/>
      <c r="K1045" s="67">
        <v>3.9220000000000002</v>
      </c>
      <c r="O1045" s="48">
        <f t="shared" si="132"/>
        <v>3.2765383925663363</v>
      </c>
      <c r="R1045" s="48">
        <f t="shared" si="133"/>
        <v>0.59350758933176528</v>
      </c>
      <c r="U1045" s="48">
        <v>3.2765383925663363</v>
      </c>
      <c r="V1045" s="54">
        <v>0.59350758933176528</v>
      </c>
      <c r="W1045" s="49">
        <f t="shared" si="131"/>
        <v>2.3290988591183539</v>
      </c>
      <c r="X1045" s="49"/>
      <c r="Y1045" s="49"/>
      <c r="Z1045" s="49"/>
    </row>
    <row r="1046" spans="1:26" s="28" customFormat="1" ht="12.75" customHeight="1">
      <c r="A1046" s="64" t="s">
        <v>182</v>
      </c>
      <c r="B1046" s="23" t="s">
        <v>183</v>
      </c>
      <c r="C1046" s="52" t="s">
        <v>162</v>
      </c>
      <c r="D1046" s="65">
        <v>1995</v>
      </c>
      <c r="E1046" s="26">
        <v>12</v>
      </c>
      <c r="F1046" s="66">
        <v>15</v>
      </c>
      <c r="G1046" s="46">
        <f t="shared" si="130"/>
        <v>350.16999999999996</v>
      </c>
      <c r="H1046" s="84">
        <v>1790.7902217168846</v>
      </c>
      <c r="I1046" s="66"/>
      <c r="K1046" s="67">
        <v>4.1188175099488351</v>
      </c>
      <c r="O1046" s="48">
        <f t="shared" si="132"/>
        <v>3.2530447143321393</v>
      </c>
      <c r="R1046" s="48">
        <f t="shared" si="133"/>
        <v>0.61477255034973222</v>
      </c>
      <c r="U1046" s="48">
        <v>3.2530447143321393</v>
      </c>
      <c r="V1046" s="54">
        <v>0.61477255034973222</v>
      </c>
      <c r="W1046" s="49">
        <f t="shared" si="131"/>
        <v>2.3158511473789423</v>
      </c>
      <c r="X1046" s="49"/>
      <c r="Y1046" s="49"/>
      <c r="Z1046" s="49"/>
    </row>
    <row r="1047" spans="1:26" s="28" customFormat="1" ht="12.75" customHeight="1">
      <c r="A1047" s="64" t="s">
        <v>182</v>
      </c>
      <c r="B1047" s="23" t="s">
        <v>183</v>
      </c>
      <c r="C1047" s="52" t="s">
        <v>162</v>
      </c>
      <c r="D1047" s="65">
        <v>1995</v>
      </c>
      <c r="E1047" s="26">
        <v>12</v>
      </c>
      <c r="F1047" s="66">
        <v>15</v>
      </c>
      <c r="G1047" s="46">
        <f t="shared" si="130"/>
        <v>350.16999999999996</v>
      </c>
      <c r="H1047" s="84">
        <v>2394.7273762094483</v>
      </c>
      <c r="I1047" s="66"/>
      <c r="K1047" s="67">
        <v>4.0042982356289132</v>
      </c>
      <c r="O1047" s="48">
        <f t="shared" si="132"/>
        <v>3.3792560790252848</v>
      </c>
      <c r="R1047" s="48">
        <f t="shared" si="133"/>
        <v>0.60252641577643551</v>
      </c>
      <c r="U1047" s="48">
        <v>3.3792560790252848</v>
      </c>
      <c r="V1047" s="54">
        <v>0.60252641577643551</v>
      </c>
      <c r="W1047" s="49">
        <f t="shared" si="131"/>
        <v>2.2897293266232412</v>
      </c>
      <c r="X1047" s="49"/>
      <c r="Y1047" s="49"/>
      <c r="Z1047" s="49"/>
    </row>
    <row r="1048" spans="1:26" s="28" customFormat="1" ht="12.75" customHeight="1">
      <c r="A1048" s="64" t="s">
        <v>182</v>
      </c>
      <c r="B1048" s="23" t="s">
        <v>183</v>
      </c>
      <c r="C1048" s="52" t="s">
        <v>162</v>
      </c>
      <c r="D1048" s="65">
        <v>1995</v>
      </c>
      <c r="E1048" s="26">
        <v>12</v>
      </c>
      <c r="F1048" s="66">
        <v>15</v>
      </c>
      <c r="G1048" s="46">
        <f t="shared" si="130"/>
        <v>350.16999999999996</v>
      </c>
      <c r="H1048" s="84">
        <v>497.51708930540241</v>
      </c>
      <c r="I1048" s="66"/>
      <c r="K1048" s="67">
        <v>2.1664035281146634</v>
      </c>
      <c r="O1048" s="48">
        <f t="shared" si="132"/>
        <v>2.696808002998464</v>
      </c>
      <c r="R1048" s="48">
        <f t="shared" si="133"/>
        <v>0.33573935427955276</v>
      </c>
      <c r="U1048" s="48">
        <v>2.696808002998464</v>
      </c>
      <c r="V1048" s="54">
        <v>0.33573935427955276</v>
      </c>
      <c r="W1048" s="49">
        <f t="shared" si="131"/>
        <v>2.748627491577821</v>
      </c>
      <c r="X1048" s="49"/>
      <c r="Y1048" s="49"/>
      <c r="Z1048" s="49"/>
    </row>
    <row r="1049" spans="1:26" s="28" customFormat="1" ht="12.75" customHeight="1">
      <c r="A1049" s="64" t="s">
        <v>182</v>
      </c>
      <c r="B1049" s="23" t="s">
        <v>183</v>
      </c>
      <c r="C1049" s="52" t="s">
        <v>162</v>
      </c>
      <c r="D1049" s="65">
        <v>1995</v>
      </c>
      <c r="E1049" s="26">
        <v>12</v>
      </c>
      <c r="F1049" s="66">
        <v>15</v>
      </c>
      <c r="G1049" s="46">
        <f t="shared" si="130"/>
        <v>350.16999999999996</v>
      </c>
      <c r="H1049" s="84">
        <v>1350.1957913998169</v>
      </c>
      <c r="I1049" s="66"/>
      <c r="K1049" s="67">
        <v>3.0059103385178405</v>
      </c>
      <c r="O1049" s="48">
        <f t="shared" si="132"/>
        <v>3.1303967499461769</v>
      </c>
      <c r="R1049" s="48">
        <f t="shared" si="133"/>
        <v>0.47797602213655582</v>
      </c>
      <c r="U1049" s="48">
        <v>3.1303967499461769</v>
      </c>
      <c r="V1049" s="54">
        <v>0.47797602213655582</v>
      </c>
      <c r="W1049" s="49">
        <f t="shared" si="131"/>
        <v>2.4830774381150107</v>
      </c>
      <c r="X1049" s="49"/>
      <c r="Y1049" s="49"/>
      <c r="Z1049" s="49"/>
    </row>
    <row r="1050" spans="1:26" s="28" customFormat="1" ht="12.75" customHeight="1">
      <c r="A1050" s="64" t="s">
        <v>182</v>
      </c>
      <c r="B1050" s="23" t="s">
        <v>183</v>
      </c>
      <c r="C1050" s="52" t="s">
        <v>162</v>
      </c>
      <c r="D1050" s="65">
        <v>1995</v>
      </c>
      <c r="E1050" s="26">
        <v>12</v>
      </c>
      <c r="F1050" s="66">
        <v>15</v>
      </c>
      <c r="G1050" s="46">
        <f t="shared" si="130"/>
        <v>350.16999999999996</v>
      </c>
      <c r="H1050" s="84">
        <v>605.95095367847421</v>
      </c>
      <c r="I1050" s="66"/>
      <c r="K1050" s="67">
        <v>3.6862016348773845</v>
      </c>
      <c r="O1050" s="48">
        <f t="shared" si="132"/>
        <v>2.7824374733266533</v>
      </c>
      <c r="R1050" s="48">
        <f t="shared" si="133"/>
        <v>0.56657908739948426</v>
      </c>
      <c r="U1050" s="48">
        <v>2.7824374733266533</v>
      </c>
      <c r="V1050" s="54">
        <v>0.56657908739948426</v>
      </c>
      <c r="W1050" s="49">
        <f t="shared" si="131"/>
        <v>2.5027813373064558</v>
      </c>
      <c r="X1050" s="49"/>
      <c r="Y1050" s="49"/>
      <c r="Z1050" s="49"/>
    </row>
    <row r="1051" spans="1:26" s="28" customFormat="1" ht="12.75" customHeight="1">
      <c r="A1051" s="64" t="s">
        <v>182</v>
      </c>
      <c r="B1051" s="23" t="s">
        <v>183</v>
      </c>
      <c r="C1051" s="52" t="s">
        <v>162</v>
      </c>
      <c r="D1051" s="65">
        <v>1995</v>
      </c>
      <c r="E1051" s="26">
        <v>12</v>
      </c>
      <c r="F1051" s="66">
        <v>15</v>
      </c>
      <c r="G1051" s="46">
        <f t="shared" si="130"/>
        <v>350.16999999999996</v>
      </c>
      <c r="H1051" s="84">
        <v>772.61538461538476</v>
      </c>
      <c r="I1051" s="66"/>
      <c r="K1051" s="67">
        <v>3.6115277280858682</v>
      </c>
      <c r="O1051" s="48">
        <f t="shared" si="132"/>
        <v>2.8879633517340482</v>
      </c>
      <c r="R1051" s="48">
        <f t="shared" si="133"/>
        <v>0.55769095357495047</v>
      </c>
      <c r="U1051" s="48">
        <v>2.8879633517340482</v>
      </c>
      <c r="V1051" s="54">
        <v>0.55769095357495047</v>
      </c>
      <c r="W1051" s="49">
        <f t="shared" si="131"/>
        <v>2.4796521316420543</v>
      </c>
      <c r="X1051" s="49"/>
      <c r="Y1051" s="49"/>
      <c r="Z1051" s="49"/>
    </row>
    <row r="1052" spans="1:26" s="28" customFormat="1" ht="12.75" customHeight="1">
      <c r="A1052" s="64" t="s">
        <v>182</v>
      </c>
      <c r="B1052" s="23" t="s">
        <v>183</v>
      </c>
      <c r="C1052" s="52" t="s">
        <v>162</v>
      </c>
      <c r="D1052" s="65">
        <v>1995</v>
      </c>
      <c r="E1052" s="26">
        <v>12</v>
      </c>
      <c r="F1052" s="66">
        <v>15</v>
      </c>
      <c r="G1052" s="46">
        <f t="shared" si="130"/>
        <v>350.16999999999996</v>
      </c>
      <c r="H1052" s="84">
        <v>699.07284768211912</v>
      </c>
      <c r="I1052" s="66"/>
      <c r="K1052" s="67">
        <v>2.8780012040939189</v>
      </c>
      <c r="O1052" s="48">
        <f t="shared" si="132"/>
        <v>2.8445224342548427</v>
      </c>
      <c r="R1052" s="48">
        <f t="shared" si="133"/>
        <v>0.45909097130011223</v>
      </c>
      <c r="U1052" s="48">
        <v>2.8445224342548427</v>
      </c>
      <c r="V1052" s="54">
        <v>0.45909097130011223</v>
      </c>
      <c r="W1052" s="49">
        <f t="shared" si="131"/>
        <v>2.5867182781656148</v>
      </c>
      <c r="X1052" s="49"/>
      <c r="Y1052" s="49"/>
      <c r="Z1052" s="49"/>
    </row>
    <row r="1053" spans="1:26" s="28" customFormat="1" ht="12.75" customHeight="1">
      <c r="A1053" s="64" t="s">
        <v>182</v>
      </c>
      <c r="B1053" s="23" t="s">
        <v>183</v>
      </c>
      <c r="C1053" s="52" t="s">
        <v>162</v>
      </c>
      <c r="D1053" s="65">
        <v>1996</v>
      </c>
      <c r="E1053" s="26">
        <v>4</v>
      </c>
      <c r="F1053" s="66">
        <v>15</v>
      </c>
      <c r="G1053" s="46">
        <f t="shared" si="130"/>
        <v>106.41</v>
      </c>
      <c r="H1053" s="84">
        <v>999.73770491803293</v>
      </c>
      <c r="I1053" s="66"/>
      <c r="K1053" s="67">
        <v>0.75600000000000012</v>
      </c>
      <c r="O1053" s="48">
        <f t="shared" si="132"/>
        <v>2.9998860717512086</v>
      </c>
      <c r="R1053" s="48">
        <f t="shared" si="133"/>
        <v>-0.1214782044987934</v>
      </c>
      <c r="U1053" s="48">
        <v>2.9998860717512086</v>
      </c>
      <c r="V1053" s="54">
        <v>-0.1214782044987934</v>
      </c>
      <c r="W1053" s="49">
        <f t="shared" si="131"/>
        <v>3.0939879835845465</v>
      </c>
      <c r="X1053" s="49"/>
      <c r="Y1053" s="49"/>
      <c r="Z1053" s="49"/>
    </row>
    <row r="1054" spans="1:26" s="28" customFormat="1" ht="12.75" customHeight="1">
      <c r="A1054" s="64" t="s">
        <v>182</v>
      </c>
      <c r="B1054" s="23" t="s">
        <v>183</v>
      </c>
      <c r="C1054" s="52" t="s">
        <v>162</v>
      </c>
      <c r="D1054" s="65">
        <v>1996</v>
      </c>
      <c r="E1054" s="26">
        <v>4</v>
      </c>
      <c r="F1054" s="66">
        <v>15</v>
      </c>
      <c r="G1054" s="46">
        <f t="shared" si="130"/>
        <v>106.41</v>
      </c>
      <c r="H1054" s="84">
        <v>620</v>
      </c>
      <c r="I1054" s="66"/>
      <c r="K1054" s="67">
        <v>0.74</v>
      </c>
      <c r="O1054" s="48">
        <f t="shared" si="132"/>
        <v>2.7923916894982539</v>
      </c>
      <c r="R1054" s="48">
        <f t="shared" si="133"/>
        <v>-0.13076828026902382</v>
      </c>
      <c r="U1054" s="48">
        <v>2.7923916894982539</v>
      </c>
      <c r="V1054" s="54">
        <v>-0.13076828026902382</v>
      </c>
      <c r="W1054" s="49">
        <f t="shared" si="131"/>
        <v>3.1649994587083334</v>
      </c>
      <c r="X1054" s="49"/>
      <c r="Y1054" s="49"/>
      <c r="Z1054" s="49"/>
    </row>
    <row r="1055" spans="1:26" s="28" customFormat="1" ht="12.75" customHeight="1">
      <c r="A1055" s="64" t="s">
        <v>182</v>
      </c>
      <c r="B1055" s="23" t="s">
        <v>183</v>
      </c>
      <c r="C1055" s="52" t="s">
        <v>162</v>
      </c>
      <c r="D1055" s="65">
        <v>1996</v>
      </c>
      <c r="E1055" s="26">
        <v>4</v>
      </c>
      <c r="F1055" s="66">
        <v>15</v>
      </c>
      <c r="G1055" s="46">
        <f t="shared" si="130"/>
        <v>106.41</v>
      </c>
      <c r="H1055" s="84">
        <v>836</v>
      </c>
      <c r="I1055" s="66"/>
      <c r="K1055" s="67">
        <v>1.0359999999999998</v>
      </c>
      <c r="O1055" s="48">
        <f t="shared" si="132"/>
        <v>2.9222062774390163</v>
      </c>
      <c r="R1055" s="48">
        <f t="shared" si="133"/>
        <v>1.5359755409214138E-2</v>
      </c>
      <c r="U1055" s="48">
        <v>2.9222062774390163</v>
      </c>
      <c r="V1055" s="54">
        <v>1.5359755409214138E-2</v>
      </c>
      <c r="W1055" s="49">
        <f t="shared" si="131"/>
        <v>2.9867252629477403</v>
      </c>
      <c r="X1055" s="49"/>
      <c r="Y1055" s="49"/>
      <c r="Z1055" s="49"/>
    </row>
    <row r="1056" spans="1:26" s="28" customFormat="1" ht="12.75" customHeight="1">
      <c r="A1056" s="64" t="s">
        <v>182</v>
      </c>
      <c r="B1056" s="23" t="s">
        <v>183</v>
      </c>
      <c r="C1056" s="52" t="s">
        <v>162</v>
      </c>
      <c r="D1056" s="65">
        <v>1996</v>
      </c>
      <c r="E1056" s="26">
        <v>4</v>
      </c>
      <c r="F1056" s="66">
        <v>15</v>
      </c>
      <c r="G1056" s="46">
        <f t="shared" si="130"/>
        <v>106.41</v>
      </c>
      <c r="H1056" s="84">
        <v>961.06815020862314</v>
      </c>
      <c r="I1056" s="66"/>
      <c r="K1056" s="67">
        <v>1.115816411682893</v>
      </c>
      <c r="O1056" s="48">
        <f t="shared" si="132"/>
        <v>2.9827541849735781</v>
      </c>
      <c r="R1056" s="48">
        <f t="shared" si="133"/>
        <v>4.7592744823859653E-2</v>
      </c>
      <c r="U1056" s="48">
        <v>2.9827541849735781</v>
      </c>
      <c r="V1056" s="54">
        <v>4.7592744823859653E-2</v>
      </c>
      <c r="W1056" s="49">
        <f t="shared" si="131"/>
        <v>2.9378426265599829</v>
      </c>
      <c r="X1056" s="49"/>
      <c r="Y1056" s="49"/>
      <c r="Z1056" s="49"/>
    </row>
    <row r="1057" spans="1:26" s="28" customFormat="1" ht="12.75" customHeight="1">
      <c r="A1057" s="64" t="s">
        <v>182</v>
      </c>
      <c r="B1057" s="23" t="s">
        <v>183</v>
      </c>
      <c r="C1057" s="52" t="s">
        <v>162</v>
      </c>
      <c r="D1057" s="65">
        <v>1996</v>
      </c>
      <c r="E1057" s="26">
        <v>4</v>
      </c>
      <c r="F1057" s="66">
        <v>15</v>
      </c>
      <c r="G1057" s="46">
        <f t="shared" si="130"/>
        <v>106.41</v>
      </c>
      <c r="H1057" s="84">
        <v>1165.2406779661017</v>
      </c>
      <c r="I1057" s="66"/>
      <c r="K1057" s="67">
        <v>1.2686644067796609</v>
      </c>
      <c r="O1057" s="48">
        <f t="shared" si="132"/>
        <v>3.0664156372222364</v>
      </c>
      <c r="R1057" s="48">
        <f t="shared" si="133"/>
        <v>0.10334675561809921</v>
      </c>
      <c r="U1057" s="48">
        <v>3.0664156372222364</v>
      </c>
      <c r="V1057" s="54">
        <v>0.10334675561809921</v>
      </c>
      <c r="W1057" s="49">
        <f t="shared" si="131"/>
        <v>2.8596002126431594</v>
      </c>
      <c r="X1057" s="49"/>
      <c r="Y1057" s="49"/>
      <c r="Z1057" s="49"/>
    </row>
    <row r="1058" spans="1:26" s="28" customFormat="1" ht="12.75" customHeight="1">
      <c r="A1058" s="64" t="s">
        <v>182</v>
      </c>
      <c r="B1058" s="23" t="s">
        <v>183</v>
      </c>
      <c r="C1058" s="52" t="s">
        <v>162</v>
      </c>
      <c r="D1058" s="65">
        <v>1996</v>
      </c>
      <c r="E1058" s="26">
        <v>4</v>
      </c>
      <c r="F1058" s="66">
        <v>15</v>
      </c>
      <c r="G1058" s="46">
        <f t="shared" si="130"/>
        <v>106.41</v>
      </c>
      <c r="H1058" s="84">
        <v>1240.1365187713311</v>
      </c>
      <c r="I1058" s="66"/>
      <c r="K1058" s="67">
        <v>1.5983981797497158</v>
      </c>
      <c r="O1058" s="48">
        <f t="shared" si="132"/>
        <v>3.0934694965215503</v>
      </c>
      <c r="R1058" s="48">
        <f t="shared" si="133"/>
        <v>0.20368497630914417</v>
      </c>
      <c r="U1058" s="48">
        <v>3.0934694965215503</v>
      </c>
      <c r="V1058" s="54">
        <v>0.20368497630914417</v>
      </c>
      <c r="W1058" s="49">
        <f t="shared" si="131"/>
        <v>2.7557842875408882</v>
      </c>
      <c r="X1058" s="49"/>
      <c r="Y1058" s="49"/>
      <c r="Z1058" s="49"/>
    </row>
    <row r="1059" spans="1:26" s="28" customFormat="1" ht="12.75" customHeight="1">
      <c r="A1059" s="64" t="s">
        <v>182</v>
      </c>
      <c r="B1059" s="23" t="s">
        <v>183</v>
      </c>
      <c r="C1059" s="52" t="s">
        <v>162</v>
      </c>
      <c r="D1059" s="65">
        <v>1996</v>
      </c>
      <c r="E1059" s="26">
        <v>4</v>
      </c>
      <c r="F1059" s="66">
        <v>15</v>
      </c>
      <c r="G1059" s="46">
        <f t="shared" si="130"/>
        <v>106.41</v>
      </c>
      <c r="H1059" s="84">
        <v>1974.5283474065136</v>
      </c>
      <c r="I1059" s="66"/>
      <c r="K1059" s="67">
        <v>1.8701833534378769</v>
      </c>
      <c r="O1059" s="48">
        <f t="shared" si="132"/>
        <v>3.2954633730859091</v>
      </c>
      <c r="R1059" s="48">
        <f t="shared" si="133"/>
        <v>0.27188418700854911</v>
      </c>
      <c r="U1059" s="48">
        <v>3.2954633730859091</v>
      </c>
      <c r="V1059" s="54">
        <v>0.27188418700854911</v>
      </c>
      <c r="W1059" s="49">
        <f t="shared" si="131"/>
        <v>2.6302269253743376</v>
      </c>
      <c r="X1059" s="49"/>
      <c r="Y1059" s="49"/>
      <c r="Z1059" s="49"/>
    </row>
    <row r="1060" spans="1:26" s="28" customFormat="1" ht="12.75" customHeight="1">
      <c r="A1060" s="64" t="s">
        <v>182</v>
      </c>
      <c r="B1060" s="23" t="s">
        <v>183</v>
      </c>
      <c r="C1060" s="52" t="s">
        <v>162</v>
      </c>
      <c r="D1060" s="65">
        <v>1996</v>
      </c>
      <c r="E1060" s="26">
        <v>4</v>
      </c>
      <c r="F1060" s="66">
        <v>15</v>
      </c>
      <c r="G1060" s="46">
        <f t="shared" si="130"/>
        <v>106.41</v>
      </c>
      <c r="H1060" s="84">
        <v>2104.1252348152784</v>
      </c>
      <c r="I1060" s="66"/>
      <c r="K1060" s="67">
        <v>2.4135554164057607</v>
      </c>
      <c r="O1060" s="48">
        <f t="shared" si="132"/>
        <v>3.3230715848973906</v>
      </c>
      <c r="R1060" s="48">
        <f t="shared" si="133"/>
        <v>0.38265727488163481</v>
      </c>
      <c r="U1060" s="48">
        <v>3.3230715848973906</v>
      </c>
      <c r="V1060" s="54">
        <v>0.38265727488163481</v>
      </c>
      <c r="W1060" s="49">
        <f t="shared" si="131"/>
        <v>2.5162911382526514</v>
      </c>
      <c r="X1060" s="49"/>
      <c r="Y1060" s="49"/>
      <c r="Z1060" s="49"/>
    </row>
    <row r="1061" spans="1:26" s="28" customFormat="1" ht="12.75" customHeight="1">
      <c r="A1061" s="64" t="s">
        <v>182</v>
      </c>
      <c r="B1061" s="23" t="s">
        <v>183</v>
      </c>
      <c r="C1061" s="52" t="s">
        <v>162</v>
      </c>
      <c r="D1061" s="65">
        <v>1996</v>
      </c>
      <c r="E1061" s="26">
        <v>4</v>
      </c>
      <c r="F1061" s="66">
        <v>15</v>
      </c>
      <c r="G1061" s="46">
        <f t="shared" si="130"/>
        <v>106.41</v>
      </c>
      <c r="H1061" s="84">
        <v>2449.2940057088485</v>
      </c>
      <c r="I1061" s="66"/>
      <c r="K1061" s="67">
        <v>3.6811874405328258</v>
      </c>
      <c r="O1061" s="48">
        <f t="shared" si="132"/>
        <v>3.3890409196258302</v>
      </c>
      <c r="R1061" s="48">
        <f t="shared" si="133"/>
        <v>0.56598793163209493</v>
      </c>
      <c r="U1061" s="48">
        <v>3.3890409196258302</v>
      </c>
      <c r="V1061" s="54">
        <v>0.56598793163209493</v>
      </c>
      <c r="W1061" s="49">
        <f t="shared" si="131"/>
        <v>2.3216525861815858</v>
      </c>
      <c r="X1061" s="49"/>
      <c r="Y1061" s="49"/>
      <c r="Z1061" s="49"/>
    </row>
    <row r="1062" spans="1:26" s="28" customFormat="1" ht="12.75" customHeight="1">
      <c r="A1062" s="64" t="s">
        <v>182</v>
      </c>
      <c r="B1062" s="23" t="s">
        <v>183</v>
      </c>
      <c r="C1062" s="52" t="s">
        <v>162</v>
      </c>
      <c r="D1062" s="65">
        <v>1996</v>
      </c>
      <c r="E1062" s="26">
        <v>4</v>
      </c>
      <c r="F1062" s="66">
        <v>15</v>
      </c>
      <c r="G1062" s="46">
        <f t="shared" si="130"/>
        <v>106.41</v>
      </c>
      <c r="H1062" s="84">
        <v>1743.6450304259636</v>
      </c>
      <c r="I1062" s="66"/>
      <c r="K1062" s="67">
        <v>1.7964827586206897</v>
      </c>
      <c r="O1062" s="48">
        <f t="shared" si="132"/>
        <v>3.2414580763429992</v>
      </c>
      <c r="R1062" s="48">
        <f t="shared" si="133"/>
        <v>0.25442305350736677</v>
      </c>
      <c r="U1062" s="48">
        <v>3.2414580763429992</v>
      </c>
      <c r="V1062" s="54">
        <v>0.25442305350736677</v>
      </c>
      <c r="W1062" s="49">
        <f t="shared" si="131"/>
        <v>2.6630590155259166</v>
      </c>
      <c r="X1062" s="49"/>
      <c r="Y1062" s="49"/>
      <c r="Z1062" s="49"/>
    </row>
    <row r="1063" spans="1:26" s="28" customFormat="1" ht="12.75" customHeight="1">
      <c r="A1063" s="64" t="s">
        <v>182</v>
      </c>
      <c r="B1063" s="23" t="s">
        <v>183</v>
      </c>
      <c r="C1063" s="52" t="s">
        <v>162</v>
      </c>
      <c r="D1063" s="65">
        <v>1996</v>
      </c>
      <c r="E1063" s="26">
        <v>4</v>
      </c>
      <c r="F1063" s="66">
        <v>15</v>
      </c>
      <c r="G1063" s="46">
        <f t="shared" si="130"/>
        <v>106.41</v>
      </c>
      <c r="H1063" s="84">
        <v>280</v>
      </c>
      <c r="I1063" s="66"/>
      <c r="K1063" s="67">
        <v>0.372</v>
      </c>
      <c r="O1063" s="48">
        <f t="shared" si="132"/>
        <v>2.4471580313422194</v>
      </c>
      <c r="R1063" s="48">
        <f t="shared" si="133"/>
        <v>-0.42945706011810247</v>
      </c>
      <c r="U1063" s="48">
        <v>2.4471580313422194</v>
      </c>
      <c r="V1063" s="54">
        <v>-0.42945706011810247</v>
      </c>
      <c r="W1063" s="49">
        <f t="shared" si="131"/>
        <v>3.5533246591720919</v>
      </c>
      <c r="X1063" s="49"/>
      <c r="Y1063" s="49"/>
      <c r="Z1063" s="49"/>
    </row>
    <row r="1064" spans="1:26" s="28" customFormat="1" ht="12.75" customHeight="1">
      <c r="A1064" s="64" t="s">
        <v>182</v>
      </c>
      <c r="B1064" s="23" t="s">
        <v>183</v>
      </c>
      <c r="C1064" s="52" t="s">
        <v>162</v>
      </c>
      <c r="D1064" s="65">
        <v>1996</v>
      </c>
      <c r="E1064" s="26">
        <v>4</v>
      </c>
      <c r="F1064" s="66">
        <v>15</v>
      </c>
      <c r="G1064" s="46">
        <f t="shared" si="130"/>
        <v>106.41</v>
      </c>
      <c r="H1064" s="84">
        <v>782.09957325746802</v>
      </c>
      <c r="I1064" s="66"/>
      <c r="K1064" s="67">
        <v>0.8409672830725462</v>
      </c>
      <c r="O1064" s="48">
        <f t="shared" si="132"/>
        <v>2.8932620489208807</v>
      </c>
      <c r="R1064" s="48">
        <f t="shared" si="133"/>
        <v>-7.5220899633054644E-2</v>
      </c>
      <c r="U1064" s="48">
        <v>2.8932620489208807</v>
      </c>
      <c r="V1064" s="54">
        <v>-7.5220899633054644E-2</v>
      </c>
      <c r="W1064" s="49">
        <f t="shared" si="131"/>
        <v>3.0817996582617635</v>
      </c>
      <c r="X1064" s="49"/>
      <c r="Y1064" s="49"/>
      <c r="Z1064" s="49"/>
    </row>
    <row r="1065" spans="1:26" s="28" customFormat="1" ht="12.75" customHeight="1">
      <c r="A1065" s="64" t="s">
        <v>182</v>
      </c>
      <c r="B1065" s="23" t="s">
        <v>183</v>
      </c>
      <c r="C1065" s="52" t="s">
        <v>162</v>
      </c>
      <c r="D1065" s="65">
        <v>1996</v>
      </c>
      <c r="E1065" s="26">
        <v>4</v>
      </c>
      <c r="F1065" s="66">
        <v>15</v>
      </c>
      <c r="G1065" s="46">
        <f t="shared" si="130"/>
        <v>106.41</v>
      </c>
      <c r="H1065" s="84">
        <v>1209.0760425183976</v>
      </c>
      <c r="I1065" s="66"/>
      <c r="K1065" s="67">
        <v>1.2014717906786592</v>
      </c>
      <c r="O1065" s="48">
        <f t="shared" si="132"/>
        <v>3.0824536158381011</v>
      </c>
      <c r="R1065" s="48">
        <f t="shared" si="133"/>
        <v>7.9713578472072319E-2</v>
      </c>
      <c r="U1065" s="48">
        <v>3.0824536158381011</v>
      </c>
      <c r="V1065" s="54">
        <v>7.9713578472072319E-2</v>
      </c>
      <c r="W1065" s="49">
        <f t="shared" si="131"/>
        <v>2.8773401311930291</v>
      </c>
      <c r="X1065" s="49"/>
      <c r="Y1065" s="49"/>
      <c r="Z1065" s="49"/>
    </row>
    <row r="1066" spans="1:26" s="28" customFormat="1" ht="12.75" customHeight="1">
      <c r="A1066" s="64" t="s">
        <v>182</v>
      </c>
      <c r="B1066" s="23" t="s">
        <v>183</v>
      </c>
      <c r="C1066" s="52" t="s">
        <v>162</v>
      </c>
      <c r="D1066" s="65">
        <v>1996</v>
      </c>
      <c r="E1066" s="26">
        <v>4</v>
      </c>
      <c r="F1066" s="66">
        <v>15</v>
      </c>
      <c r="G1066" s="46">
        <f t="shared" si="130"/>
        <v>106.41</v>
      </c>
      <c r="H1066" s="84">
        <v>1573.6927604473221</v>
      </c>
      <c r="I1066" s="66"/>
      <c r="K1066" s="67">
        <v>1.6918752207180696</v>
      </c>
      <c r="O1066" s="48">
        <f t="shared" si="132"/>
        <v>3.1969199469132432</v>
      </c>
      <c r="R1066" s="48">
        <f t="shared" si="133"/>
        <v>0.22836832977162394</v>
      </c>
      <c r="U1066" s="48">
        <v>3.1969199469132432</v>
      </c>
      <c r="V1066" s="54">
        <v>0.22836832977162394</v>
      </c>
      <c r="W1066" s="49">
        <f t="shared" si="131"/>
        <v>2.701252881899638</v>
      </c>
      <c r="X1066" s="49"/>
      <c r="Y1066" s="49"/>
      <c r="Z1066" s="49"/>
    </row>
    <row r="1067" spans="1:26" s="28" customFormat="1" ht="12.75" customHeight="1">
      <c r="A1067" s="64" t="s">
        <v>182</v>
      </c>
      <c r="B1067" s="23" t="s">
        <v>183</v>
      </c>
      <c r="C1067" s="52" t="s">
        <v>162</v>
      </c>
      <c r="D1067" s="65">
        <v>1996</v>
      </c>
      <c r="E1067" s="26">
        <v>4</v>
      </c>
      <c r="F1067" s="66">
        <v>15</v>
      </c>
      <c r="G1067" s="46">
        <f t="shared" si="130"/>
        <v>106.41</v>
      </c>
      <c r="H1067" s="84">
        <v>1686.6458504519308</v>
      </c>
      <c r="I1067" s="66"/>
      <c r="K1067" s="67">
        <v>2.1050386195562858</v>
      </c>
      <c r="O1067" s="48">
        <f t="shared" si="132"/>
        <v>3.2270239021855631</v>
      </c>
      <c r="R1067" s="48">
        <f t="shared" si="133"/>
        <v>0.32326006791816386</v>
      </c>
      <c r="U1067" s="48">
        <v>3.2270239021855631</v>
      </c>
      <c r="V1067" s="54">
        <v>0.32326006791816386</v>
      </c>
      <c r="W1067" s="49">
        <f t="shared" si="131"/>
        <v>2.6017187777202935</v>
      </c>
      <c r="X1067" s="49"/>
      <c r="Y1067" s="49"/>
      <c r="Z1067" s="49"/>
    </row>
    <row r="1068" spans="1:26" s="28" customFormat="1" ht="12.75" customHeight="1">
      <c r="A1068" s="64" t="s">
        <v>182</v>
      </c>
      <c r="B1068" s="23" t="s">
        <v>183</v>
      </c>
      <c r="C1068" s="52" t="s">
        <v>162</v>
      </c>
      <c r="D1068" s="65">
        <v>1996</v>
      </c>
      <c r="E1068" s="26">
        <v>4</v>
      </c>
      <c r="F1068" s="66">
        <v>15</v>
      </c>
      <c r="G1068" s="46">
        <f t="shared" si="130"/>
        <v>106.41</v>
      </c>
      <c r="H1068" s="84">
        <v>1925.800302571861</v>
      </c>
      <c r="I1068" s="66"/>
      <c r="K1068" s="67">
        <v>2.4950620272314676</v>
      </c>
      <c r="O1068" s="48">
        <f t="shared" si="132"/>
        <v>3.2846112506038976</v>
      </c>
      <c r="R1068" s="48">
        <f t="shared" si="133"/>
        <v>0.39708134665259953</v>
      </c>
      <c r="U1068" s="48">
        <v>3.2846112506038976</v>
      </c>
      <c r="V1068" s="54">
        <v>0.39708134665259953</v>
      </c>
      <c r="W1068" s="49">
        <f t="shared" si="131"/>
        <v>2.5140518324354533</v>
      </c>
      <c r="X1068" s="49"/>
      <c r="Y1068" s="49"/>
      <c r="Z1068" s="49"/>
    </row>
    <row r="1069" spans="1:26" s="28" customFormat="1" ht="12.75" customHeight="1">
      <c r="A1069" s="64" t="s">
        <v>182</v>
      </c>
      <c r="B1069" s="23" t="s">
        <v>183</v>
      </c>
      <c r="C1069" s="52" t="s">
        <v>162</v>
      </c>
      <c r="D1069" s="65">
        <v>1996</v>
      </c>
      <c r="E1069" s="26">
        <v>4</v>
      </c>
      <c r="F1069" s="66">
        <v>15</v>
      </c>
      <c r="G1069" s="46">
        <f t="shared" si="130"/>
        <v>106.41</v>
      </c>
      <c r="H1069" s="84">
        <v>2472.3100576553493</v>
      </c>
      <c r="I1069" s="66"/>
      <c r="K1069" s="67">
        <v>3.1536553491351702</v>
      </c>
      <c r="O1069" s="48">
        <f t="shared" si="132"/>
        <v>3.3931029356257869</v>
      </c>
      <c r="R1069" s="48">
        <f t="shared" si="133"/>
        <v>0.49881422921246082</v>
      </c>
      <c r="U1069" s="48">
        <v>3.3931029356257869</v>
      </c>
      <c r="V1069" s="54">
        <v>0.49881422921246082</v>
      </c>
      <c r="W1069" s="49">
        <f t="shared" si="131"/>
        <v>2.3845129072020943</v>
      </c>
      <c r="X1069" s="49"/>
      <c r="Y1069" s="49"/>
      <c r="Z1069" s="49"/>
    </row>
    <row r="1070" spans="1:26" s="28" customFormat="1" ht="12.75" customHeight="1">
      <c r="A1070" s="64" t="s">
        <v>182</v>
      </c>
      <c r="B1070" s="23" t="s">
        <v>183</v>
      </c>
      <c r="C1070" s="52" t="s">
        <v>162</v>
      </c>
      <c r="D1070" s="65">
        <v>1996</v>
      </c>
      <c r="E1070" s="26">
        <v>4</v>
      </c>
      <c r="F1070" s="66">
        <v>15</v>
      </c>
      <c r="G1070" s="46">
        <f t="shared" si="130"/>
        <v>106.41</v>
      </c>
      <c r="H1070" s="84">
        <v>3226.6004415011039</v>
      </c>
      <c r="I1070" s="66"/>
      <c r="K1070" s="67">
        <v>3.8094701986754966</v>
      </c>
      <c r="O1070" s="48">
        <f t="shared" si="132"/>
        <v>3.508745188894788</v>
      </c>
      <c r="R1070" s="48">
        <f t="shared" si="133"/>
        <v>0.58086458045492595</v>
      </c>
      <c r="U1070" s="48">
        <v>3.508745188894788</v>
      </c>
      <c r="V1070" s="54">
        <v>0.58086458045492595</v>
      </c>
      <c r="W1070" s="49">
        <f t="shared" si="131"/>
        <v>2.2716073774984102</v>
      </c>
      <c r="X1070" s="49"/>
      <c r="Y1070" s="49"/>
      <c r="Z1070" s="49"/>
    </row>
    <row r="1071" spans="1:26" s="28" customFormat="1" ht="12.75" customHeight="1">
      <c r="A1071" s="64" t="s">
        <v>182</v>
      </c>
      <c r="B1071" s="23" t="s">
        <v>183</v>
      </c>
      <c r="C1071" s="52" t="s">
        <v>162</v>
      </c>
      <c r="D1071" s="65">
        <v>1996</v>
      </c>
      <c r="E1071" s="26">
        <v>4</v>
      </c>
      <c r="F1071" s="66">
        <v>15</v>
      </c>
      <c r="G1071" s="46">
        <f t="shared" si="130"/>
        <v>106.41</v>
      </c>
      <c r="H1071" s="84">
        <v>220</v>
      </c>
      <c r="I1071" s="66"/>
      <c r="K1071" s="67">
        <v>0.34</v>
      </c>
      <c r="O1071" s="48">
        <f t="shared" si="132"/>
        <v>2.3424226808222062</v>
      </c>
      <c r="R1071" s="48">
        <f t="shared" si="133"/>
        <v>-0.46852108295774486</v>
      </c>
      <c r="U1071" s="48">
        <v>2.3424226808222062</v>
      </c>
      <c r="V1071" s="54">
        <v>-0.46852108295774486</v>
      </c>
      <c r="W1071" s="49">
        <f t="shared" si="131"/>
        <v>3.6219586445291938</v>
      </c>
      <c r="X1071" s="49"/>
      <c r="Y1071" s="49"/>
      <c r="Z1071" s="49"/>
    </row>
    <row r="1072" spans="1:26" s="28" customFormat="1" ht="12.75" customHeight="1">
      <c r="A1072" s="64" t="s">
        <v>182</v>
      </c>
      <c r="B1072" s="23" t="s">
        <v>183</v>
      </c>
      <c r="C1072" s="52" t="s">
        <v>162</v>
      </c>
      <c r="D1072" s="65">
        <v>1996</v>
      </c>
      <c r="E1072" s="26">
        <v>4</v>
      </c>
      <c r="F1072" s="66">
        <v>15</v>
      </c>
      <c r="G1072" s="46">
        <f t="shared" si="130"/>
        <v>106.41</v>
      </c>
      <c r="H1072" s="84">
        <v>1270.7558369608232</v>
      </c>
      <c r="I1072" s="66"/>
      <c r="K1072" s="67">
        <v>1.6858694103680254</v>
      </c>
      <c r="O1072" s="48">
        <f t="shared" si="132"/>
        <v>3.1040621132234958</v>
      </c>
      <c r="R1072" s="48">
        <f t="shared" si="133"/>
        <v>0.22682393057752101</v>
      </c>
      <c r="U1072" s="48">
        <v>3.1040621132234958</v>
      </c>
      <c r="V1072" s="54">
        <v>0.22682393057752101</v>
      </c>
      <c r="W1072" s="49">
        <f t="shared" si="131"/>
        <v>2.7305392897836804</v>
      </c>
      <c r="X1072" s="49"/>
      <c r="Y1072" s="49"/>
      <c r="Z1072" s="49"/>
    </row>
    <row r="1073" spans="1:26" s="28" customFormat="1" ht="12.75" customHeight="1">
      <c r="A1073" s="64" t="s">
        <v>182</v>
      </c>
      <c r="B1073" s="23" t="s">
        <v>183</v>
      </c>
      <c r="C1073" s="52" t="s">
        <v>162</v>
      </c>
      <c r="D1073" s="65">
        <v>1996</v>
      </c>
      <c r="E1073" s="26">
        <v>4</v>
      </c>
      <c r="F1073" s="66">
        <v>15</v>
      </c>
      <c r="G1073" s="46">
        <f t="shared" si="130"/>
        <v>106.41</v>
      </c>
      <c r="H1073" s="84">
        <v>1276.797583081571</v>
      </c>
      <c r="I1073" s="66"/>
      <c r="K1073" s="67">
        <v>1.5977039274924472</v>
      </c>
      <c r="O1073" s="48">
        <f t="shared" si="132"/>
        <v>3.1061220519081814</v>
      </c>
      <c r="R1073" s="48">
        <f t="shared" si="133"/>
        <v>0.20349630278182504</v>
      </c>
      <c r="U1073" s="48">
        <v>3.1061220519081814</v>
      </c>
      <c r="V1073" s="54">
        <v>0.20349630278182504</v>
      </c>
      <c r="W1073" s="49">
        <f t="shared" si="131"/>
        <v>2.7521745116274396</v>
      </c>
      <c r="X1073" s="49"/>
      <c r="Y1073" s="49"/>
      <c r="Z1073" s="49"/>
    </row>
    <row r="1074" spans="1:26" s="28" customFormat="1" ht="12.75" customHeight="1">
      <c r="A1074" s="64" t="s">
        <v>182</v>
      </c>
      <c r="B1074" s="23" t="s">
        <v>183</v>
      </c>
      <c r="C1074" s="52" t="s">
        <v>162</v>
      </c>
      <c r="D1074" s="65">
        <v>1996</v>
      </c>
      <c r="E1074" s="26">
        <v>4</v>
      </c>
      <c r="F1074" s="66">
        <v>15</v>
      </c>
      <c r="G1074" s="46">
        <f t="shared" si="130"/>
        <v>106.41</v>
      </c>
      <c r="H1074" s="84">
        <v>1985.9826489300174</v>
      </c>
      <c r="I1074" s="66"/>
      <c r="K1074" s="67">
        <v>2.7603909774436088</v>
      </c>
      <c r="O1074" s="48">
        <f t="shared" si="132"/>
        <v>3.2979754498457337</v>
      </c>
      <c r="R1074" s="48">
        <f t="shared" si="133"/>
        <v>0.440970599210393</v>
      </c>
      <c r="U1074" s="48">
        <v>3.2979754498457337</v>
      </c>
      <c r="V1074" s="54">
        <v>0.440970599210393</v>
      </c>
      <c r="W1074" s="49">
        <f t="shared" si="131"/>
        <v>2.4681829679883425</v>
      </c>
      <c r="X1074" s="49"/>
      <c r="Y1074" s="49"/>
      <c r="Z1074" s="49"/>
    </row>
    <row r="1075" spans="1:26" s="28" customFormat="1" ht="12.75" customHeight="1">
      <c r="A1075" s="64" t="s">
        <v>182</v>
      </c>
      <c r="B1075" s="23" t="s">
        <v>183</v>
      </c>
      <c r="C1075" s="52" t="s">
        <v>162</v>
      </c>
      <c r="D1075" s="65">
        <v>1996</v>
      </c>
      <c r="E1075" s="26">
        <v>4</v>
      </c>
      <c r="F1075" s="66">
        <v>15</v>
      </c>
      <c r="G1075" s="46">
        <f t="shared" si="130"/>
        <v>106.41</v>
      </c>
      <c r="H1075" s="84">
        <v>2623.8498293515358</v>
      </c>
      <c r="I1075" s="66"/>
      <c r="K1075" s="67">
        <v>3.1966621160409554</v>
      </c>
      <c r="O1075" s="48">
        <f t="shared" si="132"/>
        <v>3.4189389754634347</v>
      </c>
      <c r="R1075" s="48">
        <f t="shared" si="133"/>
        <v>0.50469673420917349</v>
      </c>
      <c r="U1075" s="48">
        <v>3.4189389754634347</v>
      </c>
      <c r="V1075" s="54">
        <v>0.50469673420917349</v>
      </c>
      <c r="W1075" s="49">
        <f t="shared" si="131"/>
        <v>2.3711630561877741</v>
      </c>
      <c r="X1075" s="49"/>
      <c r="Y1075" s="49"/>
      <c r="Z1075" s="49"/>
    </row>
    <row r="1076" spans="1:26" s="28" customFormat="1" ht="12.75" customHeight="1">
      <c r="A1076" s="64" t="s">
        <v>182</v>
      </c>
      <c r="B1076" s="23" t="s">
        <v>183</v>
      </c>
      <c r="C1076" s="52" t="s">
        <v>162</v>
      </c>
      <c r="D1076" s="65">
        <v>1996</v>
      </c>
      <c r="E1076" s="26">
        <v>4</v>
      </c>
      <c r="F1076" s="66">
        <v>15</v>
      </c>
      <c r="G1076" s="46">
        <f t="shared" si="130"/>
        <v>106.41</v>
      </c>
      <c r="H1076" s="84">
        <v>1332.6607818411096</v>
      </c>
      <c r="I1076" s="66"/>
      <c r="K1076" s="67">
        <v>3.8114098360655735</v>
      </c>
      <c r="O1076" s="48">
        <f t="shared" si="132"/>
        <v>3.1247196172888669</v>
      </c>
      <c r="R1076" s="48">
        <f t="shared" si="133"/>
        <v>0.58108565041790994</v>
      </c>
      <c r="U1076" s="48">
        <v>3.1247196172888669</v>
      </c>
      <c r="V1076" s="54">
        <v>0.58108565041790994</v>
      </c>
      <c r="W1076" s="49">
        <f t="shared" si="131"/>
        <v>2.3864216045857547</v>
      </c>
      <c r="X1076" s="49"/>
      <c r="Y1076" s="49"/>
      <c r="Z1076" s="49"/>
    </row>
    <row r="1077" spans="1:26" s="28" customFormat="1" ht="12.75" customHeight="1">
      <c r="A1077" s="64" t="s">
        <v>182</v>
      </c>
      <c r="B1077" s="23" t="s">
        <v>183</v>
      </c>
      <c r="C1077" s="52" t="s">
        <v>162</v>
      </c>
      <c r="D1077" s="65">
        <v>1996</v>
      </c>
      <c r="E1077" s="26">
        <v>4</v>
      </c>
      <c r="F1077" s="66">
        <v>15</v>
      </c>
      <c r="G1077" s="46">
        <f t="shared" si="130"/>
        <v>106.41</v>
      </c>
      <c r="H1077" s="84">
        <v>665.9649122807017</v>
      </c>
      <c r="I1077" s="66"/>
      <c r="K1077" s="67">
        <v>1.9825263157894735</v>
      </c>
      <c r="O1077" s="48">
        <f t="shared" si="132"/>
        <v>2.8234513480827634</v>
      </c>
      <c r="R1077" s="48">
        <f t="shared" si="133"/>
        <v>0.29721896079483823</v>
      </c>
      <c r="U1077" s="48">
        <v>2.8234513480827634</v>
      </c>
      <c r="V1077" s="54">
        <v>0.29721896079483823</v>
      </c>
      <c r="W1077" s="49">
        <f t="shared" si="131"/>
        <v>2.7474392976438535</v>
      </c>
      <c r="X1077" s="49"/>
      <c r="Y1077" s="49"/>
      <c r="Z1077" s="49"/>
    </row>
    <row r="1078" spans="1:26" s="28" customFormat="1" ht="12.75" customHeight="1">
      <c r="A1078" s="64" t="s">
        <v>182</v>
      </c>
      <c r="B1078" s="23" t="s">
        <v>183</v>
      </c>
      <c r="C1078" s="52" t="s">
        <v>162</v>
      </c>
      <c r="D1078" s="65">
        <v>1996</v>
      </c>
      <c r="E1078" s="26">
        <v>4</v>
      </c>
      <c r="F1078" s="66">
        <v>15</v>
      </c>
      <c r="G1078" s="46">
        <f t="shared" si="130"/>
        <v>106.41</v>
      </c>
      <c r="H1078" s="84">
        <v>791.93969849246218</v>
      </c>
      <c r="I1078" s="66"/>
      <c r="K1078" s="67">
        <v>2.4733768844221102</v>
      </c>
      <c r="O1078" s="48">
        <f t="shared" si="132"/>
        <v>2.8986921139013591</v>
      </c>
      <c r="R1078" s="48">
        <f t="shared" si="133"/>
        <v>0.39329029766085416</v>
      </c>
      <c r="U1078" s="48">
        <v>2.8986921139013591</v>
      </c>
      <c r="V1078" s="54">
        <v>0.39329029766085416</v>
      </c>
      <c r="W1078" s="49">
        <f t="shared" si="131"/>
        <v>2.6332603891218525</v>
      </c>
      <c r="X1078" s="49"/>
      <c r="Y1078" s="49"/>
      <c r="Z1078" s="49"/>
    </row>
    <row r="1079" spans="1:26" s="28" customFormat="1" ht="12.75" customHeight="1">
      <c r="A1079" s="64" t="s">
        <v>182</v>
      </c>
      <c r="B1079" s="23" t="s">
        <v>183</v>
      </c>
      <c r="C1079" s="52" t="s">
        <v>162</v>
      </c>
      <c r="D1079" s="65">
        <v>1996</v>
      </c>
      <c r="E1079" s="26">
        <v>4</v>
      </c>
      <c r="F1079" s="66">
        <v>15</v>
      </c>
      <c r="G1079" s="46">
        <f t="shared" si="130"/>
        <v>106.41</v>
      </c>
      <c r="H1079" s="84">
        <v>969.79642365887196</v>
      </c>
      <c r="I1079" s="66"/>
      <c r="K1079" s="67">
        <v>2.6690123796423655</v>
      </c>
      <c r="O1079" s="48">
        <f t="shared" si="132"/>
        <v>2.9866805782244619</v>
      </c>
      <c r="R1079" s="48">
        <f t="shared" si="133"/>
        <v>0.42635058817413135</v>
      </c>
      <c r="U1079" s="48">
        <v>2.9866805782244619</v>
      </c>
      <c r="V1079" s="54">
        <v>0.42635058817413135</v>
      </c>
      <c r="W1079" s="49">
        <f t="shared" si="131"/>
        <v>2.5753694684202455</v>
      </c>
      <c r="X1079" s="49"/>
      <c r="Y1079" s="49"/>
      <c r="Z1079" s="49"/>
    </row>
    <row r="1080" spans="1:26" s="28" customFormat="1" ht="12.75" customHeight="1">
      <c r="A1080" s="64" t="s">
        <v>182</v>
      </c>
      <c r="B1080" s="23" t="s">
        <v>183</v>
      </c>
      <c r="C1080" s="52" t="s">
        <v>162</v>
      </c>
      <c r="D1080" s="65">
        <v>1996</v>
      </c>
      <c r="E1080" s="26">
        <v>4</v>
      </c>
      <c r="F1080" s="66">
        <v>15</v>
      </c>
      <c r="G1080" s="46">
        <f t="shared" si="130"/>
        <v>106.41</v>
      </c>
      <c r="H1080" s="84">
        <v>939.32038834951447</v>
      </c>
      <c r="I1080" s="66"/>
      <c r="K1080" s="67">
        <v>3.1310679611650483</v>
      </c>
      <c r="O1080" s="48">
        <f t="shared" si="132"/>
        <v>2.9728137489857769</v>
      </c>
      <c r="R1080" s="48">
        <f t="shared" si="133"/>
        <v>0.49569249426611434</v>
      </c>
      <c r="U1080" s="48">
        <v>2.9728137489857769</v>
      </c>
      <c r="V1080" s="54">
        <v>0.49569249426611434</v>
      </c>
      <c r="W1080" s="49">
        <f t="shared" si="131"/>
        <v>2.5133776806800885</v>
      </c>
      <c r="X1080" s="49"/>
      <c r="Y1080" s="49"/>
      <c r="Z1080" s="49"/>
    </row>
    <row r="1081" spans="1:26" s="28" customFormat="1" ht="12.75" customHeight="1">
      <c r="A1081" s="64" t="s">
        <v>182</v>
      </c>
      <c r="B1081" s="23" t="s">
        <v>183</v>
      </c>
      <c r="C1081" s="52" t="s">
        <v>162</v>
      </c>
      <c r="D1081" s="65">
        <v>1996</v>
      </c>
      <c r="E1081" s="26">
        <v>4</v>
      </c>
      <c r="F1081" s="66">
        <v>15</v>
      </c>
      <c r="G1081" s="46">
        <f t="shared" si="130"/>
        <v>106.41</v>
      </c>
      <c r="H1081" s="84">
        <v>1225.1774891774892</v>
      </c>
      <c r="I1081" s="66"/>
      <c r="K1081" s="67">
        <v>2.851883735312307</v>
      </c>
      <c r="O1081" s="48">
        <f t="shared" si="132"/>
        <v>3.0881990086897</v>
      </c>
      <c r="R1081" s="48">
        <f t="shared" si="133"/>
        <v>0.45513181636161798</v>
      </c>
      <c r="U1081" s="48">
        <v>3.0881990086897</v>
      </c>
      <c r="V1081" s="54">
        <v>0.45513181636161798</v>
      </c>
      <c r="W1081" s="49">
        <f t="shared" si="131"/>
        <v>2.5175077875744738</v>
      </c>
      <c r="X1081" s="49"/>
      <c r="Y1081" s="49"/>
      <c r="Z1081" s="49"/>
    </row>
    <row r="1082" spans="1:26" s="28" customFormat="1" ht="12.75" customHeight="1">
      <c r="A1082" s="64" t="s">
        <v>182</v>
      </c>
      <c r="B1082" s="23" t="s">
        <v>183</v>
      </c>
      <c r="C1082" s="52" t="s">
        <v>162</v>
      </c>
      <c r="D1082" s="65">
        <v>1996</v>
      </c>
      <c r="E1082" s="26">
        <v>4</v>
      </c>
      <c r="F1082" s="66">
        <v>15</v>
      </c>
      <c r="G1082" s="46">
        <f t="shared" si="130"/>
        <v>106.41</v>
      </c>
      <c r="H1082" s="84">
        <v>1503.945035460993</v>
      </c>
      <c r="I1082" s="66"/>
      <c r="K1082" s="67">
        <v>3.828962765957447</v>
      </c>
      <c r="O1082" s="48">
        <f t="shared" si="132"/>
        <v>3.1772319644257117</v>
      </c>
      <c r="R1082" s="48">
        <f t="shared" si="133"/>
        <v>0.58308114315159376</v>
      </c>
      <c r="U1082" s="48">
        <v>3.1772319644257117</v>
      </c>
      <c r="V1082" s="54">
        <v>0.58308114315159376</v>
      </c>
      <c r="W1082" s="49">
        <f t="shared" si="131"/>
        <v>2.3687893642958695</v>
      </c>
      <c r="X1082" s="49"/>
      <c r="Y1082" s="49"/>
      <c r="Z1082" s="49"/>
    </row>
    <row r="1083" spans="1:26" s="28" customFormat="1" ht="12.75" customHeight="1">
      <c r="A1083" s="64" t="s">
        <v>182</v>
      </c>
      <c r="B1083" s="23" t="s">
        <v>183</v>
      </c>
      <c r="C1083" s="52" t="s">
        <v>162</v>
      </c>
      <c r="D1083" s="65">
        <v>1996</v>
      </c>
      <c r="E1083" s="26">
        <v>4</v>
      </c>
      <c r="F1083" s="66">
        <v>15</v>
      </c>
      <c r="G1083" s="46">
        <f t="shared" ref="G1083:G1127" si="134">30.47*(E1083-1)+F1083</f>
        <v>106.41</v>
      </c>
      <c r="H1083" s="84">
        <v>2315.2998477929982</v>
      </c>
      <c r="I1083" s="66"/>
      <c r="K1083" s="67">
        <v>3.9613333333333327</v>
      </c>
      <c r="O1083" s="48">
        <f t="shared" si="132"/>
        <v>3.3646072432197141</v>
      </c>
      <c r="R1083" s="48">
        <f t="shared" si="133"/>
        <v>0.59784138841196388</v>
      </c>
      <c r="U1083" s="48">
        <v>3.3646072432197141</v>
      </c>
      <c r="V1083" s="54">
        <v>0.59784138841196388</v>
      </c>
      <c r="W1083" s="49">
        <f t="shared" ref="W1083:W1146" si="135">0.9539*(4.064-0.314*U1083-V1083)</f>
        <v>2.2985860609113402</v>
      </c>
      <c r="X1083" s="49"/>
      <c r="Y1083" s="49"/>
      <c r="Z1083" s="49"/>
    </row>
    <row r="1084" spans="1:26" s="28" customFormat="1" ht="12.75" customHeight="1">
      <c r="A1084" s="64" t="s">
        <v>182</v>
      </c>
      <c r="B1084" s="23" t="s">
        <v>183</v>
      </c>
      <c r="C1084" s="52" t="s">
        <v>162</v>
      </c>
      <c r="D1084" s="65">
        <v>1996</v>
      </c>
      <c r="E1084" s="26">
        <v>4</v>
      </c>
      <c r="F1084" s="66">
        <v>15</v>
      </c>
      <c r="G1084" s="46">
        <f t="shared" si="134"/>
        <v>106.41</v>
      </c>
      <c r="H1084" s="84">
        <v>2754.6776586974443</v>
      </c>
      <c r="I1084" s="66"/>
      <c r="K1084" s="67">
        <v>6.1466314921681775</v>
      </c>
      <c r="O1084" s="48">
        <f t="shared" si="132"/>
        <v>3.4400707867670182</v>
      </c>
      <c r="R1084" s="48">
        <f t="shared" si="133"/>
        <v>0.78863717672664002</v>
      </c>
      <c r="U1084" s="48">
        <v>3.4400707867670182</v>
      </c>
      <c r="V1084" s="54">
        <v>0.78863717672664002</v>
      </c>
      <c r="W1084" s="49">
        <f t="shared" si="135"/>
        <v>2.0939827707423815</v>
      </c>
      <c r="X1084" s="49"/>
      <c r="Y1084" s="49"/>
      <c r="Z1084" s="49"/>
    </row>
    <row r="1085" spans="1:26" s="28" customFormat="1" ht="12.75" customHeight="1">
      <c r="A1085" s="64" t="s">
        <v>182</v>
      </c>
      <c r="B1085" s="23" t="s">
        <v>183</v>
      </c>
      <c r="C1085" s="52" t="s">
        <v>162</v>
      </c>
      <c r="D1085" s="65">
        <v>1996</v>
      </c>
      <c r="E1085" s="26">
        <v>4</v>
      </c>
      <c r="F1085" s="66">
        <v>15</v>
      </c>
      <c r="G1085" s="46">
        <f t="shared" si="134"/>
        <v>106.41</v>
      </c>
      <c r="H1085" s="84">
        <v>3335.8923766816142</v>
      </c>
      <c r="I1085" s="66"/>
      <c r="K1085" s="67">
        <v>6.1044561178731582</v>
      </c>
      <c r="O1085" s="48">
        <f t="shared" si="132"/>
        <v>3.5232120308843875</v>
      </c>
      <c r="R1085" s="48">
        <f t="shared" si="133"/>
        <v>0.78564697613861922</v>
      </c>
      <c r="U1085" s="48">
        <v>3.5232120308843875</v>
      </c>
      <c r="V1085" s="54">
        <v>0.78564697613861922</v>
      </c>
      <c r="W1085" s="49">
        <f t="shared" si="135"/>
        <v>2.0719322751955374</v>
      </c>
      <c r="X1085" s="49"/>
      <c r="Y1085" s="49"/>
      <c r="Z1085" s="49"/>
    </row>
    <row r="1086" spans="1:26" s="28" customFormat="1" ht="12.75" customHeight="1">
      <c r="A1086" s="64" t="s">
        <v>182</v>
      </c>
      <c r="B1086" s="23" t="s">
        <v>183</v>
      </c>
      <c r="C1086" s="52" t="s">
        <v>162</v>
      </c>
      <c r="D1086" s="65">
        <v>1996</v>
      </c>
      <c r="E1086" s="26">
        <v>4</v>
      </c>
      <c r="F1086" s="66">
        <v>15</v>
      </c>
      <c r="G1086" s="46">
        <f t="shared" si="134"/>
        <v>106.41</v>
      </c>
      <c r="H1086" s="84">
        <v>576</v>
      </c>
      <c r="I1086" s="66"/>
      <c r="K1086" s="67">
        <v>1.028</v>
      </c>
      <c r="O1086" s="48">
        <f t="shared" si="132"/>
        <v>2.7604224834232118</v>
      </c>
      <c r="R1086" s="48">
        <f t="shared" si="133"/>
        <v>1.1993114659256938E-2</v>
      </c>
      <c r="U1086" s="48">
        <v>2.7604224834232118</v>
      </c>
      <c r="V1086" s="54">
        <v>1.1993114659256938E-2</v>
      </c>
      <c r="W1086" s="49">
        <f t="shared" si="135"/>
        <v>3.0383949277481905</v>
      </c>
      <c r="X1086" s="49"/>
      <c r="Y1086" s="49"/>
      <c r="Z1086" s="49"/>
    </row>
    <row r="1087" spans="1:26" s="28" customFormat="1" ht="12.75" customHeight="1">
      <c r="A1087" s="64" t="s">
        <v>182</v>
      </c>
      <c r="B1087" s="23" t="s">
        <v>183</v>
      </c>
      <c r="C1087" s="52" t="s">
        <v>162</v>
      </c>
      <c r="D1087" s="65">
        <v>1996</v>
      </c>
      <c r="E1087" s="26">
        <v>4</v>
      </c>
      <c r="F1087" s="66">
        <v>15</v>
      </c>
      <c r="G1087" s="46">
        <f t="shared" si="134"/>
        <v>106.41</v>
      </c>
      <c r="H1087" s="84">
        <v>948.52546916890071</v>
      </c>
      <c r="I1087" s="66"/>
      <c r="K1087" s="67">
        <v>2.4007506702412864</v>
      </c>
      <c r="O1087" s="48">
        <f t="shared" si="132"/>
        <v>2.9770489967650167</v>
      </c>
      <c r="R1087" s="48">
        <f t="shared" si="133"/>
        <v>0.3803470587821311</v>
      </c>
      <c r="U1087" s="48">
        <v>2.9770489967650167</v>
      </c>
      <c r="V1087" s="54">
        <v>0.3803470587821311</v>
      </c>
      <c r="W1087" s="49">
        <f t="shared" si="135"/>
        <v>2.6221371306912822</v>
      </c>
      <c r="X1087" s="49"/>
      <c r="Y1087" s="49"/>
      <c r="Z1087" s="49"/>
    </row>
    <row r="1088" spans="1:26" s="28" customFormat="1" ht="12.75" customHeight="1">
      <c r="A1088" s="64" t="s">
        <v>182</v>
      </c>
      <c r="B1088" s="23" t="s">
        <v>183</v>
      </c>
      <c r="C1088" s="52" t="s">
        <v>162</v>
      </c>
      <c r="D1088" s="65">
        <v>1996</v>
      </c>
      <c r="E1088" s="26">
        <v>4</v>
      </c>
      <c r="F1088" s="66">
        <v>15</v>
      </c>
      <c r="G1088" s="46">
        <f t="shared" si="134"/>
        <v>106.41</v>
      </c>
      <c r="H1088" s="84">
        <v>2591.5247524752467</v>
      </c>
      <c r="I1088" s="66"/>
      <c r="K1088" s="67">
        <v>4.8411122112211213</v>
      </c>
      <c r="O1088" s="48">
        <f t="shared" si="132"/>
        <v>3.4135553612797658</v>
      </c>
      <c r="R1088" s="48">
        <f t="shared" si="133"/>
        <v>0.68494514918692417</v>
      </c>
      <c r="U1088" s="48">
        <v>3.4135553612797658</v>
      </c>
      <c r="V1088" s="54">
        <v>0.68494514918692417</v>
      </c>
      <c r="W1088" s="49">
        <f t="shared" si="135"/>
        <v>2.2008366180254155</v>
      </c>
      <c r="X1088" s="49"/>
      <c r="Y1088" s="49"/>
      <c r="Z1088" s="49"/>
    </row>
    <row r="1089" spans="1:26" s="28" customFormat="1" ht="12.75" customHeight="1">
      <c r="A1089" s="64" t="s">
        <v>182</v>
      </c>
      <c r="B1089" s="23" t="s">
        <v>183</v>
      </c>
      <c r="C1089" s="52" t="s">
        <v>162</v>
      </c>
      <c r="D1089" s="65">
        <v>1996</v>
      </c>
      <c r="E1089" s="26">
        <v>4</v>
      </c>
      <c r="F1089" s="66">
        <v>15</v>
      </c>
      <c r="G1089" s="46">
        <f t="shared" si="134"/>
        <v>106.41</v>
      </c>
      <c r="H1089" s="84">
        <v>5936.9491525423728</v>
      </c>
      <c r="I1089" s="66"/>
      <c r="K1089" s="67">
        <v>9.7426857887874831</v>
      </c>
      <c r="O1089" s="48">
        <f t="shared" si="132"/>
        <v>3.7735633293934949</v>
      </c>
      <c r="R1089" s="48">
        <f t="shared" si="133"/>
        <v>0.9886786963508829</v>
      </c>
      <c r="U1089" s="48">
        <v>3.7735633293934949</v>
      </c>
      <c r="V1089" s="54">
        <v>0.9886786963508829</v>
      </c>
      <c r="W1089" s="49">
        <f t="shared" si="135"/>
        <v>1.8032739447396378</v>
      </c>
      <c r="X1089" s="49"/>
      <c r="Y1089" s="49"/>
      <c r="Z1089" s="49"/>
    </row>
    <row r="1090" spans="1:26" s="28" customFormat="1" ht="12.75" customHeight="1">
      <c r="A1090" s="64" t="s">
        <v>182</v>
      </c>
      <c r="B1090" s="23" t="s">
        <v>183</v>
      </c>
      <c r="C1090" s="52" t="s">
        <v>162</v>
      </c>
      <c r="D1090" s="65">
        <v>1996</v>
      </c>
      <c r="E1090" s="26">
        <v>4</v>
      </c>
      <c r="F1090" s="66">
        <v>15</v>
      </c>
      <c r="G1090" s="46">
        <f t="shared" si="134"/>
        <v>106.41</v>
      </c>
      <c r="H1090" s="84">
        <v>2495.442846328539</v>
      </c>
      <c r="I1090" s="66"/>
      <c r="K1090" s="67">
        <v>5.6941468584405754</v>
      </c>
      <c r="O1090" s="48">
        <f t="shared" si="132"/>
        <v>3.39714762757486</v>
      </c>
      <c r="R1090" s="48">
        <f t="shared" si="133"/>
        <v>0.75542866389767305</v>
      </c>
      <c r="U1090" s="48">
        <v>3.39714762757486</v>
      </c>
      <c r="V1090" s="54">
        <v>0.75542866389767305</v>
      </c>
      <c r="W1090" s="49">
        <f t="shared" si="135"/>
        <v>2.1385169132177011</v>
      </c>
      <c r="X1090" s="49"/>
      <c r="Y1090" s="49"/>
      <c r="Z1090" s="49"/>
    </row>
    <row r="1091" spans="1:26" s="28" customFormat="1" ht="12.75" customHeight="1">
      <c r="A1091" s="64" t="s">
        <v>182</v>
      </c>
      <c r="B1091" s="23" t="s">
        <v>183</v>
      </c>
      <c r="C1091" s="52" t="s">
        <v>162</v>
      </c>
      <c r="D1091" s="65">
        <v>1996</v>
      </c>
      <c r="E1091" s="26">
        <v>4</v>
      </c>
      <c r="F1091" s="66">
        <v>15</v>
      </c>
      <c r="G1091" s="46">
        <f t="shared" si="134"/>
        <v>106.41</v>
      </c>
      <c r="H1091" s="84">
        <v>2661.073522778529</v>
      </c>
      <c r="I1091" s="66"/>
      <c r="K1091" s="67">
        <v>5.2135317997293633</v>
      </c>
      <c r="O1091" s="48">
        <f t="shared" si="132"/>
        <v>3.4250568738358314</v>
      </c>
      <c r="R1091" s="48">
        <f t="shared" si="133"/>
        <v>0.71713202684688593</v>
      </c>
      <c r="U1091" s="48">
        <v>3.4250568738358314</v>
      </c>
      <c r="V1091" s="54">
        <v>0.71713202684688593</v>
      </c>
      <c r="W1091" s="49">
        <f t="shared" si="135"/>
        <v>2.1666885694778273</v>
      </c>
      <c r="X1091" s="49"/>
      <c r="Y1091" s="49"/>
      <c r="Z1091" s="49"/>
    </row>
    <row r="1092" spans="1:26" s="28" customFormat="1" ht="12.75" customHeight="1">
      <c r="A1092" s="64" t="s">
        <v>182</v>
      </c>
      <c r="B1092" s="23" t="s">
        <v>183</v>
      </c>
      <c r="C1092" s="52" t="s">
        <v>162</v>
      </c>
      <c r="D1092" s="65">
        <v>1996</v>
      </c>
      <c r="E1092" s="26">
        <v>4</v>
      </c>
      <c r="F1092" s="66">
        <v>15</v>
      </c>
      <c r="G1092" s="46">
        <f t="shared" si="134"/>
        <v>106.41</v>
      </c>
      <c r="H1092" s="84">
        <v>2442.5712132629992</v>
      </c>
      <c r="I1092" s="66"/>
      <c r="K1092" s="67">
        <v>4.9576940467219286</v>
      </c>
      <c r="O1092" s="48">
        <f t="shared" si="132"/>
        <v>3.3878472344486643</v>
      </c>
      <c r="R1092" s="48">
        <f t="shared" si="133"/>
        <v>0.6952797217217761</v>
      </c>
      <c r="U1092" s="48">
        <v>3.3878472344486643</v>
      </c>
      <c r="V1092" s="54">
        <v>0.6952797217217761</v>
      </c>
      <c r="W1092" s="49">
        <f t="shared" si="135"/>
        <v>2.1986786856902554</v>
      </c>
      <c r="X1092" s="49"/>
      <c r="Y1092" s="49"/>
      <c r="Z1092" s="49"/>
    </row>
    <row r="1093" spans="1:26" s="28" customFormat="1" ht="12.75" customHeight="1">
      <c r="A1093" s="64" t="s">
        <v>182</v>
      </c>
      <c r="B1093" s="23" t="s">
        <v>183</v>
      </c>
      <c r="C1093" s="52" t="s">
        <v>162</v>
      </c>
      <c r="D1093" s="65">
        <v>1996</v>
      </c>
      <c r="E1093" s="26">
        <v>4</v>
      </c>
      <c r="F1093" s="66">
        <v>15</v>
      </c>
      <c r="G1093" s="46">
        <f t="shared" si="134"/>
        <v>106.41</v>
      </c>
      <c r="H1093" s="84">
        <v>3427.3934588701686</v>
      </c>
      <c r="I1093" s="66"/>
      <c r="K1093" s="67">
        <v>6.9226560951437062</v>
      </c>
      <c r="O1093" s="48">
        <f t="shared" si="132"/>
        <v>3.5349639635508479</v>
      </c>
      <c r="R1093" s="48">
        <f t="shared" si="133"/>
        <v>0.84027275719410377</v>
      </c>
      <c r="U1093" s="48">
        <v>3.5349639635508479</v>
      </c>
      <c r="V1093" s="54">
        <v>0.84027275719410377</v>
      </c>
      <c r="W1093" s="49">
        <f t="shared" si="135"/>
        <v>2.016304749715562</v>
      </c>
      <c r="X1093" s="49"/>
      <c r="Y1093" s="49"/>
      <c r="Z1093" s="49"/>
    </row>
    <row r="1094" spans="1:26" s="28" customFormat="1" ht="12.75" customHeight="1">
      <c r="A1094" s="64" t="s">
        <v>182</v>
      </c>
      <c r="B1094" s="23" t="s">
        <v>183</v>
      </c>
      <c r="C1094" s="52" t="s">
        <v>162</v>
      </c>
      <c r="D1094" s="65">
        <v>1996</v>
      </c>
      <c r="E1094" s="26">
        <v>4</v>
      </c>
      <c r="F1094" s="66">
        <v>15</v>
      </c>
      <c r="G1094" s="46">
        <f t="shared" si="134"/>
        <v>106.41</v>
      </c>
      <c r="H1094" s="84">
        <v>4679.0716981132082</v>
      </c>
      <c r="I1094" s="66"/>
      <c r="K1094" s="67">
        <v>6.7365358490566045</v>
      </c>
      <c r="O1094" s="48">
        <f t="shared" si="132"/>
        <v>3.6701597000022597</v>
      </c>
      <c r="R1094" s="48">
        <f t="shared" si="133"/>
        <v>0.82843662526009254</v>
      </c>
      <c r="U1094" s="48">
        <v>3.6701597000022597</v>
      </c>
      <c r="V1094" s="54">
        <v>0.82843662526009254</v>
      </c>
      <c r="W1094" s="49">
        <f t="shared" si="135"/>
        <v>1.987100787085101</v>
      </c>
      <c r="X1094" s="49"/>
      <c r="Y1094" s="49"/>
      <c r="Z1094" s="49"/>
    </row>
    <row r="1095" spans="1:26" s="28" customFormat="1" ht="12.75" customHeight="1">
      <c r="A1095" s="64" t="s">
        <v>182</v>
      </c>
      <c r="B1095" s="23" t="s">
        <v>183</v>
      </c>
      <c r="C1095" s="52" t="s">
        <v>162</v>
      </c>
      <c r="D1095" s="65">
        <v>1996</v>
      </c>
      <c r="E1095" s="26">
        <v>4</v>
      </c>
      <c r="F1095" s="66">
        <v>15</v>
      </c>
      <c r="G1095" s="46">
        <f t="shared" si="134"/>
        <v>106.41</v>
      </c>
      <c r="H1095" s="84">
        <v>1364.13986013986</v>
      </c>
      <c r="I1095" s="66"/>
      <c r="K1095" s="67">
        <v>3.7486993006993004</v>
      </c>
      <c r="O1095" s="48">
        <f t="shared" si="132"/>
        <v>3.1348588991863884</v>
      </c>
      <c r="R1095" s="48">
        <f t="shared" si="133"/>
        <v>0.57388060518961126</v>
      </c>
      <c r="U1095" s="48">
        <v>3.1348588991863884</v>
      </c>
      <c r="V1095" s="54">
        <v>0.57388060518961126</v>
      </c>
      <c r="W1095" s="49">
        <f t="shared" si="135"/>
        <v>2.3902575328743865</v>
      </c>
      <c r="X1095" s="49"/>
      <c r="Y1095" s="49"/>
      <c r="Z1095" s="49"/>
    </row>
    <row r="1096" spans="1:26" s="28" customFormat="1" ht="12.75" customHeight="1">
      <c r="A1096" s="64" t="s">
        <v>182</v>
      </c>
      <c r="B1096" s="23" t="s">
        <v>183</v>
      </c>
      <c r="C1096" s="52" t="s">
        <v>162</v>
      </c>
      <c r="D1096" s="65">
        <v>1996</v>
      </c>
      <c r="E1096" s="26">
        <v>4</v>
      </c>
      <c r="F1096" s="66">
        <v>15</v>
      </c>
      <c r="G1096" s="46">
        <f t="shared" si="134"/>
        <v>106.41</v>
      </c>
      <c r="H1096" s="84">
        <v>1266.3215887251763</v>
      </c>
      <c r="I1096" s="66"/>
      <c r="K1096" s="67">
        <v>4.6228366431774504</v>
      </c>
      <c r="O1096" s="48">
        <f t="shared" ref="O1096:O1127" si="136">LOG10(H1096)</f>
        <v>3.1025440109523248</v>
      </c>
      <c r="R1096" s="48">
        <f t="shared" ref="R1096:R1127" si="137">LOG10(K1096)</f>
        <v>0.66490854707855584</v>
      </c>
      <c r="U1096" s="48">
        <v>3.1025440109523248</v>
      </c>
      <c r="V1096" s="54">
        <v>0.66490854707855584</v>
      </c>
      <c r="W1096" s="49">
        <f t="shared" si="135"/>
        <v>2.3131050830788751</v>
      </c>
      <c r="X1096" s="49"/>
      <c r="Y1096" s="49"/>
      <c r="Z1096" s="49"/>
    </row>
    <row r="1097" spans="1:26" s="28" customFormat="1" ht="12.75" customHeight="1">
      <c r="A1097" s="64" t="s">
        <v>182</v>
      </c>
      <c r="B1097" s="23" t="s">
        <v>183</v>
      </c>
      <c r="C1097" s="52" t="s">
        <v>162</v>
      </c>
      <c r="D1097" s="65">
        <v>1996</v>
      </c>
      <c r="E1097" s="26">
        <v>4</v>
      </c>
      <c r="F1097" s="66">
        <v>15</v>
      </c>
      <c r="G1097" s="46">
        <f t="shared" si="134"/>
        <v>106.41</v>
      </c>
      <c r="H1097" s="84">
        <v>2608.0557491289201</v>
      </c>
      <c r="I1097" s="66"/>
      <c r="K1097" s="67">
        <v>7.2156209059233465</v>
      </c>
      <c r="O1097" s="48">
        <f t="shared" si="136"/>
        <v>3.4163168705262512</v>
      </c>
      <c r="R1097" s="48">
        <f t="shared" si="137"/>
        <v>0.85827370818266269</v>
      </c>
      <c r="U1097" s="48">
        <v>3.4163168705262512</v>
      </c>
      <c r="V1097" s="54">
        <v>0.85827370818266269</v>
      </c>
      <c r="W1097" s="49">
        <f t="shared" si="135"/>
        <v>2.0346713656469304</v>
      </c>
      <c r="X1097" s="49"/>
      <c r="Y1097" s="49"/>
      <c r="Z1097" s="49"/>
    </row>
    <row r="1098" spans="1:26" s="28" customFormat="1" ht="12.75" customHeight="1">
      <c r="A1098" s="64" t="s">
        <v>182</v>
      </c>
      <c r="B1098" s="23" t="s">
        <v>183</v>
      </c>
      <c r="C1098" s="52" t="s">
        <v>162</v>
      </c>
      <c r="D1098" s="65">
        <v>1996</v>
      </c>
      <c r="E1098" s="26">
        <v>4</v>
      </c>
      <c r="F1098" s="66">
        <v>15</v>
      </c>
      <c r="G1098" s="46">
        <f t="shared" si="134"/>
        <v>106.41</v>
      </c>
      <c r="H1098" s="84">
        <v>3276.8621736490595</v>
      </c>
      <c r="I1098" s="66"/>
      <c r="K1098" s="67">
        <v>5.3298360655737715</v>
      </c>
      <c r="O1098" s="48">
        <f t="shared" si="136"/>
        <v>3.5154581751381073</v>
      </c>
      <c r="R1098" s="48">
        <f t="shared" si="137"/>
        <v>0.72671385125703947</v>
      </c>
      <c r="U1098" s="48">
        <v>3.5154581751381073</v>
      </c>
      <c r="V1098" s="54">
        <v>0.72671385125703947</v>
      </c>
      <c r="W1098" s="49">
        <f t="shared" si="135"/>
        <v>2.1304710535609384</v>
      </c>
      <c r="X1098" s="49"/>
      <c r="Y1098" s="49"/>
      <c r="Z1098" s="49"/>
    </row>
    <row r="1099" spans="1:26" s="28" customFormat="1" ht="12.75" customHeight="1">
      <c r="A1099" s="64" t="s">
        <v>182</v>
      </c>
      <c r="B1099" s="23" t="s">
        <v>183</v>
      </c>
      <c r="C1099" s="52" t="s">
        <v>162</v>
      </c>
      <c r="D1099" s="65">
        <v>1996</v>
      </c>
      <c r="E1099" s="26">
        <v>4</v>
      </c>
      <c r="F1099" s="66">
        <v>15</v>
      </c>
      <c r="G1099" s="46">
        <f t="shared" si="134"/>
        <v>106.41</v>
      </c>
      <c r="H1099" s="84">
        <v>1508.8686868686868</v>
      </c>
      <c r="I1099" s="66"/>
      <c r="K1099" s="67">
        <v>3.0812686868686869</v>
      </c>
      <c r="O1099" s="48">
        <f t="shared" si="136"/>
        <v>3.1786514458393493</v>
      </c>
      <c r="R1099" s="48">
        <f t="shared" si="137"/>
        <v>0.48872957048072774</v>
      </c>
      <c r="U1099" s="48">
        <v>3.1786514458393493</v>
      </c>
      <c r="V1099" s="54">
        <v>0.48872957048072774</v>
      </c>
      <c r="W1099" s="49">
        <f t="shared" si="135"/>
        <v>2.458366159863981</v>
      </c>
      <c r="X1099" s="49"/>
      <c r="Y1099" s="49"/>
      <c r="Z1099" s="49"/>
    </row>
    <row r="1100" spans="1:26" s="28" customFormat="1" ht="12.75" customHeight="1">
      <c r="A1100" s="64" t="s">
        <v>182</v>
      </c>
      <c r="B1100" s="23" t="s">
        <v>183</v>
      </c>
      <c r="C1100" s="52" t="s">
        <v>181</v>
      </c>
      <c r="D1100" s="65">
        <v>1997</v>
      </c>
      <c r="E1100" s="26">
        <v>6</v>
      </c>
      <c r="F1100" s="66">
        <v>16</v>
      </c>
      <c r="G1100" s="46">
        <f t="shared" si="134"/>
        <v>168.35</v>
      </c>
      <c r="H1100" s="84">
        <v>3617.8081137724553</v>
      </c>
      <c r="I1100" s="66"/>
      <c r="K1100" s="67">
        <v>5.1353081736526951</v>
      </c>
      <c r="O1100" s="48">
        <f t="shared" si="136"/>
        <v>3.5584455284332042</v>
      </c>
      <c r="R1100" s="48">
        <f t="shared" si="137"/>
        <v>0.71056651104934199</v>
      </c>
      <c r="U1100" s="48">
        <v>3.5584455284332042</v>
      </c>
      <c r="V1100" s="54">
        <v>0.71056651104934199</v>
      </c>
      <c r="W1100" s="49">
        <f t="shared" si="135"/>
        <v>2.1329982315842884</v>
      </c>
      <c r="X1100" s="49"/>
      <c r="Y1100" s="49"/>
      <c r="Z1100" s="49"/>
    </row>
    <row r="1101" spans="1:26" s="28" customFormat="1" ht="12.75" customHeight="1">
      <c r="A1101" s="64" t="s">
        <v>182</v>
      </c>
      <c r="B1101" s="23" t="s">
        <v>183</v>
      </c>
      <c r="C1101" s="52" t="s">
        <v>181</v>
      </c>
      <c r="D1101" s="65">
        <v>1997</v>
      </c>
      <c r="E1101" s="26">
        <v>6</v>
      </c>
      <c r="F1101" s="66">
        <v>16</v>
      </c>
      <c r="G1101" s="46">
        <f t="shared" si="134"/>
        <v>168.35</v>
      </c>
      <c r="H1101" s="84">
        <v>4525.2081818181814</v>
      </c>
      <c r="I1101" s="66"/>
      <c r="K1101" s="67">
        <v>7.4226436363636363</v>
      </c>
      <c r="O1101" s="48">
        <f t="shared" si="136"/>
        <v>3.6556385636815834</v>
      </c>
      <c r="R1101" s="48">
        <f t="shared" si="137"/>
        <v>0.87055861042794191</v>
      </c>
      <c r="U1101" s="48">
        <v>3.6556385636815834</v>
      </c>
      <c r="V1101" s="54">
        <v>0.87055861042794191</v>
      </c>
      <c r="W1101" s="49">
        <f t="shared" si="135"/>
        <v>1.9512700629814854</v>
      </c>
      <c r="X1101" s="49"/>
      <c r="Y1101" s="49"/>
      <c r="Z1101" s="49"/>
    </row>
    <row r="1102" spans="1:26" s="28" customFormat="1" ht="12.75" customHeight="1">
      <c r="A1102" s="64" t="s">
        <v>182</v>
      </c>
      <c r="B1102" s="23" t="s">
        <v>183</v>
      </c>
      <c r="C1102" s="52" t="s">
        <v>181</v>
      </c>
      <c r="D1102" s="65">
        <v>1997</v>
      </c>
      <c r="E1102" s="26">
        <v>6</v>
      </c>
      <c r="F1102" s="66">
        <v>16</v>
      </c>
      <c r="G1102" s="46">
        <f t="shared" si="134"/>
        <v>168.35</v>
      </c>
      <c r="H1102" s="84">
        <v>4145.8612903225803</v>
      </c>
      <c r="I1102" s="66"/>
      <c r="K1102" s="67">
        <v>5.9958451612903225</v>
      </c>
      <c r="O1102" s="48">
        <f t="shared" si="136"/>
        <v>3.6176147676432184</v>
      </c>
      <c r="R1102" s="48">
        <f t="shared" si="137"/>
        <v>0.77785040895518165</v>
      </c>
      <c r="U1102" s="48">
        <v>3.6176147676432184</v>
      </c>
      <c r="V1102" s="54">
        <v>0.77785040895518165</v>
      </c>
      <c r="W1102" s="49">
        <f t="shared" si="135"/>
        <v>2.0510934786652246</v>
      </c>
      <c r="X1102" s="49"/>
      <c r="Y1102" s="49"/>
      <c r="Z1102" s="49"/>
    </row>
    <row r="1103" spans="1:26" s="28" customFormat="1" ht="12.75" customHeight="1">
      <c r="A1103" s="64" t="s">
        <v>182</v>
      </c>
      <c r="B1103" s="23" t="s">
        <v>183</v>
      </c>
      <c r="C1103" s="52" t="s">
        <v>181</v>
      </c>
      <c r="D1103" s="65">
        <v>1997</v>
      </c>
      <c r="E1103" s="26">
        <v>6</v>
      </c>
      <c r="F1103" s="66">
        <v>16</v>
      </c>
      <c r="G1103" s="46">
        <f t="shared" si="134"/>
        <v>168.35</v>
      </c>
      <c r="H1103" s="84">
        <v>4044.5394406161336</v>
      </c>
      <c r="I1103" s="66"/>
      <c r="K1103" s="67">
        <v>8.6215009323064464</v>
      </c>
      <c r="O1103" s="48">
        <f t="shared" si="136"/>
        <v>3.6068690748267072</v>
      </c>
      <c r="R1103" s="48">
        <f t="shared" si="137"/>
        <v>0.93558287949925378</v>
      </c>
      <c r="U1103" s="48">
        <v>3.6068690748267072</v>
      </c>
      <c r="V1103" s="54">
        <v>0.93558287949925378</v>
      </c>
      <c r="W1103" s="49">
        <f t="shared" si="135"/>
        <v>1.9038510743558226</v>
      </c>
      <c r="X1103" s="49"/>
      <c r="Y1103" s="49"/>
      <c r="Z1103" s="49"/>
    </row>
    <row r="1104" spans="1:26" s="28" customFormat="1" ht="12.75" customHeight="1">
      <c r="A1104" s="64" t="s">
        <v>182</v>
      </c>
      <c r="B1104" s="23" t="s">
        <v>183</v>
      </c>
      <c r="C1104" s="52" t="s">
        <v>181</v>
      </c>
      <c r="D1104" s="65">
        <v>1997</v>
      </c>
      <c r="E1104" s="26">
        <v>8</v>
      </c>
      <c r="F1104" s="66">
        <v>2</v>
      </c>
      <c r="G1104" s="46">
        <f t="shared" si="134"/>
        <v>215.29</v>
      </c>
      <c r="H1104" s="84">
        <v>2225.5817848715183</v>
      </c>
      <c r="I1104" s="66"/>
      <c r="K1104" s="67">
        <v>8.8845224852070999</v>
      </c>
      <c r="O1104" s="48">
        <f t="shared" si="136"/>
        <v>3.3474435582077486</v>
      </c>
      <c r="R1104" s="48">
        <f t="shared" si="137"/>
        <v>0.94863409082308214</v>
      </c>
      <c r="U1104" s="48">
        <v>3.3474435582077486</v>
      </c>
      <c r="V1104" s="54">
        <v>0.94863409082308214</v>
      </c>
      <c r="W1104" s="49">
        <f t="shared" si="135"/>
        <v>1.9691058479691093</v>
      </c>
      <c r="X1104" s="49"/>
      <c r="Y1104" s="49"/>
      <c r="Z1104" s="49"/>
    </row>
    <row r="1105" spans="1:26" s="28" customFormat="1" ht="12.75" customHeight="1">
      <c r="A1105" s="64" t="s">
        <v>182</v>
      </c>
      <c r="B1105" s="23" t="s">
        <v>183</v>
      </c>
      <c r="C1105" s="52" t="s">
        <v>181</v>
      </c>
      <c r="D1105" s="65">
        <v>1997</v>
      </c>
      <c r="E1105" s="26">
        <v>8</v>
      </c>
      <c r="F1105" s="66">
        <v>2</v>
      </c>
      <c r="G1105" s="46">
        <f t="shared" si="134"/>
        <v>215.29</v>
      </c>
      <c r="H1105" s="84">
        <v>2564.3596907564543</v>
      </c>
      <c r="I1105" s="66"/>
      <c r="K1105" s="67">
        <v>7.7984113561708135</v>
      </c>
      <c r="O1105" s="48">
        <f t="shared" si="136"/>
        <v>3.4089789415779279</v>
      </c>
      <c r="R1105" s="48">
        <f t="shared" si="137"/>
        <v>0.8920061399316318</v>
      </c>
      <c r="U1105" s="48">
        <v>3.4089789415779279</v>
      </c>
      <c r="V1105" s="54">
        <v>0.8920061399316318</v>
      </c>
      <c r="W1105" s="49">
        <f t="shared" si="135"/>
        <v>2.0046918892346643</v>
      </c>
      <c r="X1105" s="49"/>
      <c r="Y1105" s="49"/>
      <c r="Z1105" s="49"/>
    </row>
    <row r="1106" spans="1:26" s="28" customFormat="1" ht="12.75" customHeight="1">
      <c r="A1106" s="64" t="s">
        <v>182</v>
      </c>
      <c r="B1106" s="23" t="s">
        <v>183</v>
      </c>
      <c r="C1106" s="52" t="s">
        <v>181</v>
      </c>
      <c r="D1106" s="65">
        <v>1997</v>
      </c>
      <c r="E1106" s="26">
        <v>8</v>
      </c>
      <c r="F1106" s="66">
        <v>2</v>
      </c>
      <c r="G1106" s="46">
        <f t="shared" si="134"/>
        <v>215.29</v>
      </c>
      <c r="H1106" s="84">
        <v>1981.1806281399249</v>
      </c>
      <c r="I1106" s="66"/>
      <c r="K1106" s="67">
        <v>7.9274821806346623</v>
      </c>
      <c r="O1106" s="48">
        <f t="shared" si="136"/>
        <v>3.2969240728269407</v>
      </c>
      <c r="R1106" s="48">
        <f t="shared" si="137"/>
        <v>0.89913527449468167</v>
      </c>
      <c r="U1106" s="48">
        <v>3.2969240728269407</v>
      </c>
      <c r="V1106" s="54">
        <v>0.89913527449468167</v>
      </c>
      <c r="W1106" s="49">
        <f t="shared" si="135"/>
        <v>2.0314545975156628</v>
      </c>
      <c r="X1106" s="49"/>
      <c r="Y1106" s="49"/>
      <c r="Z1106" s="49"/>
    </row>
    <row r="1107" spans="1:26" s="28" customFormat="1" ht="12.75" customHeight="1">
      <c r="A1107" s="64" t="s">
        <v>182</v>
      </c>
      <c r="B1107" s="23" t="s">
        <v>183</v>
      </c>
      <c r="C1107" s="52" t="s">
        <v>181</v>
      </c>
      <c r="D1107" s="65">
        <v>1997</v>
      </c>
      <c r="E1107" s="26">
        <v>8</v>
      </c>
      <c r="F1107" s="66">
        <v>2</v>
      </c>
      <c r="G1107" s="46">
        <f t="shared" si="134"/>
        <v>215.29</v>
      </c>
      <c r="H1107" s="84">
        <v>2424.2946526012274</v>
      </c>
      <c r="I1107" s="66"/>
      <c r="K1107" s="67">
        <v>8.8128009455808574</v>
      </c>
      <c r="O1107" s="48">
        <f t="shared" si="136"/>
        <v>3.3845854035395795</v>
      </c>
      <c r="R1107" s="48">
        <f t="shared" si="137"/>
        <v>0.94511396083900057</v>
      </c>
      <c r="U1107" s="48">
        <v>3.3845854035395795</v>
      </c>
      <c r="V1107" s="54">
        <v>0.94511396083900057</v>
      </c>
      <c r="W1107" s="49">
        <f t="shared" si="135"/>
        <v>1.9613388035946462</v>
      </c>
      <c r="X1107" s="49"/>
      <c r="Y1107" s="49"/>
      <c r="Z1107" s="49"/>
    </row>
    <row r="1108" spans="1:26" s="28" customFormat="1" ht="12.75" customHeight="1">
      <c r="A1108" s="64" t="s">
        <v>182</v>
      </c>
      <c r="B1108" s="23" t="s">
        <v>183</v>
      </c>
      <c r="C1108" s="52" t="s">
        <v>181</v>
      </c>
      <c r="D1108" s="65">
        <v>1997</v>
      </c>
      <c r="E1108" s="26">
        <v>11</v>
      </c>
      <c r="F1108" s="66">
        <v>19</v>
      </c>
      <c r="G1108" s="46">
        <f t="shared" si="134"/>
        <v>323.7</v>
      </c>
      <c r="H1108" s="84">
        <v>4361.7686962750713</v>
      </c>
      <c r="I1108" s="66"/>
      <c r="K1108" s="67">
        <v>16.688013739255016</v>
      </c>
      <c r="O1108" s="48">
        <f t="shared" si="136"/>
        <v>3.6396626313034659</v>
      </c>
      <c r="R1108" s="48">
        <f t="shared" si="137"/>
        <v>1.2224046486375961</v>
      </c>
      <c r="U1108" s="48">
        <v>3.6396626313034659</v>
      </c>
      <c r="V1108" s="54">
        <v>1.2224046486375961</v>
      </c>
      <c r="W1108" s="49">
        <f t="shared" si="135"/>
        <v>1.6204293118884787</v>
      </c>
      <c r="X1108" s="49"/>
      <c r="Y1108" s="49"/>
      <c r="Z1108" s="49"/>
    </row>
    <row r="1109" spans="1:26" s="28" customFormat="1" ht="12.75" customHeight="1">
      <c r="A1109" s="64" t="s">
        <v>182</v>
      </c>
      <c r="B1109" s="23" t="s">
        <v>183</v>
      </c>
      <c r="C1109" s="52" t="s">
        <v>181</v>
      </c>
      <c r="D1109" s="65">
        <v>1997</v>
      </c>
      <c r="E1109" s="26">
        <v>11</v>
      </c>
      <c r="F1109" s="66">
        <v>19</v>
      </c>
      <c r="G1109" s="46">
        <f t="shared" si="134"/>
        <v>323.7</v>
      </c>
      <c r="H1109" s="84">
        <v>4572.4357338195077</v>
      </c>
      <c r="I1109" s="66"/>
      <c r="K1109" s="67">
        <v>17.170699453053782</v>
      </c>
      <c r="O1109" s="48">
        <f t="shared" si="136"/>
        <v>3.6601476101257751</v>
      </c>
      <c r="R1109" s="48">
        <f t="shared" si="137"/>
        <v>1.2347879866236118</v>
      </c>
      <c r="U1109" s="48">
        <v>3.6601476101257751</v>
      </c>
      <c r="V1109" s="54">
        <v>1.2347879866236118</v>
      </c>
      <c r="W1109" s="49">
        <f t="shared" si="135"/>
        <v>1.602481090695858</v>
      </c>
      <c r="X1109" s="49"/>
      <c r="Y1109" s="49"/>
      <c r="Z1109" s="49"/>
    </row>
    <row r="1110" spans="1:26" s="28" customFormat="1" ht="12.75" customHeight="1">
      <c r="A1110" s="64" t="s">
        <v>182</v>
      </c>
      <c r="B1110" s="23" t="s">
        <v>183</v>
      </c>
      <c r="C1110" s="52" t="s">
        <v>181</v>
      </c>
      <c r="D1110" s="65">
        <v>1997</v>
      </c>
      <c r="E1110" s="26">
        <v>11</v>
      </c>
      <c r="F1110" s="66">
        <v>19</v>
      </c>
      <c r="G1110" s="46">
        <f t="shared" si="134"/>
        <v>323.7</v>
      </c>
      <c r="H1110" s="84">
        <v>4151.4671457905552</v>
      </c>
      <c r="I1110" s="66"/>
      <c r="K1110" s="67">
        <v>10.467627874743325</v>
      </c>
      <c r="O1110" s="48">
        <f t="shared" si="136"/>
        <v>3.6182016053188075</v>
      </c>
      <c r="R1110" s="48">
        <f t="shared" si="137"/>
        <v>1.0198482750283919</v>
      </c>
      <c r="U1110" s="48">
        <v>3.6182016053188075</v>
      </c>
      <c r="V1110" s="54">
        <v>1.0198482750283919</v>
      </c>
      <c r="W1110" s="49">
        <f t="shared" si="135"/>
        <v>1.8200759418979435</v>
      </c>
      <c r="X1110" s="49"/>
      <c r="Y1110" s="49"/>
      <c r="Z1110" s="49"/>
    </row>
    <row r="1111" spans="1:26" s="28" customFormat="1" ht="12.75" customHeight="1">
      <c r="A1111" s="64" t="s">
        <v>182</v>
      </c>
      <c r="B1111" s="23" t="s">
        <v>183</v>
      </c>
      <c r="C1111" s="52" t="s">
        <v>181</v>
      </c>
      <c r="D1111" s="65">
        <v>1997</v>
      </c>
      <c r="E1111" s="26">
        <v>11</v>
      </c>
      <c r="F1111" s="66">
        <v>19</v>
      </c>
      <c r="G1111" s="46">
        <f t="shared" si="134"/>
        <v>323.7</v>
      </c>
      <c r="H1111" s="84">
        <v>4297.9724913494811</v>
      </c>
      <c r="I1111" s="66"/>
      <c r="K1111" s="67">
        <v>16.640123226643599</v>
      </c>
      <c r="O1111" s="48">
        <f t="shared" si="136"/>
        <v>3.6332636315152764</v>
      </c>
      <c r="R1111" s="48">
        <f t="shared" si="137"/>
        <v>1.221156538087709</v>
      </c>
      <c r="U1111" s="48">
        <v>3.6332636315152764</v>
      </c>
      <c r="V1111" s="54">
        <v>1.221156538087709</v>
      </c>
      <c r="W1111" s="49">
        <f t="shared" si="135"/>
        <v>1.6235365423939738</v>
      </c>
      <c r="X1111" s="49"/>
      <c r="Y1111" s="49"/>
      <c r="Z1111" s="49"/>
    </row>
    <row r="1112" spans="1:26" s="28" customFormat="1" ht="12.75" customHeight="1">
      <c r="A1112" s="64" t="s">
        <v>182</v>
      </c>
      <c r="B1112" s="23" t="s">
        <v>183</v>
      </c>
      <c r="C1112" s="52" t="s">
        <v>181</v>
      </c>
      <c r="D1112" s="65">
        <v>1997</v>
      </c>
      <c r="E1112" s="26">
        <v>11</v>
      </c>
      <c r="F1112" s="66">
        <v>19</v>
      </c>
      <c r="G1112" s="46">
        <f t="shared" si="134"/>
        <v>323.7</v>
      </c>
      <c r="H1112" s="84">
        <v>4523.239248251748</v>
      </c>
      <c r="I1112" s="66"/>
      <c r="K1112" s="67">
        <v>10.474204851398603</v>
      </c>
      <c r="O1112" s="48">
        <f t="shared" si="136"/>
        <v>3.6554495595450747</v>
      </c>
      <c r="R1112" s="48">
        <f t="shared" si="137"/>
        <v>1.0201210634514739</v>
      </c>
      <c r="U1112" s="48">
        <v>3.6554495595450747</v>
      </c>
      <c r="V1112" s="54">
        <v>1.0201210634514739</v>
      </c>
      <c r="W1112" s="49">
        <f t="shared" si="135"/>
        <v>1.8086590504307245</v>
      </c>
      <c r="X1112" s="49"/>
      <c r="Y1112" s="49"/>
      <c r="Z1112" s="49"/>
    </row>
    <row r="1113" spans="1:26" s="28" customFormat="1" ht="12.75" customHeight="1">
      <c r="A1113" s="64" t="s">
        <v>182</v>
      </c>
      <c r="B1113" s="23" t="s">
        <v>183</v>
      </c>
      <c r="C1113" s="52" t="s">
        <v>181</v>
      </c>
      <c r="D1113" s="65">
        <v>1998</v>
      </c>
      <c r="E1113" s="26">
        <v>1</v>
      </c>
      <c r="F1113" s="66">
        <v>21</v>
      </c>
      <c r="G1113" s="46">
        <f t="shared" si="134"/>
        <v>21</v>
      </c>
      <c r="H1113" s="84">
        <v>5296.4366938221328</v>
      </c>
      <c r="I1113" s="66"/>
      <c r="K1113" s="67">
        <v>12.304977342158862</v>
      </c>
      <c r="O1113" s="48">
        <f t="shared" si="136"/>
        <v>3.723983785702508</v>
      </c>
      <c r="R1113" s="48">
        <f t="shared" si="137"/>
        <v>1.0900808183489037</v>
      </c>
      <c r="U1113" s="48">
        <v>3.723983785702508</v>
      </c>
      <c r="V1113" s="54">
        <v>1.0900808183489037</v>
      </c>
      <c r="W1113" s="49">
        <f t="shared" si="135"/>
        <v>1.7213967535579517</v>
      </c>
      <c r="X1113" s="49"/>
      <c r="Y1113" s="49"/>
      <c r="Z1113" s="49"/>
    </row>
    <row r="1114" spans="1:26" s="28" customFormat="1" ht="12.75" customHeight="1">
      <c r="A1114" s="64" t="s">
        <v>182</v>
      </c>
      <c r="B1114" s="23" t="s">
        <v>183</v>
      </c>
      <c r="C1114" s="52" t="s">
        <v>181</v>
      </c>
      <c r="D1114" s="65">
        <v>1998</v>
      </c>
      <c r="E1114" s="26">
        <v>1</v>
      </c>
      <c r="F1114" s="66">
        <v>21</v>
      </c>
      <c r="G1114" s="46">
        <f t="shared" si="134"/>
        <v>21</v>
      </c>
      <c r="H1114" s="84">
        <v>5272.8556754874644</v>
      </c>
      <c r="I1114" s="66"/>
      <c r="K1114" s="67">
        <v>15.710405884401116</v>
      </c>
      <c r="O1114" s="48">
        <f t="shared" si="136"/>
        <v>3.7220458843227036</v>
      </c>
      <c r="R1114" s="48">
        <f t="shared" si="137"/>
        <v>1.1961874053505164</v>
      </c>
      <c r="U1114" s="48">
        <v>3.7220458843227036</v>
      </c>
      <c r="V1114" s="54">
        <v>1.1961874053505164</v>
      </c>
      <c r="W1114" s="49">
        <f t="shared" si="135"/>
        <v>1.6207621293527383</v>
      </c>
      <c r="X1114" s="49"/>
      <c r="Y1114" s="49"/>
      <c r="Z1114" s="49"/>
    </row>
    <row r="1115" spans="1:26" s="28" customFormat="1" ht="12.75" customHeight="1">
      <c r="A1115" s="64" t="s">
        <v>182</v>
      </c>
      <c r="B1115" s="23" t="s">
        <v>183</v>
      </c>
      <c r="C1115" s="52" t="s">
        <v>181</v>
      </c>
      <c r="D1115" s="65">
        <v>1998</v>
      </c>
      <c r="E1115" s="26">
        <v>1</v>
      </c>
      <c r="F1115" s="66">
        <v>21</v>
      </c>
      <c r="G1115" s="46">
        <f t="shared" si="134"/>
        <v>21</v>
      </c>
      <c r="H1115" s="84">
        <v>4729.3968345323738</v>
      </c>
      <c r="I1115" s="66"/>
      <c r="K1115" s="67">
        <v>10.773693237410074</v>
      </c>
      <c r="O1115" s="48">
        <f t="shared" si="136"/>
        <v>3.6748057563535421</v>
      </c>
      <c r="R1115" s="48">
        <f t="shared" si="137"/>
        <v>1.032364605589301</v>
      </c>
      <c r="U1115" s="48">
        <v>3.6748057563535421</v>
      </c>
      <c r="V1115" s="54">
        <v>1.032364605589301</v>
      </c>
      <c r="W1115" s="49">
        <f t="shared" si="135"/>
        <v>1.7911822784788738</v>
      </c>
      <c r="X1115" s="49"/>
      <c r="Y1115" s="49"/>
      <c r="Z1115" s="49"/>
    </row>
    <row r="1116" spans="1:26" s="28" customFormat="1" ht="12.75" customHeight="1">
      <c r="A1116" s="64" t="s">
        <v>182</v>
      </c>
      <c r="B1116" s="23" t="s">
        <v>183</v>
      </c>
      <c r="C1116" s="52" t="s">
        <v>181</v>
      </c>
      <c r="D1116" s="65">
        <v>1998</v>
      </c>
      <c r="E1116" s="26">
        <v>1</v>
      </c>
      <c r="F1116" s="66">
        <v>21</v>
      </c>
      <c r="G1116" s="46">
        <f t="shared" si="134"/>
        <v>21</v>
      </c>
      <c r="H1116" s="84">
        <v>8048.1156084656077</v>
      </c>
      <c r="I1116" s="66"/>
      <c r="K1116" s="67">
        <v>12.382974625220458</v>
      </c>
      <c r="O1116" s="48">
        <f t="shared" si="136"/>
        <v>3.9056942062503786</v>
      </c>
      <c r="R1116" s="48">
        <f t="shared" si="137"/>
        <v>1.0928249829830912</v>
      </c>
      <c r="U1116" s="48">
        <v>3.9056942062503786</v>
      </c>
      <c r="V1116" s="54">
        <v>1.0928249829830912</v>
      </c>
      <c r="W1116" s="49">
        <f t="shared" si="135"/>
        <v>1.6643523538829674</v>
      </c>
      <c r="X1116" s="49"/>
      <c r="Y1116" s="49"/>
      <c r="Z1116" s="49"/>
    </row>
    <row r="1117" spans="1:26" s="28" customFormat="1" ht="12.75" customHeight="1">
      <c r="A1117" s="64" t="s">
        <v>182</v>
      </c>
      <c r="B1117" s="23" t="s">
        <v>183</v>
      </c>
      <c r="C1117" s="52" t="s">
        <v>181</v>
      </c>
      <c r="D1117" s="65">
        <v>1998</v>
      </c>
      <c r="E1117" s="26">
        <v>1</v>
      </c>
      <c r="F1117" s="66">
        <v>21</v>
      </c>
      <c r="G1117" s="46">
        <f t="shared" si="134"/>
        <v>21</v>
      </c>
      <c r="H1117" s="84">
        <v>5011.1804654442885</v>
      </c>
      <c r="I1117" s="66"/>
      <c r="K1117" s="67">
        <v>10.324659520451341</v>
      </c>
      <c r="O1117" s="48">
        <f t="shared" si="136"/>
        <v>3.6999400430808058</v>
      </c>
      <c r="R1117" s="48">
        <f t="shared" si="137"/>
        <v>1.0138757386986752</v>
      </c>
      <c r="U1117" s="48">
        <v>3.6999400430808058</v>
      </c>
      <c r="V1117" s="54">
        <v>1.0138757386986752</v>
      </c>
      <c r="W1117" s="49">
        <f t="shared" si="135"/>
        <v>1.8012904714275724</v>
      </c>
      <c r="X1117" s="49"/>
      <c r="Y1117" s="49"/>
      <c r="Z1117" s="49"/>
    </row>
    <row r="1118" spans="1:26" s="28" customFormat="1" ht="12.75" customHeight="1">
      <c r="A1118" s="64" t="s">
        <v>182</v>
      </c>
      <c r="B1118" s="23" t="s">
        <v>183</v>
      </c>
      <c r="C1118" s="52" t="s">
        <v>181</v>
      </c>
      <c r="D1118" s="65">
        <v>1998</v>
      </c>
      <c r="E1118" s="26">
        <v>3</v>
      </c>
      <c r="F1118" s="66">
        <v>8</v>
      </c>
      <c r="G1118" s="46">
        <f t="shared" si="134"/>
        <v>68.94</v>
      </c>
      <c r="H1118" s="84">
        <v>3148.6888422820421</v>
      </c>
      <c r="I1118" s="66"/>
      <c r="J1118" s="52"/>
      <c r="K1118" s="67">
        <v>9.2731355965082436</v>
      </c>
      <c r="O1118" s="48">
        <f t="shared" si="136"/>
        <v>3.4981297451850488</v>
      </c>
      <c r="R1118" s="48">
        <f t="shared" si="137"/>
        <v>0.96722661030434587</v>
      </c>
      <c r="U1118" s="48">
        <v>3.4981297451850488</v>
      </c>
      <c r="V1118" s="54">
        <v>0.96722661030434587</v>
      </c>
      <c r="W1118" s="49">
        <f t="shared" si="135"/>
        <v>1.9062362237560309</v>
      </c>
      <c r="X1118" s="49"/>
      <c r="Y1118" s="49"/>
      <c r="Z1118" s="49"/>
    </row>
    <row r="1119" spans="1:26" s="28" customFormat="1" ht="12.75" customHeight="1">
      <c r="A1119" s="64" t="s">
        <v>182</v>
      </c>
      <c r="B1119" s="23" t="s">
        <v>183</v>
      </c>
      <c r="C1119" s="52" t="s">
        <v>181</v>
      </c>
      <c r="D1119" s="65">
        <v>1998</v>
      </c>
      <c r="E1119" s="26">
        <v>3</v>
      </c>
      <c r="F1119" s="66">
        <v>8</v>
      </c>
      <c r="G1119" s="46">
        <f t="shared" si="134"/>
        <v>68.94</v>
      </c>
      <c r="H1119" s="84">
        <v>2941.6410717029494</v>
      </c>
      <c r="I1119" s="66"/>
      <c r="J1119" s="52"/>
      <c r="K1119" s="67">
        <v>9.4102404567699818</v>
      </c>
      <c r="O1119" s="48">
        <f t="shared" si="136"/>
        <v>3.4685896805980341</v>
      </c>
      <c r="R1119" s="48">
        <f t="shared" si="137"/>
        <v>0.97360072095266681</v>
      </c>
      <c r="U1119" s="48">
        <v>3.4685896805980341</v>
      </c>
      <c r="V1119" s="54">
        <v>0.97360072095266681</v>
      </c>
      <c r="W1119" s="49">
        <f t="shared" si="135"/>
        <v>1.9090039356379971</v>
      </c>
      <c r="X1119" s="49"/>
      <c r="Y1119" s="49"/>
      <c r="Z1119" s="49"/>
    </row>
    <row r="1120" spans="1:26" s="28" customFormat="1" ht="12.75" customHeight="1">
      <c r="A1120" s="64" t="s">
        <v>182</v>
      </c>
      <c r="B1120" s="23" t="s">
        <v>183</v>
      </c>
      <c r="C1120" s="52" t="s">
        <v>181</v>
      </c>
      <c r="D1120" s="65">
        <v>1998</v>
      </c>
      <c r="E1120" s="26">
        <v>3</v>
      </c>
      <c r="F1120" s="66">
        <v>8</v>
      </c>
      <c r="G1120" s="46">
        <f t="shared" si="134"/>
        <v>68.94</v>
      </c>
      <c r="H1120" s="84">
        <v>2264.6078408969406</v>
      </c>
      <c r="I1120" s="66"/>
      <c r="J1120" s="52"/>
      <c r="K1120" s="67">
        <v>7.1982441480206543</v>
      </c>
      <c r="O1120" s="48">
        <f t="shared" si="136"/>
        <v>3.3549930066667173</v>
      </c>
      <c r="R1120" s="48">
        <f t="shared" si="137"/>
        <v>0.85722657284480752</v>
      </c>
      <c r="U1120" s="48">
        <v>3.3549930066667173</v>
      </c>
      <c r="V1120" s="54">
        <v>0.85722657284480752</v>
      </c>
      <c r="W1120" s="49">
        <f t="shared" si="135"/>
        <v>2.0540382338386922</v>
      </c>
      <c r="X1120" s="49"/>
      <c r="Y1120" s="49"/>
      <c r="Z1120" s="49"/>
    </row>
    <row r="1121" spans="1:30" s="28" customFormat="1" ht="12.75" customHeight="1">
      <c r="A1121" s="64" t="s">
        <v>182</v>
      </c>
      <c r="B1121" s="23" t="s">
        <v>183</v>
      </c>
      <c r="C1121" s="52" t="s">
        <v>181</v>
      </c>
      <c r="D1121" s="65">
        <v>1998</v>
      </c>
      <c r="E1121" s="26">
        <v>3</v>
      </c>
      <c r="F1121" s="66">
        <v>8</v>
      </c>
      <c r="G1121" s="46">
        <f t="shared" si="134"/>
        <v>68.94</v>
      </c>
      <c r="H1121" s="84">
        <v>2998.2865332351676</v>
      </c>
      <c r="I1121" s="66"/>
      <c r="J1121" s="52"/>
      <c r="K1121" s="67">
        <v>9.2934602858481732</v>
      </c>
      <c r="O1121" s="48">
        <f t="shared" si="136"/>
        <v>3.4768731341348889</v>
      </c>
      <c r="R1121" s="48">
        <f t="shared" si="137"/>
        <v>0.96817744738924427</v>
      </c>
      <c r="U1121" s="48">
        <v>3.4768731341348889</v>
      </c>
      <c r="V1121" s="54">
        <v>0.96817744738924427</v>
      </c>
      <c r="W1121" s="49">
        <f t="shared" si="135"/>
        <v>1.9116960981829014</v>
      </c>
      <c r="X1121" s="49"/>
      <c r="Y1121" s="49"/>
      <c r="Z1121" s="49"/>
    </row>
    <row r="1122" spans="1:30" s="28" customFormat="1" ht="12.75" customHeight="1">
      <c r="A1122" s="64" t="s">
        <v>182</v>
      </c>
      <c r="B1122" s="23" t="s">
        <v>183</v>
      </c>
      <c r="C1122" s="52" t="s">
        <v>181</v>
      </c>
      <c r="D1122" s="65">
        <v>1998</v>
      </c>
      <c r="E1122" s="26">
        <v>3</v>
      </c>
      <c r="F1122" s="66">
        <v>8</v>
      </c>
      <c r="G1122" s="46">
        <f t="shared" si="134"/>
        <v>68.94</v>
      </c>
      <c r="H1122" s="84">
        <v>2948.6423953955573</v>
      </c>
      <c r="I1122" s="66"/>
      <c r="J1122" s="52"/>
      <c r="K1122" s="67">
        <v>8.4681818123991253</v>
      </c>
      <c r="O1122" s="48">
        <f t="shared" si="136"/>
        <v>3.4696221055041234</v>
      </c>
      <c r="R1122" s="48">
        <f t="shared" si="137"/>
        <v>0.92779017377746842</v>
      </c>
      <c r="U1122" s="48">
        <v>3.4696221055041234</v>
      </c>
      <c r="V1122" s="54">
        <v>0.92779017377746842</v>
      </c>
      <c r="W1122" s="49">
        <f t="shared" si="135"/>
        <v>1.9523933799313928</v>
      </c>
      <c r="X1122" s="49"/>
      <c r="Y1122" s="49"/>
      <c r="Z1122" s="49"/>
    </row>
    <row r="1123" spans="1:30" s="28" customFormat="1" ht="12.75" customHeight="1">
      <c r="A1123" s="64" t="s">
        <v>182</v>
      </c>
      <c r="B1123" s="23" t="s">
        <v>183</v>
      </c>
      <c r="C1123" s="52" t="s">
        <v>181</v>
      </c>
      <c r="D1123" s="65">
        <v>1995</v>
      </c>
      <c r="E1123" s="26">
        <v>10</v>
      </c>
      <c r="F1123" s="66">
        <v>27</v>
      </c>
      <c r="G1123" s="46">
        <f t="shared" si="134"/>
        <v>301.23</v>
      </c>
      <c r="H1123" s="84">
        <v>6512.5374211000908</v>
      </c>
      <c r="I1123" s="66"/>
      <c r="K1123" s="67">
        <v>14.420618575293059</v>
      </c>
      <c r="O1123" s="48">
        <f t="shared" si="136"/>
        <v>3.8137502317748493</v>
      </c>
      <c r="R1123" s="48">
        <f t="shared" si="137"/>
        <v>1.1589838899308837</v>
      </c>
      <c r="U1123" s="48">
        <v>3.8137502317748493</v>
      </c>
      <c r="V1123" s="54">
        <v>1.1589838899308837</v>
      </c>
      <c r="W1123" s="49">
        <f t="shared" si="135"/>
        <v>1.6287828547226613</v>
      </c>
      <c r="X1123" s="49"/>
      <c r="Y1123" s="49"/>
      <c r="Z1123" s="49"/>
    </row>
    <row r="1124" spans="1:30" s="28" customFormat="1" ht="12.75" customHeight="1">
      <c r="A1124" s="64" t="s">
        <v>182</v>
      </c>
      <c r="B1124" s="23" t="s">
        <v>183</v>
      </c>
      <c r="C1124" s="52" t="s">
        <v>181</v>
      </c>
      <c r="D1124" s="65">
        <v>1995</v>
      </c>
      <c r="E1124" s="26">
        <v>10</v>
      </c>
      <c r="F1124" s="66">
        <v>27</v>
      </c>
      <c r="G1124" s="46">
        <f t="shared" si="134"/>
        <v>301.23</v>
      </c>
      <c r="H1124" s="84">
        <v>6479.5511419614877</v>
      </c>
      <c r="I1124" s="66"/>
      <c r="K1124" s="67">
        <v>14.122726780116437</v>
      </c>
      <c r="O1124" s="48">
        <f t="shared" si="136"/>
        <v>3.8115449220247521</v>
      </c>
      <c r="R1124" s="48">
        <f t="shared" si="137"/>
        <v>1.1499185572842656</v>
      </c>
      <c r="U1124" s="48">
        <v>3.8115449220247521</v>
      </c>
      <c r="V1124" s="54">
        <v>1.1499185572842656</v>
      </c>
      <c r="W1124" s="49">
        <f t="shared" si="135"/>
        <v>1.6380908200550439</v>
      </c>
      <c r="X1124" s="49"/>
      <c r="Y1124" s="49"/>
      <c r="Z1124" s="49"/>
    </row>
    <row r="1125" spans="1:30" s="28" customFormat="1" ht="12.75" customHeight="1">
      <c r="A1125" s="64" t="s">
        <v>182</v>
      </c>
      <c r="B1125" s="23" t="s">
        <v>183</v>
      </c>
      <c r="C1125" s="52" t="s">
        <v>181</v>
      </c>
      <c r="D1125" s="65">
        <v>1995</v>
      </c>
      <c r="E1125" s="26">
        <v>10</v>
      </c>
      <c r="F1125" s="66">
        <v>27</v>
      </c>
      <c r="G1125" s="46">
        <f t="shared" si="134"/>
        <v>301.23</v>
      </c>
      <c r="H1125" s="84">
        <v>6419.477056962025</v>
      </c>
      <c r="I1125" s="66"/>
      <c r="K1125" s="67">
        <v>13.139219976265824</v>
      </c>
      <c r="O1125" s="48">
        <f t="shared" si="136"/>
        <v>3.8074996510398886</v>
      </c>
      <c r="R1125" s="48">
        <f t="shared" si="137"/>
        <v>1.1185695836363396</v>
      </c>
      <c r="U1125" s="48">
        <v>3.8074996510398886</v>
      </c>
      <c r="V1125" s="54">
        <v>1.1185695836363396</v>
      </c>
      <c r="W1125" s="49">
        <f t="shared" si="135"/>
        <v>1.6692062641914334</v>
      </c>
      <c r="X1125" s="49"/>
      <c r="Y1125" s="49"/>
      <c r="Z1125" s="49"/>
    </row>
    <row r="1126" spans="1:30" s="28" customFormat="1" ht="12.75" customHeight="1">
      <c r="A1126" s="64" t="s">
        <v>182</v>
      </c>
      <c r="B1126" s="23" t="s">
        <v>183</v>
      </c>
      <c r="C1126" s="52" t="s">
        <v>181</v>
      </c>
      <c r="D1126" s="65">
        <v>1995</v>
      </c>
      <c r="E1126" s="26">
        <v>10</v>
      </c>
      <c r="F1126" s="66">
        <v>27</v>
      </c>
      <c r="G1126" s="46">
        <f t="shared" si="134"/>
        <v>301.23</v>
      </c>
      <c r="H1126" s="84">
        <v>5333.1301474084639</v>
      </c>
      <c r="I1126" s="66"/>
      <c r="K1126" s="67">
        <v>11.702610912981454</v>
      </c>
      <c r="O1126" s="48">
        <f t="shared" si="136"/>
        <v>3.7269821821474651</v>
      </c>
      <c r="R1126" s="48">
        <f t="shared" si="137"/>
        <v>1.0682827659001037</v>
      </c>
      <c r="U1126" s="48">
        <v>3.7269821821474651</v>
      </c>
      <c r="V1126" s="54">
        <v>1.0682827659001037</v>
      </c>
      <c r="W1126" s="49">
        <f t="shared" si="135"/>
        <v>1.7412918222930445</v>
      </c>
      <c r="X1126" s="49"/>
      <c r="Y1126" s="49"/>
      <c r="Z1126" s="49"/>
    </row>
    <row r="1127" spans="1:30" s="28" customFormat="1" ht="12.75" customHeight="1">
      <c r="A1127" s="64" t="s">
        <v>182</v>
      </c>
      <c r="B1127" s="23" t="s">
        <v>183</v>
      </c>
      <c r="C1127" s="52" t="s">
        <v>181</v>
      </c>
      <c r="D1127" s="65">
        <v>1995</v>
      </c>
      <c r="E1127" s="26">
        <v>10</v>
      </c>
      <c r="F1127" s="66">
        <v>27</v>
      </c>
      <c r="G1127" s="46">
        <f t="shared" si="134"/>
        <v>301.23</v>
      </c>
      <c r="H1127" s="84">
        <v>4668.2158600583089</v>
      </c>
      <c r="I1127" s="66"/>
      <c r="K1127" s="67">
        <v>8.8505993002915471</v>
      </c>
      <c r="O1127" s="48">
        <f t="shared" si="136"/>
        <v>3.6691509297779401</v>
      </c>
      <c r="R1127" s="48">
        <f t="shared" si="137"/>
        <v>0.94697267905912508</v>
      </c>
      <c r="U1127" s="48">
        <v>3.6691509297779401</v>
      </c>
      <c r="V1127" s="54">
        <v>0.94697267905912508</v>
      </c>
      <c r="W1127" s="49">
        <f t="shared" si="135"/>
        <v>1.8743313968641351</v>
      </c>
      <c r="X1127" s="49"/>
      <c r="Y1127" s="49"/>
      <c r="Z1127" s="49"/>
    </row>
    <row r="1128" spans="1:30" ht="12.75" hidden="1" customHeight="1">
      <c r="A1128" s="22" t="s">
        <v>116</v>
      </c>
      <c r="B1128" s="23" t="s">
        <v>117</v>
      </c>
      <c r="C1128" s="23" t="s">
        <v>118</v>
      </c>
      <c r="D1128" s="23">
        <v>2004</v>
      </c>
      <c r="G1128" s="26"/>
      <c r="H1128" s="26">
        <v>300</v>
      </c>
      <c r="I1128" s="26">
        <v>335</v>
      </c>
      <c r="J1128" s="26">
        <f>H1128+3*(I1128-H1128)</f>
        <v>405</v>
      </c>
      <c r="K1128" s="26">
        <f>H1128*0.64</f>
        <v>192</v>
      </c>
      <c r="L1128" s="26">
        <f>I1128*0.7</f>
        <v>234.49999999999997</v>
      </c>
      <c r="M1128" s="26">
        <f>K1128+3*(L1128-K1128)</f>
        <v>319.49999999999989</v>
      </c>
      <c r="N1128" s="26"/>
      <c r="O1128" s="48">
        <f t="shared" ref="O1128:Q1140" si="138">LOG10(H1128)</f>
        <v>2.4771212547196626</v>
      </c>
      <c r="P1128" s="48">
        <f t="shared" si="138"/>
        <v>2.5250448070368452</v>
      </c>
      <c r="Q1128" s="48">
        <f t="shared" si="138"/>
        <v>2.6074550232146687</v>
      </c>
      <c r="R1128" s="48">
        <f t="shared" ref="R1128:R1137" si="139">LOG10(K1128)</f>
        <v>2.2833012287035497</v>
      </c>
      <c r="S1128" s="48">
        <f t="shared" ref="S1128:T1143" si="140">LOG10(L1128)</f>
        <v>2.3701428470511021</v>
      </c>
      <c r="T1128" s="48">
        <f t="shared" si="140"/>
        <v>2.504470862494419</v>
      </c>
      <c r="U1128" s="48">
        <v>2.6074550232146687</v>
      </c>
      <c r="V1128" s="48">
        <v>2.504470862494419</v>
      </c>
      <c r="W1128" s="49">
        <f t="shared" si="135"/>
        <v>0.70663792142020931</v>
      </c>
      <c r="X1128" s="49"/>
      <c r="Y1128" s="49"/>
      <c r="Z1128" s="49"/>
      <c r="AA1128" s="48"/>
      <c r="AB1128" s="48"/>
      <c r="AC1128" s="48"/>
      <c r="AD1128" s="48"/>
    </row>
    <row r="1129" spans="1:30" ht="12.75" hidden="1" customHeight="1">
      <c r="A1129" s="22" t="s">
        <v>116</v>
      </c>
      <c r="B1129" s="23" t="s">
        <v>117</v>
      </c>
      <c r="C1129" s="23" t="s">
        <v>118</v>
      </c>
      <c r="D1129" s="23">
        <v>2004</v>
      </c>
      <c r="G1129" s="26"/>
      <c r="H1129" s="26">
        <v>340</v>
      </c>
      <c r="I1129" s="26">
        <v>390</v>
      </c>
      <c r="J1129" s="26">
        <f t="shared" ref="J1129:J1140" si="141">H1129+3*(I1129-H1129)</f>
        <v>490</v>
      </c>
      <c r="K1129" s="26">
        <f>H1129*0.44</f>
        <v>149.6</v>
      </c>
      <c r="L1129" s="26">
        <f>I1129*0.5</f>
        <v>195</v>
      </c>
      <c r="M1129" s="26">
        <f>K1129+3*(L1129-K1129)</f>
        <v>285.8</v>
      </c>
      <c r="N1129" s="26"/>
      <c r="O1129" s="48">
        <f t="shared" si="138"/>
        <v>2.5314789170422549</v>
      </c>
      <c r="P1129" s="48">
        <f t="shared" si="138"/>
        <v>2.5910646070264991</v>
      </c>
      <c r="Q1129" s="48">
        <f t="shared" si="138"/>
        <v>2.6901960800285138</v>
      </c>
      <c r="R1129" s="48">
        <f t="shared" si="139"/>
        <v>2.1749315935284423</v>
      </c>
      <c r="S1129" s="48">
        <f t="shared" si="140"/>
        <v>2.2900346113625178</v>
      </c>
      <c r="T1129" s="48">
        <f t="shared" si="140"/>
        <v>2.4560622244549513</v>
      </c>
      <c r="U1129" s="48">
        <v>2.6901960800285138</v>
      </c>
      <c r="V1129" s="48">
        <v>2.4560622244549513</v>
      </c>
      <c r="W1129" s="49">
        <f t="shared" si="135"/>
        <v>0.72803193930031318</v>
      </c>
      <c r="X1129" s="49"/>
      <c r="Y1129" s="49"/>
      <c r="Z1129" s="49"/>
      <c r="AA1129" s="48"/>
      <c r="AB1129" s="48"/>
      <c r="AC1129" s="48"/>
      <c r="AD1129" s="48"/>
    </row>
    <row r="1130" spans="1:30" ht="12.75" hidden="1" customHeight="1">
      <c r="A1130" s="22" t="s">
        <v>116</v>
      </c>
      <c r="B1130" s="23" t="s">
        <v>117</v>
      </c>
      <c r="C1130" s="23" t="s">
        <v>118</v>
      </c>
      <c r="D1130" s="23">
        <v>2004</v>
      </c>
      <c r="G1130" s="26"/>
      <c r="H1130" s="26">
        <v>490</v>
      </c>
      <c r="I1130" s="26">
        <v>515</v>
      </c>
      <c r="J1130" s="26">
        <f t="shared" si="141"/>
        <v>565</v>
      </c>
      <c r="K1130" s="26">
        <f>H1130*0.45</f>
        <v>220.5</v>
      </c>
      <c r="L1130" s="26">
        <f>I1130*0.5</f>
        <v>257.5</v>
      </c>
      <c r="M1130" s="26">
        <f>K1130+3*(L1130-K1130)</f>
        <v>331.5</v>
      </c>
      <c r="N1130" s="26"/>
      <c r="O1130" s="48">
        <f t="shared" si="138"/>
        <v>2.6901960800285138</v>
      </c>
      <c r="P1130" s="48">
        <f t="shared" si="138"/>
        <v>2.7118072290411912</v>
      </c>
      <c r="Q1130" s="48">
        <f t="shared" si="138"/>
        <v>2.7520484478194387</v>
      </c>
      <c r="R1130" s="48">
        <f t="shared" si="139"/>
        <v>2.3434085938038574</v>
      </c>
      <c r="S1130" s="48">
        <f t="shared" si="140"/>
        <v>2.4107772333772099</v>
      </c>
      <c r="T1130" s="48">
        <f t="shared" si="140"/>
        <v>2.520483532740792</v>
      </c>
      <c r="U1130" s="48">
        <v>2.7520484478194387</v>
      </c>
      <c r="V1130" s="48">
        <v>2.520483532740792</v>
      </c>
      <c r="W1130" s="49">
        <f t="shared" si="135"/>
        <v>0.64805414760482016</v>
      </c>
      <c r="X1130" s="49"/>
      <c r="Y1130" s="49"/>
      <c r="Z1130" s="49"/>
      <c r="AA1130" s="48"/>
      <c r="AB1130" s="48"/>
      <c r="AC1130" s="48"/>
      <c r="AD1130" s="48"/>
    </row>
    <row r="1131" spans="1:30" ht="12.75" hidden="1" customHeight="1">
      <c r="A1131" s="22" t="s">
        <v>116</v>
      </c>
      <c r="B1131" s="23" t="s">
        <v>117</v>
      </c>
      <c r="C1131" s="23" t="s">
        <v>118</v>
      </c>
      <c r="D1131" s="23">
        <v>2004</v>
      </c>
      <c r="G1131" s="26"/>
      <c r="H1131" s="26">
        <v>670</v>
      </c>
      <c r="I1131" s="26">
        <v>710</v>
      </c>
      <c r="J1131" s="26">
        <f t="shared" si="141"/>
        <v>790</v>
      </c>
      <c r="K1131" s="26">
        <f>H1131*0.73</f>
        <v>489.09999999999997</v>
      </c>
      <c r="L1131" s="26">
        <f>I1131*0.81</f>
        <v>575.1</v>
      </c>
      <c r="M1131" s="26">
        <f>K1131+3*(L1131-K1131)</f>
        <v>747.10000000000014</v>
      </c>
      <c r="N1131" s="26"/>
      <c r="O1131" s="48">
        <f t="shared" si="138"/>
        <v>2.8260748027008264</v>
      </c>
      <c r="P1131" s="48">
        <f t="shared" si="138"/>
        <v>2.8512583487190755</v>
      </c>
      <c r="Q1131" s="48">
        <f t="shared" si="138"/>
        <v>2.8976270912904414</v>
      </c>
      <c r="R1131" s="48">
        <f t="shared" si="139"/>
        <v>2.6893976628212823</v>
      </c>
      <c r="S1131" s="48">
        <f t="shared" si="140"/>
        <v>2.759743367597725</v>
      </c>
      <c r="T1131" s="48">
        <f t="shared" si="140"/>
        <v>2.873378736409141</v>
      </c>
      <c r="U1131" s="48">
        <v>2.8976270912904414</v>
      </c>
      <c r="V1131" s="48">
        <v>2.873378736409141</v>
      </c>
      <c r="W1131" s="49">
        <f t="shared" si="135"/>
        <v>0.26782302787138745</v>
      </c>
      <c r="X1131" s="49"/>
      <c r="Y1131" s="49"/>
      <c r="Z1131" s="49"/>
      <c r="AA1131" s="48"/>
      <c r="AB1131" s="48"/>
      <c r="AC1131" s="48"/>
      <c r="AD1131" s="48"/>
    </row>
    <row r="1132" spans="1:30" ht="12.75" hidden="1" customHeight="1">
      <c r="A1132" s="22" t="s">
        <v>116</v>
      </c>
      <c r="B1132" s="23" t="s">
        <v>117</v>
      </c>
      <c r="C1132" s="23" t="s">
        <v>118</v>
      </c>
      <c r="D1132" s="23">
        <v>2004</v>
      </c>
      <c r="G1132" s="26"/>
      <c r="H1132" s="26">
        <v>665</v>
      </c>
      <c r="I1132" s="26">
        <v>700</v>
      </c>
      <c r="J1132" s="26">
        <f t="shared" si="141"/>
        <v>770</v>
      </c>
      <c r="K1132" s="26">
        <f>H1132*0.81</f>
        <v>538.65000000000009</v>
      </c>
      <c r="L1132" s="26">
        <f>I1132*0.93</f>
        <v>651</v>
      </c>
      <c r="M1132" s="26">
        <f t="shared" ref="M1132:M1143" si="142">K1132+3*(L1132-K1132)</f>
        <v>875.69999999999982</v>
      </c>
      <c r="N1132" s="26"/>
      <c r="O1132" s="48">
        <f t="shared" si="138"/>
        <v>2.8228216453031045</v>
      </c>
      <c r="P1132" s="48">
        <f t="shared" si="138"/>
        <v>2.8450980400142569</v>
      </c>
      <c r="Q1132" s="48">
        <f t="shared" si="138"/>
        <v>2.8864907251724818</v>
      </c>
      <c r="R1132" s="48">
        <f t="shared" si="139"/>
        <v>2.7313066641817545</v>
      </c>
      <c r="S1132" s="48">
        <f t="shared" si="140"/>
        <v>2.8135809885681922</v>
      </c>
      <c r="T1132" s="48">
        <f t="shared" si="140"/>
        <v>2.9423553497076766</v>
      </c>
      <c r="U1132" s="48">
        <v>2.8864907251724818</v>
      </c>
      <c r="V1132" s="48">
        <v>2.9423553497076766</v>
      </c>
      <c r="W1132" s="49">
        <f t="shared" si="135"/>
        <v>0.20536185205284957</v>
      </c>
      <c r="X1132" s="49"/>
      <c r="Y1132" s="49"/>
      <c r="Z1132" s="49"/>
      <c r="AA1132" s="48"/>
      <c r="AB1132" s="48"/>
      <c r="AC1132" s="48"/>
      <c r="AD1132" s="48"/>
    </row>
    <row r="1133" spans="1:30" ht="12.75" hidden="1" customHeight="1">
      <c r="A1133" s="22" t="s">
        <v>116</v>
      </c>
      <c r="B1133" s="23" t="s">
        <v>117</v>
      </c>
      <c r="C1133" s="23" t="s">
        <v>119</v>
      </c>
      <c r="D1133" s="23">
        <v>2004</v>
      </c>
      <c r="G1133" s="26"/>
      <c r="H1133" s="26">
        <v>690</v>
      </c>
      <c r="I1133" s="26">
        <v>760</v>
      </c>
      <c r="J1133" s="26">
        <f t="shared" si="141"/>
        <v>900</v>
      </c>
      <c r="K1133" s="26">
        <f>H1133*0.65</f>
        <v>448.5</v>
      </c>
      <c r="L1133" s="26">
        <f>I1133*0.72</f>
        <v>547.19999999999993</v>
      </c>
      <c r="M1133" s="26">
        <f t="shared" si="142"/>
        <v>744.5999999999998</v>
      </c>
      <c r="N1133" s="26"/>
      <c r="O1133" s="48">
        <f t="shared" si="138"/>
        <v>2.8388490907372552</v>
      </c>
      <c r="P1133" s="48">
        <f t="shared" si="138"/>
        <v>2.8808135922807914</v>
      </c>
      <c r="Q1133" s="48">
        <f t="shared" si="138"/>
        <v>2.9542425094393248</v>
      </c>
      <c r="R1133" s="48">
        <f t="shared" si="139"/>
        <v>2.6517624473801109</v>
      </c>
      <c r="S1133" s="48">
        <f t="shared" si="140"/>
        <v>2.7381460887120599</v>
      </c>
      <c r="T1133" s="48">
        <f t="shared" si="140"/>
        <v>2.8719230318823734</v>
      </c>
      <c r="U1133" s="48">
        <v>2.9542425094393248</v>
      </c>
      <c r="V1133" s="48">
        <v>2.8719230318823734</v>
      </c>
      <c r="W1133" s="49">
        <f t="shared" si="135"/>
        <v>0.25225391394459429</v>
      </c>
      <c r="X1133" s="49"/>
      <c r="Y1133" s="49"/>
      <c r="Z1133" s="49"/>
      <c r="AA1133" s="48"/>
      <c r="AB1133" s="48"/>
      <c r="AC1133" s="48"/>
      <c r="AD1133" s="48"/>
    </row>
    <row r="1134" spans="1:30" ht="12.75" hidden="1" customHeight="1">
      <c r="A1134" s="22" t="s">
        <v>116</v>
      </c>
      <c r="B1134" s="23" t="s">
        <v>117</v>
      </c>
      <c r="C1134" s="23" t="s">
        <v>119</v>
      </c>
      <c r="D1134" s="23">
        <v>2004</v>
      </c>
      <c r="G1134" s="26"/>
      <c r="J1134" s="26"/>
      <c r="K1134" s="26"/>
      <c r="L1134" s="26"/>
      <c r="M1134" s="26"/>
      <c r="N1134" s="26"/>
      <c r="O1134" s="48"/>
      <c r="P1134" s="48"/>
      <c r="Q1134" s="48"/>
      <c r="R1134" s="48"/>
      <c r="S1134" s="48"/>
      <c r="T1134" s="48"/>
      <c r="U1134" s="48"/>
      <c r="V1134" s="48"/>
      <c r="W1134" s="49"/>
      <c r="X1134" s="49"/>
      <c r="Y1134" s="49"/>
      <c r="Z1134" s="49"/>
      <c r="AA1134" s="48"/>
      <c r="AB1134" s="48"/>
      <c r="AC1134" s="48"/>
      <c r="AD1134" s="48"/>
    </row>
    <row r="1135" spans="1:30" ht="12.75" hidden="1" customHeight="1">
      <c r="A1135" s="22" t="s">
        <v>116</v>
      </c>
      <c r="B1135" s="23" t="s">
        <v>117</v>
      </c>
      <c r="C1135" s="23" t="s">
        <v>119</v>
      </c>
      <c r="D1135" s="23">
        <v>2004</v>
      </c>
      <c r="G1135" s="26"/>
      <c r="H1135" s="26">
        <v>720</v>
      </c>
      <c r="I1135" s="26">
        <v>760</v>
      </c>
      <c r="J1135" s="26">
        <f t="shared" si="141"/>
        <v>840</v>
      </c>
      <c r="K1135" s="26">
        <f>H1135*0.64</f>
        <v>460.8</v>
      </c>
      <c r="L1135" s="26">
        <f>I1135*0.7</f>
        <v>532</v>
      </c>
      <c r="M1135" s="26">
        <f t="shared" si="142"/>
        <v>674.4</v>
      </c>
      <c r="N1135" s="26"/>
      <c r="O1135" s="48">
        <f t="shared" si="138"/>
        <v>2.8573324964312685</v>
      </c>
      <c r="P1135" s="48">
        <f t="shared" si="138"/>
        <v>2.8808135922807914</v>
      </c>
      <c r="Q1135" s="48">
        <f t="shared" si="138"/>
        <v>2.9242792860618816</v>
      </c>
      <c r="R1135" s="48">
        <f t="shared" si="139"/>
        <v>2.6635124704151556</v>
      </c>
      <c r="S1135" s="48">
        <f t="shared" si="140"/>
        <v>2.7259116322950483</v>
      </c>
      <c r="T1135" s="48">
        <f t="shared" si="140"/>
        <v>2.8289175616166857</v>
      </c>
      <c r="U1135" s="48">
        <v>2.9242792860618816</v>
      </c>
      <c r="V1135" s="48">
        <v>2.8289175616166857</v>
      </c>
      <c r="W1135" s="49">
        <f t="shared" si="135"/>
        <v>0.302251554527873</v>
      </c>
      <c r="X1135" s="49"/>
      <c r="Y1135" s="49"/>
      <c r="Z1135" s="49"/>
      <c r="AA1135" s="48"/>
      <c r="AB1135" s="48"/>
      <c r="AC1135" s="48"/>
      <c r="AD1135" s="48"/>
    </row>
    <row r="1136" spans="1:30" ht="12.75" hidden="1" customHeight="1">
      <c r="A1136" s="22" t="s">
        <v>116</v>
      </c>
      <c r="B1136" s="23" t="s">
        <v>117</v>
      </c>
      <c r="C1136" s="23" t="s">
        <v>119</v>
      </c>
      <c r="D1136" s="23">
        <v>2004</v>
      </c>
      <c r="G1136" s="26"/>
      <c r="H1136" s="26">
        <v>1000</v>
      </c>
      <c r="I1136" s="26">
        <v>1060</v>
      </c>
      <c r="J1136" s="26">
        <f t="shared" si="141"/>
        <v>1180</v>
      </c>
      <c r="K1136" s="26">
        <f>H1136*0.71</f>
        <v>710</v>
      </c>
      <c r="L1136" s="26">
        <f>I1136*0.79</f>
        <v>837.40000000000009</v>
      </c>
      <c r="M1136" s="26">
        <f t="shared" si="142"/>
        <v>1092.2000000000003</v>
      </c>
      <c r="N1136" s="26"/>
      <c r="O1136" s="48">
        <f t="shared" si="138"/>
        <v>3</v>
      </c>
      <c r="P1136" s="48">
        <f t="shared" si="138"/>
        <v>3.0253058652647704</v>
      </c>
      <c r="Q1136" s="48">
        <f t="shared" si="138"/>
        <v>3.0718820073061255</v>
      </c>
      <c r="R1136" s="48">
        <f t="shared" si="139"/>
        <v>2.8512583487190755</v>
      </c>
      <c r="S1136" s="48">
        <f t="shared" si="140"/>
        <v>2.9229329565552118</v>
      </c>
      <c r="T1136" s="48">
        <f t="shared" si="140"/>
        <v>3.0383021721995247</v>
      </c>
      <c r="U1136" s="48">
        <v>3.0718820073061255</v>
      </c>
      <c r="V1136" s="48">
        <v>3.0383021721995247</v>
      </c>
      <c r="W1136" s="49">
        <f t="shared" si="135"/>
        <v>5.8308928453308997E-2</v>
      </c>
      <c r="X1136" s="49"/>
      <c r="Y1136" s="49"/>
      <c r="Z1136" s="49"/>
      <c r="AA1136" s="48"/>
      <c r="AB1136" s="48"/>
      <c r="AC1136" s="48"/>
      <c r="AD1136" s="48"/>
    </row>
    <row r="1137" spans="1:33" ht="12.75" hidden="1" customHeight="1">
      <c r="A1137" s="22" t="s">
        <v>116</v>
      </c>
      <c r="B1137" s="23" t="s">
        <v>117</v>
      </c>
      <c r="C1137" s="23" t="s">
        <v>119</v>
      </c>
      <c r="D1137" s="23">
        <v>2004</v>
      </c>
      <c r="G1137" s="26"/>
      <c r="H1137" s="26">
        <v>920</v>
      </c>
      <c r="I1137" s="26">
        <v>975</v>
      </c>
      <c r="J1137" s="26">
        <f t="shared" si="141"/>
        <v>1085</v>
      </c>
      <c r="K1137" s="26">
        <f>H1137*1.09</f>
        <v>1002.8000000000001</v>
      </c>
      <c r="L1137" s="26">
        <f>I1137*1.2</f>
        <v>1170</v>
      </c>
      <c r="M1137" s="26">
        <f t="shared" si="142"/>
        <v>1504.3999999999999</v>
      </c>
      <c r="N1137" s="26"/>
      <c r="O1137" s="48">
        <f t="shared" si="138"/>
        <v>2.9637878273455551</v>
      </c>
      <c r="P1137" s="48">
        <f t="shared" si="138"/>
        <v>2.989004615698537</v>
      </c>
      <c r="Q1137" s="48">
        <f t="shared" si="138"/>
        <v>3.0354297381845483</v>
      </c>
      <c r="R1137" s="48">
        <f t="shared" si="139"/>
        <v>3.0012143252861789</v>
      </c>
      <c r="S1137" s="48">
        <f t="shared" si="140"/>
        <v>3.0681858617461617</v>
      </c>
      <c r="T1137" s="48">
        <f t="shared" si="140"/>
        <v>3.1773633247503614</v>
      </c>
      <c r="U1137" s="48">
        <v>3.0354297381845483</v>
      </c>
      <c r="V1137" s="48">
        <v>3.1773633247503614</v>
      </c>
      <c r="W1137" s="49">
        <f t="shared" si="135"/>
        <v>-6.3423153637201315E-2</v>
      </c>
      <c r="X1137" s="49"/>
      <c r="Y1137" s="49"/>
      <c r="Z1137" s="49"/>
      <c r="AA1137" s="48"/>
      <c r="AB1137" s="48"/>
      <c r="AC1137" s="48"/>
      <c r="AD1137" s="48"/>
    </row>
    <row r="1138" spans="1:33" ht="12.75" hidden="1" customHeight="1">
      <c r="A1138" s="22" t="s">
        <v>215</v>
      </c>
      <c r="B1138" s="23" t="s">
        <v>216</v>
      </c>
      <c r="C1138" s="23" t="s">
        <v>217</v>
      </c>
      <c r="D1138" s="23"/>
      <c r="G1138" s="26"/>
      <c r="H1138" s="26">
        <v>475</v>
      </c>
      <c r="I1138" s="26">
        <f>H1138+17</f>
        <v>492</v>
      </c>
      <c r="J1138" s="26">
        <f t="shared" si="141"/>
        <v>526</v>
      </c>
      <c r="K1138" s="26">
        <v>57.7</v>
      </c>
      <c r="L1138" s="26">
        <f>K1138+2.1</f>
        <v>59.800000000000004</v>
      </c>
      <c r="M1138" s="26">
        <f t="shared" si="142"/>
        <v>64</v>
      </c>
      <c r="N1138" s="26"/>
      <c r="O1138" s="48">
        <f t="shared" si="138"/>
        <v>2.6766936096248664</v>
      </c>
      <c r="P1138" s="48">
        <f t="shared" ref="P1138:P1140" si="143">LOG10(I1138)</f>
        <v>2.6919651027673601</v>
      </c>
      <c r="Q1138" s="48">
        <f t="shared" ref="Q1138:Q1140" si="144">LOG10(J1138)</f>
        <v>2.7209857441537393</v>
      </c>
      <c r="R1138" s="48">
        <f t="shared" ref="R1138:R1140" si="145">LOG10(K1138)</f>
        <v>1.7611758131557314</v>
      </c>
      <c r="S1138" s="48">
        <f t="shared" ref="S1138:S1140" si="146">LOG10(L1138)</f>
        <v>1.7767011839884108</v>
      </c>
      <c r="T1138" s="48">
        <f t="shared" ref="T1138:T1140" si="147">LOG10(M1138)</f>
        <v>1.8061799739838871</v>
      </c>
      <c r="U1138" s="48">
        <v>2.7209857441537393</v>
      </c>
      <c r="V1138" s="48">
        <v>1.8061799739838871</v>
      </c>
      <c r="W1138" s="49">
        <f t="shared" si="135"/>
        <v>1.3387323561934192</v>
      </c>
      <c r="X1138" s="49"/>
      <c r="Y1138" s="49"/>
      <c r="Z1138" s="49"/>
      <c r="AA1138" s="48"/>
      <c r="AB1138" s="48"/>
      <c r="AC1138" s="48"/>
      <c r="AD1138" s="48"/>
    </row>
    <row r="1139" spans="1:33" ht="12.75" hidden="1" customHeight="1">
      <c r="A1139" s="22" t="s">
        <v>215</v>
      </c>
      <c r="B1139" s="23" t="s">
        <v>216</v>
      </c>
      <c r="C1139" s="23" t="s">
        <v>218</v>
      </c>
      <c r="D1139" s="23"/>
      <c r="G1139" s="26"/>
      <c r="H1139" s="26">
        <v>234</v>
      </c>
      <c r="I1139" s="26">
        <f>H1139+10</f>
        <v>244</v>
      </c>
      <c r="J1139" s="26">
        <f t="shared" si="141"/>
        <v>264</v>
      </c>
      <c r="K1139" s="26">
        <v>46.1</v>
      </c>
      <c r="L1139" s="26">
        <f>K1139+2</f>
        <v>48.1</v>
      </c>
      <c r="M1139" s="26">
        <f t="shared" si="142"/>
        <v>52.1</v>
      </c>
      <c r="N1139" s="26"/>
      <c r="O1139" s="48">
        <f t="shared" si="138"/>
        <v>2.369215857410143</v>
      </c>
      <c r="P1139" s="48">
        <f t="shared" si="143"/>
        <v>2.3873898263387292</v>
      </c>
      <c r="Q1139" s="48">
        <f t="shared" si="144"/>
        <v>2.4216039268698313</v>
      </c>
      <c r="R1139" s="48">
        <f t="shared" si="145"/>
        <v>1.6637009253896482</v>
      </c>
      <c r="S1139" s="48">
        <f t="shared" si="146"/>
        <v>1.6821450763738317</v>
      </c>
      <c r="T1139" s="48">
        <f t="shared" si="147"/>
        <v>1.7168377232995244</v>
      </c>
      <c r="U1139" s="48">
        <v>2.4216039268698313</v>
      </c>
      <c r="V1139" s="48">
        <v>1.7168377232995244</v>
      </c>
      <c r="W1139" s="49">
        <f t="shared" si="135"/>
        <v>1.5136281481904685</v>
      </c>
      <c r="X1139" s="49"/>
      <c r="Y1139" s="49"/>
      <c r="Z1139" s="49"/>
      <c r="AA1139" s="48"/>
      <c r="AB1139" s="48"/>
      <c r="AC1139" s="48"/>
      <c r="AD1139" s="48"/>
    </row>
    <row r="1140" spans="1:33" ht="12.75" hidden="1" customHeight="1">
      <c r="A1140" s="22" t="s">
        <v>215</v>
      </c>
      <c r="B1140" s="23" t="s">
        <v>216</v>
      </c>
      <c r="C1140" s="23" t="s">
        <v>219</v>
      </c>
      <c r="D1140" s="23"/>
      <c r="G1140" s="26"/>
      <c r="H1140" s="26">
        <v>248</v>
      </c>
      <c r="I1140" s="26">
        <f>H1140+15</f>
        <v>263</v>
      </c>
      <c r="J1140" s="26">
        <f t="shared" si="141"/>
        <v>293</v>
      </c>
      <c r="K1140" s="26">
        <v>45.8</v>
      </c>
      <c r="L1140" s="26">
        <f>K1140+2.9</f>
        <v>48.699999999999996</v>
      </c>
      <c r="M1140" s="26">
        <f t="shared" si="142"/>
        <v>54.499999999999993</v>
      </c>
      <c r="N1140" s="26"/>
      <c r="O1140" s="48">
        <f t="shared" si="138"/>
        <v>2.3944516808262164</v>
      </c>
      <c r="P1140" s="48">
        <f t="shared" si="143"/>
        <v>2.419955748489758</v>
      </c>
      <c r="Q1140" s="48">
        <f t="shared" si="144"/>
        <v>2.4668676203541096</v>
      </c>
      <c r="R1140" s="48">
        <f t="shared" si="145"/>
        <v>1.6608654780038692</v>
      </c>
      <c r="S1140" s="48">
        <f t="shared" si="146"/>
        <v>1.6875289612146342</v>
      </c>
      <c r="T1140" s="48">
        <f t="shared" si="147"/>
        <v>1.7363965022766423</v>
      </c>
      <c r="U1140" s="48">
        <v>2.4668676203541096</v>
      </c>
      <c r="V1140" s="48">
        <v>1.7363965022766423</v>
      </c>
      <c r="W1140" s="49">
        <f t="shared" si="135"/>
        <v>1.4814134392387945</v>
      </c>
      <c r="X1140" s="49"/>
      <c r="Y1140" s="49"/>
      <c r="Z1140" s="49"/>
      <c r="AA1140" s="48"/>
      <c r="AB1140" s="48"/>
      <c r="AC1140" s="48"/>
      <c r="AD1140" s="48"/>
    </row>
    <row r="1141" spans="1:33" ht="12.75" hidden="1" customHeight="1">
      <c r="A1141" s="22" t="s">
        <v>113</v>
      </c>
      <c r="B1141" s="23" t="s">
        <v>109</v>
      </c>
      <c r="C1141" s="23" t="s">
        <v>110</v>
      </c>
      <c r="D1141" s="23"/>
      <c r="G1141" s="26"/>
      <c r="H1141" s="26">
        <v>2460</v>
      </c>
      <c r="J1141" s="26"/>
      <c r="K1141" s="26">
        <v>154.19999999999999</v>
      </c>
      <c r="L1141" s="26">
        <f>K1141+38.77</f>
        <v>192.97</v>
      </c>
      <c r="M1141" s="26">
        <f t="shared" si="142"/>
        <v>270.51</v>
      </c>
      <c r="N1141" s="26"/>
      <c r="O1141" s="48">
        <f>LOG10(H1141)</f>
        <v>3.3909351071033793</v>
      </c>
      <c r="P1141" s="48"/>
      <c r="Q1141" s="48"/>
      <c r="R1141" s="48">
        <f t="shared" ref="R1141:S1155" si="148">LOG10(K1141)</f>
        <v>2.188084373714938</v>
      </c>
      <c r="S1141" s="48">
        <f t="shared" si="148"/>
        <v>2.2854897968462931</v>
      </c>
      <c r="T1141" s="48">
        <f t="shared" si="140"/>
        <v>2.4321833243946944</v>
      </c>
      <c r="U1141" s="48">
        <v>3.3909351071033793</v>
      </c>
      <c r="V1141" s="48">
        <v>2.4321833243946944</v>
      </c>
      <c r="W1141" s="49">
        <f t="shared" si="135"/>
        <v>0.54092144527880415</v>
      </c>
      <c r="X1141" s="49"/>
      <c r="Y1141" s="49"/>
      <c r="Z1141" s="49"/>
      <c r="AA1141" s="48"/>
      <c r="AB1141" s="48"/>
      <c r="AC1141" s="48"/>
      <c r="AD1141" s="48"/>
      <c r="AE1141" s="23">
        <v>28.4</v>
      </c>
      <c r="AG1141" s="23">
        <v>37.1</v>
      </c>
    </row>
    <row r="1142" spans="1:33" ht="12.75" hidden="1" customHeight="1">
      <c r="A1142" s="22" t="s">
        <v>113</v>
      </c>
      <c r="B1142" s="23" t="s">
        <v>109</v>
      </c>
      <c r="C1142" s="23" t="s">
        <v>111</v>
      </c>
      <c r="D1142" s="23"/>
      <c r="G1142" s="26"/>
      <c r="H1142" s="26">
        <v>1600</v>
      </c>
      <c r="J1142" s="26"/>
      <c r="K1142" s="26">
        <v>68.239999999999995</v>
      </c>
      <c r="L1142" s="26">
        <f>K1142+27.9</f>
        <v>96.139999999999986</v>
      </c>
      <c r="M1142" s="26">
        <f t="shared" si="142"/>
        <v>151.93999999999997</v>
      </c>
      <c r="N1142" s="26"/>
      <c r="O1142" s="48">
        <f>LOG10(H1142)</f>
        <v>3.2041199826559246</v>
      </c>
      <c r="P1142" s="48"/>
      <c r="Q1142" s="48"/>
      <c r="R1142" s="48">
        <f t="shared" si="148"/>
        <v>1.8340390181594666</v>
      </c>
      <c r="S1142" s="48">
        <f t="shared" si="148"/>
        <v>1.9829041177926281</v>
      </c>
      <c r="T1142" s="48">
        <f t="shared" si="140"/>
        <v>2.181672122068266</v>
      </c>
      <c r="U1142" s="48">
        <v>3.2041199826559246</v>
      </c>
      <c r="V1142" s="48">
        <v>2.181672122068266</v>
      </c>
      <c r="W1142" s="49">
        <f t="shared" si="135"/>
        <v>0.83583980660205848</v>
      </c>
      <c r="X1142" s="49"/>
      <c r="Y1142" s="49"/>
      <c r="Z1142" s="49"/>
      <c r="AA1142" s="48"/>
      <c r="AB1142" s="48"/>
      <c r="AC1142" s="48"/>
      <c r="AD1142" s="48"/>
      <c r="AE1142" s="23">
        <v>28.2</v>
      </c>
      <c r="AG1142" s="23">
        <v>37.229999999999997</v>
      </c>
    </row>
    <row r="1143" spans="1:33" ht="12.75" hidden="1" customHeight="1">
      <c r="A1143" s="22" t="s">
        <v>113</v>
      </c>
      <c r="B1143" s="23" t="s">
        <v>109</v>
      </c>
      <c r="C1143" s="23" t="s">
        <v>112</v>
      </c>
      <c r="D1143" s="23"/>
      <c r="G1143" s="26"/>
      <c r="H1143" s="26">
        <v>1418</v>
      </c>
      <c r="J1143" s="26"/>
      <c r="K1143" s="26">
        <v>79.34</v>
      </c>
      <c r="L1143" s="26">
        <f>K1143+18.62</f>
        <v>97.960000000000008</v>
      </c>
      <c r="M1143" s="26">
        <f t="shared" si="142"/>
        <v>135.20000000000002</v>
      </c>
      <c r="N1143" s="26"/>
      <c r="O1143" s="48">
        <f>LOG10(H1143)</f>
        <v>3.1516762308470478</v>
      </c>
      <c r="P1143" s="48"/>
      <c r="Q1143" s="48"/>
      <c r="R1143" s="48">
        <f t="shared" si="148"/>
        <v>1.8994921961381317</v>
      </c>
      <c r="S1143" s="48">
        <f t="shared" si="148"/>
        <v>1.9910487764526765</v>
      </c>
      <c r="T1143" s="48">
        <f t="shared" si="140"/>
        <v>2.1309766916056172</v>
      </c>
      <c r="U1143" s="48">
        <v>3.1516762308470478</v>
      </c>
      <c r="V1143" s="48">
        <v>2.1309766916056172</v>
      </c>
      <c r="W1143" s="49">
        <f t="shared" si="135"/>
        <v>0.89990637150343233</v>
      </c>
      <c r="X1143" s="49"/>
      <c r="Y1143" s="49"/>
      <c r="Z1143" s="49"/>
      <c r="AA1143" s="48"/>
      <c r="AB1143" s="48"/>
      <c r="AC1143" s="48"/>
      <c r="AD1143" s="48"/>
      <c r="AE1143" s="23">
        <v>28.3</v>
      </c>
      <c r="AG1143" s="23">
        <v>35.799999999999997</v>
      </c>
    </row>
    <row r="1144" spans="1:33" s="45" customFormat="1" ht="15" hidden="1" customHeight="1">
      <c r="A1144" s="44" t="s">
        <v>113</v>
      </c>
      <c r="B1144" s="45" t="s">
        <v>133</v>
      </c>
      <c r="C1144" s="23" t="s">
        <v>134</v>
      </c>
      <c r="H1144" s="85">
        <v>155.69590643000001</v>
      </c>
      <c r="I1144" s="85"/>
      <c r="J1144" s="86"/>
      <c r="K1144" s="85">
        <v>33.882352939999997</v>
      </c>
      <c r="O1144" s="48">
        <f t="shared" ref="O1144:O1173" si="149">LOG10(H1144)</f>
        <v>2.1922771942108095</v>
      </c>
      <c r="R1144" s="48">
        <f t="shared" si="148"/>
        <v>1.5299735620298585</v>
      </c>
      <c r="U1144" s="48">
        <v>2.1922771942108095</v>
      </c>
      <c r="V1144" s="48">
        <v>1.5299735620298585</v>
      </c>
      <c r="W1144" s="49">
        <f t="shared" si="135"/>
        <v>1.7605668694946031</v>
      </c>
      <c r="X1144" s="49"/>
      <c r="Y1144" s="49"/>
      <c r="Z1144" s="49"/>
    </row>
    <row r="1145" spans="1:33" s="45" customFormat="1" ht="15" hidden="1" customHeight="1">
      <c r="A1145" s="44" t="s">
        <v>113</v>
      </c>
      <c r="B1145" s="63" t="s">
        <v>133</v>
      </c>
      <c r="C1145" s="23" t="s">
        <v>134</v>
      </c>
      <c r="H1145" s="85">
        <v>287.43859649000001</v>
      </c>
      <c r="I1145" s="85"/>
      <c r="J1145" s="86"/>
      <c r="K1145" s="85">
        <v>83.092436969999994</v>
      </c>
      <c r="O1145" s="48">
        <f t="shared" si="149"/>
        <v>2.4585450836213898</v>
      </c>
      <c r="R1145" s="48">
        <f t="shared" si="148"/>
        <v>1.9195614963271745</v>
      </c>
      <c r="U1145" s="48">
        <v>2.4585450836213898</v>
      </c>
      <c r="V1145" s="48">
        <v>1.9195614963271745</v>
      </c>
      <c r="W1145" s="49">
        <f t="shared" si="135"/>
        <v>1.3091851558998451</v>
      </c>
      <c r="X1145" s="49"/>
      <c r="Y1145" s="49"/>
      <c r="Z1145" s="49"/>
    </row>
    <row r="1146" spans="1:33" s="45" customFormat="1" ht="15" hidden="1" customHeight="1">
      <c r="A1146" s="44" t="s">
        <v>113</v>
      </c>
      <c r="B1146" s="45" t="s">
        <v>133</v>
      </c>
      <c r="C1146" s="23" t="s">
        <v>134</v>
      </c>
      <c r="H1146" s="85">
        <v>288.93567251000002</v>
      </c>
      <c r="I1146" s="85"/>
      <c r="J1146" s="86"/>
      <c r="K1146" s="85">
        <v>95.731092439999998</v>
      </c>
      <c r="O1146" s="48">
        <f t="shared" si="149"/>
        <v>2.4608011639205256</v>
      </c>
      <c r="R1146" s="48">
        <f t="shared" si="148"/>
        <v>1.9810530149139747</v>
      </c>
      <c r="U1146" s="48">
        <v>2.4608011639205256</v>
      </c>
      <c r="V1146" s="48">
        <v>1.9810530149139747</v>
      </c>
      <c r="W1146" s="49">
        <f t="shared" si="135"/>
        <v>1.2498526447707297</v>
      </c>
      <c r="X1146" s="49"/>
      <c r="Y1146" s="49"/>
      <c r="Z1146" s="49"/>
    </row>
    <row r="1147" spans="1:33" s="45" customFormat="1" ht="15" hidden="1" customHeight="1">
      <c r="A1147" s="44" t="s">
        <v>113</v>
      </c>
      <c r="B1147" s="63" t="s">
        <v>133</v>
      </c>
      <c r="C1147" s="23" t="s">
        <v>134</v>
      </c>
      <c r="H1147" s="85">
        <v>307.64912280999999</v>
      </c>
      <c r="I1147" s="85"/>
      <c r="J1147" s="86"/>
      <c r="K1147" s="85">
        <v>101.37815126</v>
      </c>
      <c r="O1147" s="48">
        <f t="shared" si="149"/>
        <v>2.488055681135994</v>
      </c>
      <c r="R1147" s="48">
        <f t="shared" si="148"/>
        <v>2.0059443671310082</v>
      </c>
      <c r="U1147" s="48">
        <v>2.488055681135994</v>
      </c>
      <c r="V1147" s="48">
        <v>2.0059443671310082</v>
      </c>
      <c r="W1147" s="49">
        <f t="shared" ref="W1147:W1165" si="150">0.9539*(4.064-0.314*U1147-V1147)</f>
        <v>1.2179453855237452</v>
      </c>
      <c r="X1147" s="49"/>
      <c r="Y1147" s="49"/>
      <c r="Z1147" s="49"/>
    </row>
    <row r="1148" spans="1:33" s="45" customFormat="1" ht="15" hidden="1" customHeight="1">
      <c r="A1148" s="44" t="s">
        <v>113</v>
      </c>
      <c r="B1148" s="45" t="s">
        <v>133</v>
      </c>
      <c r="C1148" s="23" t="s">
        <v>134</v>
      </c>
      <c r="H1148" s="85">
        <v>322.61988303999999</v>
      </c>
      <c r="I1148" s="85"/>
      <c r="J1148" s="86"/>
      <c r="K1148" s="85">
        <v>105.94957983</v>
      </c>
      <c r="O1148" s="48">
        <f t="shared" si="149"/>
        <v>2.5086911294151863</v>
      </c>
      <c r="R1148" s="48">
        <f t="shared" si="148"/>
        <v>2.0250992387450268</v>
      </c>
      <c r="U1148" s="48">
        <v>2.5086911294151863</v>
      </c>
      <c r="V1148" s="48">
        <v>2.0250992387450268</v>
      </c>
      <c r="W1148" s="49">
        <f t="shared" si="150"/>
        <v>1.1934927290994872</v>
      </c>
      <c r="X1148" s="49"/>
      <c r="Y1148" s="49"/>
      <c r="Z1148" s="49"/>
    </row>
    <row r="1149" spans="1:33" s="45" customFormat="1" ht="15" hidden="1" customHeight="1">
      <c r="A1149" s="44" t="s">
        <v>113</v>
      </c>
      <c r="B1149" s="63" t="s">
        <v>133</v>
      </c>
      <c r="C1149" s="23" t="s">
        <v>134</v>
      </c>
      <c r="H1149" s="85">
        <v>323.36842104999999</v>
      </c>
      <c r="I1149" s="85"/>
      <c r="J1149" s="86"/>
      <c r="K1149" s="85">
        <v>111.86554622</v>
      </c>
      <c r="O1149" s="48">
        <f t="shared" si="149"/>
        <v>2.5096976060670921</v>
      </c>
      <c r="R1149" s="48">
        <f t="shared" si="148"/>
        <v>2.0486963475599902</v>
      </c>
      <c r="U1149" s="48">
        <v>2.5096976060670921</v>
      </c>
      <c r="V1149" s="48">
        <v>2.0486963475599902</v>
      </c>
      <c r="W1149" s="49">
        <f t="shared" si="150"/>
        <v>1.170681982484322</v>
      </c>
      <c r="X1149" s="49"/>
      <c r="Y1149" s="49"/>
      <c r="Z1149" s="49"/>
    </row>
    <row r="1150" spans="1:33" s="45" customFormat="1" ht="15" hidden="1" customHeight="1">
      <c r="A1150" s="44" t="s">
        <v>113</v>
      </c>
      <c r="B1150" s="45" t="s">
        <v>133</v>
      </c>
      <c r="C1150" s="23" t="s">
        <v>134</v>
      </c>
      <c r="H1150" s="85">
        <v>309.14619883</v>
      </c>
      <c r="I1150" s="85"/>
      <c r="J1150" s="86"/>
      <c r="K1150" s="85">
        <v>115.09243696999999</v>
      </c>
      <c r="O1150" s="48">
        <f t="shared" si="149"/>
        <v>2.4901639109115403</v>
      </c>
      <c r="R1150" s="48">
        <f t="shared" si="148"/>
        <v>2.0610467859224726</v>
      </c>
      <c r="U1150" s="48">
        <v>2.4901639109115403</v>
      </c>
      <c r="V1150" s="48">
        <v>2.0610467859224726</v>
      </c>
      <c r="W1150" s="49">
        <f t="shared" si="150"/>
        <v>1.1647517215583387</v>
      </c>
      <c r="X1150" s="49"/>
      <c r="Y1150" s="49"/>
      <c r="Z1150" s="49"/>
    </row>
    <row r="1151" spans="1:33" s="45" customFormat="1" ht="15" hidden="1" customHeight="1">
      <c r="A1151" s="44" t="s">
        <v>113</v>
      </c>
      <c r="B1151" s="63" t="s">
        <v>133</v>
      </c>
      <c r="C1151" s="23" t="s">
        <v>134</v>
      </c>
      <c r="H1151" s="85">
        <v>321.12280701999998</v>
      </c>
      <c r="I1151" s="85"/>
      <c r="J1151" s="86"/>
      <c r="K1151" s="85">
        <v>122.08403361000001</v>
      </c>
      <c r="O1151" s="48">
        <f t="shared" si="149"/>
        <v>2.5066711514437605</v>
      </c>
      <c r="R1151" s="48">
        <f t="shared" si="148"/>
        <v>2.0866588697722226</v>
      </c>
      <c r="U1151" s="48">
        <v>2.5066711514437605</v>
      </c>
      <c r="V1151" s="48">
        <v>2.0866588697722226</v>
      </c>
      <c r="W1151" s="49">
        <f t="shared" si="150"/>
        <v>1.1353760301565452</v>
      </c>
      <c r="X1151" s="49"/>
      <c r="Y1151" s="49"/>
      <c r="Z1151" s="49"/>
    </row>
    <row r="1152" spans="1:33" s="45" customFormat="1" ht="15" hidden="1" customHeight="1">
      <c r="A1152" s="44" t="s">
        <v>113</v>
      </c>
      <c r="B1152" s="45" t="s">
        <v>133</v>
      </c>
      <c r="C1152" s="23" t="s">
        <v>134</v>
      </c>
      <c r="H1152" s="85">
        <v>388.49122806999998</v>
      </c>
      <c r="I1152" s="85"/>
      <c r="J1152" s="86"/>
      <c r="K1152" s="85">
        <v>122.08403361000001</v>
      </c>
      <c r="O1152" s="48">
        <f t="shared" si="149"/>
        <v>2.5893812171039761</v>
      </c>
      <c r="R1152" s="48">
        <f t="shared" si="148"/>
        <v>2.0866588697722226</v>
      </c>
      <c r="U1152" s="48">
        <v>2.5893812171039761</v>
      </c>
      <c r="V1152" s="48">
        <v>2.0866588697722226</v>
      </c>
      <c r="W1152" s="49">
        <f t="shared" si="150"/>
        <v>1.1106023308236952</v>
      </c>
      <c r="X1152" s="49"/>
      <c r="Y1152" s="49"/>
      <c r="Z1152" s="49"/>
    </row>
    <row r="1153" spans="1:26" s="45" customFormat="1" ht="15" hidden="1" customHeight="1">
      <c r="A1153" s="44" t="s">
        <v>113</v>
      </c>
      <c r="B1153" s="63" t="s">
        <v>133</v>
      </c>
      <c r="C1153" s="23" t="s">
        <v>134</v>
      </c>
      <c r="H1153" s="85">
        <v>442.38596490999998</v>
      </c>
      <c r="I1153" s="85"/>
      <c r="J1153" s="86"/>
      <c r="K1153" s="85">
        <v>135.52941175999999</v>
      </c>
      <c r="O1153" s="48">
        <f t="shared" si="149"/>
        <v>2.6458013401347307</v>
      </c>
      <c r="R1153" s="48">
        <f t="shared" si="148"/>
        <v>2.1320335533578207</v>
      </c>
      <c r="U1153" s="48">
        <v>2.6458013401347307</v>
      </c>
      <c r="V1153" s="48">
        <v>2.1320335533578207</v>
      </c>
      <c r="W1153" s="49">
        <f t="shared" si="150"/>
        <v>1.0504202053686555</v>
      </c>
      <c r="X1153" s="49"/>
      <c r="Y1153" s="49"/>
      <c r="Z1153" s="49"/>
    </row>
    <row r="1154" spans="1:26" s="45" customFormat="1" ht="15" hidden="1" customHeight="1">
      <c r="A1154" s="44" t="s">
        <v>113</v>
      </c>
      <c r="B1154" s="45" t="s">
        <v>133</v>
      </c>
      <c r="C1154" s="23" t="s">
        <v>134</v>
      </c>
      <c r="H1154" s="85">
        <v>476.81871345000002</v>
      </c>
      <c r="I1154" s="85"/>
      <c r="J1154" s="86"/>
      <c r="K1154" s="85">
        <v>143.05882353000001</v>
      </c>
      <c r="O1154" s="48">
        <f t="shared" si="149"/>
        <v>2.6783532915907986</v>
      </c>
      <c r="R1154" s="48">
        <f t="shared" si="148"/>
        <v>2.1555146492242092</v>
      </c>
      <c r="U1154" s="48">
        <v>2.6783532915907986</v>
      </c>
      <c r="V1154" s="48">
        <v>2.1555146492242092</v>
      </c>
      <c r="W1154" s="49">
        <f t="shared" si="150"/>
        <v>1.0182714777826096</v>
      </c>
      <c r="X1154" s="49"/>
      <c r="Y1154" s="49"/>
      <c r="Z1154" s="49"/>
    </row>
    <row r="1155" spans="1:26" s="45" customFormat="1" ht="15" hidden="1" customHeight="1">
      <c r="A1155" s="44" t="s">
        <v>113</v>
      </c>
      <c r="B1155" s="63" t="s">
        <v>133</v>
      </c>
      <c r="C1155" s="23" t="s">
        <v>134</v>
      </c>
      <c r="H1155" s="85">
        <v>481.30994152</v>
      </c>
      <c r="I1155" s="85"/>
      <c r="J1155" s="86"/>
      <c r="K1155" s="85">
        <v>145.21008402999999</v>
      </c>
      <c r="O1155" s="48">
        <f t="shared" si="149"/>
        <v>2.6824248321795143</v>
      </c>
      <c r="R1155" s="48">
        <f t="shared" si="148"/>
        <v>2.1619967767395365</v>
      </c>
      <c r="U1155" s="48">
        <v>2.6824248321795143</v>
      </c>
      <c r="V1155" s="48">
        <v>2.1619967767395365</v>
      </c>
      <c r="W1155" s="49">
        <f t="shared" si="150"/>
        <v>1.0108686497795201</v>
      </c>
      <c r="X1155" s="49"/>
      <c r="Y1155" s="49"/>
      <c r="Z1155" s="49"/>
    </row>
    <row r="1156" spans="1:26" s="45" customFormat="1" ht="15" hidden="1" customHeight="1">
      <c r="A1156" s="44" t="s">
        <v>113</v>
      </c>
      <c r="B1156" s="45" t="s">
        <v>133</v>
      </c>
      <c r="C1156" s="23" t="s">
        <v>134</v>
      </c>
      <c r="H1156" s="85"/>
      <c r="I1156" s="85"/>
      <c r="J1156" s="85"/>
      <c r="K1156" s="85"/>
      <c r="O1156" s="48"/>
      <c r="R1156" s="48"/>
      <c r="U1156" s="48"/>
      <c r="V1156" s="48"/>
      <c r="W1156" s="49"/>
      <c r="X1156" s="49"/>
      <c r="Y1156" s="49"/>
      <c r="Z1156" s="49"/>
    </row>
    <row r="1157" spans="1:26" s="45" customFormat="1" ht="15" hidden="1" customHeight="1">
      <c r="A1157" s="44" t="s">
        <v>113</v>
      </c>
      <c r="B1157" s="63" t="s">
        <v>133</v>
      </c>
      <c r="C1157" s="23" t="s">
        <v>135</v>
      </c>
      <c r="H1157" s="85">
        <v>306.15204677999998</v>
      </c>
      <c r="I1157" s="85"/>
      <c r="J1157" s="85"/>
      <c r="K1157" s="85">
        <v>87.394957980000001</v>
      </c>
      <c r="O1157" s="48">
        <f t="shared" si="149"/>
        <v>2.4859371672579131</v>
      </c>
      <c r="R1157" s="48">
        <f t="shared" ref="R1157:R1173" si="151">LOG10(K1157)</f>
        <v>1.9414863778903813</v>
      </c>
      <c r="U1157" s="48">
        <v>2.4859371672579131</v>
      </c>
      <c r="V1157" s="48">
        <v>1.9414863778903813</v>
      </c>
      <c r="W1157" s="49">
        <f t="shared" si="150"/>
        <v>1.2800664084823059</v>
      </c>
      <c r="X1157" s="49"/>
      <c r="Y1157" s="49"/>
      <c r="Z1157" s="49"/>
    </row>
    <row r="1158" spans="1:26" s="45" customFormat="1" ht="15" hidden="1" customHeight="1">
      <c r="A1158" s="44" t="s">
        <v>113</v>
      </c>
      <c r="B1158" s="45" t="s">
        <v>133</v>
      </c>
      <c r="C1158" s="23" t="s">
        <v>135</v>
      </c>
      <c r="H1158" s="85">
        <v>305.40350876999997</v>
      </c>
      <c r="I1158" s="85"/>
      <c r="J1158" s="85"/>
      <c r="K1158" s="85">
        <v>104.60504202</v>
      </c>
      <c r="O1158" s="48">
        <f t="shared" si="149"/>
        <v>2.4848740223428503</v>
      </c>
      <c r="R1158" s="48">
        <f t="shared" si="151"/>
        <v>2.0195526182663408</v>
      </c>
      <c r="U1158" s="48">
        <v>2.4848740223428503</v>
      </c>
      <c r="V1158" s="48">
        <v>2.0195526182663408</v>
      </c>
      <c r="W1158" s="49">
        <f t="shared" si="150"/>
        <v>1.2059174598431044</v>
      </c>
      <c r="X1158" s="49"/>
      <c r="Y1158" s="49"/>
      <c r="Z1158" s="49"/>
    </row>
    <row r="1159" spans="1:26" s="45" customFormat="1" ht="15" hidden="1" customHeight="1">
      <c r="A1159" s="44" t="s">
        <v>113</v>
      </c>
      <c r="B1159" s="63" t="s">
        <v>133</v>
      </c>
      <c r="C1159" s="23" t="s">
        <v>135</v>
      </c>
      <c r="H1159" s="85">
        <v>352.56140350999999</v>
      </c>
      <c r="I1159" s="85"/>
      <c r="J1159" s="85"/>
      <c r="K1159" s="85">
        <v>115.89915966</v>
      </c>
      <c r="O1159" s="48">
        <f t="shared" si="149"/>
        <v>2.5472347663861235</v>
      </c>
      <c r="R1159" s="48">
        <f t="shared" si="151"/>
        <v>2.0640802870736219</v>
      </c>
      <c r="U1159" s="48">
        <v>2.5472347663861235</v>
      </c>
      <c r="V1159" s="48">
        <v>2.0640802870736219</v>
      </c>
      <c r="W1159" s="49">
        <f t="shared" si="150"/>
        <v>1.1447639396525748</v>
      </c>
      <c r="X1159" s="49"/>
      <c r="Y1159" s="49"/>
      <c r="Z1159" s="49"/>
    </row>
    <row r="1160" spans="1:26" s="45" customFormat="1" ht="15" hidden="1" customHeight="1">
      <c r="A1160" s="44" t="s">
        <v>113</v>
      </c>
      <c r="B1160" s="45" t="s">
        <v>133</v>
      </c>
      <c r="C1160" s="23" t="s">
        <v>135</v>
      </c>
      <c r="H1160" s="85">
        <v>376.51461988</v>
      </c>
      <c r="I1160" s="85"/>
      <c r="J1160" s="85"/>
      <c r="K1160" s="85">
        <v>128.26890756</v>
      </c>
      <c r="O1160" s="48">
        <f t="shared" si="149"/>
        <v>2.5757818443081342</v>
      </c>
      <c r="R1160" s="48">
        <f t="shared" si="151"/>
        <v>2.1081213959572462</v>
      </c>
      <c r="U1160" s="48">
        <v>2.5757818443081342</v>
      </c>
      <c r="V1160" s="48">
        <v>2.1081213959572462</v>
      </c>
      <c r="W1160" s="49">
        <f t="shared" si="150"/>
        <v>1.0942025737927266</v>
      </c>
      <c r="X1160" s="49"/>
      <c r="Y1160" s="49"/>
      <c r="Z1160" s="49"/>
    </row>
    <row r="1161" spans="1:26" s="45" customFormat="1" ht="15" hidden="1" customHeight="1">
      <c r="A1161" s="44" t="s">
        <v>113</v>
      </c>
      <c r="B1161" s="63" t="s">
        <v>133</v>
      </c>
      <c r="C1161" s="23" t="s">
        <v>135</v>
      </c>
      <c r="H1161" s="85">
        <v>389.23976607999998</v>
      </c>
      <c r="I1161" s="85"/>
      <c r="J1161" s="85"/>
      <c r="K1161" s="85">
        <v>127.46218487</v>
      </c>
      <c r="O1161" s="48">
        <f t="shared" si="149"/>
        <v>2.5902172028884256</v>
      </c>
      <c r="R1161" s="48">
        <f t="shared" si="151"/>
        <v>2.1053813585880032</v>
      </c>
      <c r="U1161" s="48">
        <v>2.5902172028884256</v>
      </c>
      <c r="V1161" s="48">
        <v>2.1053813585880032</v>
      </c>
      <c r="W1161" s="49">
        <f t="shared" si="150"/>
        <v>1.0924925504346292</v>
      </c>
      <c r="X1161" s="49"/>
      <c r="Y1161" s="49"/>
      <c r="Z1161" s="49"/>
    </row>
    <row r="1162" spans="1:26" s="45" customFormat="1" ht="15" hidden="1" customHeight="1">
      <c r="A1162" s="44" t="s">
        <v>113</v>
      </c>
      <c r="B1162" s="45" t="s">
        <v>133</v>
      </c>
      <c r="C1162" s="23" t="s">
        <v>135</v>
      </c>
      <c r="H1162" s="85">
        <v>323.36842104999999</v>
      </c>
      <c r="I1162" s="85"/>
      <c r="J1162" s="85"/>
      <c r="K1162" s="85">
        <v>102.99159664</v>
      </c>
      <c r="O1162" s="48">
        <f t="shared" si="149"/>
        <v>2.5096976060670921</v>
      </c>
      <c r="R1162" s="48">
        <f t="shared" si="151"/>
        <v>2.0128017909016678</v>
      </c>
      <c r="U1162" s="48">
        <v>2.5096976060670921</v>
      </c>
      <c r="V1162" s="48">
        <v>2.0128017909016678</v>
      </c>
      <c r="W1162" s="49">
        <f t="shared" si="150"/>
        <v>1.2049218000806958</v>
      </c>
      <c r="X1162" s="49"/>
      <c r="Y1162" s="49"/>
      <c r="Z1162" s="49"/>
    </row>
    <row r="1163" spans="1:26" s="45" customFormat="1" ht="15" hidden="1" customHeight="1">
      <c r="A1163" s="44" t="s">
        <v>113</v>
      </c>
      <c r="B1163" s="63" t="s">
        <v>133</v>
      </c>
      <c r="C1163" s="23" t="s">
        <v>135</v>
      </c>
      <c r="H1163" s="85">
        <v>409.45029240000002</v>
      </c>
      <c r="I1163" s="85"/>
      <c r="J1163" s="85"/>
      <c r="K1163" s="85">
        <v>123.96638655</v>
      </c>
      <c r="O1163" s="48">
        <f t="shared" si="149"/>
        <v>2.6122011855916263</v>
      </c>
      <c r="R1163" s="48">
        <f t="shared" si="151"/>
        <v>2.0933039423008317</v>
      </c>
      <c r="U1163" s="48">
        <v>2.6122011855916263</v>
      </c>
      <c r="V1163" s="48">
        <v>2.0933039423008317</v>
      </c>
      <c r="W1163" s="49">
        <f t="shared" si="150"/>
        <v>1.0974284542053789</v>
      </c>
      <c r="X1163" s="49"/>
      <c r="Y1163" s="49"/>
      <c r="Z1163" s="49"/>
    </row>
    <row r="1164" spans="1:26" s="45" customFormat="1" ht="15" hidden="1" customHeight="1">
      <c r="A1164" s="44" t="s">
        <v>113</v>
      </c>
      <c r="B1164" s="45" t="s">
        <v>133</v>
      </c>
      <c r="C1164" s="23" t="s">
        <v>135</v>
      </c>
      <c r="H1164" s="85">
        <v>425.16959064000002</v>
      </c>
      <c r="I1164" s="85"/>
      <c r="J1164" s="85"/>
      <c r="K1164" s="85">
        <v>128.80672268999999</v>
      </c>
      <c r="O1164" s="48">
        <f t="shared" si="149"/>
        <v>2.6285621949633882</v>
      </c>
      <c r="R1164" s="48">
        <f t="shared" si="151"/>
        <v>2.1099385303450551</v>
      </c>
      <c r="U1164" s="48">
        <v>2.6285621949633882</v>
      </c>
      <c r="V1164" s="48">
        <v>2.1099385303450551</v>
      </c>
      <c r="W1164" s="49">
        <f t="shared" si="150"/>
        <v>1.0766601958823212</v>
      </c>
      <c r="X1164" s="49"/>
      <c r="Y1164" s="49"/>
      <c r="Z1164" s="49"/>
    </row>
    <row r="1165" spans="1:26" s="45" customFormat="1" ht="15" hidden="1" customHeight="1">
      <c r="A1165" s="44" t="s">
        <v>113</v>
      </c>
      <c r="B1165" s="63" t="s">
        <v>133</v>
      </c>
      <c r="C1165" s="23" t="s">
        <v>135</v>
      </c>
      <c r="H1165" s="85">
        <v>476.81871345000002</v>
      </c>
      <c r="I1165" s="85"/>
      <c r="J1165" s="85"/>
      <c r="K1165" s="85">
        <v>140.63865546</v>
      </c>
      <c r="O1165" s="48">
        <f t="shared" si="149"/>
        <v>2.6783532915907986</v>
      </c>
      <c r="R1165" s="48">
        <f t="shared" si="151"/>
        <v>2.1481047057879024</v>
      </c>
      <c r="U1165" s="48">
        <v>2.6783532915907986</v>
      </c>
      <c r="V1165" s="48">
        <v>2.1481047057879024</v>
      </c>
      <c r="W1165" s="49">
        <f t="shared" si="150"/>
        <v>1.0253398228265027</v>
      </c>
      <c r="X1165" s="49"/>
      <c r="Y1165" s="49"/>
      <c r="Z1165" s="49"/>
    </row>
    <row r="1166" spans="1:26" s="45" customFormat="1" ht="15" hidden="1" customHeight="1">
      <c r="A1166" s="44" t="s">
        <v>113</v>
      </c>
      <c r="B1166" s="45" t="s">
        <v>133</v>
      </c>
      <c r="C1166" s="23" t="s">
        <v>135</v>
      </c>
      <c r="H1166" s="85"/>
      <c r="I1166" s="85"/>
      <c r="J1166" s="85"/>
      <c r="K1166" s="85"/>
      <c r="O1166" s="48"/>
      <c r="R1166" s="48"/>
      <c r="U1166" s="48"/>
      <c r="V1166" s="48"/>
      <c r="W1166" s="49"/>
      <c r="X1166" s="49"/>
      <c r="Y1166" s="49"/>
      <c r="Z1166" s="49"/>
    </row>
    <row r="1167" spans="1:26" s="45" customFormat="1" ht="15" hidden="1" customHeight="1">
      <c r="A1167" s="44" t="s">
        <v>113</v>
      </c>
      <c r="B1167" s="63" t="s">
        <v>133</v>
      </c>
      <c r="C1167" s="23" t="s">
        <v>135</v>
      </c>
      <c r="H1167" s="85"/>
      <c r="I1167" s="85"/>
      <c r="J1167" s="85"/>
      <c r="K1167" s="85"/>
      <c r="O1167" s="48"/>
      <c r="R1167" s="48"/>
      <c r="U1167" s="48"/>
      <c r="V1167" s="48"/>
      <c r="W1167" s="49"/>
      <c r="X1167" s="49"/>
      <c r="Y1167" s="49"/>
      <c r="Z1167" s="49"/>
    </row>
    <row r="1168" spans="1:26" s="45" customFormat="1" ht="15" hidden="1" customHeight="1">
      <c r="A1168" s="44" t="s">
        <v>113</v>
      </c>
      <c r="B1168" s="45" t="s">
        <v>133</v>
      </c>
      <c r="C1168" s="23" t="s">
        <v>136</v>
      </c>
      <c r="H1168" s="85">
        <v>465.59064326999999</v>
      </c>
      <c r="I1168" s="85"/>
      <c r="J1168" s="85"/>
      <c r="K1168" s="85">
        <v>150.58823529</v>
      </c>
      <c r="O1168" s="48">
        <f t="shared" si="149"/>
        <v>2.6680042439420055</v>
      </c>
      <c r="R1168" s="48">
        <f t="shared" si="151"/>
        <v>2.1777910439217005</v>
      </c>
      <c r="U1168" s="48">
        <v>2.6680042439420055</v>
      </c>
      <c r="V1168" s="48">
        <v>2.1777910439217005</v>
      </c>
      <c r="W1168" s="49">
        <f t="shared" ref="W1168:W1173" si="152">0.9539*(4.064-0.314*U1168-V1168)</f>
        <v>1.0001218192380585</v>
      </c>
      <c r="X1168" s="49"/>
      <c r="Y1168" s="49"/>
      <c r="Z1168" s="49"/>
    </row>
    <row r="1169" spans="1:26" s="45" customFormat="1" ht="15" hidden="1" customHeight="1">
      <c r="A1169" s="44" t="s">
        <v>113</v>
      </c>
      <c r="B1169" s="63" t="s">
        <v>133</v>
      </c>
      <c r="C1169" s="23" t="s">
        <v>136</v>
      </c>
      <c r="H1169" s="85">
        <v>499.27485380000002</v>
      </c>
      <c r="I1169" s="85"/>
      <c r="J1169" s="85"/>
      <c r="K1169" s="85">
        <v>158.92436975000001</v>
      </c>
      <c r="O1169" s="48">
        <f t="shared" si="149"/>
        <v>2.698339693171246</v>
      </c>
      <c r="R1169" s="48">
        <f t="shared" si="151"/>
        <v>2.2011904978143715</v>
      </c>
      <c r="U1169" s="48">
        <v>2.698339693171246</v>
      </c>
      <c r="V1169" s="48">
        <v>2.2011904978143715</v>
      </c>
      <c r="W1169" s="49">
        <f t="shared" si="152"/>
        <v>0.96871486687363073</v>
      </c>
      <c r="X1169" s="49"/>
      <c r="Y1169" s="49"/>
      <c r="Z1169" s="49"/>
    </row>
    <row r="1170" spans="1:26" s="45" customFormat="1" ht="15" hidden="1" customHeight="1">
      <c r="A1170" s="44" t="s">
        <v>113</v>
      </c>
      <c r="B1170" s="45" t="s">
        <v>133</v>
      </c>
      <c r="C1170" s="23" t="s">
        <v>136</v>
      </c>
      <c r="H1170" s="85">
        <v>508.25730994000003</v>
      </c>
      <c r="I1170" s="85"/>
      <c r="J1170" s="85"/>
      <c r="K1170" s="85">
        <v>156.50420167999999</v>
      </c>
      <c r="O1170" s="48">
        <f t="shared" si="149"/>
        <v>2.706083633534917</v>
      </c>
      <c r="R1170" s="48">
        <f t="shared" si="151"/>
        <v>2.1945260015753982</v>
      </c>
      <c r="U1170" s="48">
        <v>2.706083633534917</v>
      </c>
      <c r="V1170" s="48">
        <v>2.1945260015753982</v>
      </c>
      <c r="W1170" s="49">
        <f t="shared" si="152"/>
        <v>0.97275262919613514</v>
      </c>
      <c r="X1170" s="49"/>
      <c r="Y1170" s="49"/>
      <c r="Z1170" s="49"/>
    </row>
    <row r="1171" spans="1:26" s="45" customFormat="1" ht="15" hidden="1" customHeight="1">
      <c r="A1171" s="44" t="s">
        <v>113</v>
      </c>
      <c r="B1171" s="63" t="s">
        <v>133</v>
      </c>
      <c r="C1171" s="23" t="s">
        <v>136</v>
      </c>
      <c r="H1171" s="85">
        <v>555.41520467999999</v>
      </c>
      <c r="I1171" s="85"/>
      <c r="J1171" s="85"/>
      <c r="K1171" s="85">
        <v>170.48739495999999</v>
      </c>
      <c r="O1171" s="48">
        <f t="shared" si="149"/>
        <v>2.7446177645360219</v>
      </c>
      <c r="R1171" s="48">
        <f t="shared" si="151"/>
        <v>2.2316922748142454</v>
      </c>
      <c r="U1171" s="48">
        <v>2.7446177645360219</v>
      </c>
      <c r="V1171" s="48">
        <v>2.2316922748142454</v>
      </c>
      <c r="W1171" s="49">
        <f t="shared" si="152"/>
        <v>0.92575780097914517</v>
      </c>
      <c r="X1171" s="49"/>
      <c r="Y1171" s="49"/>
      <c r="Z1171" s="49"/>
    </row>
    <row r="1172" spans="1:26" s="45" customFormat="1" ht="15" hidden="1" customHeight="1">
      <c r="A1172" s="44" t="s">
        <v>113</v>
      </c>
      <c r="B1172" s="45" t="s">
        <v>133</v>
      </c>
      <c r="C1172" s="23" t="s">
        <v>136</v>
      </c>
      <c r="H1172" s="85">
        <v>613.80116958999997</v>
      </c>
      <c r="I1172" s="85"/>
      <c r="J1172" s="85"/>
      <c r="K1172" s="85">
        <v>182.05042017</v>
      </c>
      <c r="O1172" s="48">
        <f t="shared" si="149"/>
        <v>2.7880277116389762</v>
      </c>
      <c r="R1172" s="48">
        <f t="shared" si="151"/>
        <v>2.2601916856171305</v>
      </c>
      <c r="U1172" s="48">
        <v>2.7880277116389762</v>
      </c>
      <c r="V1172" s="48">
        <v>2.2601916856171305</v>
      </c>
      <c r="W1172" s="49">
        <f t="shared" si="152"/>
        <v>0.88556986597223952</v>
      </c>
      <c r="X1172" s="49"/>
      <c r="Y1172" s="49"/>
      <c r="Z1172" s="49"/>
    </row>
    <row r="1173" spans="1:26" s="45" customFormat="1" ht="15" hidden="1" customHeight="1">
      <c r="A1173" s="44" t="s">
        <v>113</v>
      </c>
      <c r="B1173" s="63" t="s">
        <v>133</v>
      </c>
      <c r="C1173" s="23" t="s">
        <v>136</v>
      </c>
      <c r="H1173" s="85">
        <v>613.80116958999997</v>
      </c>
      <c r="I1173" s="85"/>
      <c r="J1173" s="85"/>
      <c r="K1173" s="85">
        <v>191.19327731000001</v>
      </c>
      <c r="O1173" s="48">
        <f t="shared" si="149"/>
        <v>2.7880277116389762</v>
      </c>
      <c r="R1173" s="48">
        <f t="shared" si="151"/>
        <v>2.2814726176550417</v>
      </c>
      <c r="U1173" s="48">
        <v>2.7880277116389762</v>
      </c>
      <c r="V1173" s="48">
        <v>2.2814726176550417</v>
      </c>
      <c r="W1173" s="49">
        <f t="shared" si="152"/>
        <v>0.86526998490127593</v>
      </c>
      <c r="X1173" s="49"/>
      <c r="Y1173" s="49"/>
      <c r="Z1173" s="49"/>
    </row>
    <row r="1174" spans="1:26" s="45" customFormat="1" ht="12.75" hidden="1" customHeight="1">
      <c r="A1174" s="22" t="s">
        <v>126</v>
      </c>
      <c r="B1174" s="24" t="s">
        <v>127</v>
      </c>
      <c r="C1174" s="23" t="s">
        <v>91</v>
      </c>
      <c r="O1174" s="45">
        <v>3.23</v>
      </c>
      <c r="P1174" s="23"/>
      <c r="Q1174" s="23"/>
      <c r="R1174" s="26">
        <v>1.92</v>
      </c>
      <c r="U1174" s="45">
        <v>3.23</v>
      </c>
      <c r="V1174" s="26">
        <v>1.92</v>
      </c>
      <c r="W1174" s="49">
        <f t="shared" ref="W1174:W1237" si="153">0.9539*(4.064-0.314*U1174-V1174)</f>
        <v>1.0776971420000001</v>
      </c>
      <c r="X1174" s="49"/>
      <c r="Y1174" s="49"/>
      <c r="Z1174" s="49"/>
    </row>
    <row r="1175" spans="1:26" s="45" customFormat="1" ht="12.75" hidden="1" customHeight="1">
      <c r="A1175" s="22" t="s">
        <v>126</v>
      </c>
      <c r="B1175" s="24" t="s">
        <v>127</v>
      </c>
      <c r="C1175" s="23" t="s">
        <v>91</v>
      </c>
      <c r="O1175" s="45">
        <v>3.23</v>
      </c>
      <c r="P1175" s="23"/>
      <c r="Q1175" s="23"/>
      <c r="R1175" s="26">
        <v>1.99</v>
      </c>
      <c r="U1175" s="45">
        <v>3.23</v>
      </c>
      <c r="V1175" s="26">
        <v>1.99</v>
      </c>
      <c r="W1175" s="49">
        <f t="shared" si="153"/>
        <v>1.0109241420000001</v>
      </c>
      <c r="X1175" s="49"/>
      <c r="Y1175" s="49"/>
      <c r="Z1175" s="49"/>
    </row>
    <row r="1176" spans="1:26" s="45" customFormat="1" ht="12.75" hidden="1" customHeight="1">
      <c r="A1176" s="22" t="s">
        <v>126</v>
      </c>
      <c r="B1176" s="24" t="s">
        <v>127</v>
      </c>
      <c r="C1176" s="23" t="s">
        <v>91</v>
      </c>
      <c r="O1176" s="45">
        <v>3.25</v>
      </c>
      <c r="P1176" s="23"/>
      <c r="Q1176" s="23"/>
      <c r="R1176" s="26">
        <v>2.15</v>
      </c>
      <c r="U1176" s="45">
        <v>3.25</v>
      </c>
      <c r="V1176" s="26">
        <v>2.15</v>
      </c>
      <c r="W1176" s="49">
        <f t="shared" si="153"/>
        <v>0.85230964999999992</v>
      </c>
      <c r="X1176" s="49"/>
      <c r="Y1176" s="49"/>
      <c r="Z1176" s="49"/>
    </row>
    <row r="1177" spans="1:26" s="45" customFormat="1" ht="12.75" hidden="1" customHeight="1">
      <c r="A1177" s="22" t="s">
        <v>126</v>
      </c>
      <c r="B1177" s="24" t="s">
        <v>127</v>
      </c>
      <c r="C1177" s="23" t="s">
        <v>91</v>
      </c>
      <c r="O1177" s="45">
        <v>3.29</v>
      </c>
      <c r="P1177" s="23"/>
      <c r="Q1177" s="23"/>
      <c r="R1177" s="26">
        <v>2.04</v>
      </c>
      <c r="U1177" s="45">
        <v>3.29</v>
      </c>
      <c r="V1177" s="26">
        <v>2.04</v>
      </c>
      <c r="W1177" s="49">
        <f t="shared" si="153"/>
        <v>0.94525766600000016</v>
      </c>
      <c r="X1177" s="49"/>
      <c r="Y1177" s="49"/>
      <c r="Z1177" s="49"/>
    </row>
    <row r="1178" spans="1:26" s="45" customFormat="1" ht="12.75" hidden="1" customHeight="1">
      <c r="A1178" s="22" t="s">
        <v>126</v>
      </c>
      <c r="B1178" s="24" t="s">
        <v>127</v>
      </c>
      <c r="C1178" s="23" t="s">
        <v>91</v>
      </c>
      <c r="O1178" s="45">
        <v>3.29</v>
      </c>
      <c r="P1178" s="23"/>
      <c r="Q1178" s="23"/>
      <c r="R1178" s="26">
        <v>2.11</v>
      </c>
      <c r="U1178" s="45">
        <v>3.29</v>
      </c>
      <c r="V1178" s="26">
        <v>2.11</v>
      </c>
      <c r="W1178" s="49">
        <f t="shared" si="153"/>
        <v>0.8784846660000003</v>
      </c>
      <c r="X1178" s="49"/>
      <c r="Y1178" s="49"/>
      <c r="Z1178" s="49"/>
    </row>
    <row r="1179" spans="1:26" s="45" customFormat="1" ht="12.75" hidden="1" customHeight="1">
      <c r="A1179" s="22" t="s">
        <v>126</v>
      </c>
      <c r="B1179" s="24" t="s">
        <v>127</v>
      </c>
      <c r="C1179" s="23" t="s">
        <v>91</v>
      </c>
      <c r="O1179" s="45">
        <v>3.31</v>
      </c>
      <c r="P1179" s="23"/>
      <c r="Q1179" s="23"/>
      <c r="R1179" s="26">
        <v>2.14</v>
      </c>
      <c r="U1179" s="45">
        <v>3.31</v>
      </c>
      <c r="V1179" s="26">
        <v>2.14</v>
      </c>
      <c r="W1179" s="49">
        <f t="shared" si="153"/>
        <v>0.84387717399999973</v>
      </c>
      <c r="X1179" s="49"/>
      <c r="Y1179" s="49"/>
      <c r="Z1179" s="49"/>
    </row>
    <row r="1180" spans="1:26" s="45" customFormat="1" ht="12.75" hidden="1" customHeight="1">
      <c r="A1180" s="22" t="s">
        <v>126</v>
      </c>
      <c r="B1180" s="24" t="s">
        <v>127</v>
      </c>
      <c r="C1180" s="23" t="s">
        <v>91</v>
      </c>
      <c r="O1180" s="45">
        <v>3.33</v>
      </c>
      <c r="P1180" s="23"/>
      <c r="Q1180" s="23"/>
      <c r="R1180" s="26">
        <v>2.12</v>
      </c>
      <c r="U1180" s="45">
        <v>3.33</v>
      </c>
      <c r="V1180" s="26">
        <v>2.12</v>
      </c>
      <c r="W1180" s="49">
        <f t="shared" si="153"/>
        <v>0.85696468199999998</v>
      </c>
      <c r="X1180" s="49"/>
      <c r="Y1180" s="49"/>
      <c r="Z1180" s="49"/>
    </row>
    <row r="1181" spans="1:26" s="45" customFormat="1" ht="12.75" hidden="1" customHeight="1">
      <c r="A1181" s="22" t="s">
        <v>126</v>
      </c>
      <c r="B1181" s="24" t="s">
        <v>127</v>
      </c>
      <c r="C1181" s="23" t="s">
        <v>91</v>
      </c>
      <c r="O1181" s="45">
        <v>3.35</v>
      </c>
      <c r="P1181" s="23"/>
      <c r="Q1181" s="23"/>
      <c r="R1181" s="26">
        <v>2.16</v>
      </c>
      <c r="U1181" s="45">
        <v>3.35</v>
      </c>
      <c r="V1181" s="26">
        <v>2.16</v>
      </c>
      <c r="W1181" s="49">
        <f t="shared" si="153"/>
        <v>0.81281819</v>
      </c>
      <c r="X1181" s="49"/>
      <c r="Y1181" s="49"/>
      <c r="Z1181" s="49"/>
    </row>
    <row r="1182" spans="1:26" s="45" customFormat="1" ht="12.75" hidden="1" customHeight="1">
      <c r="A1182" s="22" t="s">
        <v>126</v>
      </c>
      <c r="B1182" s="24" t="s">
        <v>127</v>
      </c>
      <c r="C1182" s="23" t="s">
        <v>91</v>
      </c>
      <c r="O1182" s="45">
        <v>3.38</v>
      </c>
      <c r="P1182" s="23"/>
      <c r="Q1182" s="23"/>
      <c r="R1182" s="26">
        <v>2.13</v>
      </c>
      <c r="U1182" s="45">
        <v>3.38</v>
      </c>
      <c r="V1182" s="26">
        <v>2.13</v>
      </c>
      <c r="W1182" s="49">
        <f t="shared" si="153"/>
        <v>0.83244945199999987</v>
      </c>
      <c r="X1182" s="49"/>
      <c r="Y1182" s="49"/>
      <c r="Z1182" s="49"/>
    </row>
    <row r="1183" spans="1:26" s="45" customFormat="1" ht="12.75" hidden="1" customHeight="1">
      <c r="A1183" s="22" t="s">
        <v>126</v>
      </c>
      <c r="B1183" s="24" t="s">
        <v>127</v>
      </c>
      <c r="C1183" s="23" t="s">
        <v>91</v>
      </c>
      <c r="O1183" s="45">
        <v>3.39</v>
      </c>
      <c r="P1183" s="23"/>
      <c r="Q1183" s="23"/>
      <c r="R1183" s="26">
        <v>2.17</v>
      </c>
      <c r="U1183" s="45">
        <v>3.39</v>
      </c>
      <c r="V1183" s="26">
        <v>2.17</v>
      </c>
      <c r="W1183" s="49">
        <f t="shared" si="153"/>
        <v>0.79129820600000011</v>
      </c>
      <c r="X1183" s="49"/>
      <c r="Y1183" s="49"/>
      <c r="Z1183" s="49"/>
    </row>
    <row r="1184" spans="1:26" s="45" customFormat="1" ht="12.75" hidden="1" customHeight="1">
      <c r="A1184" s="22" t="s">
        <v>126</v>
      </c>
      <c r="B1184" s="24" t="s">
        <v>127</v>
      </c>
      <c r="C1184" s="23" t="s">
        <v>91</v>
      </c>
      <c r="O1184" s="45">
        <v>3.36</v>
      </c>
      <c r="P1184" s="23"/>
      <c r="Q1184" s="23"/>
      <c r="R1184" s="26">
        <v>1.9</v>
      </c>
      <c r="U1184" s="45">
        <v>3.36</v>
      </c>
      <c r="V1184" s="26">
        <v>1.9</v>
      </c>
      <c r="W1184" s="49">
        <f t="shared" si="153"/>
        <v>1.0578369440000002</v>
      </c>
      <c r="X1184" s="49"/>
      <c r="Y1184" s="49"/>
      <c r="Z1184" s="49"/>
    </row>
    <row r="1185" spans="1:26" s="45" customFormat="1" ht="12.75" hidden="1" customHeight="1">
      <c r="A1185" s="22" t="s">
        <v>126</v>
      </c>
      <c r="B1185" s="24" t="s">
        <v>127</v>
      </c>
      <c r="C1185" s="23" t="s">
        <v>91</v>
      </c>
      <c r="O1185" s="45">
        <v>3.45</v>
      </c>
      <c r="P1185" s="23"/>
      <c r="Q1185" s="23"/>
      <c r="R1185" s="26">
        <v>1.74</v>
      </c>
      <c r="U1185" s="45">
        <v>3.45</v>
      </c>
      <c r="V1185" s="26">
        <v>1.74</v>
      </c>
      <c r="W1185" s="49">
        <f t="shared" si="153"/>
        <v>1.1835037299999998</v>
      </c>
      <c r="X1185" s="49"/>
      <c r="Y1185" s="49"/>
      <c r="Z1185" s="49"/>
    </row>
    <row r="1186" spans="1:26" s="45" customFormat="1" ht="12.75" hidden="1" customHeight="1">
      <c r="A1186" s="22" t="s">
        <v>126</v>
      </c>
      <c r="B1186" s="24" t="s">
        <v>127</v>
      </c>
      <c r="C1186" s="23" t="s">
        <v>91</v>
      </c>
      <c r="O1186" s="45">
        <v>3.51</v>
      </c>
      <c r="P1186" s="23"/>
      <c r="Q1186" s="23"/>
      <c r="R1186" s="26">
        <v>1.87</v>
      </c>
      <c r="U1186" s="45">
        <v>3.51</v>
      </c>
      <c r="V1186" s="26">
        <v>1.87</v>
      </c>
      <c r="W1186" s="49">
        <f t="shared" si="153"/>
        <v>1.041525254</v>
      </c>
      <c r="X1186" s="49"/>
      <c r="Y1186" s="49"/>
      <c r="Z1186" s="49"/>
    </row>
    <row r="1187" spans="1:26" s="45" customFormat="1" ht="12.75" hidden="1" customHeight="1">
      <c r="A1187" s="22" t="s">
        <v>126</v>
      </c>
      <c r="B1187" s="24" t="s">
        <v>127</v>
      </c>
      <c r="C1187" s="23" t="s">
        <v>91</v>
      </c>
      <c r="O1187" s="45">
        <v>3.4249999999999998</v>
      </c>
      <c r="P1187" s="23"/>
      <c r="Q1187" s="23"/>
      <c r="R1187" s="26">
        <v>2.0300000000000002</v>
      </c>
      <c r="U1187" s="45">
        <v>3.4249999999999998</v>
      </c>
      <c r="V1187" s="26">
        <v>2.0300000000000002</v>
      </c>
      <c r="W1187" s="49">
        <f t="shared" si="153"/>
        <v>0.91436084499999981</v>
      </c>
      <c r="X1187" s="49"/>
      <c r="Y1187" s="49"/>
      <c r="Z1187" s="49"/>
    </row>
    <row r="1188" spans="1:26" s="45" customFormat="1" ht="12.75" hidden="1" customHeight="1">
      <c r="A1188" s="22" t="s">
        <v>126</v>
      </c>
      <c r="B1188" s="24" t="s">
        <v>127</v>
      </c>
      <c r="C1188" s="23" t="s">
        <v>91</v>
      </c>
      <c r="O1188" s="45">
        <v>3.46</v>
      </c>
      <c r="P1188" s="23"/>
      <c r="Q1188" s="23"/>
      <c r="R1188" s="26">
        <v>1.99</v>
      </c>
      <c r="U1188" s="45">
        <v>3.46</v>
      </c>
      <c r="V1188" s="26">
        <v>1.99</v>
      </c>
      <c r="W1188" s="49">
        <f t="shared" si="153"/>
        <v>0.94203348399999998</v>
      </c>
      <c r="X1188" s="49"/>
      <c r="Y1188" s="49"/>
      <c r="Z1188" s="49"/>
    </row>
    <row r="1189" spans="1:26" s="45" customFormat="1" ht="12.75" hidden="1" customHeight="1">
      <c r="A1189" s="22" t="s">
        <v>126</v>
      </c>
      <c r="B1189" s="24" t="s">
        <v>127</v>
      </c>
      <c r="C1189" s="23" t="s">
        <v>91</v>
      </c>
      <c r="O1189" s="45">
        <v>3.5</v>
      </c>
      <c r="P1189" s="23"/>
      <c r="Q1189" s="23"/>
      <c r="R1189" s="26">
        <v>2.0099999999999998</v>
      </c>
      <c r="U1189" s="45">
        <v>3.5</v>
      </c>
      <c r="V1189" s="26">
        <v>2.0099999999999998</v>
      </c>
      <c r="W1189" s="49">
        <f t="shared" si="153"/>
        <v>0.91097450000000002</v>
      </c>
      <c r="X1189" s="49"/>
      <c r="Y1189" s="49"/>
      <c r="Z1189" s="49"/>
    </row>
    <row r="1190" spans="1:26" s="45" customFormat="1" ht="12.75" hidden="1" customHeight="1">
      <c r="A1190" s="22" t="s">
        <v>126</v>
      </c>
      <c r="B1190" s="24" t="s">
        <v>127</v>
      </c>
      <c r="C1190" s="23" t="s">
        <v>91</v>
      </c>
      <c r="O1190" s="45">
        <v>3.51</v>
      </c>
      <c r="P1190" s="23"/>
      <c r="Q1190" s="23"/>
      <c r="R1190" s="26">
        <v>2</v>
      </c>
      <c r="U1190" s="45">
        <v>3.51</v>
      </c>
      <c r="V1190" s="26">
        <v>2</v>
      </c>
      <c r="W1190" s="49">
        <f t="shared" si="153"/>
        <v>0.91751825400000009</v>
      </c>
      <c r="X1190" s="49"/>
      <c r="Y1190" s="49"/>
      <c r="Z1190" s="49"/>
    </row>
    <row r="1191" spans="1:26" s="45" customFormat="1" ht="12.75" hidden="1" customHeight="1">
      <c r="A1191" s="22" t="s">
        <v>126</v>
      </c>
      <c r="B1191" s="24" t="s">
        <v>127</v>
      </c>
      <c r="C1191" s="23" t="s">
        <v>91</v>
      </c>
      <c r="O1191" s="45">
        <v>3.46</v>
      </c>
      <c r="P1191" s="23"/>
      <c r="Q1191" s="23"/>
      <c r="R1191" s="26">
        <v>2.46</v>
      </c>
      <c r="U1191" s="45">
        <v>3.46</v>
      </c>
      <c r="V1191" s="26">
        <v>2.46</v>
      </c>
      <c r="W1191" s="49">
        <f t="shared" si="153"/>
        <v>0.49370048399999999</v>
      </c>
      <c r="X1191" s="49"/>
      <c r="Y1191" s="49"/>
      <c r="Z1191" s="49"/>
    </row>
    <row r="1192" spans="1:26" s="45" customFormat="1" ht="12.75" hidden="1" customHeight="1">
      <c r="A1192" s="22" t="s">
        <v>126</v>
      </c>
      <c r="B1192" s="24" t="s">
        <v>127</v>
      </c>
      <c r="C1192" s="23" t="s">
        <v>91</v>
      </c>
      <c r="O1192" s="45">
        <v>3.48</v>
      </c>
      <c r="P1192" s="23"/>
      <c r="Q1192" s="23"/>
      <c r="R1192" s="26">
        <v>2.1349999999999998</v>
      </c>
      <c r="U1192" s="45">
        <v>3.48</v>
      </c>
      <c r="V1192" s="26">
        <v>2.1349999999999998</v>
      </c>
      <c r="W1192" s="49">
        <f t="shared" si="153"/>
        <v>0.79772749200000026</v>
      </c>
      <c r="X1192" s="49"/>
      <c r="Y1192" s="49"/>
      <c r="Z1192" s="49"/>
    </row>
    <row r="1193" spans="1:26" s="45" customFormat="1" ht="12.75" hidden="1" customHeight="1">
      <c r="A1193" s="22" t="s">
        <v>126</v>
      </c>
      <c r="B1193" s="24" t="s">
        <v>127</v>
      </c>
      <c r="C1193" s="23" t="s">
        <v>91</v>
      </c>
      <c r="O1193" s="45">
        <v>3.49</v>
      </c>
      <c r="P1193" s="23"/>
      <c r="Q1193" s="23"/>
      <c r="R1193" s="26">
        <v>2.13</v>
      </c>
      <c r="U1193" s="45">
        <v>3.49</v>
      </c>
      <c r="V1193" s="26">
        <v>2.13</v>
      </c>
      <c r="W1193" s="49">
        <f t="shared" si="153"/>
        <v>0.79950174600000012</v>
      </c>
      <c r="X1193" s="49"/>
      <c r="Y1193" s="49"/>
      <c r="Z1193" s="49"/>
    </row>
    <row r="1194" spans="1:26" s="45" customFormat="1" ht="12.75" hidden="1" customHeight="1">
      <c r="A1194" s="22" t="s">
        <v>126</v>
      </c>
      <c r="B1194" s="24" t="s">
        <v>127</v>
      </c>
      <c r="C1194" s="23" t="s">
        <v>91</v>
      </c>
      <c r="O1194" s="45">
        <v>3.5700000000000003</v>
      </c>
      <c r="P1194" s="23"/>
      <c r="Q1194" s="23"/>
      <c r="R1194" s="26">
        <v>2.17</v>
      </c>
      <c r="U1194" s="45">
        <v>3.5700000000000003</v>
      </c>
      <c r="V1194" s="26">
        <v>2.17</v>
      </c>
      <c r="W1194" s="49">
        <f t="shared" si="153"/>
        <v>0.73738377799999977</v>
      </c>
      <c r="X1194" s="49"/>
      <c r="Y1194" s="49"/>
      <c r="Z1194" s="49"/>
    </row>
    <row r="1195" spans="1:26" s="45" customFormat="1" ht="12.75" hidden="1" customHeight="1">
      <c r="A1195" s="22" t="s">
        <v>126</v>
      </c>
      <c r="B1195" s="24" t="s">
        <v>127</v>
      </c>
      <c r="C1195" s="23" t="s">
        <v>91</v>
      </c>
      <c r="O1195" s="45">
        <v>3.55</v>
      </c>
      <c r="P1195" s="23"/>
      <c r="Q1195" s="23"/>
      <c r="R1195" s="26">
        <v>2.21</v>
      </c>
      <c r="U1195" s="45">
        <v>3.55</v>
      </c>
      <c r="V1195" s="26">
        <v>2.21</v>
      </c>
      <c r="W1195" s="49">
        <f t="shared" si="153"/>
        <v>0.70521827000000004</v>
      </c>
      <c r="X1195" s="49"/>
      <c r="Y1195" s="49"/>
      <c r="Z1195" s="49"/>
    </row>
    <row r="1196" spans="1:26" s="45" customFormat="1" ht="12.75" hidden="1" customHeight="1">
      <c r="A1196" s="22" t="s">
        <v>126</v>
      </c>
      <c r="B1196" s="24" t="s">
        <v>127</v>
      </c>
      <c r="C1196" s="23" t="s">
        <v>91</v>
      </c>
      <c r="O1196" s="45">
        <v>3.59</v>
      </c>
      <c r="P1196" s="23"/>
      <c r="Q1196" s="23"/>
      <c r="R1196" s="26">
        <v>2.23</v>
      </c>
      <c r="U1196" s="45">
        <v>3.59</v>
      </c>
      <c r="V1196" s="26">
        <v>2.23</v>
      </c>
      <c r="W1196" s="49">
        <f t="shared" si="153"/>
        <v>0.6741592860000003</v>
      </c>
      <c r="X1196" s="49"/>
      <c r="Y1196" s="49"/>
      <c r="Z1196" s="49"/>
    </row>
    <row r="1197" spans="1:26" s="45" customFormat="1" ht="12.75" hidden="1" customHeight="1">
      <c r="A1197" s="22" t="s">
        <v>126</v>
      </c>
      <c r="B1197" s="24" t="s">
        <v>127</v>
      </c>
      <c r="C1197" s="23" t="s">
        <v>91</v>
      </c>
      <c r="O1197" s="45">
        <v>3.55</v>
      </c>
      <c r="P1197" s="23"/>
      <c r="Q1197" s="23"/>
      <c r="R1197" s="26">
        <v>2.2999999999999998</v>
      </c>
      <c r="U1197" s="45">
        <v>3.55</v>
      </c>
      <c r="V1197" s="26">
        <v>2.2999999999999998</v>
      </c>
      <c r="W1197" s="49">
        <f t="shared" si="153"/>
        <v>0.61936727000000014</v>
      </c>
      <c r="X1197" s="49"/>
      <c r="Y1197" s="49"/>
      <c r="Z1197" s="49"/>
    </row>
    <row r="1198" spans="1:26" s="45" customFormat="1" ht="12.75" hidden="1" customHeight="1">
      <c r="A1198" s="22" t="s">
        <v>126</v>
      </c>
      <c r="B1198" s="24" t="s">
        <v>127</v>
      </c>
      <c r="C1198" s="23" t="s">
        <v>91</v>
      </c>
      <c r="O1198" s="45">
        <v>3.58</v>
      </c>
      <c r="P1198" s="23"/>
      <c r="Q1198" s="23"/>
      <c r="R1198" s="26">
        <v>2.08</v>
      </c>
      <c r="U1198" s="45">
        <v>3.58</v>
      </c>
      <c r="V1198" s="26">
        <v>2.08</v>
      </c>
      <c r="W1198" s="49">
        <f t="shared" si="153"/>
        <v>0.82023953199999999</v>
      </c>
      <c r="X1198" s="49"/>
      <c r="Y1198" s="49"/>
      <c r="Z1198" s="49"/>
    </row>
    <row r="1199" spans="1:26" s="45" customFormat="1" ht="12.75" hidden="1" customHeight="1">
      <c r="A1199" s="22" t="s">
        <v>126</v>
      </c>
      <c r="B1199" s="24" t="s">
        <v>127</v>
      </c>
      <c r="C1199" s="23" t="s">
        <v>91</v>
      </c>
      <c r="O1199" s="45">
        <v>3.6500000000000004</v>
      </c>
      <c r="P1199" s="23"/>
      <c r="Q1199" s="23"/>
      <c r="R1199" s="26">
        <v>2.06</v>
      </c>
      <c r="U1199" s="45">
        <v>3.6500000000000004</v>
      </c>
      <c r="V1199" s="26">
        <v>2.06</v>
      </c>
      <c r="W1199" s="49">
        <f t="shared" si="153"/>
        <v>0.81835080999999987</v>
      </c>
      <c r="X1199" s="49"/>
      <c r="Y1199" s="49"/>
      <c r="Z1199" s="49"/>
    </row>
    <row r="1200" spans="1:26" s="45" customFormat="1" ht="12.75" hidden="1" customHeight="1">
      <c r="A1200" s="22" t="s">
        <v>126</v>
      </c>
      <c r="B1200" s="24" t="s">
        <v>127</v>
      </c>
      <c r="C1200" s="23" t="s">
        <v>91</v>
      </c>
      <c r="O1200" s="45">
        <v>3.7300000000000004</v>
      </c>
      <c r="P1200" s="23"/>
      <c r="Q1200" s="23"/>
      <c r="R1200" s="26">
        <v>2.06</v>
      </c>
      <c r="U1200" s="45">
        <v>3.7300000000000004</v>
      </c>
      <c r="V1200" s="26">
        <v>2.06</v>
      </c>
      <c r="W1200" s="49">
        <f t="shared" si="153"/>
        <v>0.79438884200000004</v>
      </c>
      <c r="X1200" s="49"/>
      <c r="Y1200" s="49"/>
      <c r="Z1200" s="49"/>
    </row>
    <row r="1201" spans="1:26" s="45" customFormat="1" ht="12.75" hidden="1" customHeight="1">
      <c r="A1201" s="22" t="s">
        <v>126</v>
      </c>
      <c r="B1201" s="24" t="s">
        <v>127</v>
      </c>
      <c r="C1201" s="23" t="s">
        <v>91</v>
      </c>
      <c r="O1201" s="45">
        <v>3.58</v>
      </c>
      <c r="P1201" s="23"/>
      <c r="Q1201" s="23"/>
      <c r="R1201" s="26">
        <v>2.11</v>
      </c>
      <c r="U1201" s="45">
        <v>3.58</v>
      </c>
      <c r="V1201" s="26">
        <v>2.11</v>
      </c>
      <c r="W1201" s="49">
        <f t="shared" si="153"/>
        <v>0.7916225320000001</v>
      </c>
      <c r="X1201" s="49"/>
      <c r="Y1201" s="49"/>
      <c r="Z1201" s="49"/>
    </row>
    <row r="1202" spans="1:26" s="45" customFormat="1" ht="12.75" hidden="1" customHeight="1">
      <c r="A1202" s="22" t="s">
        <v>126</v>
      </c>
      <c r="B1202" s="24" t="s">
        <v>127</v>
      </c>
      <c r="C1202" s="23" t="s">
        <v>91</v>
      </c>
      <c r="O1202" s="45">
        <v>3.6100000000000003</v>
      </c>
      <c r="P1202" s="23"/>
      <c r="Q1202" s="23"/>
      <c r="R1202" s="26">
        <v>2.1</v>
      </c>
      <c r="U1202" s="45">
        <v>3.6100000000000003</v>
      </c>
      <c r="V1202" s="26">
        <v>2.1</v>
      </c>
      <c r="W1202" s="49">
        <f t="shared" si="153"/>
        <v>0.79217579399999993</v>
      </c>
      <c r="X1202" s="49"/>
      <c r="Y1202" s="49"/>
      <c r="Z1202" s="49"/>
    </row>
    <row r="1203" spans="1:26" s="45" customFormat="1" ht="12.75" hidden="1" customHeight="1">
      <c r="A1203" s="22" t="s">
        <v>126</v>
      </c>
      <c r="B1203" s="24" t="s">
        <v>127</v>
      </c>
      <c r="C1203" s="23" t="s">
        <v>91</v>
      </c>
      <c r="O1203" s="45">
        <v>3.64</v>
      </c>
      <c r="P1203" s="23"/>
      <c r="Q1203" s="23"/>
      <c r="R1203" s="26">
        <v>2.15</v>
      </c>
      <c r="U1203" s="45">
        <v>3.64</v>
      </c>
      <c r="V1203" s="26">
        <v>2.15</v>
      </c>
      <c r="W1203" s="49">
        <f t="shared" si="153"/>
        <v>0.73549505600000009</v>
      </c>
      <c r="X1203" s="49"/>
      <c r="Y1203" s="49"/>
      <c r="Z1203" s="49"/>
    </row>
    <row r="1204" spans="1:26" s="45" customFormat="1" ht="12.75" hidden="1" customHeight="1">
      <c r="A1204" s="22" t="s">
        <v>126</v>
      </c>
      <c r="B1204" s="24" t="s">
        <v>127</v>
      </c>
      <c r="C1204" s="23" t="s">
        <v>91</v>
      </c>
      <c r="O1204" s="45">
        <v>3.6500000000000004</v>
      </c>
      <c r="P1204" s="23"/>
      <c r="Q1204" s="23"/>
      <c r="R1204" s="26">
        <v>2.14</v>
      </c>
      <c r="U1204" s="45">
        <v>3.6500000000000004</v>
      </c>
      <c r="V1204" s="26">
        <v>2.14</v>
      </c>
      <c r="W1204" s="49">
        <f t="shared" si="153"/>
        <v>0.74203880999999983</v>
      </c>
      <c r="X1204" s="49"/>
      <c r="Y1204" s="49"/>
      <c r="Z1204" s="49"/>
    </row>
    <row r="1205" spans="1:26" s="45" customFormat="1" ht="12.75" hidden="1" customHeight="1">
      <c r="A1205" s="22" t="s">
        <v>126</v>
      </c>
      <c r="B1205" s="24" t="s">
        <v>127</v>
      </c>
      <c r="C1205" s="23" t="s">
        <v>91</v>
      </c>
      <c r="O1205" s="45">
        <v>3.63</v>
      </c>
      <c r="P1205" s="23"/>
      <c r="Q1205" s="23"/>
      <c r="R1205" s="26">
        <v>2.29</v>
      </c>
      <c r="U1205" s="45">
        <v>3.63</v>
      </c>
      <c r="V1205" s="26">
        <v>2.29</v>
      </c>
      <c r="W1205" s="49">
        <f t="shared" si="153"/>
        <v>0.60494430199999971</v>
      </c>
      <c r="X1205" s="49"/>
      <c r="Y1205" s="49"/>
      <c r="Z1205" s="49"/>
    </row>
    <row r="1206" spans="1:26" s="45" customFormat="1" ht="12.75" hidden="1" customHeight="1">
      <c r="A1206" s="22" t="s">
        <v>126</v>
      </c>
      <c r="B1206" s="24" t="s">
        <v>127</v>
      </c>
      <c r="C1206" s="23" t="s">
        <v>91</v>
      </c>
      <c r="O1206" s="45">
        <v>3.66</v>
      </c>
      <c r="P1206" s="23"/>
      <c r="Q1206" s="23"/>
      <c r="R1206" s="26">
        <v>2.2800000000000002</v>
      </c>
      <c r="U1206" s="45">
        <v>3.66</v>
      </c>
      <c r="V1206" s="26">
        <v>2.2800000000000002</v>
      </c>
      <c r="W1206" s="49">
        <f t="shared" si="153"/>
        <v>0.60549756399999999</v>
      </c>
      <c r="X1206" s="49"/>
      <c r="Y1206" s="49"/>
      <c r="Z1206" s="49"/>
    </row>
    <row r="1207" spans="1:26" s="45" customFormat="1" ht="12.75" hidden="1" customHeight="1">
      <c r="A1207" s="22" t="s">
        <v>126</v>
      </c>
      <c r="B1207" s="24" t="s">
        <v>127</v>
      </c>
      <c r="C1207" s="23" t="s">
        <v>91</v>
      </c>
      <c r="O1207" s="45">
        <v>3.71</v>
      </c>
      <c r="P1207" s="23"/>
      <c r="Q1207" s="23"/>
      <c r="R1207" s="26">
        <v>2.23</v>
      </c>
      <c r="U1207" s="45">
        <v>3.71</v>
      </c>
      <c r="V1207" s="26">
        <v>2.23</v>
      </c>
      <c r="W1207" s="49">
        <f t="shared" si="153"/>
        <v>0.638216334</v>
      </c>
      <c r="X1207" s="49"/>
      <c r="Y1207" s="49"/>
      <c r="Z1207" s="49"/>
    </row>
    <row r="1208" spans="1:26" s="45" customFormat="1" ht="12.75" hidden="1" customHeight="1">
      <c r="A1208" s="22" t="s">
        <v>126</v>
      </c>
      <c r="B1208" s="24" t="s">
        <v>127</v>
      </c>
      <c r="C1208" s="23" t="s">
        <v>91</v>
      </c>
      <c r="O1208" s="45">
        <v>3.67</v>
      </c>
      <c r="P1208" s="23"/>
      <c r="Q1208" s="23"/>
      <c r="R1208" s="26">
        <v>2.41</v>
      </c>
      <c r="U1208" s="45">
        <v>3.67</v>
      </c>
      <c r="V1208" s="26">
        <v>2.41</v>
      </c>
      <c r="W1208" s="49">
        <f t="shared" si="153"/>
        <v>0.47849531799999995</v>
      </c>
      <c r="X1208" s="49"/>
      <c r="Y1208" s="49"/>
      <c r="Z1208" s="49"/>
    </row>
    <row r="1209" spans="1:26" s="45" customFormat="1" ht="12.75" hidden="1" customHeight="1">
      <c r="A1209" s="22" t="s">
        <v>126</v>
      </c>
      <c r="B1209" s="24" t="s">
        <v>127</v>
      </c>
      <c r="C1209" s="23" t="s">
        <v>91</v>
      </c>
      <c r="O1209" s="45">
        <v>3.7</v>
      </c>
      <c r="P1209" s="23"/>
      <c r="Q1209" s="23"/>
      <c r="R1209" s="26">
        <v>2.37</v>
      </c>
      <c r="U1209" s="45">
        <v>3.7</v>
      </c>
      <c r="V1209" s="26">
        <v>2.37</v>
      </c>
      <c r="W1209" s="49">
        <f t="shared" si="153"/>
        <v>0.50766557999999962</v>
      </c>
      <c r="X1209" s="49"/>
      <c r="Y1209" s="49"/>
      <c r="Z1209" s="49"/>
    </row>
    <row r="1210" spans="1:26" s="45" customFormat="1" ht="12.75" hidden="1" customHeight="1">
      <c r="A1210" s="22" t="s">
        <v>126</v>
      </c>
      <c r="B1210" s="24" t="s">
        <v>127</v>
      </c>
      <c r="C1210" s="23" t="s">
        <v>91</v>
      </c>
      <c r="O1210" s="45">
        <v>3.77</v>
      </c>
      <c r="P1210" s="23"/>
      <c r="Q1210" s="23"/>
      <c r="R1210" s="26">
        <v>2.44</v>
      </c>
      <c r="U1210" s="45">
        <v>3.77</v>
      </c>
      <c r="V1210" s="26">
        <v>2.44</v>
      </c>
      <c r="W1210" s="49">
        <f t="shared" si="153"/>
        <v>0.41992585800000004</v>
      </c>
      <c r="X1210" s="49"/>
      <c r="Y1210" s="49"/>
      <c r="Z1210" s="49"/>
    </row>
    <row r="1211" spans="1:26" s="45" customFormat="1" ht="12.75" hidden="1" customHeight="1">
      <c r="A1211" s="22" t="s">
        <v>126</v>
      </c>
      <c r="B1211" s="24" t="s">
        <v>127</v>
      </c>
      <c r="C1211" s="23" t="s">
        <v>91</v>
      </c>
      <c r="O1211" s="45">
        <v>3.77</v>
      </c>
      <c r="P1211" s="23"/>
      <c r="Q1211" s="23"/>
      <c r="R1211" s="26">
        <v>2.39</v>
      </c>
      <c r="U1211" s="45">
        <v>3.77</v>
      </c>
      <c r="V1211" s="26">
        <v>2.39</v>
      </c>
      <c r="W1211" s="49">
        <f t="shared" si="153"/>
        <v>0.46762085799999986</v>
      </c>
      <c r="X1211" s="49"/>
      <c r="Y1211" s="49"/>
      <c r="Z1211" s="49"/>
    </row>
    <row r="1212" spans="1:26" s="45" customFormat="1" ht="12.75" hidden="1" customHeight="1">
      <c r="A1212" s="22" t="s">
        <v>126</v>
      </c>
      <c r="B1212" s="24" t="s">
        <v>127</v>
      </c>
      <c r="C1212" s="23" t="s">
        <v>91</v>
      </c>
      <c r="O1212" s="45">
        <v>3.76</v>
      </c>
      <c r="P1212" s="23"/>
      <c r="Q1212" s="23"/>
      <c r="R1212" s="26">
        <v>2.35</v>
      </c>
      <c r="U1212" s="45">
        <v>3.76</v>
      </c>
      <c r="V1212" s="26">
        <v>2.35</v>
      </c>
      <c r="W1212" s="49">
        <f t="shared" si="153"/>
        <v>0.50877210400000006</v>
      </c>
      <c r="X1212" s="49"/>
      <c r="Y1212" s="49"/>
      <c r="Z1212" s="49"/>
    </row>
    <row r="1213" spans="1:26" s="45" customFormat="1" ht="12.75" hidden="1" customHeight="1">
      <c r="A1213" s="22" t="s">
        <v>126</v>
      </c>
      <c r="B1213" s="24" t="s">
        <v>127</v>
      </c>
      <c r="C1213" s="23" t="s">
        <v>91</v>
      </c>
      <c r="O1213" s="45">
        <v>3.81</v>
      </c>
      <c r="P1213" s="23"/>
      <c r="Q1213" s="23"/>
      <c r="R1213" s="26">
        <v>2.34</v>
      </c>
      <c r="U1213" s="45">
        <v>3.81</v>
      </c>
      <c r="V1213" s="26">
        <v>2.34</v>
      </c>
      <c r="W1213" s="49">
        <f t="shared" si="153"/>
        <v>0.50333487399999999</v>
      </c>
      <c r="X1213" s="49"/>
      <c r="Y1213" s="49"/>
      <c r="Z1213" s="49"/>
    </row>
    <row r="1214" spans="1:26" s="45" customFormat="1" ht="12.75" hidden="1" customHeight="1">
      <c r="A1214" s="22" t="s">
        <v>126</v>
      </c>
      <c r="B1214" s="24" t="s">
        <v>127</v>
      </c>
      <c r="C1214" s="23" t="s">
        <v>91</v>
      </c>
      <c r="O1214" s="45">
        <v>3.88</v>
      </c>
      <c r="P1214" s="23"/>
      <c r="Q1214" s="23"/>
      <c r="R1214" s="26">
        <v>2.31</v>
      </c>
      <c r="U1214" s="45">
        <v>3.88</v>
      </c>
      <c r="V1214" s="26">
        <v>2.31</v>
      </c>
      <c r="W1214" s="49">
        <f t="shared" si="153"/>
        <v>0.51098515199999972</v>
      </c>
      <c r="X1214" s="49"/>
      <c r="Y1214" s="49"/>
      <c r="Z1214" s="49"/>
    </row>
    <row r="1215" spans="1:26" s="45" customFormat="1" ht="12.75" hidden="1" customHeight="1">
      <c r="A1215" s="22" t="s">
        <v>126</v>
      </c>
      <c r="B1215" s="24" t="s">
        <v>127</v>
      </c>
      <c r="C1215" s="23" t="s">
        <v>91</v>
      </c>
      <c r="O1215" s="45">
        <v>4.05</v>
      </c>
      <c r="P1215" s="23"/>
      <c r="Q1215" s="23"/>
      <c r="R1215" s="26">
        <v>2.39</v>
      </c>
      <c r="U1215" s="45">
        <v>4.05</v>
      </c>
      <c r="V1215" s="26">
        <v>2.39</v>
      </c>
      <c r="W1215" s="49">
        <f t="shared" si="153"/>
        <v>0.38375396999999989</v>
      </c>
      <c r="X1215" s="49"/>
      <c r="Y1215" s="49"/>
      <c r="Z1215" s="49"/>
    </row>
    <row r="1216" spans="1:26" s="45" customFormat="1" ht="12.75" hidden="1" customHeight="1">
      <c r="A1216" s="22" t="s">
        <v>126</v>
      </c>
      <c r="B1216" s="24" t="s">
        <v>127</v>
      </c>
      <c r="C1216" s="23" t="s">
        <v>92</v>
      </c>
      <c r="O1216" s="45">
        <v>2.73</v>
      </c>
      <c r="P1216" s="23"/>
      <c r="Q1216" s="23"/>
      <c r="R1216" s="26">
        <v>2.0700000000000003</v>
      </c>
      <c r="U1216" s="45">
        <v>2.73</v>
      </c>
      <c r="V1216" s="26">
        <v>2.0700000000000003</v>
      </c>
      <c r="W1216" s="49">
        <f t="shared" si="153"/>
        <v>1.0843744419999999</v>
      </c>
      <c r="X1216" s="49"/>
      <c r="Y1216" s="49"/>
      <c r="Z1216" s="49"/>
    </row>
    <row r="1217" spans="1:26" s="45" customFormat="1" ht="12.75" hidden="1" customHeight="1">
      <c r="A1217" s="22" t="s">
        <v>126</v>
      </c>
      <c r="B1217" s="24" t="s">
        <v>127</v>
      </c>
      <c r="C1217" s="23" t="s">
        <v>92</v>
      </c>
      <c r="O1217" s="45">
        <v>2.9</v>
      </c>
      <c r="P1217" s="23"/>
      <c r="Q1217" s="23"/>
      <c r="R1217" s="26">
        <v>2.15</v>
      </c>
      <c r="U1217" s="45">
        <v>2.9</v>
      </c>
      <c r="V1217" s="26">
        <v>2.15</v>
      </c>
      <c r="W1217" s="49">
        <f t="shared" si="153"/>
        <v>0.95714326000000005</v>
      </c>
      <c r="X1217" s="49"/>
      <c r="Y1217" s="49"/>
      <c r="Z1217" s="49"/>
    </row>
    <row r="1218" spans="1:26" s="45" customFormat="1" ht="12.75" hidden="1" customHeight="1">
      <c r="A1218" s="22" t="s">
        <v>126</v>
      </c>
      <c r="B1218" s="24" t="s">
        <v>127</v>
      </c>
      <c r="C1218" s="23" t="s">
        <v>92</v>
      </c>
      <c r="O1218" s="45">
        <v>3.25</v>
      </c>
      <c r="P1218" s="23"/>
      <c r="Q1218" s="23"/>
      <c r="R1218" s="26">
        <v>2.2400000000000002</v>
      </c>
      <c r="U1218" s="45">
        <v>3.25</v>
      </c>
      <c r="V1218" s="26">
        <v>2.2400000000000002</v>
      </c>
      <c r="W1218" s="49">
        <f t="shared" si="153"/>
        <v>0.76645864999999969</v>
      </c>
      <c r="X1218" s="49"/>
      <c r="Y1218" s="49"/>
      <c r="Z1218" s="49"/>
    </row>
    <row r="1219" spans="1:26" s="45" customFormat="1" ht="12.75" hidden="1" customHeight="1">
      <c r="A1219" s="22" t="s">
        <v>126</v>
      </c>
      <c r="B1219" s="24" t="s">
        <v>127</v>
      </c>
      <c r="C1219" s="23" t="s">
        <v>92</v>
      </c>
      <c r="O1219" s="45">
        <v>3.27</v>
      </c>
      <c r="P1219" s="23"/>
      <c r="Q1219" s="23"/>
      <c r="R1219" s="26">
        <v>2.09</v>
      </c>
      <c r="U1219" s="45">
        <v>3.27</v>
      </c>
      <c r="V1219" s="26">
        <v>2.09</v>
      </c>
      <c r="W1219" s="49">
        <f t="shared" si="153"/>
        <v>0.90355315800000013</v>
      </c>
      <c r="X1219" s="49"/>
      <c r="Y1219" s="49"/>
      <c r="Z1219" s="49"/>
    </row>
    <row r="1220" spans="1:26" s="45" customFormat="1" ht="12.75" hidden="1" customHeight="1">
      <c r="A1220" s="22" t="s">
        <v>126</v>
      </c>
      <c r="B1220" s="24" t="s">
        <v>127</v>
      </c>
      <c r="C1220" s="23" t="s">
        <v>92</v>
      </c>
      <c r="O1220" s="45">
        <v>3.45</v>
      </c>
      <c r="P1220" s="23"/>
      <c r="Q1220" s="23"/>
      <c r="R1220" s="26">
        <v>1.9</v>
      </c>
      <c r="U1220" s="45">
        <v>3.45</v>
      </c>
      <c r="V1220" s="26">
        <v>1.9</v>
      </c>
      <c r="W1220" s="49">
        <f t="shared" si="153"/>
        <v>1.0308797299999997</v>
      </c>
      <c r="X1220" s="49"/>
      <c r="Y1220" s="49"/>
      <c r="Z1220" s="49"/>
    </row>
    <row r="1221" spans="1:26" s="45" customFormat="1" ht="12.75" hidden="1" customHeight="1">
      <c r="A1221" s="22" t="s">
        <v>126</v>
      </c>
      <c r="B1221" s="24" t="s">
        <v>127</v>
      </c>
      <c r="C1221" s="23" t="s">
        <v>92</v>
      </c>
      <c r="O1221" s="45">
        <v>3.38</v>
      </c>
      <c r="P1221" s="23"/>
      <c r="Q1221" s="23"/>
      <c r="R1221" s="26">
        <v>2.0700000000000003</v>
      </c>
      <c r="U1221" s="45">
        <v>3.38</v>
      </c>
      <c r="V1221" s="26">
        <v>2.0700000000000003</v>
      </c>
      <c r="W1221" s="49">
        <f t="shared" si="153"/>
        <v>0.88968345199999954</v>
      </c>
      <c r="X1221" s="49"/>
      <c r="Y1221" s="49"/>
      <c r="Z1221" s="49"/>
    </row>
    <row r="1222" spans="1:26" s="45" customFormat="1" ht="12.75" hidden="1" customHeight="1">
      <c r="A1222" s="22" t="s">
        <v>126</v>
      </c>
      <c r="B1222" s="24" t="s">
        <v>127</v>
      </c>
      <c r="C1222" s="23" t="s">
        <v>92</v>
      </c>
      <c r="O1222" s="45">
        <v>3.43</v>
      </c>
      <c r="P1222" s="23"/>
      <c r="Q1222" s="23"/>
      <c r="R1222" s="26">
        <v>2.0300000000000002</v>
      </c>
      <c r="U1222" s="45">
        <v>3.43</v>
      </c>
      <c r="V1222" s="26">
        <v>2.0300000000000002</v>
      </c>
      <c r="W1222" s="49">
        <f t="shared" si="153"/>
        <v>0.9128632219999997</v>
      </c>
      <c r="X1222" s="49"/>
      <c r="Y1222" s="49"/>
      <c r="Z1222" s="49"/>
    </row>
    <row r="1223" spans="1:26" s="45" customFormat="1" ht="12.75" hidden="1" customHeight="1">
      <c r="A1223" s="22" t="s">
        <v>126</v>
      </c>
      <c r="B1223" s="24" t="s">
        <v>127</v>
      </c>
      <c r="C1223" s="23" t="s">
        <v>92</v>
      </c>
      <c r="O1223" s="45">
        <v>3.45</v>
      </c>
      <c r="P1223" s="23"/>
      <c r="Q1223" s="23"/>
      <c r="R1223" s="26">
        <v>2.0700000000000003</v>
      </c>
      <c r="U1223" s="45">
        <v>3.45</v>
      </c>
      <c r="V1223" s="26">
        <v>2.0700000000000003</v>
      </c>
      <c r="W1223" s="49">
        <f t="shared" si="153"/>
        <v>0.86871672999999938</v>
      </c>
      <c r="X1223" s="49"/>
      <c r="Y1223" s="49"/>
      <c r="Z1223" s="49"/>
    </row>
    <row r="1224" spans="1:26" s="45" customFormat="1" ht="12.75" hidden="1" customHeight="1">
      <c r="A1224" s="22" t="s">
        <v>126</v>
      </c>
      <c r="B1224" s="24" t="s">
        <v>127</v>
      </c>
      <c r="C1224" s="23" t="s">
        <v>92</v>
      </c>
      <c r="O1224" s="45">
        <v>3.48</v>
      </c>
      <c r="P1224" s="23"/>
      <c r="Q1224" s="23"/>
      <c r="R1224" s="26">
        <v>2.08</v>
      </c>
      <c r="U1224" s="45">
        <v>3.48</v>
      </c>
      <c r="V1224" s="26">
        <v>2.08</v>
      </c>
      <c r="W1224" s="49">
        <f t="shared" si="153"/>
        <v>0.85019199200000006</v>
      </c>
      <c r="X1224" s="49"/>
      <c r="Y1224" s="49"/>
      <c r="Z1224" s="49"/>
    </row>
    <row r="1225" spans="1:26" s="45" customFormat="1" ht="12.75" hidden="1" customHeight="1">
      <c r="A1225" s="22" t="s">
        <v>126</v>
      </c>
      <c r="B1225" s="24" t="s">
        <v>127</v>
      </c>
      <c r="C1225" s="23" t="s">
        <v>92</v>
      </c>
      <c r="O1225" s="45">
        <v>3.33</v>
      </c>
      <c r="P1225" s="23"/>
      <c r="Q1225" s="23"/>
      <c r="R1225" s="26">
        <v>2.35</v>
      </c>
      <c r="U1225" s="45">
        <v>3.33</v>
      </c>
      <c r="V1225" s="26">
        <v>2.35</v>
      </c>
      <c r="W1225" s="49">
        <f t="shared" si="153"/>
        <v>0.63756768199999991</v>
      </c>
      <c r="X1225" s="49"/>
      <c r="Y1225" s="49"/>
      <c r="Z1225" s="49"/>
    </row>
    <row r="1226" spans="1:26" s="45" customFormat="1" ht="12.75" hidden="1" customHeight="1">
      <c r="A1226" s="22" t="s">
        <v>126</v>
      </c>
      <c r="B1226" s="24" t="s">
        <v>127</v>
      </c>
      <c r="C1226" s="23" t="s">
        <v>92</v>
      </c>
      <c r="O1226" s="45">
        <v>3.39</v>
      </c>
      <c r="P1226" s="23"/>
      <c r="Q1226" s="23"/>
      <c r="R1226" s="26">
        <v>2.31</v>
      </c>
      <c r="U1226" s="45">
        <v>3.39</v>
      </c>
      <c r="V1226" s="26">
        <v>2.31</v>
      </c>
      <c r="W1226" s="49">
        <f t="shared" si="153"/>
        <v>0.65775220600000006</v>
      </c>
      <c r="X1226" s="49"/>
      <c r="Y1226" s="49"/>
      <c r="Z1226" s="49"/>
    </row>
    <row r="1227" spans="1:26" s="45" customFormat="1" ht="12.75" hidden="1" customHeight="1">
      <c r="A1227" s="22" t="s">
        <v>126</v>
      </c>
      <c r="B1227" s="24" t="s">
        <v>127</v>
      </c>
      <c r="C1227" s="23" t="s">
        <v>92</v>
      </c>
      <c r="O1227" s="45">
        <v>3.38</v>
      </c>
      <c r="P1227" s="23"/>
      <c r="Q1227" s="23"/>
      <c r="R1227" s="26">
        <v>2.5</v>
      </c>
      <c r="U1227" s="45">
        <v>3.38</v>
      </c>
      <c r="V1227" s="26">
        <v>2.5</v>
      </c>
      <c r="W1227" s="49">
        <f t="shared" si="153"/>
        <v>0.47950645199999981</v>
      </c>
      <c r="X1227" s="49"/>
      <c r="Y1227" s="49"/>
      <c r="Z1227" s="49"/>
    </row>
    <row r="1228" spans="1:26" s="45" customFormat="1" ht="12.75" hidden="1" customHeight="1">
      <c r="A1228" s="22" t="s">
        <v>126</v>
      </c>
      <c r="B1228" s="24" t="s">
        <v>127</v>
      </c>
      <c r="C1228" s="23" t="s">
        <v>92</v>
      </c>
      <c r="O1228" s="45">
        <v>3.48</v>
      </c>
      <c r="P1228" s="23"/>
      <c r="Q1228" s="23"/>
      <c r="R1228" s="26">
        <v>2.2599999999999998</v>
      </c>
      <c r="U1228" s="45">
        <v>3.48</v>
      </c>
      <c r="V1228" s="26">
        <v>2.2599999999999998</v>
      </c>
      <c r="W1228" s="49">
        <f t="shared" si="153"/>
        <v>0.67848999200000026</v>
      </c>
      <c r="X1228" s="49"/>
      <c r="Y1228" s="49"/>
      <c r="Z1228" s="49"/>
    </row>
    <row r="1229" spans="1:26" s="45" customFormat="1" ht="12.75" hidden="1" customHeight="1">
      <c r="A1229" s="22" t="s">
        <v>126</v>
      </c>
      <c r="B1229" s="24" t="s">
        <v>127</v>
      </c>
      <c r="C1229" s="23" t="s">
        <v>92</v>
      </c>
      <c r="O1229" s="45">
        <v>3.52</v>
      </c>
      <c r="P1229" s="23"/>
      <c r="Q1229" s="23"/>
      <c r="R1229" s="26">
        <v>2.25</v>
      </c>
      <c r="U1229" s="45">
        <v>3.52</v>
      </c>
      <c r="V1229" s="26">
        <v>2.25</v>
      </c>
      <c r="W1229" s="49">
        <f t="shared" si="153"/>
        <v>0.67604800799999998</v>
      </c>
      <c r="X1229" s="49"/>
      <c r="Y1229" s="49"/>
      <c r="Z1229" s="49"/>
    </row>
    <row r="1230" spans="1:26" s="45" customFormat="1" ht="12.75" hidden="1" customHeight="1">
      <c r="A1230" s="22" t="s">
        <v>126</v>
      </c>
      <c r="B1230" s="24" t="s">
        <v>127</v>
      </c>
      <c r="C1230" s="23" t="s">
        <v>92</v>
      </c>
      <c r="O1230" s="45">
        <v>3.55</v>
      </c>
      <c r="P1230" s="23"/>
      <c r="Q1230" s="23"/>
      <c r="R1230" s="26">
        <v>2.2000000000000002</v>
      </c>
      <c r="U1230" s="45">
        <v>3.55</v>
      </c>
      <c r="V1230" s="26">
        <v>2.2000000000000002</v>
      </c>
      <c r="W1230" s="49">
        <f t="shared" si="153"/>
        <v>0.71475726999999989</v>
      </c>
      <c r="X1230" s="49"/>
      <c r="Y1230" s="49"/>
      <c r="Z1230" s="49"/>
    </row>
    <row r="1231" spans="1:26" s="45" customFormat="1" ht="12.75" hidden="1" customHeight="1">
      <c r="A1231" s="22" t="s">
        <v>126</v>
      </c>
      <c r="B1231" s="24" t="s">
        <v>127</v>
      </c>
      <c r="C1231" s="23" t="s">
        <v>92</v>
      </c>
      <c r="O1231" s="45">
        <v>3.56</v>
      </c>
      <c r="P1231" s="23"/>
      <c r="Q1231" s="23"/>
      <c r="R1231" s="26">
        <v>2.12</v>
      </c>
      <c r="U1231" s="45">
        <v>3.56</v>
      </c>
      <c r="V1231" s="26">
        <v>2.12</v>
      </c>
      <c r="W1231" s="49">
        <f t="shared" si="153"/>
        <v>0.78807402399999982</v>
      </c>
      <c r="X1231" s="49"/>
      <c r="Y1231" s="49"/>
      <c r="Z1231" s="49"/>
    </row>
    <row r="1232" spans="1:26" s="45" customFormat="1" ht="12.75" hidden="1" customHeight="1">
      <c r="A1232" s="22" t="s">
        <v>126</v>
      </c>
      <c r="B1232" s="24" t="s">
        <v>127</v>
      </c>
      <c r="C1232" s="23" t="s">
        <v>92</v>
      </c>
      <c r="O1232" s="45">
        <v>3.49</v>
      </c>
      <c r="P1232" s="23"/>
      <c r="Q1232" s="23"/>
      <c r="R1232" s="26">
        <v>2.39</v>
      </c>
      <c r="U1232" s="45">
        <v>3.49</v>
      </c>
      <c r="V1232" s="26">
        <v>2.39</v>
      </c>
      <c r="W1232" s="49">
        <f t="shared" si="153"/>
        <v>0.55148774599999983</v>
      </c>
      <c r="X1232" s="49"/>
      <c r="Y1232" s="49"/>
      <c r="Z1232" s="49"/>
    </row>
    <row r="1233" spans="1:26" s="45" customFormat="1" ht="12.75" hidden="1" customHeight="1">
      <c r="A1233" s="22" t="s">
        <v>126</v>
      </c>
      <c r="B1233" s="24" t="s">
        <v>127</v>
      </c>
      <c r="C1233" s="23" t="s">
        <v>92</v>
      </c>
      <c r="O1233" s="45">
        <v>3.55</v>
      </c>
      <c r="P1233" s="23"/>
      <c r="Q1233" s="23"/>
      <c r="R1233" s="26">
        <v>2.42</v>
      </c>
      <c r="U1233" s="45">
        <v>3.55</v>
      </c>
      <c r="V1233" s="26">
        <v>2.42</v>
      </c>
      <c r="W1233" s="49">
        <f t="shared" si="153"/>
        <v>0.50489927000000012</v>
      </c>
      <c r="X1233" s="49"/>
      <c r="Y1233" s="49"/>
      <c r="Z1233" s="49"/>
    </row>
    <row r="1234" spans="1:26" s="45" customFormat="1" ht="12.75" hidden="1" customHeight="1">
      <c r="A1234" s="22" t="s">
        <v>126</v>
      </c>
      <c r="B1234" s="24" t="s">
        <v>127</v>
      </c>
      <c r="C1234" s="23" t="s">
        <v>92</v>
      </c>
      <c r="O1234" s="45">
        <v>3.63</v>
      </c>
      <c r="P1234" s="23"/>
      <c r="Q1234" s="23"/>
      <c r="R1234" s="26">
        <v>2.2599999999999998</v>
      </c>
      <c r="U1234" s="45">
        <v>3.63</v>
      </c>
      <c r="V1234" s="26">
        <v>2.2599999999999998</v>
      </c>
      <c r="W1234" s="49">
        <f t="shared" si="153"/>
        <v>0.63356130199999994</v>
      </c>
      <c r="X1234" s="49"/>
      <c r="Y1234" s="49"/>
      <c r="Z1234" s="49"/>
    </row>
    <row r="1235" spans="1:26" s="45" customFormat="1" ht="12.75" hidden="1" customHeight="1">
      <c r="A1235" s="22" t="s">
        <v>126</v>
      </c>
      <c r="B1235" s="24" t="s">
        <v>127</v>
      </c>
      <c r="C1235" s="23" t="s">
        <v>92</v>
      </c>
      <c r="O1235" s="45">
        <v>3.63</v>
      </c>
      <c r="P1235" s="23"/>
      <c r="Q1235" s="23"/>
      <c r="R1235" s="26">
        <v>2.3199999999999998</v>
      </c>
      <c r="U1235" s="45">
        <v>3.63</v>
      </c>
      <c r="V1235" s="26">
        <v>2.3199999999999998</v>
      </c>
      <c r="W1235" s="49">
        <f t="shared" si="153"/>
        <v>0.57632730199999993</v>
      </c>
      <c r="X1235" s="49"/>
      <c r="Y1235" s="49"/>
      <c r="Z1235" s="49"/>
    </row>
    <row r="1236" spans="1:26" s="45" customFormat="1" ht="12.75" hidden="1" customHeight="1">
      <c r="A1236" s="22" t="s">
        <v>126</v>
      </c>
      <c r="B1236" s="24" t="s">
        <v>127</v>
      </c>
      <c r="C1236" s="23" t="s">
        <v>92</v>
      </c>
      <c r="O1236" s="45">
        <v>3.64</v>
      </c>
      <c r="P1236" s="23"/>
      <c r="Q1236" s="23"/>
      <c r="R1236" s="26">
        <v>2.29</v>
      </c>
      <c r="U1236" s="45">
        <v>3.64</v>
      </c>
      <c r="V1236" s="26">
        <v>2.29</v>
      </c>
      <c r="W1236" s="49">
        <f t="shared" si="153"/>
        <v>0.60194905600000004</v>
      </c>
      <c r="X1236" s="49"/>
      <c r="Y1236" s="49"/>
      <c r="Z1236" s="49"/>
    </row>
    <row r="1237" spans="1:26" s="45" customFormat="1" ht="12.75" hidden="1" customHeight="1">
      <c r="A1237" s="22" t="s">
        <v>126</v>
      </c>
      <c r="B1237" s="24" t="s">
        <v>127</v>
      </c>
      <c r="C1237" s="23" t="s">
        <v>92</v>
      </c>
      <c r="O1237" s="45">
        <v>3.7199999999999998</v>
      </c>
      <c r="P1237" s="23"/>
      <c r="Q1237" s="23"/>
      <c r="R1237" s="26">
        <v>2.2999999999999998</v>
      </c>
      <c r="U1237" s="45">
        <v>3.7199999999999998</v>
      </c>
      <c r="V1237" s="26">
        <v>2.2999999999999998</v>
      </c>
      <c r="W1237" s="49">
        <f t="shared" si="153"/>
        <v>0.56844808800000046</v>
      </c>
      <c r="X1237" s="49"/>
      <c r="Y1237" s="49"/>
      <c r="Z1237" s="49"/>
    </row>
    <row r="1238" spans="1:26" s="45" customFormat="1" ht="12.75" hidden="1" customHeight="1">
      <c r="A1238" s="22" t="s">
        <v>126</v>
      </c>
      <c r="B1238" s="24" t="s">
        <v>127</v>
      </c>
      <c r="C1238" s="23" t="s">
        <v>92</v>
      </c>
      <c r="O1238" s="45">
        <v>3.79</v>
      </c>
      <c r="P1238" s="23"/>
      <c r="Q1238" s="23"/>
      <c r="R1238" s="26">
        <v>2.31</v>
      </c>
      <c r="U1238" s="45">
        <v>3.79</v>
      </c>
      <c r="V1238" s="26">
        <v>2.31</v>
      </c>
      <c r="W1238" s="49">
        <f t="shared" ref="W1238:W1301" si="154">0.9539*(4.064-0.314*U1238-V1238)</f>
        <v>0.53794236600000012</v>
      </c>
      <c r="X1238" s="49"/>
      <c r="Y1238" s="49"/>
      <c r="Z1238" s="49"/>
    </row>
    <row r="1239" spans="1:26" s="45" customFormat="1" ht="12.75" hidden="1" customHeight="1">
      <c r="A1239" s="22" t="s">
        <v>126</v>
      </c>
      <c r="B1239" s="24" t="s">
        <v>127</v>
      </c>
      <c r="C1239" s="23" t="s">
        <v>92</v>
      </c>
      <c r="O1239" s="45">
        <v>3.75</v>
      </c>
      <c r="P1239" s="23"/>
      <c r="Q1239" s="23"/>
      <c r="R1239" s="26">
        <v>2.11</v>
      </c>
      <c r="U1239" s="45">
        <v>3.75</v>
      </c>
      <c r="V1239" s="26">
        <v>2.11</v>
      </c>
      <c r="W1239" s="49">
        <f t="shared" si="154"/>
        <v>0.74070334999999998</v>
      </c>
      <c r="X1239" s="49"/>
      <c r="Y1239" s="49"/>
      <c r="Z1239" s="49"/>
    </row>
    <row r="1240" spans="1:26" s="45" customFormat="1" ht="12.75" hidden="1" customHeight="1">
      <c r="A1240" s="22" t="s">
        <v>126</v>
      </c>
      <c r="B1240" s="24" t="s">
        <v>127</v>
      </c>
      <c r="C1240" s="23" t="s">
        <v>92</v>
      </c>
      <c r="O1240" s="45">
        <v>3.79</v>
      </c>
      <c r="P1240" s="23"/>
      <c r="Q1240" s="23"/>
      <c r="R1240" s="26">
        <v>2.14</v>
      </c>
      <c r="U1240" s="45">
        <v>3.79</v>
      </c>
      <c r="V1240" s="26">
        <v>2.14</v>
      </c>
      <c r="W1240" s="49">
        <f t="shared" si="154"/>
        <v>0.70010536600000006</v>
      </c>
      <c r="X1240" s="49"/>
      <c r="Y1240" s="49"/>
      <c r="Z1240" s="49"/>
    </row>
    <row r="1241" spans="1:26" s="45" customFormat="1" ht="12.75" hidden="1" customHeight="1">
      <c r="A1241" s="22" t="s">
        <v>126</v>
      </c>
      <c r="B1241" s="24" t="s">
        <v>127</v>
      </c>
      <c r="C1241" s="23" t="s">
        <v>92</v>
      </c>
      <c r="O1241" s="45">
        <v>3.87</v>
      </c>
      <c r="P1241" s="23"/>
      <c r="Q1241" s="23"/>
      <c r="R1241" s="26">
        <v>2.2400000000000002</v>
      </c>
      <c r="U1241" s="45">
        <v>3.87</v>
      </c>
      <c r="V1241" s="26">
        <v>2.2400000000000002</v>
      </c>
      <c r="W1241" s="49">
        <f t="shared" si="154"/>
        <v>0.5807533979999997</v>
      </c>
      <c r="X1241" s="49"/>
      <c r="Y1241" s="49"/>
      <c r="Z1241" s="49"/>
    </row>
    <row r="1242" spans="1:26" s="45" customFormat="1" ht="12.75" hidden="1" customHeight="1">
      <c r="A1242" s="22" t="s">
        <v>126</v>
      </c>
      <c r="B1242" s="24" t="s">
        <v>127</v>
      </c>
      <c r="C1242" s="23" t="s">
        <v>92</v>
      </c>
      <c r="O1242" s="45">
        <v>3.7300000000000004</v>
      </c>
      <c r="P1242" s="23"/>
      <c r="Q1242" s="23"/>
      <c r="R1242" s="26">
        <v>2.4300000000000002</v>
      </c>
      <c r="U1242" s="45">
        <v>3.7300000000000004</v>
      </c>
      <c r="V1242" s="26">
        <v>2.4300000000000002</v>
      </c>
      <c r="W1242" s="49">
        <f t="shared" si="154"/>
        <v>0.44144584199999998</v>
      </c>
      <c r="X1242" s="49"/>
      <c r="Y1242" s="49"/>
      <c r="Z1242" s="49"/>
    </row>
    <row r="1243" spans="1:26" s="45" customFormat="1" ht="12.75" hidden="1" customHeight="1">
      <c r="A1243" s="22" t="s">
        <v>126</v>
      </c>
      <c r="B1243" s="24" t="s">
        <v>127</v>
      </c>
      <c r="C1243" s="23" t="s">
        <v>92</v>
      </c>
      <c r="O1243" s="45">
        <v>3.7</v>
      </c>
      <c r="P1243" s="23"/>
      <c r="Q1243" s="23"/>
      <c r="R1243" s="26">
        <v>2.48</v>
      </c>
      <c r="U1243" s="45">
        <v>3.7</v>
      </c>
      <c r="V1243" s="26">
        <v>2.48</v>
      </c>
      <c r="W1243" s="49">
        <f t="shared" si="154"/>
        <v>0.40273657999999968</v>
      </c>
      <c r="X1243" s="49"/>
      <c r="Y1243" s="49"/>
      <c r="Z1243" s="49"/>
    </row>
    <row r="1244" spans="1:26" s="45" customFormat="1" ht="12.75" hidden="1" customHeight="1">
      <c r="A1244" s="22" t="s">
        <v>126</v>
      </c>
      <c r="B1244" s="24" t="s">
        <v>127</v>
      </c>
      <c r="C1244" s="23" t="s">
        <v>92</v>
      </c>
      <c r="O1244" s="45">
        <v>3.7</v>
      </c>
      <c r="P1244" s="23"/>
      <c r="Q1244" s="23"/>
      <c r="R1244" s="26">
        <v>2.48</v>
      </c>
      <c r="U1244" s="45">
        <v>3.7</v>
      </c>
      <c r="V1244" s="26">
        <v>2.48</v>
      </c>
      <c r="W1244" s="49">
        <f t="shared" si="154"/>
        <v>0.40273657999999968</v>
      </c>
      <c r="X1244" s="49"/>
      <c r="Y1244" s="49"/>
      <c r="Z1244" s="49"/>
    </row>
    <row r="1245" spans="1:26" s="45" customFormat="1" ht="12.75" hidden="1" customHeight="1">
      <c r="A1245" s="22" t="s">
        <v>126</v>
      </c>
      <c r="B1245" s="24" t="s">
        <v>127</v>
      </c>
      <c r="C1245" s="23" t="s">
        <v>92</v>
      </c>
      <c r="O1245" s="45">
        <v>3.67</v>
      </c>
      <c r="P1245" s="23"/>
      <c r="Q1245" s="23"/>
      <c r="R1245" s="26">
        <v>2.5499999999999998</v>
      </c>
      <c r="U1245" s="45">
        <v>3.67</v>
      </c>
      <c r="V1245" s="26">
        <v>2.5499999999999998</v>
      </c>
      <c r="W1245" s="49">
        <f t="shared" si="154"/>
        <v>0.34494931800000023</v>
      </c>
      <c r="X1245" s="49"/>
      <c r="Y1245" s="49"/>
      <c r="Z1245" s="49"/>
    </row>
    <row r="1246" spans="1:26" s="45" customFormat="1" ht="12.75" hidden="1" customHeight="1">
      <c r="A1246" s="22" t="s">
        <v>126</v>
      </c>
      <c r="B1246" s="24" t="s">
        <v>127</v>
      </c>
      <c r="C1246" s="23" t="s">
        <v>92</v>
      </c>
      <c r="O1246" s="45">
        <v>3.6900000000000004</v>
      </c>
      <c r="P1246" s="23"/>
      <c r="Q1246" s="23"/>
      <c r="R1246" s="26">
        <v>2.5700000000000003</v>
      </c>
      <c r="U1246" s="45">
        <v>3.6900000000000004</v>
      </c>
      <c r="V1246" s="26">
        <v>2.5700000000000003</v>
      </c>
      <c r="W1246" s="49">
        <f t="shared" si="154"/>
        <v>0.31988082599999956</v>
      </c>
      <c r="X1246" s="49"/>
      <c r="Y1246" s="49"/>
      <c r="Z1246" s="49"/>
    </row>
    <row r="1247" spans="1:26" s="45" customFormat="1" ht="12.75" hidden="1" customHeight="1">
      <c r="A1247" s="22" t="s">
        <v>126</v>
      </c>
      <c r="B1247" s="24" t="s">
        <v>127</v>
      </c>
      <c r="C1247" s="23" t="s">
        <v>92</v>
      </c>
      <c r="O1247" s="45">
        <v>3.62</v>
      </c>
      <c r="P1247" s="23"/>
      <c r="Q1247" s="23"/>
      <c r="R1247" s="26">
        <v>2.7800000000000002</v>
      </c>
      <c r="U1247" s="45">
        <v>3.62</v>
      </c>
      <c r="V1247" s="26">
        <v>2.7800000000000002</v>
      </c>
      <c r="W1247" s="49">
        <f t="shared" si="154"/>
        <v>0.1405285479999997</v>
      </c>
      <c r="X1247" s="49"/>
      <c r="Y1247" s="49"/>
      <c r="Z1247" s="49"/>
    </row>
    <row r="1248" spans="1:26" s="45" customFormat="1" ht="12.75" hidden="1" customHeight="1">
      <c r="A1248" s="22" t="s">
        <v>126</v>
      </c>
      <c r="B1248" s="24" t="s">
        <v>127</v>
      </c>
      <c r="C1248" s="23" t="s">
        <v>92</v>
      </c>
      <c r="O1248" s="45">
        <v>3.64</v>
      </c>
      <c r="P1248" s="23"/>
      <c r="Q1248" s="23"/>
      <c r="R1248" s="26">
        <v>2.83</v>
      </c>
      <c r="U1248" s="45">
        <v>3.64</v>
      </c>
      <c r="V1248" s="26">
        <v>2.83</v>
      </c>
      <c r="W1248" s="49">
        <f t="shared" si="154"/>
        <v>8.6843056000000002E-2</v>
      </c>
      <c r="X1248" s="49"/>
      <c r="Y1248" s="49"/>
      <c r="Z1248" s="49"/>
    </row>
    <row r="1249" spans="1:26" s="45" customFormat="1" ht="12.75" hidden="1" customHeight="1">
      <c r="A1249" s="22" t="s">
        <v>126</v>
      </c>
      <c r="B1249" s="24" t="s">
        <v>127</v>
      </c>
      <c r="C1249" s="23" t="s">
        <v>92</v>
      </c>
      <c r="O1249" s="45">
        <v>3.9000000000000004</v>
      </c>
      <c r="P1249" s="23"/>
      <c r="Q1249" s="23"/>
      <c r="R1249" s="26">
        <v>2.46</v>
      </c>
      <c r="U1249" s="45">
        <v>3.9000000000000004</v>
      </c>
      <c r="V1249" s="26">
        <v>2.46</v>
      </c>
      <c r="W1249" s="49">
        <f t="shared" si="154"/>
        <v>0.36190965999999997</v>
      </c>
      <c r="X1249" s="49"/>
      <c r="Y1249" s="49"/>
      <c r="Z1249" s="49"/>
    </row>
    <row r="1250" spans="1:26" s="45" customFormat="1" ht="12.75" hidden="1" customHeight="1">
      <c r="A1250" s="22" t="s">
        <v>126</v>
      </c>
      <c r="B1250" s="24" t="s">
        <v>127</v>
      </c>
      <c r="C1250" s="23" t="s">
        <v>92</v>
      </c>
      <c r="O1250" s="45">
        <v>4.03</v>
      </c>
      <c r="P1250" s="23"/>
      <c r="Q1250" s="23"/>
      <c r="R1250" s="26">
        <v>2.42</v>
      </c>
      <c r="U1250" s="45">
        <v>4.03</v>
      </c>
      <c r="V1250" s="26">
        <v>2.42</v>
      </c>
      <c r="W1250" s="49">
        <f t="shared" si="154"/>
        <v>0.36112746200000034</v>
      </c>
      <c r="X1250" s="49"/>
      <c r="Y1250" s="49"/>
      <c r="Z1250" s="49"/>
    </row>
    <row r="1251" spans="1:26" s="45" customFormat="1" ht="12.75" hidden="1" customHeight="1">
      <c r="A1251" s="22" t="s">
        <v>126</v>
      </c>
      <c r="B1251" s="24" t="s">
        <v>127</v>
      </c>
      <c r="C1251" s="23" t="s">
        <v>92</v>
      </c>
      <c r="O1251" s="45">
        <v>3.7800000000000002</v>
      </c>
      <c r="P1251" s="23"/>
      <c r="Q1251" s="23"/>
      <c r="R1251" s="26">
        <v>2.5</v>
      </c>
      <c r="U1251" s="45">
        <v>3.7800000000000002</v>
      </c>
      <c r="V1251" s="26">
        <v>2.5</v>
      </c>
      <c r="W1251" s="49">
        <f t="shared" si="154"/>
        <v>0.3596966120000003</v>
      </c>
      <c r="X1251" s="49"/>
      <c r="Y1251" s="49"/>
      <c r="Z1251" s="49"/>
    </row>
    <row r="1252" spans="1:26" s="45" customFormat="1" ht="12.75" hidden="1" customHeight="1">
      <c r="A1252" s="22" t="s">
        <v>126</v>
      </c>
      <c r="B1252" s="24" t="s">
        <v>127</v>
      </c>
      <c r="C1252" s="23" t="s">
        <v>92</v>
      </c>
      <c r="O1252" s="45">
        <v>3.81</v>
      </c>
      <c r="P1252" s="23"/>
      <c r="Q1252" s="23"/>
      <c r="R1252" s="26">
        <v>2.5300000000000002</v>
      </c>
      <c r="U1252" s="45">
        <v>3.81</v>
      </c>
      <c r="V1252" s="26">
        <v>2.5300000000000002</v>
      </c>
      <c r="W1252" s="49">
        <f t="shared" si="154"/>
        <v>0.32209387399999961</v>
      </c>
      <c r="X1252" s="49"/>
      <c r="Y1252" s="49"/>
      <c r="Z1252" s="49"/>
    </row>
    <row r="1253" spans="1:26" s="45" customFormat="1" ht="12.75" hidden="1" customHeight="1">
      <c r="A1253" s="22" t="s">
        <v>126</v>
      </c>
      <c r="B1253" s="24" t="s">
        <v>127</v>
      </c>
      <c r="C1253" s="23" t="s">
        <v>92</v>
      </c>
      <c r="O1253" s="45">
        <v>3.83</v>
      </c>
      <c r="P1253" s="23"/>
      <c r="Q1253" s="23"/>
      <c r="R1253" s="26">
        <v>2.52</v>
      </c>
      <c r="U1253" s="45">
        <v>3.83</v>
      </c>
      <c r="V1253" s="26">
        <v>2.52</v>
      </c>
      <c r="W1253" s="49">
        <f t="shared" si="154"/>
        <v>0.32564238200000001</v>
      </c>
      <c r="X1253" s="49"/>
      <c r="Y1253" s="49"/>
      <c r="Z1253" s="49"/>
    </row>
    <row r="1254" spans="1:26" s="45" customFormat="1" ht="12.75" hidden="1" customHeight="1">
      <c r="A1254" s="22" t="s">
        <v>126</v>
      </c>
      <c r="B1254" s="24" t="s">
        <v>127</v>
      </c>
      <c r="C1254" s="23" t="s">
        <v>92</v>
      </c>
      <c r="O1254" s="45">
        <v>3.76</v>
      </c>
      <c r="P1254" s="23"/>
      <c r="Q1254" s="23"/>
      <c r="R1254" s="26">
        <v>2.6</v>
      </c>
      <c r="U1254" s="45">
        <v>3.76</v>
      </c>
      <c r="V1254" s="26">
        <v>2.6</v>
      </c>
      <c r="W1254" s="49">
        <f t="shared" si="154"/>
        <v>0.27029710400000007</v>
      </c>
      <c r="X1254" s="49"/>
      <c r="Y1254" s="49"/>
      <c r="Z1254" s="49"/>
    </row>
    <row r="1255" spans="1:26" s="45" customFormat="1" ht="12.75" hidden="1" customHeight="1">
      <c r="A1255" s="22" t="s">
        <v>126</v>
      </c>
      <c r="B1255" s="24" t="s">
        <v>127</v>
      </c>
      <c r="C1255" s="23" t="s">
        <v>92</v>
      </c>
      <c r="O1255" s="45">
        <v>3.7199999999999998</v>
      </c>
      <c r="P1255" s="23"/>
      <c r="Q1255" s="23"/>
      <c r="R1255" s="26">
        <v>2.68</v>
      </c>
      <c r="U1255" s="45">
        <v>3.7199999999999998</v>
      </c>
      <c r="V1255" s="26">
        <v>2.68</v>
      </c>
      <c r="W1255" s="49">
        <f t="shared" si="154"/>
        <v>0.2059660880000001</v>
      </c>
      <c r="X1255" s="49"/>
      <c r="Y1255" s="49"/>
      <c r="Z1255" s="49"/>
    </row>
    <row r="1256" spans="1:26" s="45" customFormat="1" ht="12.75" hidden="1" customHeight="1">
      <c r="A1256" s="22" t="s">
        <v>126</v>
      </c>
      <c r="B1256" s="24" t="s">
        <v>127</v>
      </c>
      <c r="C1256" s="23" t="s">
        <v>92</v>
      </c>
      <c r="O1256" s="45">
        <v>3.9000000000000004</v>
      </c>
      <c r="P1256" s="23"/>
      <c r="Q1256" s="23"/>
      <c r="R1256" s="26">
        <v>2.5700000000000003</v>
      </c>
      <c r="U1256" s="45">
        <v>3.9000000000000004</v>
      </c>
      <c r="V1256" s="26">
        <v>2.5700000000000003</v>
      </c>
      <c r="W1256" s="49">
        <f t="shared" si="154"/>
        <v>0.25698065999999964</v>
      </c>
      <c r="X1256" s="49"/>
      <c r="Y1256" s="49"/>
      <c r="Z1256" s="49"/>
    </row>
    <row r="1257" spans="1:26" s="45" customFormat="1" ht="12.75" hidden="1" customHeight="1">
      <c r="A1257" s="22" t="s">
        <v>126</v>
      </c>
      <c r="B1257" s="24" t="s">
        <v>127</v>
      </c>
      <c r="C1257" s="23" t="s">
        <v>92</v>
      </c>
      <c r="O1257" s="45">
        <v>3.9249999999999998</v>
      </c>
      <c r="P1257" s="23"/>
      <c r="Q1257" s="23"/>
      <c r="R1257" s="26">
        <v>2.6100000000000003</v>
      </c>
      <c r="U1257" s="45">
        <v>3.9249999999999998</v>
      </c>
      <c r="V1257" s="26">
        <v>2.6100000000000003</v>
      </c>
      <c r="W1257" s="49">
        <f t="shared" si="154"/>
        <v>0.21133654499999971</v>
      </c>
      <c r="X1257" s="49"/>
      <c r="Y1257" s="49"/>
      <c r="Z1257" s="49"/>
    </row>
    <row r="1258" spans="1:26" s="45" customFormat="1" ht="12.75" hidden="1" customHeight="1">
      <c r="A1258" s="22" t="s">
        <v>126</v>
      </c>
      <c r="B1258" s="24" t="s">
        <v>127</v>
      </c>
      <c r="C1258" s="23" t="s">
        <v>92</v>
      </c>
      <c r="O1258" s="45">
        <v>3.96</v>
      </c>
      <c r="P1258" s="23"/>
      <c r="Q1258" s="23"/>
      <c r="R1258" s="26">
        <v>2.6100000000000003</v>
      </c>
      <c r="U1258" s="45">
        <v>3.96</v>
      </c>
      <c r="V1258" s="26">
        <v>2.6100000000000003</v>
      </c>
      <c r="W1258" s="49">
        <f t="shared" si="154"/>
        <v>0.20085318399999966</v>
      </c>
      <c r="X1258" s="49"/>
      <c r="Y1258" s="49"/>
      <c r="Z1258" s="49"/>
    </row>
    <row r="1259" spans="1:26" s="45" customFormat="1" ht="12.75" hidden="1" customHeight="1">
      <c r="A1259" s="22" t="s">
        <v>126</v>
      </c>
      <c r="B1259" s="24" t="s">
        <v>127</v>
      </c>
      <c r="C1259" s="23" t="s">
        <v>92</v>
      </c>
      <c r="O1259" s="45">
        <v>4.01</v>
      </c>
      <c r="P1259" s="23"/>
      <c r="Q1259" s="23"/>
      <c r="R1259" s="26">
        <v>2.625</v>
      </c>
      <c r="U1259" s="45">
        <v>4.01</v>
      </c>
      <c r="V1259" s="26">
        <v>2.625</v>
      </c>
      <c r="W1259" s="49">
        <f t="shared" si="154"/>
        <v>0.17156845400000012</v>
      </c>
      <c r="X1259" s="49"/>
      <c r="Y1259" s="49"/>
      <c r="Z1259" s="49"/>
    </row>
    <row r="1260" spans="1:26" s="45" customFormat="1" ht="12.75" hidden="1" customHeight="1">
      <c r="A1260" s="22" t="s">
        <v>126</v>
      </c>
      <c r="B1260" s="24" t="s">
        <v>127</v>
      </c>
      <c r="C1260" s="23" t="s">
        <v>92</v>
      </c>
      <c r="O1260" s="45">
        <v>3.75</v>
      </c>
      <c r="P1260" s="23"/>
      <c r="Q1260" s="23"/>
      <c r="R1260" s="26">
        <v>2.87</v>
      </c>
      <c r="U1260" s="45">
        <v>3.75</v>
      </c>
      <c r="V1260" s="26">
        <v>2.87</v>
      </c>
      <c r="W1260" s="49">
        <f t="shared" si="154"/>
        <v>1.5739349999999749E-2</v>
      </c>
      <c r="X1260" s="49"/>
      <c r="Y1260" s="49"/>
      <c r="Z1260" s="49"/>
    </row>
    <row r="1261" spans="1:26" s="45" customFormat="1" ht="12.75" hidden="1" customHeight="1">
      <c r="A1261" s="22" t="s">
        <v>126</v>
      </c>
      <c r="B1261" s="24" t="s">
        <v>127</v>
      </c>
      <c r="C1261" s="23" t="s">
        <v>92</v>
      </c>
      <c r="O1261" s="45">
        <v>3.76</v>
      </c>
      <c r="P1261" s="23"/>
      <c r="Q1261" s="23"/>
      <c r="R1261" s="26">
        <v>2.77</v>
      </c>
      <c r="U1261" s="45">
        <v>3.76</v>
      </c>
      <c r="V1261" s="26">
        <v>2.77</v>
      </c>
      <c r="W1261" s="49">
        <f t="shared" si="154"/>
        <v>0.10813410400000012</v>
      </c>
      <c r="X1261" s="49"/>
      <c r="Y1261" s="49"/>
      <c r="Z1261" s="49"/>
    </row>
    <row r="1262" spans="1:26" s="45" customFormat="1" ht="12.75" hidden="1" customHeight="1">
      <c r="A1262" s="22" t="s">
        <v>126</v>
      </c>
      <c r="B1262" s="24" t="s">
        <v>127</v>
      </c>
      <c r="C1262" s="23" t="s">
        <v>92</v>
      </c>
      <c r="O1262" s="45">
        <v>3.81</v>
      </c>
      <c r="P1262" s="23"/>
      <c r="Q1262" s="23"/>
      <c r="R1262" s="26">
        <v>2.7</v>
      </c>
      <c r="U1262" s="45">
        <v>3.81</v>
      </c>
      <c r="V1262" s="26">
        <v>2.7</v>
      </c>
      <c r="W1262" s="49">
        <f t="shared" si="154"/>
        <v>0.1599308739999997</v>
      </c>
      <c r="X1262" s="49"/>
      <c r="Y1262" s="49"/>
      <c r="Z1262" s="49"/>
    </row>
    <row r="1263" spans="1:26" s="45" customFormat="1" ht="12.75" hidden="1" customHeight="1">
      <c r="A1263" s="22" t="s">
        <v>126</v>
      </c>
      <c r="B1263" s="24" t="s">
        <v>127</v>
      </c>
      <c r="C1263" s="23" t="s">
        <v>92</v>
      </c>
      <c r="O1263" s="45">
        <v>3.83</v>
      </c>
      <c r="P1263" s="23"/>
      <c r="Q1263" s="23"/>
      <c r="R1263" s="26">
        <v>2.66</v>
      </c>
      <c r="U1263" s="45">
        <v>3.83</v>
      </c>
      <c r="V1263" s="26">
        <v>2.66</v>
      </c>
      <c r="W1263" s="49">
        <f t="shared" si="154"/>
        <v>0.1920963819999999</v>
      </c>
      <c r="X1263" s="49"/>
      <c r="Y1263" s="49"/>
      <c r="Z1263" s="49"/>
    </row>
    <row r="1264" spans="1:26" s="45" customFormat="1" ht="12.75" hidden="1" customHeight="1">
      <c r="A1264" s="22" t="s">
        <v>126</v>
      </c>
      <c r="B1264" s="24" t="s">
        <v>127</v>
      </c>
      <c r="C1264" s="23" t="s">
        <v>92</v>
      </c>
      <c r="O1264" s="45">
        <v>3.91</v>
      </c>
      <c r="P1264" s="23"/>
      <c r="Q1264" s="23"/>
      <c r="R1264" s="26">
        <v>2.8200000000000003</v>
      </c>
      <c r="U1264" s="45">
        <v>3.91</v>
      </c>
      <c r="V1264" s="26">
        <v>2.8200000000000003</v>
      </c>
      <c r="W1264" s="49">
        <f t="shared" si="154"/>
        <v>1.5510413999999943E-2</v>
      </c>
      <c r="X1264" s="49"/>
      <c r="Y1264" s="49"/>
      <c r="Z1264" s="49"/>
    </row>
    <row r="1265" spans="1:26" s="45" customFormat="1" ht="12.75" hidden="1" customHeight="1">
      <c r="A1265" s="22" t="s">
        <v>126</v>
      </c>
      <c r="B1265" s="24" t="s">
        <v>127</v>
      </c>
      <c r="C1265" s="23" t="s">
        <v>92</v>
      </c>
      <c r="O1265" s="45">
        <v>4.0199999999999996</v>
      </c>
      <c r="P1265" s="23"/>
      <c r="Q1265" s="23"/>
      <c r="R1265" s="26">
        <v>2.7199999999999998</v>
      </c>
      <c r="U1265" s="45">
        <v>4.0199999999999996</v>
      </c>
      <c r="V1265" s="26">
        <v>2.7199999999999998</v>
      </c>
      <c r="W1265" s="49">
        <f t="shared" si="154"/>
        <v>7.7952708000000648E-2</v>
      </c>
      <c r="X1265" s="49"/>
      <c r="Y1265" s="49"/>
      <c r="Z1265" s="49"/>
    </row>
    <row r="1266" spans="1:26" s="45" customFormat="1" ht="12.75" hidden="1" customHeight="1">
      <c r="A1266" s="22" t="s">
        <v>126</v>
      </c>
      <c r="B1266" s="24" t="s">
        <v>127</v>
      </c>
      <c r="C1266" s="23" t="s">
        <v>92</v>
      </c>
      <c r="O1266" s="45">
        <v>4.05</v>
      </c>
      <c r="P1266" s="23"/>
      <c r="Q1266" s="23"/>
      <c r="R1266" s="26">
        <v>2.79</v>
      </c>
      <c r="U1266" s="45">
        <v>4.05</v>
      </c>
      <c r="V1266" s="26">
        <v>2.79</v>
      </c>
      <c r="W1266" s="49">
        <f t="shared" si="154"/>
        <v>2.19396999999997E-3</v>
      </c>
      <c r="X1266" s="49"/>
      <c r="Y1266" s="49"/>
      <c r="Z1266" s="49"/>
    </row>
    <row r="1267" spans="1:26" s="45" customFormat="1" ht="12.75" hidden="1" customHeight="1">
      <c r="A1267" s="22" t="s">
        <v>126</v>
      </c>
      <c r="B1267" s="24" t="s">
        <v>127</v>
      </c>
      <c r="C1267" s="23" t="s">
        <v>92</v>
      </c>
      <c r="O1267" s="45">
        <v>3.09</v>
      </c>
      <c r="P1267" s="23"/>
      <c r="Q1267" s="23"/>
      <c r="R1267" s="26">
        <v>2.0300000000000002</v>
      </c>
      <c r="U1267" s="45">
        <v>3.09</v>
      </c>
      <c r="V1267" s="26">
        <v>2.0300000000000002</v>
      </c>
      <c r="W1267" s="49">
        <f t="shared" si="154"/>
        <v>1.0147015859999997</v>
      </c>
      <c r="X1267" s="49"/>
      <c r="Y1267" s="49"/>
      <c r="Z1267" s="49"/>
    </row>
    <row r="1268" spans="1:26" s="45" customFormat="1" ht="12.75" hidden="1" customHeight="1">
      <c r="A1268" s="22" t="s">
        <v>126</v>
      </c>
      <c r="B1268" s="24" t="s">
        <v>127</v>
      </c>
      <c r="C1268" s="23" t="s">
        <v>92</v>
      </c>
      <c r="O1268" s="45">
        <v>3.25</v>
      </c>
      <c r="P1268" s="23"/>
      <c r="Q1268" s="23"/>
      <c r="R1268" s="26">
        <v>2.09</v>
      </c>
      <c r="U1268" s="45">
        <v>3.25</v>
      </c>
      <c r="V1268" s="26">
        <v>2.09</v>
      </c>
      <c r="W1268" s="49">
        <f t="shared" si="154"/>
        <v>0.90954365000000004</v>
      </c>
      <c r="X1268" s="49"/>
      <c r="Y1268" s="49"/>
      <c r="Z1268" s="49"/>
    </row>
    <row r="1269" spans="1:26" s="45" customFormat="1" ht="12.75" hidden="1" customHeight="1">
      <c r="A1269" s="22" t="s">
        <v>126</v>
      </c>
      <c r="B1269" s="24" t="s">
        <v>127</v>
      </c>
      <c r="C1269" s="23" t="s">
        <v>92</v>
      </c>
      <c r="O1269" s="45">
        <v>3.25</v>
      </c>
      <c r="P1269" s="23"/>
      <c r="Q1269" s="23"/>
      <c r="R1269" s="26">
        <v>2.15</v>
      </c>
      <c r="U1269" s="45">
        <v>3.25</v>
      </c>
      <c r="V1269" s="26">
        <v>2.15</v>
      </c>
      <c r="W1269" s="49">
        <f t="shared" si="154"/>
        <v>0.85230964999999992</v>
      </c>
      <c r="X1269" s="49"/>
      <c r="Y1269" s="49"/>
      <c r="Z1269" s="49"/>
    </row>
    <row r="1270" spans="1:26" s="45" customFormat="1" ht="12.75" hidden="1" customHeight="1">
      <c r="A1270" s="22" t="s">
        <v>126</v>
      </c>
      <c r="B1270" s="24" t="s">
        <v>127</v>
      </c>
      <c r="C1270" s="23" t="s">
        <v>92</v>
      </c>
      <c r="O1270" s="45">
        <v>3.2</v>
      </c>
      <c r="P1270" s="23"/>
      <c r="Q1270" s="23"/>
      <c r="R1270" s="26">
        <v>2.2999999999999998</v>
      </c>
      <c r="U1270" s="45">
        <v>3.2</v>
      </c>
      <c r="V1270" s="26">
        <v>2.2999999999999998</v>
      </c>
      <c r="W1270" s="49">
        <f t="shared" si="154"/>
        <v>0.72420087999999982</v>
      </c>
      <c r="X1270" s="49"/>
      <c r="Y1270" s="49"/>
      <c r="Z1270" s="49"/>
    </row>
    <row r="1271" spans="1:26" s="45" customFormat="1" ht="12.75" hidden="1" customHeight="1">
      <c r="A1271" s="22" t="s">
        <v>126</v>
      </c>
      <c r="B1271" s="24" t="s">
        <v>127</v>
      </c>
      <c r="C1271" s="23" t="s">
        <v>93</v>
      </c>
      <c r="O1271" s="45">
        <v>3.1</v>
      </c>
      <c r="P1271" s="23"/>
      <c r="Q1271" s="23"/>
      <c r="R1271" s="26">
        <v>2.04</v>
      </c>
      <c r="U1271" s="45">
        <v>3.1</v>
      </c>
      <c r="V1271" s="26">
        <v>2.04</v>
      </c>
      <c r="W1271" s="49">
        <f t="shared" si="154"/>
        <v>1.0021673400000002</v>
      </c>
      <c r="X1271" s="49"/>
      <c r="Y1271" s="49"/>
      <c r="Z1271" s="49"/>
    </row>
    <row r="1272" spans="1:26" s="45" customFormat="1" ht="12.75" hidden="1" customHeight="1">
      <c r="A1272" s="22" t="s">
        <v>126</v>
      </c>
      <c r="B1272" s="24" t="s">
        <v>127</v>
      </c>
      <c r="C1272" s="23" t="s">
        <v>93</v>
      </c>
      <c r="O1272" s="45">
        <v>3.21</v>
      </c>
      <c r="P1272" s="23"/>
      <c r="Q1272" s="23"/>
      <c r="R1272" s="26">
        <v>2.2999999999999998</v>
      </c>
      <c r="U1272" s="45">
        <v>3.21</v>
      </c>
      <c r="V1272" s="26">
        <v>2.2999999999999998</v>
      </c>
      <c r="W1272" s="49">
        <f t="shared" si="154"/>
        <v>0.72120563400000015</v>
      </c>
      <c r="X1272" s="49"/>
      <c r="Y1272" s="49"/>
      <c r="Z1272" s="49"/>
    </row>
    <row r="1273" spans="1:26" s="45" customFormat="1" ht="12.75" hidden="1" customHeight="1">
      <c r="A1273" s="22" t="s">
        <v>126</v>
      </c>
      <c r="B1273" s="24" t="s">
        <v>127</v>
      </c>
      <c r="C1273" s="23" t="s">
        <v>93</v>
      </c>
      <c r="O1273" s="45">
        <v>3.25</v>
      </c>
      <c r="P1273" s="23"/>
      <c r="Q1273" s="23"/>
      <c r="R1273" s="26">
        <v>2.15</v>
      </c>
      <c r="U1273" s="45">
        <v>3.25</v>
      </c>
      <c r="V1273" s="26">
        <v>2.15</v>
      </c>
      <c r="W1273" s="49">
        <f t="shared" si="154"/>
        <v>0.85230964999999992</v>
      </c>
      <c r="X1273" s="49"/>
      <c r="Y1273" s="49"/>
      <c r="Z1273" s="49"/>
    </row>
    <row r="1274" spans="1:26" s="45" customFormat="1" ht="12.75" hidden="1" customHeight="1">
      <c r="A1274" s="22" t="s">
        <v>126</v>
      </c>
      <c r="B1274" s="24" t="s">
        <v>127</v>
      </c>
      <c r="C1274" s="23" t="s">
        <v>93</v>
      </c>
      <c r="O1274" s="45">
        <v>3.25</v>
      </c>
      <c r="P1274" s="23"/>
      <c r="Q1274" s="23"/>
      <c r="R1274" s="26">
        <v>2.1</v>
      </c>
      <c r="U1274" s="45">
        <v>3.25</v>
      </c>
      <c r="V1274" s="26">
        <v>2.1</v>
      </c>
      <c r="W1274" s="49">
        <f t="shared" si="154"/>
        <v>0.90000464999999974</v>
      </c>
      <c r="X1274" s="49"/>
      <c r="Y1274" s="49"/>
      <c r="Z1274" s="49"/>
    </row>
    <row r="1275" spans="1:26" s="45" customFormat="1" ht="12.75" hidden="1" customHeight="1">
      <c r="A1275" s="22" t="s">
        <v>126</v>
      </c>
      <c r="B1275" s="24" t="s">
        <v>127</v>
      </c>
      <c r="C1275" s="23" t="s">
        <v>93</v>
      </c>
      <c r="O1275" s="45">
        <v>3.31</v>
      </c>
      <c r="P1275" s="23"/>
      <c r="Q1275" s="23"/>
      <c r="R1275" s="26">
        <v>2.09</v>
      </c>
      <c r="U1275" s="45">
        <v>3.31</v>
      </c>
      <c r="V1275" s="26">
        <v>2.09</v>
      </c>
      <c r="W1275" s="49">
        <f t="shared" si="154"/>
        <v>0.891572174</v>
      </c>
      <c r="X1275" s="49"/>
      <c r="Y1275" s="49"/>
      <c r="Z1275" s="49"/>
    </row>
    <row r="1276" spans="1:26" s="45" customFormat="1" ht="12.75" hidden="1" customHeight="1">
      <c r="A1276" s="22" t="s">
        <v>126</v>
      </c>
      <c r="B1276" s="24" t="s">
        <v>127</v>
      </c>
      <c r="C1276" s="23" t="s">
        <v>93</v>
      </c>
      <c r="O1276" s="45">
        <v>3.29</v>
      </c>
      <c r="P1276" s="23"/>
      <c r="Q1276" s="23"/>
      <c r="R1276" s="26">
        <v>2.0099999999999998</v>
      </c>
      <c r="U1276" s="45">
        <v>3.29</v>
      </c>
      <c r="V1276" s="26">
        <v>2.0099999999999998</v>
      </c>
      <c r="W1276" s="49">
        <f t="shared" si="154"/>
        <v>0.97387466600000039</v>
      </c>
      <c r="X1276" s="49"/>
      <c r="Y1276" s="49"/>
      <c r="Z1276" s="49"/>
    </row>
    <row r="1277" spans="1:26" s="45" customFormat="1" ht="12.75" hidden="1" customHeight="1">
      <c r="A1277" s="22" t="s">
        <v>126</v>
      </c>
      <c r="B1277" s="24" t="s">
        <v>127</v>
      </c>
      <c r="C1277" s="23" t="s">
        <v>93</v>
      </c>
      <c r="O1277" s="45">
        <v>3.36</v>
      </c>
      <c r="P1277" s="23"/>
      <c r="Q1277" s="23"/>
      <c r="R1277" s="26">
        <v>1.96</v>
      </c>
      <c r="U1277" s="45">
        <v>3.36</v>
      </c>
      <c r="V1277" s="26">
        <v>1.96</v>
      </c>
      <c r="W1277" s="49">
        <f t="shared" si="154"/>
        <v>1.0006029440000002</v>
      </c>
      <c r="X1277" s="49"/>
      <c r="Y1277" s="49"/>
      <c r="Z1277" s="49"/>
    </row>
    <row r="1278" spans="1:26" s="45" customFormat="1" ht="12.75" hidden="1" customHeight="1">
      <c r="A1278" s="22" t="s">
        <v>126</v>
      </c>
      <c r="B1278" s="24" t="s">
        <v>127</v>
      </c>
      <c r="C1278" s="23" t="s">
        <v>93</v>
      </c>
      <c r="O1278" s="45">
        <v>3.39</v>
      </c>
      <c r="P1278" s="23"/>
      <c r="Q1278" s="23"/>
      <c r="R1278" s="26">
        <v>1.83</v>
      </c>
      <c r="U1278" s="45">
        <v>3.39</v>
      </c>
      <c r="V1278" s="26">
        <v>1.83</v>
      </c>
      <c r="W1278" s="49">
        <f t="shared" si="154"/>
        <v>1.1156242059999999</v>
      </c>
      <c r="X1278" s="49"/>
      <c r="Y1278" s="49"/>
      <c r="Z1278" s="49"/>
    </row>
    <row r="1279" spans="1:26" s="45" customFormat="1" ht="12.75" hidden="1" customHeight="1">
      <c r="A1279" s="22" t="s">
        <v>126</v>
      </c>
      <c r="B1279" s="24" t="s">
        <v>127</v>
      </c>
      <c r="C1279" s="23" t="s">
        <v>93</v>
      </c>
      <c r="O1279" s="45">
        <v>3.39</v>
      </c>
      <c r="P1279" s="23"/>
      <c r="Q1279" s="23"/>
      <c r="R1279" s="26">
        <v>2.13</v>
      </c>
      <c r="U1279" s="45">
        <v>3.39</v>
      </c>
      <c r="V1279" s="26">
        <v>2.13</v>
      </c>
      <c r="W1279" s="49">
        <f t="shared" si="154"/>
        <v>0.82945420600000019</v>
      </c>
      <c r="X1279" s="49"/>
      <c r="Y1279" s="49"/>
      <c r="Z1279" s="49"/>
    </row>
    <row r="1280" spans="1:26" s="45" customFormat="1" ht="12.75" hidden="1" customHeight="1">
      <c r="A1280" s="22" t="s">
        <v>126</v>
      </c>
      <c r="B1280" s="24" t="s">
        <v>127</v>
      </c>
      <c r="C1280" s="23" t="s">
        <v>93</v>
      </c>
      <c r="O1280" s="45">
        <v>3.45</v>
      </c>
      <c r="P1280" s="23"/>
      <c r="Q1280" s="23"/>
      <c r="R1280" s="26">
        <v>2.12</v>
      </c>
      <c r="U1280" s="45">
        <v>3.45</v>
      </c>
      <c r="V1280" s="26">
        <v>2.12</v>
      </c>
      <c r="W1280" s="49">
        <f t="shared" si="154"/>
        <v>0.82102172999999956</v>
      </c>
      <c r="X1280" s="49"/>
      <c r="Y1280" s="49"/>
      <c r="Z1280" s="49"/>
    </row>
    <row r="1281" spans="1:26" s="45" customFormat="1" ht="12.75" hidden="1" customHeight="1">
      <c r="A1281" s="22" t="s">
        <v>126</v>
      </c>
      <c r="B1281" s="24" t="s">
        <v>127</v>
      </c>
      <c r="C1281" s="23" t="s">
        <v>93</v>
      </c>
      <c r="O1281" s="45">
        <v>3.36</v>
      </c>
      <c r="P1281" s="23"/>
      <c r="Q1281" s="23"/>
      <c r="R1281" s="26">
        <v>2.2000000000000002</v>
      </c>
      <c r="U1281" s="45">
        <v>3.36</v>
      </c>
      <c r="V1281" s="26">
        <v>2.2000000000000002</v>
      </c>
      <c r="W1281" s="49">
        <f t="shared" si="154"/>
        <v>0.77166694399999991</v>
      </c>
      <c r="X1281" s="49"/>
      <c r="Y1281" s="49"/>
      <c r="Z1281" s="49"/>
    </row>
    <row r="1282" spans="1:26" s="45" customFormat="1" ht="12.75" hidden="1" customHeight="1">
      <c r="A1282" s="22" t="s">
        <v>126</v>
      </c>
      <c r="B1282" s="24" t="s">
        <v>127</v>
      </c>
      <c r="C1282" s="23" t="s">
        <v>93</v>
      </c>
      <c r="O1282" s="45">
        <v>3.33</v>
      </c>
      <c r="P1282" s="23"/>
      <c r="Q1282" s="23"/>
      <c r="R1282" s="26">
        <v>2.36</v>
      </c>
      <c r="U1282" s="45">
        <v>3.33</v>
      </c>
      <c r="V1282" s="26">
        <v>2.36</v>
      </c>
      <c r="W1282" s="49">
        <f t="shared" si="154"/>
        <v>0.62802868200000017</v>
      </c>
      <c r="X1282" s="49"/>
      <c r="Y1282" s="49"/>
      <c r="Z1282" s="49"/>
    </row>
    <row r="1283" spans="1:26" s="45" customFormat="1" ht="12.75" hidden="1" customHeight="1">
      <c r="A1283" s="22" t="s">
        <v>126</v>
      </c>
      <c r="B1283" s="24" t="s">
        <v>127</v>
      </c>
      <c r="C1283" s="23" t="s">
        <v>93</v>
      </c>
      <c r="O1283" s="45">
        <v>3.54</v>
      </c>
      <c r="P1283" s="23"/>
      <c r="Q1283" s="23"/>
      <c r="R1283" s="26">
        <v>2.04</v>
      </c>
      <c r="U1283" s="45">
        <v>3.54</v>
      </c>
      <c r="V1283" s="26">
        <v>2.04</v>
      </c>
      <c r="W1283" s="49">
        <f t="shared" si="154"/>
        <v>0.8703765160000001</v>
      </c>
      <c r="X1283" s="49"/>
      <c r="Y1283" s="49"/>
      <c r="Z1283" s="49"/>
    </row>
    <row r="1284" spans="1:26" s="45" customFormat="1" ht="12.75" hidden="1" customHeight="1">
      <c r="A1284" s="22" t="s">
        <v>126</v>
      </c>
      <c r="B1284" s="24" t="s">
        <v>127</v>
      </c>
      <c r="C1284" s="23" t="s">
        <v>93</v>
      </c>
      <c r="O1284" s="45">
        <v>3.54</v>
      </c>
      <c r="P1284" s="23"/>
      <c r="Q1284" s="23"/>
      <c r="R1284" s="26">
        <v>2.0700000000000003</v>
      </c>
      <c r="U1284" s="45">
        <v>3.54</v>
      </c>
      <c r="V1284" s="26">
        <v>2.0700000000000003</v>
      </c>
      <c r="W1284" s="49">
        <f t="shared" si="154"/>
        <v>0.84175951599999987</v>
      </c>
      <c r="X1284" s="49"/>
      <c r="Y1284" s="49"/>
      <c r="Z1284" s="49"/>
    </row>
    <row r="1285" spans="1:26" s="45" customFormat="1" ht="12.75" hidden="1" customHeight="1">
      <c r="A1285" s="22" t="s">
        <v>126</v>
      </c>
      <c r="B1285" s="24" t="s">
        <v>127</v>
      </c>
      <c r="C1285" s="23" t="s">
        <v>93</v>
      </c>
      <c r="O1285" s="45">
        <v>3.55</v>
      </c>
      <c r="P1285" s="23"/>
      <c r="Q1285" s="23"/>
      <c r="R1285" s="26">
        <v>2.0499999999999998</v>
      </c>
      <c r="U1285" s="45">
        <v>3.55</v>
      </c>
      <c r="V1285" s="26">
        <v>2.0499999999999998</v>
      </c>
      <c r="W1285" s="49">
        <f t="shared" si="154"/>
        <v>0.85784227000000013</v>
      </c>
      <c r="X1285" s="49"/>
      <c r="Y1285" s="49"/>
      <c r="Z1285" s="49"/>
    </row>
    <row r="1286" spans="1:26" s="45" customFormat="1" ht="12.75" hidden="1" customHeight="1">
      <c r="A1286" s="22" t="s">
        <v>126</v>
      </c>
      <c r="B1286" s="24" t="s">
        <v>127</v>
      </c>
      <c r="C1286" s="23" t="s">
        <v>93</v>
      </c>
      <c r="O1286" s="45">
        <v>3.64</v>
      </c>
      <c r="P1286" s="23"/>
      <c r="Q1286" s="23"/>
      <c r="R1286" s="26">
        <v>2.08</v>
      </c>
      <c r="U1286" s="45">
        <v>3.64</v>
      </c>
      <c r="V1286" s="26">
        <v>2.08</v>
      </c>
      <c r="W1286" s="49">
        <f t="shared" si="154"/>
        <v>0.80226805599999995</v>
      </c>
      <c r="X1286" s="49"/>
      <c r="Y1286" s="49"/>
      <c r="Z1286" s="49"/>
    </row>
    <row r="1287" spans="1:26" s="45" customFormat="1" ht="12.75" hidden="1" customHeight="1">
      <c r="A1287" s="22" t="s">
        <v>126</v>
      </c>
      <c r="B1287" s="24" t="s">
        <v>127</v>
      </c>
      <c r="C1287" s="23" t="s">
        <v>93</v>
      </c>
      <c r="O1287" s="45">
        <v>3.5700000000000003</v>
      </c>
      <c r="P1287" s="23"/>
      <c r="Q1287" s="23"/>
      <c r="R1287" s="26">
        <v>2.15</v>
      </c>
      <c r="U1287" s="45">
        <v>3.5700000000000003</v>
      </c>
      <c r="V1287" s="26">
        <v>2.15</v>
      </c>
      <c r="W1287" s="49">
        <f t="shared" si="154"/>
        <v>0.75646177799999981</v>
      </c>
      <c r="X1287" s="49"/>
      <c r="Y1287" s="49"/>
      <c r="Z1287" s="49"/>
    </row>
    <row r="1288" spans="1:26" s="45" customFormat="1" ht="12.75" hidden="1" customHeight="1">
      <c r="A1288" s="22" t="s">
        <v>126</v>
      </c>
      <c r="B1288" s="24" t="s">
        <v>127</v>
      </c>
      <c r="C1288" s="23" t="s">
        <v>93</v>
      </c>
      <c r="O1288" s="45">
        <v>3.6</v>
      </c>
      <c r="P1288" s="23"/>
      <c r="Q1288" s="23"/>
      <c r="R1288" s="26">
        <v>2.17</v>
      </c>
      <c r="U1288" s="45">
        <v>3.6</v>
      </c>
      <c r="V1288" s="26">
        <v>2.17</v>
      </c>
      <c r="W1288" s="49">
        <f t="shared" si="154"/>
        <v>0.72839804000000019</v>
      </c>
      <c r="X1288" s="49"/>
      <c r="Y1288" s="49"/>
      <c r="Z1288" s="49"/>
    </row>
    <row r="1289" spans="1:26" s="45" customFormat="1" ht="12.75" hidden="1" customHeight="1">
      <c r="A1289" s="22" t="s">
        <v>126</v>
      </c>
      <c r="B1289" s="24" t="s">
        <v>127</v>
      </c>
      <c r="C1289" s="23" t="s">
        <v>93</v>
      </c>
      <c r="O1289" s="45">
        <v>3.64</v>
      </c>
      <c r="P1289" s="23"/>
      <c r="Q1289" s="23"/>
      <c r="R1289" s="26">
        <v>2.16</v>
      </c>
      <c r="U1289" s="45">
        <v>3.64</v>
      </c>
      <c r="V1289" s="26">
        <v>2.16</v>
      </c>
      <c r="W1289" s="49">
        <f t="shared" si="154"/>
        <v>0.72595605599999991</v>
      </c>
      <c r="X1289" s="49"/>
      <c r="Y1289" s="49"/>
      <c r="Z1289" s="49"/>
    </row>
    <row r="1290" spans="1:26" s="45" customFormat="1" ht="12.75" hidden="1" customHeight="1">
      <c r="A1290" s="22" t="s">
        <v>126</v>
      </c>
      <c r="B1290" s="24" t="s">
        <v>127</v>
      </c>
      <c r="C1290" s="23" t="s">
        <v>93</v>
      </c>
      <c r="O1290" s="45">
        <v>3.66</v>
      </c>
      <c r="P1290" s="23"/>
      <c r="Q1290" s="23"/>
      <c r="R1290" s="26">
        <v>2.1800000000000002</v>
      </c>
      <c r="U1290" s="45">
        <v>3.66</v>
      </c>
      <c r="V1290" s="26">
        <v>2.1800000000000002</v>
      </c>
      <c r="W1290" s="49">
        <f t="shared" si="154"/>
        <v>0.70088756400000007</v>
      </c>
      <c r="X1290" s="49"/>
      <c r="Y1290" s="49"/>
      <c r="Z1290" s="49"/>
    </row>
    <row r="1291" spans="1:26" s="45" customFormat="1" ht="12.75" hidden="1" customHeight="1">
      <c r="A1291" s="22" t="s">
        <v>126</v>
      </c>
      <c r="B1291" s="24" t="s">
        <v>127</v>
      </c>
      <c r="C1291" s="23" t="s">
        <v>93</v>
      </c>
      <c r="O1291" s="45">
        <v>3.71</v>
      </c>
      <c r="P1291" s="23"/>
      <c r="Q1291" s="23"/>
      <c r="R1291" s="26">
        <v>2.1800000000000002</v>
      </c>
      <c r="U1291" s="45">
        <v>3.71</v>
      </c>
      <c r="V1291" s="26">
        <v>2.1800000000000002</v>
      </c>
      <c r="W1291" s="49">
        <f t="shared" si="154"/>
        <v>0.68591133399999982</v>
      </c>
      <c r="X1291" s="49"/>
      <c r="Y1291" s="49"/>
      <c r="Z1291" s="49"/>
    </row>
    <row r="1292" spans="1:26" s="45" customFormat="1" ht="12.75" hidden="1" customHeight="1">
      <c r="A1292" s="22" t="s">
        <v>126</v>
      </c>
      <c r="B1292" s="24" t="s">
        <v>127</v>
      </c>
      <c r="C1292" s="23" t="s">
        <v>93</v>
      </c>
      <c r="O1292" s="45">
        <v>3.58</v>
      </c>
      <c r="P1292" s="23"/>
      <c r="Q1292" s="23"/>
      <c r="R1292" s="26">
        <v>2.39</v>
      </c>
      <c r="U1292" s="45">
        <v>3.58</v>
      </c>
      <c r="V1292" s="26">
        <v>2.39</v>
      </c>
      <c r="W1292" s="49">
        <f t="shared" si="154"/>
        <v>0.52453053199999988</v>
      </c>
      <c r="X1292" s="49"/>
      <c r="Y1292" s="49"/>
      <c r="Z1292" s="49"/>
    </row>
    <row r="1293" spans="1:26" s="45" customFormat="1" ht="12.75" hidden="1" customHeight="1">
      <c r="A1293" s="22" t="s">
        <v>126</v>
      </c>
      <c r="B1293" s="24" t="s">
        <v>127</v>
      </c>
      <c r="C1293" s="23" t="s">
        <v>93</v>
      </c>
      <c r="O1293" s="45">
        <v>3.62</v>
      </c>
      <c r="P1293" s="23"/>
      <c r="Q1293" s="23"/>
      <c r="R1293" s="26">
        <v>2.39</v>
      </c>
      <c r="U1293" s="45">
        <v>3.62</v>
      </c>
      <c r="V1293" s="26">
        <v>2.39</v>
      </c>
      <c r="W1293" s="49">
        <f t="shared" si="154"/>
        <v>0.51254954799999974</v>
      </c>
      <c r="X1293" s="49"/>
      <c r="Y1293" s="49"/>
      <c r="Z1293" s="49"/>
    </row>
    <row r="1294" spans="1:26" s="45" customFormat="1" ht="12.75" hidden="1" customHeight="1">
      <c r="A1294" s="22" t="s">
        <v>126</v>
      </c>
      <c r="B1294" s="24" t="s">
        <v>127</v>
      </c>
      <c r="C1294" s="23" t="s">
        <v>93</v>
      </c>
      <c r="O1294" s="45">
        <v>3.6</v>
      </c>
      <c r="P1294" s="23"/>
      <c r="Q1294" s="23"/>
      <c r="R1294" s="26">
        <v>2.41</v>
      </c>
      <c r="U1294" s="45">
        <v>3.6</v>
      </c>
      <c r="V1294" s="26">
        <v>2.41</v>
      </c>
      <c r="W1294" s="49">
        <f t="shared" si="154"/>
        <v>0.49946204000000005</v>
      </c>
      <c r="X1294" s="49"/>
      <c r="Y1294" s="49"/>
      <c r="Z1294" s="49"/>
    </row>
    <row r="1295" spans="1:26" s="45" customFormat="1" ht="12.75" hidden="1" customHeight="1">
      <c r="A1295" s="22" t="s">
        <v>126</v>
      </c>
      <c r="B1295" s="24" t="s">
        <v>127</v>
      </c>
      <c r="C1295" s="23" t="s">
        <v>93</v>
      </c>
      <c r="O1295" s="45">
        <v>3.5700000000000003</v>
      </c>
      <c r="P1295" s="23"/>
      <c r="Q1295" s="23"/>
      <c r="R1295" s="26">
        <v>2.2599999999999998</v>
      </c>
      <c r="U1295" s="45">
        <v>3.5700000000000003</v>
      </c>
      <c r="V1295" s="26">
        <v>2.2599999999999998</v>
      </c>
      <c r="W1295" s="49">
        <f t="shared" si="154"/>
        <v>0.65153277799999998</v>
      </c>
      <c r="X1295" s="49"/>
      <c r="Y1295" s="49"/>
      <c r="Z1295" s="49"/>
    </row>
    <row r="1296" spans="1:26" s="45" customFormat="1" ht="12.75" hidden="1" customHeight="1">
      <c r="A1296" s="22" t="s">
        <v>126</v>
      </c>
      <c r="B1296" s="24" t="s">
        <v>127</v>
      </c>
      <c r="C1296" s="23" t="s">
        <v>93</v>
      </c>
      <c r="O1296" s="45">
        <v>3.58</v>
      </c>
      <c r="P1296" s="23"/>
      <c r="Q1296" s="23"/>
      <c r="R1296" s="26">
        <v>2.3199999999999998</v>
      </c>
      <c r="U1296" s="45">
        <v>3.58</v>
      </c>
      <c r="V1296" s="26">
        <v>2.3199999999999998</v>
      </c>
      <c r="W1296" s="49">
        <f t="shared" si="154"/>
        <v>0.59130353200000019</v>
      </c>
      <c r="X1296" s="49"/>
      <c r="Y1296" s="49"/>
      <c r="Z1296" s="49"/>
    </row>
    <row r="1297" spans="1:26" s="45" customFormat="1" ht="12.75" hidden="1" customHeight="1">
      <c r="A1297" s="22" t="s">
        <v>126</v>
      </c>
      <c r="B1297" s="24" t="s">
        <v>127</v>
      </c>
      <c r="C1297" s="23" t="s">
        <v>93</v>
      </c>
      <c r="O1297" s="45">
        <v>3.43</v>
      </c>
      <c r="P1297" s="23"/>
      <c r="Q1297" s="23"/>
      <c r="R1297" s="26">
        <v>2.2800000000000002</v>
      </c>
      <c r="U1297" s="45">
        <v>3.43</v>
      </c>
      <c r="V1297" s="26">
        <v>2.2800000000000002</v>
      </c>
      <c r="W1297" s="49">
        <f t="shared" si="154"/>
        <v>0.6743882219999997</v>
      </c>
      <c r="X1297" s="49"/>
      <c r="Y1297" s="49"/>
      <c r="Z1297" s="49"/>
    </row>
    <row r="1298" spans="1:26" s="45" customFormat="1" ht="12.75" hidden="1" customHeight="1">
      <c r="A1298" s="22" t="s">
        <v>126</v>
      </c>
      <c r="B1298" s="24" t="s">
        <v>127</v>
      </c>
      <c r="C1298" s="23" t="s">
        <v>93</v>
      </c>
      <c r="O1298" s="45">
        <v>3.43</v>
      </c>
      <c r="P1298" s="23"/>
      <c r="Q1298" s="23"/>
      <c r="R1298" s="26">
        <v>2.2999999999999998</v>
      </c>
      <c r="U1298" s="45">
        <v>3.43</v>
      </c>
      <c r="V1298" s="26">
        <v>2.2999999999999998</v>
      </c>
      <c r="W1298" s="49">
        <f t="shared" si="154"/>
        <v>0.65531022200000011</v>
      </c>
      <c r="X1298" s="49"/>
      <c r="Y1298" s="49"/>
      <c r="Z1298" s="49"/>
    </row>
    <row r="1299" spans="1:26" s="45" customFormat="1" ht="12.75" hidden="1" customHeight="1">
      <c r="A1299" s="22" t="s">
        <v>126</v>
      </c>
      <c r="B1299" s="24" t="s">
        <v>127</v>
      </c>
      <c r="C1299" s="23" t="s">
        <v>93</v>
      </c>
      <c r="O1299" s="45">
        <v>3.5</v>
      </c>
      <c r="P1299" s="23"/>
      <c r="Q1299" s="23"/>
      <c r="R1299" s="26">
        <v>2.31</v>
      </c>
      <c r="U1299" s="45">
        <v>3.5</v>
      </c>
      <c r="V1299" s="26">
        <v>2.31</v>
      </c>
      <c r="W1299" s="49">
        <f t="shared" si="154"/>
        <v>0.62480449999999976</v>
      </c>
      <c r="X1299" s="49"/>
      <c r="Y1299" s="49"/>
      <c r="Z1299" s="49"/>
    </row>
    <row r="1300" spans="1:26" s="45" customFormat="1" ht="12.75" hidden="1" customHeight="1">
      <c r="A1300" s="22" t="s">
        <v>126</v>
      </c>
      <c r="B1300" s="24" t="s">
        <v>127</v>
      </c>
      <c r="C1300" s="23" t="s">
        <v>93</v>
      </c>
      <c r="O1300" s="45">
        <v>3.4699999999999998</v>
      </c>
      <c r="P1300" s="23"/>
      <c r="Q1300" s="23"/>
      <c r="R1300" s="26">
        <v>2.34</v>
      </c>
      <c r="U1300" s="45">
        <v>3.4699999999999998</v>
      </c>
      <c r="V1300" s="26">
        <v>2.34</v>
      </c>
      <c r="W1300" s="49">
        <f t="shared" si="154"/>
        <v>0.60517323800000034</v>
      </c>
      <c r="X1300" s="49"/>
      <c r="Y1300" s="49"/>
      <c r="Z1300" s="49"/>
    </row>
    <row r="1301" spans="1:26" s="45" customFormat="1" ht="12.75" hidden="1" customHeight="1">
      <c r="A1301" s="22" t="s">
        <v>126</v>
      </c>
      <c r="B1301" s="24" t="s">
        <v>127</v>
      </c>
      <c r="C1301" s="23" t="s">
        <v>93</v>
      </c>
      <c r="O1301" s="45">
        <v>3.39</v>
      </c>
      <c r="P1301" s="23"/>
      <c r="Q1301" s="23"/>
      <c r="R1301" s="26">
        <v>2.42</v>
      </c>
      <c r="U1301" s="45">
        <v>3.39</v>
      </c>
      <c r="V1301" s="26">
        <v>2.42</v>
      </c>
      <c r="W1301" s="49">
        <f t="shared" si="154"/>
        <v>0.55282320600000012</v>
      </c>
      <c r="X1301" s="49"/>
      <c r="Y1301" s="49"/>
      <c r="Z1301" s="49"/>
    </row>
    <row r="1302" spans="1:26" s="45" customFormat="1" ht="12.75" hidden="1" customHeight="1">
      <c r="A1302" s="22" t="s">
        <v>126</v>
      </c>
      <c r="B1302" s="24" t="s">
        <v>127</v>
      </c>
      <c r="C1302" s="23" t="s">
        <v>93</v>
      </c>
      <c r="O1302" s="45">
        <v>3.41</v>
      </c>
      <c r="P1302" s="23"/>
      <c r="Q1302" s="23"/>
      <c r="R1302" s="26">
        <v>2.46</v>
      </c>
      <c r="U1302" s="45">
        <v>3.41</v>
      </c>
      <c r="V1302" s="26">
        <v>2.46</v>
      </c>
      <c r="W1302" s="49">
        <f t="shared" ref="W1302:W1365" si="155">0.9539*(4.064-0.314*U1302-V1302)</f>
        <v>0.50867671400000025</v>
      </c>
      <c r="X1302" s="49"/>
      <c r="Y1302" s="49"/>
      <c r="Z1302" s="49"/>
    </row>
    <row r="1303" spans="1:26" s="45" customFormat="1" ht="12.75" hidden="1" customHeight="1">
      <c r="A1303" s="22" t="s">
        <v>126</v>
      </c>
      <c r="B1303" s="24" t="s">
        <v>127</v>
      </c>
      <c r="C1303" s="23" t="s">
        <v>93</v>
      </c>
      <c r="O1303" s="45">
        <v>3.64</v>
      </c>
      <c r="P1303" s="23"/>
      <c r="Q1303" s="23"/>
      <c r="R1303" s="26">
        <v>2.4699999999999998</v>
      </c>
      <c r="U1303" s="45">
        <v>3.64</v>
      </c>
      <c r="V1303" s="26">
        <v>2.4699999999999998</v>
      </c>
      <c r="W1303" s="49">
        <f t="shared" si="155"/>
        <v>0.43024705600000029</v>
      </c>
      <c r="X1303" s="49"/>
      <c r="Y1303" s="49"/>
      <c r="Z1303" s="49"/>
    </row>
    <row r="1304" spans="1:26" s="45" customFormat="1" ht="12.75" hidden="1" customHeight="1">
      <c r="A1304" s="22" t="s">
        <v>126</v>
      </c>
      <c r="B1304" s="24" t="s">
        <v>127</v>
      </c>
      <c r="C1304" s="23" t="s">
        <v>93</v>
      </c>
      <c r="O1304" s="45">
        <v>3.6100000000000003</v>
      </c>
      <c r="P1304" s="23"/>
      <c r="Q1304" s="23"/>
      <c r="R1304" s="26">
        <v>2.5300000000000002</v>
      </c>
      <c r="U1304" s="45">
        <v>3.6100000000000003</v>
      </c>
      <c r="V1304" s="26">
        <v>2.5300000000000002</v>
      </c>
      <c r="W1304" s="49">
        <f t="shared" si="155"/>
        <v>0.38199879399999981</v>
      </c>
      <c r="X1304" s="49"/>
      <c r="Y1304" s="49"/>
      <c r="Z1304" s="49"/>
    </row>
    <row r="1305" spans="1:26" s="45" customFormat="1" ht="12.75" hidden="1" customHeight="1">
      <c r="A1305" s="22" t="s">
        <v>126</v>
      </c>
      <c r="B1305" s="24" t="s">
        <v>127</v>
      </c>
      <c r="C1305" s="23" t="s">
        <v>93</v>
      </c>
      <c r="O1305" s="45">
        <v>3.59</v>
      </c>
      <c r="P1305" s="23"/>
      <c r="Q1305" s="23"/>
      <c r="R1305" s="26">
        <v>2.5499999999999998</v>
      </c>
      <c r="U1305" s="45">
        <v>3.59</v>
      </c>
      <c r="V1305" s="26">
        <v>2.5499999999999998</v>
      </c>
      <c r="W1305" s="49">
        <f t="shared" si="155"/>
        <v>0.3689112860000005</v>
      </c>
      <c r="X1305" s="49"/>
      <c r="Y1305" s="49"/>
      <c r="Z1305" s="49"/>
    </row>
    <row r="1306" spans="1:26" s="45" customFormat="1" ht="12.75" hidden="1" customHeight="1">
      <c r="A1306" s="22" t="s">
        <v>126</v>
      </c>
      <c r="B1306" s="24" t="s">
        <v>127</v>
      </c>
      <c r="C1306" s="23" t="s">
        <v>93</v>
      </c>
      <c r="O1306" s="45">
        <v>3.59</v>
      </c>
      <c r="P1306" s="23"/>
      <c r="Q1306" s="23"/>
      <c r="R1306" s="26">
        <v>2.58</v>
      </c>
      <c r="U1306" s="45">
        <v>3.59</v>
      </c>
      <c r="V1306" s="26">
        <v>2.58</v>
      </c>
      <c r="W1306" s="49">
        <f t="shared" si="155"/>
        <v>0.34029428600000028</v>
      </c>
      <c r="X1306" s="49"/>
      <c r="Y1306" s="49"/>
      <c r="Z1306" s="49"/>
    </row>
    <row r="1307" spans="1:26" s="45" customFormat="1" ht="12.75" hidden="1" customHeight="1">
      <c r="A1307" s="22" t="s">
        <v>126</v>
      </c>
      <c r="B1307" s="24" t="s">
        <v>127</v>
      </c>
      <c r="C1307" s="23" t="s">
        <v>93</v>
      </c>
      <c r="O1307" s="45">
        <v>3.68</v>
      </c>
      <c r="P1307" s="23"/>
      <c r="Q1307" s="23"/>
      <c r="R1307" s="26">
        <v>2.3199999999999998</v>
      </c>
      <c r="U1307" s="45">
        <v>3.68</v>
      </c>
      <c r="V1307" s="26">
        <v>2.3199999999999998</v>
      </c>
      <c r="W1307" s="49">
        <f t="shared" si="155"/>
        <v>0.56135107200000012</v>
      </c>
      <c r="X1307" s="49"/>
      <c r="Y1307" s="49"/>
      <c r="Z1307" s="49"/>
    </row>
    <row r="1308" spans="1:26" s="45" customFormat="1" ht="12.75" hidden="1" customHeight="1">
      <c r="A1308" s="22" t="s">
        <v>126</v>
      </c>
      <c r="B1308" s="24" t="s">
        <v>127</v>
      </c>
      <c r="C1308" s="23" t="s">
        <v>93</v>
      </c>
      <c r="O1308" s="45">
        <v>3.6900000000000004</v>
      </c>
      <c r="P1308" s="23"/>
      <c r="Q1308" s="23"/>
      <c r="R1308" s="26">
        <v>2.31</v>
      </c>
      <c r="U1308" s="45">
        <v>3.6900000000000004</v>
      </c>
      <c r="V1308" s="26">
        <v>2.31</v>
      </c>
      <c r="W1308" s="49">
        <f t="shared" si="155"/>
        <v>0.56789482599999974</v>
      </c>
      <c r="X1308" s="49"/>
      <c r="Y1308" s="49"/>
      <c r="Z1308" s="49"/>
    </row>
    <row r="1309" spans="1:26" s="45" customFormat="1" ht="12.75" hidden="1" customHeight="1">
      <c r="A1309" s="22" t="s">
        <v>126</v>
      </c>
      <c r="B1309" s="24" t="s">
        <v>127</v>
      </c>
      <c r="C1309" s="23" t="s">
        <v>93</v>
      </c>
      <c r="O1309" s="45">
        <v>3.71</v>
      </c>
      <c r="P1309" s="23"/>
      <c r="Q1309" s="23"/>
      <c r="R1309" s="26">
        <v>2.35</v>
      </c>
      <c r="U1309" s="45">
        <v>3.71</v>
      </c>
      <c r="V1309" s="26">
        <v>2.35</v>
      </c>
      <c r="W1309" s="49">
        <f t="shared" si="155"/>
        <v>0.52374833399999987</v>
      </c>
      <c r="X1309" s="49"/>
      <c r="Y1309" s="49"/>
      <c r="Z1309" s="49"/>
    </row>
    <row r="1310" spans="1:26" s="45" customFormat="1" ht="12.75" hidden="1" customHeight="1">
      <c r="A1310" s="22" t="s">
        <v>126</v>
      </c>
      <c r="B1310" s="24" t="s">
        <v>127</v>
      </c>
      <c r="C1310" s="23" t="s">
        <v>93</v>
      </c>
      <c r="O1310" s="45">
        <v>3.7199999999999998</v>
      </c>
      <c r="P1310" s="23"/>
      <c r="Q1310" s="23"/>
      <c r="R1310" s="26">
        <v>2.3199999999999998</v>
      </c>
      <c r="U1310" s="45">
        <v>3.7199999999999998</v>
      </c>
      <c r="V1310" s="26">
        <v>2.3199999999999998</v>
      </c>
      <c r="W1310" s="49">
        <f t="shared" si="155"/>
        <v>0.54937008800000042</v>
      </c>
      <c r="X1310" s="49"/>
      <c r="Y1310" s="49"/>
      <c r="Z1310" s="49"/>
    </row>
    <row r="1311" spans="1:26" s="45" customFormat="1" ht="12.75" hidden="1" customHeight="1">
      <c r="A1311" s="22" t="s">
        <v>126</v>
      </c>
      <c r="B1311" s="24" t="s">
        <v>127</v>
      </c>
      <c r="C1311" s="23" t="s">
        <v>93</v>
      </c>
      <c r="O1311" s="45">
        <v>3.77</v>
      </c>
      <c r="P1311" s="23"/>
      <c r="Q1311" s="23"/>
      <c r="R1311" s="26">
        <v>2.35</v>
      </c>
      <c r="U1311" s="45">
        <v>3.77</v>
      </c>
      <c r="V1311" s="26">
        <v>2.35</v>
      </c>
      <c r="W1311" s="49">
        <f t="shared" si="155"/>
        <v>0.50577685799999994</v>
      </c>
      <c r="X1311" s="49"/>
      <c r="Y1311" s="49"/>
      <c r="Z1311" s="49"/>
    </row>
    <row r="1312" spans="1:26" s="45" customFormat="1" ht="12.75" hidden="1" customHeight="1">
      <c r="A1312" s="22" t="s">
        <v>126</v>
      </c>
      <c r="B1312" s="24" t="s">
        <v>127</v>
      </c>
      <c r="C1312" s="23" t="s">
        <v>93</v>
      </c>
      <c r="O1312" s="45">
        <v>3.7</v>
      </c>
      <c r="P1312" s="23"/>
      <c r="Q1312" s="23"/>
      <c r="R1312" s="26">
        <v>2.4500000000000002</v>
      </c>
      <c r="U1312" s="45">
        <v>3.7</v>
      </c>
      <c r="V1312" s="26">
        <v>2.4500000000000002</v>
      </c>
      <c r="W1312" s="49">
        <f t="shared" si="155"/>
        <v>0.43135357999999951</v>
      </c>
      <c r="X1312" s="49"/>
      <c r="Y1312" s="49"/>
      <c r="Z1312" s="49"/>
    </row>
    <row r="1313" spans="1:26" s="45" customFormat="1" ht="12.75" hidden="1" customHeight="1">
      <c r="A1313" s="22" t="s">
        <v>126</v>
      </c>
      <c r="B1313" s="24" t="s">
        <v>127</v>
      </c>
      <c r="C1313" s="23" t="s">
        <v>93</v>
      </c>
      <c r="O1313" s="45">
        <v>3.7300000000000004</v>
      </c>
      <c r="P1313" s="23"/>
      <c r="Q1313" s="23"/>
      <c r="R1313" s="26">
        <v>2.5</v>
      </c>
      <c r="U1313" s="45">
        <v>3.7300000000000004</v>
      </c>
      <c r="V1313" s="26">
        <v>2.5</v>
      </c>
      <c r="W1313" s="49">
        <f t="shared" si="155"/>
        <v>0.37467284200000012</v>
      </c>
      <c r="X1313" s="49"/>
      <c r="Y1313" s="49"/>
      <c r="Z1313" s="49"/>
    </row>
    <row r="1314" spans="1:26" s="45" customFormat="1" ht="12.75" hidden="1" customHeight="1">
      <c r="A1314" s="22" t="s">
        <v>126</v>
      </c>
      <c r="B1314" s="24" t="s">
        <v>127</v>
      </c>
      <c r="C1314" s="23" t="s">
        <v>93</v>
      </c>
      <c r="O1314" s="45">
        <v>3.7300000000000004</v>
      </c>
      <c r="P1314" s="23"/>
      <c r="Q1314" s="23"/>
      <c r="R1314" s="26">
        <v>2.58</v>
      </c>
      <c r="U1314" s="45">
        <v>3.7300000000000004</v>
      </c>
      <c r="V1314" s="26">
        <v>2.58</v>
      </c>
      <c r="W1314" s="49">
        <f t="shared" si="155"/>
        <v>0.29836084200000007</v>
      </c>
      <c r="X1314" s="49"/>
      <c r="Y1314" s="49"/>
      <c r="Z1314" s="49"/>
    </row>
    <row r="1315" spans="1:26" s="45" customFormat="1" ht="12.75" hidden="1" customHeight="1">
      <c r="A1315" s="22" t="s">
        <v>126</v>
      </c>
      <c r="B1315" s="24" t="s">
        <v>127</v>
      </c>
      <c r="C1315" s="23" t="s">
        <v>93</v>
      </c>
      <c r="O1315" s="45">
        <v>3.7800000000000002</v>
      </c>
      <c r="P1315" s="23"/>
      <c r="Q1315" s="23"/>
      <c r="R1315" s="26">
        <v>2.54</v>
      </c>
      <c r="U1315" s="45">
        <v>3.7800000000000002</v>
      </c>
      <c r="V1315" s="26">
        <v>2.54</v>
      </c>
      <c r="W1315" s="49">
        <f t="shared" si="155"/>
        <v>0.32154061200000023</v>
      </c>
      <c r="X1315" s="49"/>
      <c r="Y1315" s="49"/>
      <c r="Z1315" s="49"/>
    </row>
    <row r="1316" spans="1:26" s="45" customFormat="1" ht="12.75" hidden="1" customHeight="1">
      <c r="A1316" s="22" t="s">
        <v>126</v>
      </c>
      <c r="B1316" s="24" t="s">
        <v>127</v>
      </c>
      <c r="C1316" s="23" t="s">
        <v>93</v>
      </c>
      <c r="O1316" s="45">
        <v>3.8</v>
      </c>
      <c r="P1316" s="23"/>
      <c r="Q1316" s="23"/>
      <c r="R1316" s="26">
        <v>2.58</v>
      </c>
      <c r="U1316" s="45">
        <v>3.8</v>
      </c>
      <c r="V1316" s="26">
        <v>2.58</v>
      </c>
      <c r="W1316" s="49">
        <f t="shared" si="155"/>
        <v>0.27739411999999997</v>
      </c>
      <c r="X1316" s="49"/>
      <c r="Y1316" s="49"/>
      <c r="Z1316" s="49"/>
    </row>
    <row r="1317" spans="1:26" s="45" customFormat="1" ht="12.75" hidden="1" customHeight="1">
      <c r="A1317" s="22" t="s">
        <v>126</v>
      </c>
      <c r="B1317" s="24" t="s">
        <v>127</v>
      </c>
      <c r="C1317" s="23" t="s">
        <v>93</v>
      </c>
      <c r="O1317" s="45">
        <v>3.83</v>
      </c>
      <c r="P1317" s="23"/>
      <c r="Q1317" s="23"/>
      <c r="R1317" s="26">
        <v>2.41</v>
      </c>
      <c r="U1317" s="45">
        <v>3.83</v>
      </c>
      <c r="V1317" s="26">
        <v>2.41</v>
      </c>
      <c r="W1317" s="49">
        <f t="shared" si="155"/>
        <v>0.43057138199999989</v>
      </c>
      <c r="X1317" s="49"/>
      <c r="Y1317" s="49"/>
      <c r="Z1317" s="49"/>
    </row>
    <row r="1318" spans="1:26" s="45" customFormat="1" ht="12.75" hidden="1" customHeight="1">
      <c r="A1318" s="22" t="s">
        <v>126</v>
      </c>
      <c r="B1318" s="24" t="s">
        <v>127</v>
      </c>
      <c r="C1318" s="23" t="s">
        <v>93</v>
      </c>
      <c r="O1318" s="45">
        <v>3.8600000000000003</v>
      </c>
      <c r="P1318" s="23"/>
      <c r="Q1318" s="23"/>
      <c r="R1318" s="26">
        <v>2.4699999999999998</v>
      </c>
      <c r="U1318" s="45">
        <v>3.8600000000000003</v>
      </c>
      <c r="V1318" s="26">
        <v>2.4699999999999998</v>
      </c>
      <c r="W1318" s="49">
        <f t="shared" si="155"/>
        <v>0.36435164400000025</v>
      </c>
      <c r="X1318" s="49"/>
      <c r="Y1318" s="49"/>
      <c r="Z1318" s="49"/>
    </row>
    <row r="1319" spans="1:26" s="45" customFormat="1" ht="12.75" hidden="1" customHeight="1">
      <c r="A1319" s="22" t="s">
        <v>126</v>
      </c>
      <c r="B1319" s="24" t="s">
        <v>127</v>
      </c>
      <c r="C1319" s="23" t="s">
        <v>93</v>
      </c>
      <c r="O1319" s="45">
        <v>3.93</v>
      </c>
      <c r="P1319" s="23"/>
      <c r="Q1319" s="23"/>
      <c r="R1319" s="26">
        <v>2.5</v>
      </c>
      <c r="U1319" s="45">
        <v>3.93</v>
      </c>
      <c r="V1319" s="26">
        <v>2.5</v>
      </c>
      <c r="W1319" s="49">
        <f t="shared" si="155"/>
        <v>0.31476792199999992</v>
      </c>
      <c r="X1319" s="49"/>
      <c r="Y1319" s="49"/>
      <c r="Z1319" s="49"/>
    </row>
    <row r="1320" spans="1:26" s="45" customFormat="1" ht="12.75" hidden="1" customHeight="1">
      <c r="A1320" s="22" t="s">
        <v>126</v>
      </c>
      <c r="B1320" s="24" t="s">
        <v>127</v>
      </c>
      <c r="C1320" s="23" t="s">
        <v>93</v>
      </c>
      <c r="O1320" s="45">
        <v>3.92</v>
      </c>
      <c r="P1320" s="23"/>
      <c r="Q1320" s="23"/>
      <c r="R1320" s="26">
        <v>2.6</v>
      </c>
      <c r="U1320" s="45">
        <v>3.92</v>
      </c>
      <c r="V1320" s="26">
        <v>2.6</v>
      </c>
      <c r="W1320" s="49">
        <f t="shared" si="155"/>
        <v>0.22237316799999998</v>
      </c>
      <c r="X1320" s="49"/>
      <c r="Y1320" s="49"/>
      <c r="Z1320" s="49"/>
    </row>
    <row r="1321" spans="1:26" s="45" customFormat="1" ht="12.75" hidden="1" customHeight="1">
      <c r="A1321" s="22" t="s">
        <v>126</v>
      </c>
      <c r="B1321" s="24" t="s">
        <v>127</v>
      </c>
      <c r="C1321" s="23" t="s">
        <v>93</v>
      </c>
      <c r="O1321" s="45">
        <v>4.0199999999999996</v>
      </c>
      <c r="P1321" s="23"/>
      <c r="Q1321" s="23"/>
      <c r="R1321" s="26">
        <v>2.64</v>
      </c>
      <c r="U1321" s="45">
        <v>4.0199999999999996</v>
      </c>
      <c r="V1321" s="26">
        <v>2.64</v>
      </c>
      <c r="W1321" s="49">
        <f t="shared" si="155"/>
        <v>0.15426470800000028</v>
      </c>
      <c r="X1321" s="49"/>
      <c r="Y1321" s="49"/>
      <c r="Z1321" s="49"/>
    </row>
    <row r="1322" spans="1:26" s="45" customFormat="1" ht="12.75" hidden="1" customHeight="1">
      <c r="A1322" s="22" t="s">
        <v>126</v>
      </c>
      <c r="B1322" s="24" t="s">
        <v>127</v>
      </c>
      <c r="C1322" s="23" t="s">
        <v>94</v>
      </c>
      <c r="O1322" s="45">
        <v>3.13</v>
      </c>
      <c r="P1322" s="23"/>
      <c r="Q1322" s="23"/>
      <c r="R1322" s="26">
        <v>2.33</v>
      </c>
      <c r="U1322" s="45">
        <v>3.13</v>
      </c>
      <c r="V1322" s="26">
        <v>2.33</v>
      </c>
      <c r="W1322" s="49">
        <f t="shared" si="155"/>
        <v>0.7165506020000002</v>
      </c>
      <c r="X1322" s="49"/>
      <c r="Y1322" s="49"/>
      <c r="Z1322" s="49"/>
    </row>
    <row r="1323" spans="1:26" s="45" customFormat="1" ht="12.75" hidden="1" customHeight="1">
      <c r="A1323" s="22" t="s">
        <v>126</v>
      </c>
      <c r="B1323" s="24" t="s">
        <v>127</v>
      </c>
      <c r="C1323" s="23" t="s">
        <v>94</v>
      </c>
      <c r="O1323" s="45">
        <v>3.34</v>
      </c>
      <c r="P1323" s="23"/>
      <c r="Q1323" s="23"/>
      <c r="R1323" s="26">
        <v>2.4</v>
      </c>
      <c r="U1323" s="45">
        <v>3.34</v>
      </c>
      <c r="V1323" s="26">
        <v>2.4</v>
      </c>
      <c r="W1323" s="49">
        <f t="shared" si="155"/>
        <v>0.58687743600000042</v>
      </c>
      <c r="X1323" s="49"/>
      <c r="Y1323" s="49"/>
      <c r="Z1323" s="49"/>
    </row>
    <row r="1324" spans="1:26" s="45" customFormat="1" ht="12.75" hidden="1" customHeight="1">
      <c r="A1324" s="22" t="s">
        <v>126</v>
      </c>
      <c r="B1324" s="24" t="s">
        <v>127</v>
      </c>
      <c r="C1324" s="23" t="s">
        <v>94</v>
      </c>
      <c r="O1324" s="45">
        <v>3.42</v>
      </c>
      <c r="P1324" s="23"/>
      <c r="Q1324" s="23"/>
      <c r="R1324" s="26">
        <v>2.41</v>
      </c>
      <c r="U1324" s="45">
        <v>3.42</v>
      </c>
      <c r="V1324" s="26">
        <v>2.41</v>
      </c>
      <c r="W1324" s="49">
        <f t="shared" si="155"/>
        <v>0.55337646799999995</v>
      </c>
      <c r="X1324" s="49"/>
      <c r="Y1324" s="49"/>
      <c r="Z1324" s="49"/>
    </row>
    <row r="1325" spans="1:26" s="45" customFormat="1" ht="12.75" hidden="1" customHeight="1">
      <c r="A1325" s="22" t="s">
        <v>126</v>
      </c>
      <c r="B1325" s="24" t="s">
        <v>127</v>
      </c>
      <c r="C1325" s="23" t="s">
        <v>94</v>
      </c>
      <c r="O1325" s="45">
        <v>3.41</v>
      </c>
      <c r="P1325" s="23"/>
      <c r="Q1325" s="23"/>
      <c r="R1325" s="26">
        <v>2.5300000000000002</v>
      </c>
      <c r="U1325" s="45">
        <v>3.41</v>
      </c>
      <c r="V1325" s="26">
        <v>2.5300000000000002</v>
      </c>
      <c r="W1325" s="49">
        <f t="shared" si="155"/>
        <v>0.441903714</v>
      </c>
      <c r="X1325" s="49"/>
      <c r="Y1325" s="49"/>
      <c r="Z1325" s="49"/>
    </row>
    <row r="1326" spans="1:26" s="45" customFormat="1" ht="12.75" hidden="1" customHeight="1">
      <c r="A1326" s="22" t="s">
        <v>126</v>
      </c>
      <c r="B1326" s="24" t="s">
        <v>127</v>
      </c>
      <c r="C1326" s="23" t="s">
        <v>94</v>
      </c>
      <c r="O1326" s="45">
        <v>3.33</v>
      </c>
      <c r="P1326" s="23"/>
      <c r="Q1326" s="23"/>
      <c r="R1326" s="26">
        <v>2.58</v>
      </c>
      <c r="U1326" s="45">
        <v>3.33</v>
      </c>
      <c r="V1326" s="26">
        <v>2.58</v>
      </c>
      <c r="W1326" s="49">
        <f t="shared" si="155"/>
        <v>0.41817068199999996</v>
      </c>
      <c r="X1326" s="49"/>
      <c r="Y1326" s="49"/>
      <c r="Z1326" s="49"/>
    </row>
    <row r="1327" spans="1:26" s="45" customFormat="1" ht="12.75" hidden="1" customHeight="1">
      <c r="A1327" s="22" t="s">
        <v>126</v>
      </c>
      <c r="B1327" s="24" t="s">
        <v>127</v>
      </c>
      <c r="C1327" s="23" t="s">
        <v>94</v>
      </c>
      <c r="O1327" s="45">
        <v>3.4249999999999998</v>
      </c>
      <c r="P1327" s="23"/>
      <c r="Q1327" s="23"/>
      <c r="R1327" s="26">
        <v>2.2599999999999998</v>
      </c>
      <c r="U1327" s="45">
        <v>3.4249999999999998</v>
      </c>
      <c r="V1327" s="26">
        <v>2.2599999999999998</v>
      </c>
      <c r="W1327" s="49">
        <f t="shared" si="155"/>
        <v>0.69496384500000019</v>
      </c>
      <c r="X1327" s="49"/>
      <c r="Y1327" s="49"/>
      <c r="Z1327" s="49"/>
    </row>
    <row r="1328" spans="1:26" s="45" customFormat="1" ht="12.75" hidden="1" customHeight="1">
      <c r="A1328" s="22" t="s">
        <v>126</v>
      </c>
      <c r="B1328" s="24" t="s">
        <v>127</v>
      </c>
      <c r="C1328" s="23" t="s">
        <v>94</v>
      </c>
      <c r="O1328" s="45">
        <v>3.49</v>
      </c>
      <c r="P1328" s="23"/>
      <c r="Q1328" s="23"/>
      <c r="R1328" s="26">
        <v>2.17</v>
      </c>
      <c r="U1328" s="45">
        <v>3.49</v>
      </c>
      <c r="V1328" s="26">
        <v>2.17</v>
      </c>
      <c r="W1328" s="49">
        <f t="shared" si="155"/>
        <v>0.76134574600000005</v>
      </c>
      <c r="X1328" s="49"/>
      <c r="Y1328" s="49"/>
      <c r="Z1328" s="49"/>
    </row>
    <row r="1329" spans="1:26" s="45" customFormat="1" ht="12.75" hidden="1" customHeight="1">
      <c r="A1329" s="22" t="s">
        <v>126</v>
      </c>
      <c r="B1329" s="24" t="s">
        <v>127</v>
      </c>
      <c r="C1329" s="23" t="s">
        <v>94</v>
      </c>
      <c r="O1329" s="45">
        <v>3.54</v>
      </c>
      <c r="P1329" s="23"/>
      <c r="Q1329" s="23"/>
      <c r="R1329" s="26">
        <v>2.15</v>
      </c>
      <c r="U1329" s="45">
        <v>3.54</v>
      </c>
      <c r="V1329" s="26">
        <v>2.15</v>
      </c>
      <c r="W1329" s="49">
        <f t="shared" si="155"/>
        <v>0.76544751600000027</v>
      </c>
      <c r="X1329" s="49"/>
      <c r="Y1329" s="49"/>
      <c r="Z1329" s="49"/>
    </row>
    <row r="1330" spans="1:26" s="45" customFormat="1" ht="12.75" hidden="1" customHeight="1">
      <c r="A1330" s="22" t="s">
        <v>126</v>
      </c>
      <c r="B1330" s="24" t="s">
        <v>127</v>
      </c>
      <c r="C1330" s="23" t="s">
        <v>94</v>
      </c>
      <c r="O1330" s="45">
        <v>3.55</v>
      </c>
      <c r="P1330" s="23"/>
      <c r="Q1330" s="23"/>
      <c r="R1330" s="26">
        <v>2.2000000000000002</v>
      </c>
      <c r="U1330" s="45">
        <v>3.55</v>
      </c>
      <c r="V1330" s="26">
        <v>2.2000000000000002</v>
      </c>
      <c r="W1330" s="49">
        <f t="shared" si="155"/>
        <v>0.71475726999999989</v>
      </c>
      <c r="X1330" s="49"/>
      <c r="Y1330" s="49"/>
      <c r="Z1330" s="49"/>
    </row>
    <row r="1331" spans="1:26" s="45" customFormat="1" ht="12.75" hidden="1" customHeight="1">
      <c r="A1331" s="22" t="s">
        <v>126</v>
      </c>
      <c r="B1331" s="24" t="s">
        <v>127</v>
      </c>
      <c r="C1331" s="23" t="s">
        <v>94</v>
      </c>
      <c r="O1331" s="45">
        <v>3.59</v>
      </c>
      <c r="P1331" s="23"/>
      <c r="Q1331" s="23"/>
      <c r="R1331" s="26">
        <v>2.33</v>
      </c>
      <c r="U1331" s="45">
        <v>3.59</v>
      </c>
      <c r="V1331" s="26">
        <v>2.33</v>
      </c>
      <c r="W1331" s="49">
        <f t="shared" si="155"/>
        <v>0.57876928600000022</v>
      </c>
      <c r="X1331" s="49"/>
      <c r="Y1331" s="49"/>
      <c r="Z1331" s="49"/>
    </row>
    <row r="1332" spans="1:26" s="45" customFormat="1" ht="12.75" hidden="1" customHeight="1">
      <c r="A1332" s="22" t="s">
        <v>126</v>
      </c>
      <c r="B1332" s="24" t="s">
        <v>127</v>
      </c>
      <c r="C1332" s="23" t="s">
        <v>94</v>
      </c>
      <c r="O1332" s="45">
        <v>3.7</v>
      </c>
      <c r="P1332" s="23"/>
      <c r="Q1332" s="23"/>
      <c r="R1332" s="26">
        <v>2.21</v>
      </c>
      <c r="U1332" s="45">
        <v>3.7</v>
      </c>
      <c r="V1332" s="26">
        <v>2.21</v>
      </c>
      <c r="W1332" s="49">
        <f t="shared" si="155"/>
        <v>0.66028957999999971</v>
      </c>
      <c r="X1332" s="49"/>
      <c r="Y1332" s="49"/>
      <c r="Z1332" s="49"/>
    </row>
    <row r="1333" spans="1:26" s="45" customFormat="1" ht="12.75" hidden="1" customHeight="1">
      <c r="A1333" s="22" t="s">
        <v>126</v>
      </c>
      <c r="B1333" s="24" t="s">
        <v>127</v>
      </c>
      <c r="C1333" s="23" t="s">
        <v>94</v>
      </c>
      <c r="O1333" s="45">
        <v>3.77</v>
      </c>
      <c r="P1333" s="23"/>
      <c r="Q1333" s="23"/>
      <c r="R1333" s="26">
        <v>2.27</v>
      </c>
      <c r="U1333" s="45">
        <v>3.77</v>
      </c>
      <c r="V1333" s="26">
        <v>2.27</v>
      </c>
      <c r="W1333" s="49">
        <f t="shared" si="155"/>
        <v>0.58208885799999999</v>
      </c>
      <c r="X1333" s="49"/>
      <c r="Y1333" s="49"/>
      <c r="Z1333" s="49"/>
    </row>
    <row r="1334" spans="1:26" s="45" customFormat="1" ht="12.75" hidden="1" customHeight="1">
      <c r="A1334" s="22" t="s">
        <v>126</v>
      </c>
      <c r="B1334" s="24" t="s">
        <v>127</v>
      </c>
      <c r="C1334" s="23" t="s">
        <v>94</v>
      </c>
      <c r="O1334" s="45">
        <v>3.7800000000000002</v>
      </c>
      <c r="P1334" s="23"/>
      <c r="Q1334" s="23"/>
      <c r="R1334" s="26">
        <v>2.2800000000000002</v>
      </c>
      <c r="U1334" s="45">
        <v>3.7800000000000002</v>
      </c>
      <c r="V1334" s="26">
        <v>2.2800000000000002</v>
      </c>
      <c r="W1334" s="49">
        <f t="shared" si="155"/>
        <v>0.56955461200000002</v>
      </c>
      <c r="X1334" s="49"/>
      <c r="Y1334" s="49"/>
      <c r="Z1334" s="49"/>
    </row>
    <row r="1335" spans="1:26" s="45" customFormat="1" ht="12.75" hidden="1" customHeight="1">
      <c r="A1335" s="22" t="s">
        <v>126</v>
      </c>
      <c r="B1335" s="24" t="s">
        <v>127</v>
      </c>
      <c r="C1335" s="23" t="s">
        <v>94</v>
      </c>
      <c r="O1335" s="45">
        <v>3.7800000000000002</v>
      </c>
      <c r="P1335" s="23"/>
      <c r="Q1335" s="23"/>
      <c r="R1335" s="26">
        <v>2.2999999999999998</v>
      </c>
      <c r="U1335" s="45">
        <v>3.7800000000000002</v>
      </c>
      <c r="V1335" s="26">
        <v>2.2999999999999998</v>
      </c>
      <c r="W1335" s="49">
        <f t="shared" si="155"/>
        <v>0.55047661200000042</v>
      </c>
      <c r="X1335" s="49"/>
      <c r="Y1335" s="49"/>
      <c r="Z1335" s="49"/>
    </row>
    <row r="1336" spans="1:26" s="45" customFormat="1" ht="12.75" hidden="1" customHeight="1">
      <c r="A1336" s="22" t="s">
        <v>126</v>
      </c>
      <c r="B1336" s="24" t="s">
        <v>127</v>
      </c>
      <c r="C1336" s="23" t="s">
        <v>94</v>
      </c>
      <c r="O1336" s="45">
        <v>3.7</v>
      </c>
      <c r="P1336" s="23"/>
      <c r="Q1336" s="23"/>
      <c r="R1336" s="26">
        <v>2.2999999999999998</v>
      </c>
      <c r="U1336" s="45">
        <v>3.7</v>
      </c>
      <c r="V1336" s="26">
        <v>2.2999999999999998</v>
      </c>
      <c r="W1336" s="49">
        <f t="shared" si="155"/>
        <v>0.57443857999999981</v>
      </c>
      <c r="X1336" s="49"/>
      <c r="Y1336" s="49"/>
      <c r="Z1336" s="49"/>
    </row>
    <row r="1337" spans="1:26" s="45" customFormat="1" ht="12.75" hidden="1" customHeight="1">
      <c r="A1337" s="22" t="s">
        <v>126</v>
      </c>
      <c r="B1337" s="24" t="s">
        <v>127</v>
      </c>
      <c r="C1337" s="23" t="s">
        <v>94</v>
      </c>
      <c r="O1337" s="45">
        <v>3.7300000000000004</v>
      </c>
      <c r="P1337" s="23"/>
      <c r="Q1337" s="23"/>
      <c r="R1337" s="26">
        <v>2.3199999999999998</v>
      </c>
      <c r="U1337" s="45">
        <v>3.7300000000000004</v>
      </c>
      <c r="V1337" s="26">
        <v>2.3199999999999998</v>
      </c>
      <c r="W1337" s="49">
        <f t="shared" si="155"/>
        <v>0.5463748420000003</v>
      </c>
      <c r="X1337" s="49"/>
      <c r="Y1337" s="49"/>
      <c r="Z1337" s="49"/>
    </row>
    <row r="1338" spans="1:26" s="45" customFormat="1" ht="12.75" hidden="1" customHeight="1">
      <c r="A1338" s="22" t="s">
        <v>126</v>
      </c>
      <c r="B1338" s="24" t="s">
        <v>127</v>
      </c>
      <c r="C1338" s="23" t="s">
        <v>94</v>
      </c>
      <c r="O1338" s="45">
        <v>3.71</v>
      </c>
      <c r="P1338" s="23"/>
      <c r="Q1338" s="23"/>
      <c r="R1338" s="26">
        <v>2.33</v>
      </c>
      <c r="U1338" s="45">
        <v>3.71</v>
      </c>
      <c r="V1338" s="26">
        <v>2.33</v>
      </c>
      <c r="W1338" s="49">
        <f t="shared" si="155"/>
        <v>0.54282633399999991</v>
      </c>
      <c r="X1338" s="49"/>
      <c r="Y1338" s="49"/>
      <c r="Z1338" s="49"/>
    </row>
    <row r="1339" spans="1:26" s="45" customFormat="1" ht="12.75" hidden="1" customHeight="1">
      <c r="A1339" s="22" t="s">
        <v>126</v>
      </c>
      <c r="B1339" s="24" t="s">
        <v>127</v>
      </c>
      <c r="C1339" s="23" t="s">
        <v>94</v>
      </c>
      <c r="O1339" s="45">
        <v>3.6900000000000004</v>
      </c>
      <c r="P1339" s="23"/>
      <c r="Q1339" s="23"/>
      <c r="R1339" s="26">
        <v>2.38</v>
      </c>
      <c r="U1339" s="45">
        <v>3.6900000000000004</v>
      </c>
      <c r="V1339" s="26">
        <v>2.38</v>
      </c>
      <c r="W1339" s="49">
        <f t="shared" si="155"/>
        <v>0.50112182599999988</v>
      </c>
      <c r="X1339" s="49"/>
      <c r="Y1339" s="49"/>
      <c r="Z1339" s="49"/>
    </row>
    <row r="1340" spans="1:26" s="45" customFormat="1" ht="12.75" hidden="1" customHeight="1">
      <c r="A1340" s="22" t="s">
        <v>126</v>
      </c>
      <c r="B1340" s="24" t="s">
        <v>127</v>
      </c>
      <c r="C1340" s="23" t="s">
        <v>94</v>
      </c>
      <c r="O1340" s="45">
        <v>3.7</v>
      </c>
      <c r="P1340" s="23"/>
      <c r="Q1340" s="23"/>
      <c r="R1340" s="26">
        <v>2.41</v>
      </c>
      <c r="U1340" s="45">
        <v>3.7</v>
      </c>
      <c r="V1340" s="26">
        <v>2.41</v>
      </c>
      <c r="W1340" s="49">
        <f t="shared" si="155"/>
        <v>0.46950957999999954</v>
      </c>
      <c r="X1340" s="49"/>
      <c r="Y1340" s="49"/>
      <c r="Z1340" s="49"/>
    </row>
    <row r="1341" spans="1:26" s="45" customFormat="1" ht="12.75" hidden="1" customHeight="1">
      <c r="A1341" s="22" t="s">
        <v>126</v>
      </c>
      <c r="B1341" s="24" t="s">
        <v>127</v>
      </c>
      <c r="C1341" s="23" t="s">
        <v>94</v>
      </c>
      <c r="O1341" s="45">
        <v>3.81</v>
      </c>
      <c r="P1341" s="23"/>
      <c r="Q1341" s="23"/>
      <c r="R1341" s="26">
        <v>2.39</v>
      </c>
      <c r="U1341" s="45">
        <v>3.81</v>
      </c>
      <c r="V1341" s="26">
        <v>2.39</v>
      </c>
      <c r="W1341" s="49">
        <f t="shared" si="155"/>
        <v>0.45563987399999972</v>
      </c>
      <c r="X1341" s="49"/>
      <c r="Y1341" s="49"/>
      <c r="Z1341" s="49"/>
    </row>
    <row r="1342" spans="1:26" s="45" customFormat="1" ht="12.75" hidden="1" customHeight="1">
      <c r="A1342" s="22" t="s">
        <v>126</v>
      </c>
      <c r="B1342" s="24" t="s">
        <v>127</v>
      </c>
      <c r="C1342" s="23" t="s">
        <v>94</v>
      </c>
      <c r="O1342" s="45">
        <v>3.8200000000000003</v>
      </c>
      <c r="P1342" s="23"/>
      <c r="Q1342" s="23"/>
      <c r="R1342" s="26">
        <v>2.42</v>
      </c>
      <c r="U1342" s="45">
        <v>3.8200000000000003</v>
      </c>
      <c r="V1342" s="26">
        <v>2.42</v>
      </c>
      <c r="W1342" s="49">
        <f t="shared" si="155"/>
        <v>0.42402762799999982</v>
      </c>
      <c r="X1342" s="49"/>
      <c r="Y1342" s="49"/>
      <c r="Z1342" s="49"/>
    </row>
    <row r="1343" spans="1:26" s="45" customFormat="1" ht="12.75" hidden="1" customHeight="1">
      <c r="A1343" s="22" t="s">
        <v>126</v>
      </c>
      <c r="B1343" s="24" t="s">
        <v>127</v>
      </c>
      <c r="C1343" s="23" t="s">
        <v>94</v>
      </c>
      <c r="O1343" s="45">
        <v>3.54</v>
      </c>
      <c r="P1343" s="23"/>
      <c r="Q1343" s="23"/>
      <c r="R1343" s="26">
        <v>2.5499999999999998</v>
      </c>
      <c r="U1343" s="45">
        <v>3.54</v>
      </c>
      <c r="V1343" s="26">
        <v>2.5499999999999998</v>
      </c>
      <c r="W1343" s="49">
        <f t="shared" si="155"/>
        <v>0.38388751600000032</v>
      </c>
      <c r="X1343" s="49"/>
      <c r="Y1343" s="49"/>
      <c r="Z1343" s="49"/>
    </row>
    <row r="1344" spans="1:26" s="45" customFormat="1" ht="12.75" hidden="1" customHeight="1">
      <c r="A1344" s="22" t="s">
        <v>126</v>
      </c>
      <c r="B1344" s="24" t="s">
        <v>127</v>
      </c>
      <c r="C1344" s="23" t="s">
        <v>94</v>
      </c>
      <c r="O1344" s="45">
        <v>3.58</v>
      </c>
      <c r="P1344" s="23"/>
      <c r="Q1344" s="23"/>
      <c r="R1344" s="26">
        <v>2.6</v>
      </c>
      <c r="U1344" s="45">
        <v>3.58</v>
      </c>
      <c r="V1344" s="26">
        <v>2.6</v>
      </c>
      <c r="W1344" s="49">
        <f t="shared" si="155"/>
        <v>0.32421153199999997</v>
      </c>
      <c r="X1344" s="49"/>
      <c r="Y1344" s="49"/>
      <c r="Z1344" s="49"/>
    </row>
    <row r="1345" spans="1:26" s="45" customFormat="1" ht="12.75" hidden="1" customHeight="1">
      <c r="A1345" s="22" t="s">
        <v>126</v>
      </c>
      <c r="B1345" s="24" t="s">
        <v>127</v>
      </c>
      <c r="C1345" s="23" t="s">
        <v>94</v>
      </c>
      <c r="O1345" s="45">
        <v>3.59</v>
      </c>
      <c r="P1345" s="23"/>
      <c r="Q1345" s="23"/>
      <c r="R1345" s="26">
        <v>2.4500000000000002</v>
      </c>
      <c r="U1345" s="45">
        <v>3.59</v>
      </c>
      <c r="V1345" s="26">
        <v>2.4500000000000002</v>
      </c>
      <c r="W1345" s="49">
        <f t="shared" si="155"/>
        <v>0.46430128600000015</v>
      </c>
      <c r="X1345" s="49"/>
      <c r="Y1345" s="49"/>
      <c r="Z1345" s="49"/>
    </row>
    <row r="1346" spans="1:26" s="45" customFormat="1" ht="12.75" hidden="1" customHeight="1">
      <c r="A1346" s="22" t="s">
        <v>126</v>
      </c>
      <c r="B1346" s="24" t="s">
        <v>127</v>
      </c>
      <c r="C1346" s="23" t="s">
        <v>94</v>
      </c>
      <c r="O1346" s="45">
        <v>3.6500000000000004</v>
      </c>
      <c r="P1346" s="23"/>
      <c r="Q1346" s="23"/>
      <c r="R1346" s="26">
        <v>2.46</v>
      </c>
      <c r="U1346" s="45">
        <v>3.6500000000000004</v>
      </c>
      <c r="V1346" s="26">
        <v>2.46</v>
      </c>
      <c r="W1346" s="49">
        <f t="shared" si="155"/>
        <v>0.43679080999999997</v>
      </c>
      <c r="X1346" s="49"/>
      <c r="Y1346" s="49"/>
      <c r="Z1346" s="49"/>
    </row>
    <row r="1347" spans="1:26" s="45" customFormat="1" ht="12.75" hidden="1" customHeight="1">
      <c r="A1347" s="22" t="s">
        <v>126</v>
      </c>
      <c r="B1347" s="24" t="s">
        <v>127</v>
      </c>
      <c r="C1347" s="23" t="s">
        <v>94</v>
      </c>
      <c r="O1347" s="45">
        <v>3.67</v>
      </c>
      <c r="P1347" s="23"/>
      <c r="Q1347" s="23"/>
      <c r="R1347" s="26">
        <v>2.4500000000000002</v>
      </c>
      <c r="U1347" s="45">
        <v>3.67</v>
      </c>
      <c r="V1347" s="26">
        <v>2.4500000000000002</v>
      </c>
      <c r="W1347" s="49">
        <f t="shared" si="155"/>
        <v>0.44033931799999992</v>
      </c>
      <c r="X1347" s="49"/>
      <c r="Y1347" s="49"/>
      <c r="Z1347" s="49"/>
    </row>
    <row r="1348" spans="1:26" s="45" customFormat="1" ht="12.75" hidden="1" customHeight="1">
      <c r="A1348" s="22" t="s">
        <v>126</v>
      </c>
      <c r="B1348" s="24" t="s">
        <v>127</v>
      </c>
      <c r="C1348" s="23" t="s">
        <v>94</v>
      </c>
      <c r="O1348" s="45">
        <v>3.66</v>
      </c>
      <c r="P1348" s="23"/>
      <c r="Q1348" s="23"/>
      <c r="R1348" s="26">
        <v>2.4900000000000002</v>
      </c>
      <c r="U1348" s="45">
        <v>3.66</v>
      </c>
      <c r="V1348" s="26">
        <v>2.4900000000000002</v>
      </c>
      <c r="W1348" s="49">
        <f t="shared" si="155"/>
        <v>0.40517856400000002</v>
      </c>
      <c r="X1348" s="49"/>
      <c r="Y1348" s="49"/>
      <c r="Z1348" s="49"/>
    </row>
    <row r="1349" spans="1:26" s="45" customFormat="1" ht="12.75" hidden="1" customHeight="1">
      <c r="A1349" s="22" t="s">
        <v>126</v>
      </c>
      <c r="B1349" s="24" t="s">
        <v>127</v>
      </c>
      <c r="C1349" s="23" t="s">
        <v>94</v>
      </c>
      <c r="O1349" s="45">
        <v>3.66</v>
      </c>
      <c r="P1349" s="23"/>
      <c r="Q1349" s="23"/>
      <c r="R1349" s="26">
        <v>2.52</v>
      </c>
      <c r="U1349" s="45">
        <v>3.66</v>
      </c>
      <c r="V1349" s="26">
        <v>2.52</v>
      </c>
      <c r="W1349" s="49">
        <f t="shared" si="155"/>
        <v>0.37656156400000018</v>
      </c>
      <c r="X1349" s="49"/>
      <c r="Y1349" s="49"/>
      <c r="Z1349" s="49"/>
    </row>
    <row r="1350" spans="1:26" s="45" customFormat="1" ht="12.75" hidden="1" customHeight="1">
      <c r="A1350" s="22" t="s">
        <v>126</v>
      </c>
      <c r="B1350" s="24" t="s">
        <v>127</v>
      </c>
      <c r="C1350" s="23" t="s">
        <v>94</v>
      </c>
      <c r="O1350" s="45">
        <v>3.625</v>
      </c>
      <c r="P1350" s="23"/>
      <c r="Q1350" s="23"/>
      <c r="R1350" s="26">
        <v>2.5499999999999998</v>
      </c>
      <c r="U1350" s="45">
        <v>3.625</v>
      </c>
      <c r="V1350" s="26">
        <v>2.5499999999999998</v>
      </c>
      <c r="W1350" s="49">
        <f t="shared" si="155"/>
        <v>0.35842792500000004</v>
      </c>
      <c r="X1350" s="49"/>
      <c r="Y1350" s="49"/>
      <c r="Z1350" s="49"/>
    </row>
    <row r="1351" spans="1:26" s="45" customFormat="1" ht="12.75" hidden="1" customHeight="1">
      <c r="A1351" s="22" t="s">
        <v>126</v>
      </c>
      <c r="B1351" s="24" t="s">
        <v>127</v>
      </c>
      <c r="C1351" s="23" t="s">
        <v>94</v>
      </c>
      <c r="O1351" s="45">
        <v>3.7</v>
      </c>
      <c r="P1351" s="23"/>
      <c r="Q1351" s="23"/>
      <c r="R1351" s="26">
        <v>2.4900000000000002</v>
      </c>
      <c r="U1351" s="45">
        <v>3.7</v>
      </c>
      <c r="V1351" s="26">
        <v>2.4900000000000002</v>
      </c>
      <c r="W1351" s="49">
        <f t="shared" si="155"/>
        <v>0.39319757999999949</v>
      </c>
      <c r="X1351" s="49"/>
      <c r="Y1351" s="49"/>
      <c r="Z1351" s="49"/>
    </row>
    <row r="1352" spans="1:26" s="45" customFormat="1" ht="12.75" hidden="1" customHeight="1">
      <c r="A1352" s="22" t="s">
        <v>126</v>
      </c>
      <c r="B1352" s="24" t="s">
        <v>127</v>
      </c>
      <c r="C1352" s="23" t="s">
        <v>94</v>
      </c>
      <c r="O1352" s="45">
        <v>3.71</v>
      </c>
      <c r="P1352" s="23"/>
      <c r="Q1352" s="23"/>
      <c r="R1352" s="26">
        <v>2.5099999999999998</v>
      </c>
      <c r="U1352" s="45">
        <v>3.71</v>
      </c>
      <c r="V1352" s="26">
        <v>2.5099999999999998</v>
      </c>
      <c r="W1352" s="49">
        <f t="shared" si="155"/>
        <v>0.37112433400000017</v>
      </c>
      <c r="X1352" s="49"/>
      <c r="Y1352" s="49"/>
      <c r="Z1352" s="49"/>
    </row>
    <row r="1353" spans="1:26" s="45" customFormat="1" ht="12.75" hidden="1" customHeight="1">
      <c r="A1353" s="22" t="s">
        <v>126</v>
      </c>
      <c r="B1353" s="24" t="s">
        <v>127</v>
      </c>
      <c r="C1353" s="23" t="s">
        <v>94</v>
      </c>
      <c r="O1353" s="45">
        <v>3.71</v>
      </c>
      <c r="P1353" s="23"/>
      <c r="Q1353" s="23"/>
      <c r="R1353" s="26">
        <v>2.54</v>
      </c>
      <c r="U1353" s="45">
        <v>3.71</v>
      </c>
      <c r="V1353" s="26">
        <v>2.54</v>
      </c>
      <c r="W1353" s="49">
        <f t="shared" si="155"/>
        <v>0.34250733399999994</v>
      </c>
      <c r="X1353" s="49"/>
      <c r="Y1353" s="49"/>
      <c r="Z1353" s="49"/>
    </row>
    <row r="1354" spans="1:26" s="45" customFormat="1" ht="12.75" hidden="1" customHeight="1">
      <c r="A1354" s="22" t="s">
        <v>126</v>
      </c>
      <c r="B1354" s="24" t="s">
        <v>127</v>
      </c>
      <c r="C1354" s="23" t="s">
        <v>94</v>
      </c>
      <c r="O1354" s="45">
        <v>3.75</v>
      </c>
      <c r="P1354" s="23"/>
      <c r="Q1354" s="23"/>
      <c r="R1354" s="26">
        <v>2.54</v>
      </c>
      <c r="U1354" s="45">
        <v>3.75</v>
      </c>
      <c r="V1354" s="26">
        <v>2.54</v>
      </c>
      <c r="W1354" s="49">
        <f t="shared" si="155"/>
        <v>0.3305263499999998</v>
      </c>
      <c r="X1354" s="49"/>
      <c r="Y1354" s="49"/>
      <c r="Z1354" s="49"/>
    </row>
    <row r="1355" spans="1:26" s="45" customFormat="1" ht="12.75" hidden="1" customHeight="1">
      <c r="A1355" s="22" t="s">
        <v>126</v>
      </c>
      <c r="B1355" s="24" t="s">
        <v>127</v>
      </c>
      <c r="C1355" s="23" t="s">
        <v>94</v>
      </c>
      <c r="O1355" s="45">
        <v>3.64</v>
      </c>
      <c r="P1355" s="23"/>
      <c r="Q1355" s="23"/>
      <c r="R1355" s="26">
        <v>2.71</v>
      </c>
      <c r="U1355" s="45">
        <v>3.64</v>
      </c>
      <c r="V1355" s="26">
        <v>2.71</v>
      </c>
      <c r="W1355" s="49">
        <f t="shared" si="155"/>
        <v>0.2013110560000001</v>
      </c>
      <c r="X1355" s="49"/>
      <c r="Y1355" s="49"/>
      <c r="Z1355" s="49"/>
    </row>
    <row r="1356" spans="1:26" s="45" customFormat="1" ht="12.75" hidden="1" customHeight="1">
      <c r="A1356" s="22" t="s">
        <v>126</v>
      </c>
      <c r="B1356" s="24" t="s">
        <v>127</v>
      </c>
      <c r="C1356" s="23" t="s">
        <v>94</v>
      </c>
      <c r="O1356" s="45">
        <v>3.66</v>
      </c>
      <c r="P1356" s="23"/>
      <c r="Q1356" s="23"/>
      <c r="R1356" s="26">
        <v>2.7</v>
      </c>
      <c r="U1356" s="45">
        <v>3.66</v>
      </c>
      <c r="V1356" s="26">
        <v>2.7</v>
      </c>
      <c r="W1356" s="49">
        <f t="shared" si="155"/>
        <v>0.20485956400000005</v>
      </c>
      <c r="X1356" s="49"/>
      <c r="Y1356" s="49"/>
      <c r="Z1356" s="49"/>
    </row>
    <row r="1357" spans="1:26" s="45" customFormat="1" ht="12.75" hidden="1" customHeight="1">
      <c r="A1357" s="22" t="s">
        <v>126</v>
      </c>
      <c r="B1357" s="24" t="s">
        <v>127</v>
      </c>
      <c r="C1357" s="23" t="s">
        <v>94</v>
      </c>
      <c r="O1357" s="45">
        <v>3.77</v>
      </c>
      <c r="P1357" s="23"/>
      <c r="Q1357" s="23"/>
      <c r="R1357" s="26">
        <v>2.7</v>
      </c>
      <c r="U1357" s="45">
        <v>3.77</v>
      </c>
      <c r="V1357" s="26">
        <v>2.7</v>
      </c>
      <c r="W1357" s="49">
        <f t="shared" si="155"/>
        <v>0.17191185799999983</v>
      </c>
      <c r="X1357" s="49"/>
      <c r="Y1357" s="49"/>
      <c r="Z1357" s="49"/>
    </row>
    <row r="1358" spans="1:26" s="45" customFormat="1" ht="12.75" hidden="1" customHeight="1">
      <c r="A1358" s="22" t="s">
        <v>126</v>
      </c>
      <c r="B1358" s="24" t="s">
        <v>127</v>
      </c>
      <c r="C1358" s="23" t="s">
        <v>94</v>
      </c>
      <c r="O1358" s="45">
        <v>3.8</v>
      </c>
      <c r="P1358" s="23"/>
      <c r="Q1358" s="23"/>
      <c r="R1358" s="26">
        <v>2.75</v>
      </c>
      <c r="U1358" s="45">
        <v>3.8</v>
      </c>
      <c r="V1358" s="26">
        <v>2.75</v>
      </c>
      <c r="W1358" s="49">
        <f t="shared" si="155"/>
        <v>0.11523112000000002</v>
      </c>
      <c r="X1358" s="49"/>
      <c r="Y1358" s="49"/>
      <c r="Z1358" s="49"/>
    </row>
    <row r="1359" spans="1:26" s="45" customFormat="1" ht="12.75" hidden="1" customHeight="1">
      <c r="A1359" s="22" t="s">
        <v>126</v>
      </c>
      <c r="B1359" s="24" t="s">
        <v>127</v>
      </c>
      <c r="C1359" s="23" t="s">
        <v>94</v>
      </c>
      <c r="O1359" s="45">
        <v>3.8</v>
      </c>
      <c r="P1359" s="23"/>
      <c r="Q1359" s="23"/>
      <c r="R1359" s="26">
        <v>2.7800000000000002</v>
      </c>
      <c r="U1359" s="45">
        <v>3.8</v>
      </c>
      <c r="V1359" s="26">
        <v>2.7800000000000002</v>
      </c>
      <c r="W1359" s="49">
        <f t="shared" si="155"/>
        <v>8.6614119999999781E-2</v>
      </c>
      <c r="X1359" s="49"/>
      <c r="Y1359" s="49"/>
      <c r="Z1359" s="49"/>
    </row>
    <row r="1360" spans="1:26" s="45" customFormat="1" ht="12.75" hidden="1" customHeight="1">
      <c r="A1360" s="22" t="s">
        <v>126</v>
      </c>
      <c r="B1360" s="24" t="s">
        <v>127</v>
      </c>
      <c r="C1360" s="23" t="s">
        <v>94</v>
      </c>
      <c r="O1360" s="45">
        <v>3.85</v>
      </c>
      <c r="P1360" s="23"/>
      <c r="Q1360" s="23"/>
      <c r="R1360" s="26">
        <v>2.7300000000000004</v>
      </c>
      <c r="U1360" s="45">
        <v>3.85</v>
      </c>
      <c r="V1360" s="26">
        <v>2.7300000000000004</v>
      </c>
      <c r="W1360" s="49">
        <f t="shared" si="155"/>
        <v>0.11933288999999977</v>
      </c>
      <c r="X1360" s="49"/>
      <c r="Y1360" s="49"/>
      <c r="Z1360" s="49"/>
    </row>
    <row r="1361" spans="1:26" s="45" customFormat="1" ht="12.75" hidden="1" customHeight="1">
      <c r="A1361" s="22" t="s">
        <v>126</v>
      </c>
      <c r="B1361" s="24" t="s">
        <v>127</v>
      </c>
      <c r="C1361" s="23" t="s">
        <v>94</v>
      </c>
      <c r="O1361" s="45">
        <v>3.91</v>
      </c>
      <c r="P1361" s="23"/>
      <c r="Q1361" s="23"/>
      <c r="R1361" s="26">
        <v>2.4300000000000002</v>
      </c>
      <c r="U1361" s="45">
        <v>3.91</v>
      </c>
      <c r="V1361" s="26">
        <v>2.4300000000000002</v>
      </c>
      <c r="W1361" s="49">
        <f t="shared" si="155"/>
        <v>0.38753141400000007</v>
      </c>
      <c r="X1361" s="49"/>
      <c r="Y1361" s="49"/>
      <c r="Z1361" s="49"/>
    </row>
    <row r="1362" spans="1:26" s="45" customFormat="1" ht="12.75" hidden="1" customHeight="1">
      <c r="A1362" s="22" t="s">
        <v>126</v>
      </c>
      <c r="B1362" s="24" t="s">
        <v>127</v>
      </c>
      <c r="C1362" s="23" t="s">
        <v>94</v>
      </c>
      <c r="O1362" s="45">
        <v>3.95</v>
      </c>
      <c r="P1362" s="23"/>
      <c r="Q1362" s="23"/>
      <c r="R1362" s="26">
        <v>2.4300000000000002</v>
      </c>
      <c r="U1362" s="45">
        <v>3.95</v>
      </c>
      <c r="V1362" s="26">
        <v>2.4300000000000002</v>
      </c>
      <c r="W1362" s="49">
        <f t="shared" si="155"/>
        <v>0.37555042999999994</v>
      </c>
      <c r="X1362" s="49"/>
      <c r="Y1362" s="49"/>
      <c r="Z1362" s="49"/>
    </row>
    <row r="1363" spans="1:26" s="45" customFormat="1" ht="12.75" hidden="1" customHeight="1">
      <c r="A1363" s="22" t="s">
        <v>126</v>
      </c>
      <c r="B1363" s="24" t="s">
        <v>127</v>
      </c>
      <c r="C1363" s="23" t="s">
        <v>94</v>
      </c>
      <c r="O1363" s="45">
        <v>3.9699999999999998</v>
      </c>
      <c r="P1363" s="23"/>
      <c r="Q1363" s="23"/>
      <c r="R1363" s="26">
        <v>2.23</v>
      </c>
      <c r="U1363" s="45">
        <v>3.9699999999999998</v>
      </c>
      <c r="V1363" s="26">
        <v>2.23</v>
      </c>
      <c r="W1363" s="49">
        <f t="shared" si="155"/>
        <v>0.56033993800000026</v>
      </c>
      <c r="X1363" s="49"/>
      <c r="Y1363" s="49"/>
      <c r="Z1363" s="49"/>
    </row>
    <row r="1364" spans="1:26" s="45" customFormat="1" ht="12.75" hidden="1" customHeight="1">
      <c r="A1364" s="22" t="s">
        <v>126</v>
      </c>
      <c r="B1364" s="24" t="s">
        <v>127</v>
      </c>
      <c r="C1364" s="23" t="s">
        <v>94</v>
      </c>
      <c r="O1364" s="45">
        <v>4</v>
      </c>
      <c r="P1364" s="23"/>
      <c r="Q1364" s="23"/>
      <c r="R1364" s="26">
        <v>2.31</v>
      </c>
      <c r="U1364" s="45">
        <v>4</v>
      </c>
      <c r="V1364" s="26">
        <v>2.31</v>
      </c>
      <c r="W1364" s="49">
        <f t="shared" si="155"/>
        <v>0.47504219999999975</v>
      </c>
      <c r="X1364" s="49"/>
      <c r="Y1364" s="49"/>
      <c r="Z1364" s="49"/>
    </row>
    <row r="1365" spans="1:26" s="45" customFormat="1" ht="12.75" hidden="1" customHeight="1">
      <c r="A1365" s="22" t="s">
        <v>126</v>
      </c>
      <c r="B1365" s="24" t="s">
        <v>127</v>
      </c>
      <c r="C1365" s="23" t="s">
        <v>94</v>
      </c>
      <c r="O1365" s="45">
        <v>4.1100000000000003</v>
      </c>
      <c r="P1365" s="23"/>
      <c r="Q1365" s="23"/>
      <c r="R1365" s="26">
        <v>2.33</v>
      </c>
      <c r="U1365" s="45">
        <v>4.1100000000000003</v>
      </c>
      <c r="V1365" s="26">
        <v>2.33</v>
      </c>
      <c r="W1365" s="49">
        <f t="shared" si="155"/>
        <v>0.42301649399999997</v>
      </c>
      <c r="X1365" s="49"/>
      <c r="Y1365" s="49"/>
      <c r="Z1365" s="49"/>
    </row>
    <row r="1366" spans="1:26" s="45" customFormat="1" ht="12.75" hidden="1" customHeight="1">
      <c r="A1366" s="22" t="s">
        <v>126</v>
      </c>
      <c r="B1366" s="24" t="s">
        <v>127</v>
      </c>
      <c r="C1366" s="23" t="s">
        <v>94</v>
      </c>
      <c r="O1366" s="45">
        <v>4.2300000000000004</v>
      </c>
      <c r="P1366" s="23"/>
      <c r="Q1366" s="23"/>
      <c r="R1366" s="26">
        <v>2.29</v>
      </c>
      <c r="U1366" s="45">
        <v>4.2300000000000004</v>
      </c>
      <c r="V1366" s="26">
        <v>2.29</v>
      </c>
      <c r="W1366" s="49">
        <f t="shared" ref="W1366:W1429" si="156">0.9539*(4.064-0.314*U1366-V1366)</f>
        <v>0.42522954200000007</v>
      </c>
      <c r="X1366" s="49"/>
      <c r="Y1366" s="49"/>
      <c r="Z1366" s="49"/>
    </row>
    <row r="1367" spans="1:26" s="45" customFormat="1" ht="12.75" hidden="1" customHeight="1">
      <c r="A1367" s="22" t="s">
        <v>126</v>
      </c>
      <c r="B1367" s="24" t="s">
        <v>127</v>
      </c>
      <c r="C1367" s="23" t="s">
        <v>94</v>
      </c>
      <c r="O1367" s="45">
        <v>4.13</v>
      </c>
      <c r="P1367" s="23"/>
      <c r="Q1367" s="23"/>
      <c r="R1367" s="26">
        <v>2.5300000000000002</v>
      </c>
      <c r="U1367" s="45">
        <v>4.13</v>
      </c>
      <c r="V1367" s="26">
        <v>2.5300000000000002</v>
      </c>
      <c r="W1367" s="49">
        <f t="shared" si="156"/>
        <v>0.22624600199999995</v>
      </c>
      <c r="X1367" s="49"/>
      <c r="Y1367" s="49"/>
      <c r="Z1367" s="49"/>
    </row>
    <row r="1368" spans="1:26" s="45" customFormat="1" ht="12.75" hidden="1" customHeight="1">
      <c r="A1368" s="22" t="s">
        <v>126</v>
      </c>
      <c r="B1368" s="24" t="s">
        <v>127</v>
      </c>
      <c r="C1368" s="23" t="s">
        <v>94</v>
      </c>
      <c r="O1368" s="45">
        <v>4.0199999999999996</v>
      </c>
      <c r="P1368" s="23"/>
      <c r="Q1368" s="23"/>
      <c r="R1368" s="26">
        <v>2.6100000000000003</v>
      </c>
      <c r="U1368" s="45">
        <v>4.0199999999999996</v>
      </c>
      <c r="V1368" s="26">
        <v>2.6100000000000003</v>
      </c>
      <c r="W1368" s="49">
        <f t="shared" si="156"/>
        <v>0.18288170800000011</v>
      </c>
      <c r="X1368" s="49"/>
      <c r="Y1368" s="49"/>
      <c r="Z1368" s="49"/>
    </row>
    <row r="1369" spans="1:26" s="45" customFormat="1" ht="12.75" hidden="1" customHeight="1">
      <c r="A1369" s="22" t="s">
        <v>126</v>
      </c>
      <c r="B1369" s="24" t="s">
        <v>127</v>
      </c>
      <c r="C1369" s="23" t="s">
        <v>94</v>
      </c>
      <c r="O1369" s="45">
        <v>3.66</v>
      </c>
      <c r="P1369" s="23"/>
      <c r="Q1369" s="23"/>
      <c r="R1369" s="26">
        <v>2.48</v>
      </c>
      <c r="U1369" s="45">
        <v>3.66</v>
      </c>
      <c r="V1369" s="26">
        <v>2.48</v>
      </c>
      <c r="W1369" s="49">
        <f t="shared" si="156"/>
        <v>0.41471756400000021</v>
      </c>
      <c r="X1369" s="49"/>
      <c r="Y1369" s="49"/>
      <c r="Z1369" s="49"/>
    </row>
    <row r="1370" spans="1:26" s="45" customFormat="1" ht="12.75" hidden="1" customHeight="1">
      <c r="A1370" s="22" t="s">
        <v>126</v>
      </c>
      <c r="B1370" s="24" t="s">
        <v>127</v>
      </c>
      <c r="C1370" s="23" t="s">
        <v>94</v>
      </c>
      <c r="O1370" s="45">
        <v>3.68</v>
      </c>
      <c r="P1370" s="23"/>
      <c r="Q1370" s="23"/>
      <c r="R1370" s="26">
        <v>2.5</v>
      </c>
      <c r="U1370" s="45">
        <v>3.68</v>
      </c>
      <c r="V1370" s="26">
        <v>2.5</v>
      </c>
      <c r="W1370" s="49">
        <f t="shared" si="156"/>
        <v>0.38964907199999993</v>
      </c>
      <c r="X1370" s="49"/>
      <c r="Y1370" s="49"/>
      <c r="Z1370" s="49"/>
    </row>
    <row r="1371" spans="1:26" s="45" customFormat="1" ht="12.75" hidden="1" customHeight="1">
      <c r="A1371" s="22" t="s">
        <v>126</v>
      </c>
      <c r="B1371" s="24" t="s">
        <v>127</v>
      </c>
      <c r="C1371" s="23" t="s">
        <v>94</v>
      </c>
      <c r="O1371" s="45">
        <v>3.7</v>
      </c>
      <c r="P1371" s="23"/>
      <c r="Q1371" s="23"/>
      <c r="R1371" s="26">
        <v>2.52</v>
      </c>
      <c r="U1371" s="45">
        <v>3.7</v>
      </c>
      <c r="V1371" s="26">
        <v>2.52</v>
      </c>
      <c r="W1371" s="49">
        <f t="shared" si="156"/>
        <v>0.36458057999999965</v>
      </c>
      <c r="X1371" s="49"/>
      <c r="Y1371" s="49"/>
      <c r="Z1371" s="49"/>
    </row>
    <row r="1372" spans="1:26" s="45" customFormat="1" ht="12.75" hidden="1" customHeight="1">
      <c r="A1372" s="22" t="s">
        <v>126</v>
      </c>
      <c r="B1372" s="24" t="s">
        <v>127</v>
      </c>
      <c r="C1372" s="23" t="s">
        <v>97</v>
      </c>
      <c r="O1372" s="45">
        <v>2.65</v>
      </c>
      <c r="P1372" s="23"/>
      <c r="Q1372" s="23"/>
      <c r="R1372" s="26">
        <v>2.0099999999999998</v>
      </c>
      <c r="U1372" s="45">
        <v>2.65</v>
      </c>
      <c r="V1372" s="26">
        <v>2.0099999999999998</v>
      </c>
      <c r="W1372" s="49">
        <f t="shared" si="156"/>
        <v>1.1655704100000002</v>
      </c>
      <c r="X1372" s="49"/>
      <c r="Y1372" s="49"/>
      <c r="Z1372" s="49"/>
    </row>
    <row r="1373" spans="1:26" s="45" customFormat="1" ht="12.75" hidden="1" customHeight="1">
      <c r="A1373" s="22" t="s">
        <v>126</v>
      </c>
      <c r="B1373" s="24" t="s">
        <v>127</v>
      </c>
      <c r="C1373" s="23" t="s">
        <v>97</v>
      </c>
      <c r="O1373" s="45">
        <v>2.79</v>
      </c>
      <c r="P1373" s="23"/>
      <c r="Q1373" s="23"/>
      <c r="R1373" s="26">
        <v>1.93</v>
      </c>
      <c r="U1373" s="45">
        <v>2.79</v>
      </c>
      <c r="V1373" s="26">
        <v>1.93</v>
      </c>
      <c r="W1373" s="49">
        <f t="shared" si="156"/>
        <v>1.1999489660000002</v>
      </c>
      <c r="X1373" s="49"/>
      <c r="Y1373" s="49"/>
      <c r="Z1373" s="49"/>
    </row>
    <row r="1374" spans="1:26" s="45" customFormat="1" ht="12.75" hidden="1" customHeight="1">
      <c r="A1374" s="22" t="s">
        <v>126</v>
      </c>
      <c r="B1374" s="24" t="s">
        <v>127</v>
      </c>
      <c r="C1374" s="23" t="s">
        <v>97</v>
      </c>
      <c r="O1374" s="45">
        <v>2.95</v>
      </c>
      <c r="P1374" s="23"/>
      <c r="Q1374" s="23"/>
      <c r="R1374" s="26">
        <v>1.94</v>
      </c>
      <c r="U1374" s="45">
        <v>2.95</v>
      </c>
      <c r="V1374" s="26">
        <v>1.94</v>
      </c>
      <c r="W1374" s="49">
        <f t="shared" si="156"/>
        <v>1.1424860300000002</v>
      </c>
      <c r="X1374" s="49"/>
      <c r="Y1374" s="49"/>
      <c r="Z1374" s="49"/>
    </row>
    <row r="1375" spans="1:26" s="45" customFormat="1" ht="12.75" hidden="1" customHeight="1">
      <c r="A1375" s="22" t="s">
        <v>126</v>
      </c>
      <c r="B1375" s="24" t="s">
        <v>127</v>
      </c>
      <c r="C1375" s="23" t="s">
        <v>97</v>
      </c>
      <c r="O1375" s="45">
        <v>3.06</v>
      </c>
      <c r="P1375" s="23"/>
      <c r="Q1375" s="23"/>
      <c r="R1375" s="26">
        <v>2.21</v>
      </c>
      <c r="U1375" s="45">
        <v>3.06</v>
      </c>
      <c r="V1375" s="26">
        <v>2.21</v>
      </c>
      <c r="W1375" s="49">
        <f t="shared" si="156"/>
        <v>0.85198532399999993</v>
      </c>
      <c r="X1375" s="49"/>
      <c r="Y1375" s="49"/>
      <c r="Z1375" s="49"/>
    </row>
    <row r="1376" spans="1:26" s="45" customFormat="1" ht="12.75" hidden="1" customHeight="1">
      <c r="A1376" s="22" t="s">
        <v>126</v>
      </c>
      <c r="B1376" s="24" t="s">
        <v>127</v>
      </c>
      <c r="C1376" s="23" t="s">
        <v>97</v>
      </c>
      <c r="O1376" s="45">
        <v>3.1</v>
      </c>
      <c r="P1376" s="23"/>
      <c r="Q1376" s="23"/>
      <c r="R1376" s="26">
        <v>2.2000000000000002</v>
      </c>
      <c r="U1376" s="45">
        <v>3.1</v>
      </c>
      <c r="V1376" s="26">
        <v>2.2000000000000002</v>
      </c>
      <c r="W1376" s="49">
        <f t="shared" si="156"/>
        <v>0.84954333999999998</v>
      </c>
      <c r="X1376" s="49"/>
      <c r="Y1376" s="49"/>
      <c r="Z1376" s="49"/>
    </row>
    <row r="1377" spans="1:26" s="45" customFormat="1" ht="12.75" hidden="1" customHeight="1">
      <c r="A1377" s="22" t="s">
        <v>126</v>
      </c>
      <c r="B1377" s="24" t="s">
        <v>127</v>
      </c>
      <c r="C1377" s="23" t="s">
        <v>97</v>
      </c>
      <c r="O1377" s="45">
        <v>3.25</v>
      </c>
      <c r="P1377" s="23"/>
      <c r="Q1377" s="23"/>
      <c r="R1377" s="26">
        <v>2.2599999999999998</v>
      </c>
      <c r="U1377" s="45">
        <v>3.25</v>
      </c>
      <c r="V1377" s="26">
        <v>2.2599999999999998</v>
      </c>
      <c r="W1377" s="49">
        <f t="shared" si="156"/>
        <v>0.74738065000000009</v>
      </c>
      <c r="X1377" s="49"/>
      <c r="Y1377" s="49"/>
      <c r="Z1377" s="49"/>
    </row>
    <row r="1378" spans="1:26" s="45" customFormat="1" ht="12.75" hidden="1" customHeight="1">
      <c r="A1378" s="22" t="s">
        <v>126</v>
      </c>
      <c r="B1378" s="24" t="s">
        <v>127</v>
      </c>
      <c r="C1378" s="23" t="s">
        <v>97</v>
      </c>
      <c r="O1378" s="45">
        <v>3.38</v>
      </c>
      <c r="P1378" s="23"/>
      <c r="Q1378" s="23"/>
      <c r="R1378" s="26">
        <v>2.31</v>
      </c>
      <c r="U1378" s="45">
        <v>3.38</v>
      </c>
      <c r="V1378" s="26">
        <v>2.31</v>
      </c>
      <c r="W1378" s="49">
        <f t="shared" si="156"/>
        <v>0.66074745199999974</v>
      </c>
      <c r="X1378" s="49"/>
      <c r="Y1378" s="49"/>
      <c r="Z1378" s="49"/>
    </row>
    <row r="1379" spans="1:26" s="45" customFormat="1" ht="12.75" hidden="1" customHeight="1">
      <c r="A1379" s="22" t="s">
        <v>126</v>
      </c>
      <c r="B1379" s="24" t="s">
        <v>127</v>
      </c>
      <c r="C1379" s="23" t="s">
        <v>97</v>
      </c>
      <c r="O1379" s="45">
        <v>3.5300000000000002</v>
      </c>
      <c r="P1379" s="23"/>
      <c r="Q1379" s="23"/>
      <c r="R1379" s="26">
        <v>2.3199999999999998</v>
      </c>
      <c r="U1379" s="45">
        <v>3.5300000000000002</v>
      </c>
      <c r="V1379" s="26">
        <v>2.3199999999999998</v>
      </c>
      <c r="W1379" s="49">
        <f t="shared" si="156"/>
        <v>0.606279762</v>
      </c>
      <c r="X1379" s="49"/>
      <c r="Y1379" s="49"/>
      <c r="Z1379" s="49"/>
    </row>
    <row r="1380" spans="1:26" s="45" customFormat="1" ht="12.75" hidden="1" customHeight="1">
      <c r="A1380" s="22" t="s">
        <v>126</v>
      </c>
      <c r="B1380" s="24" t="s">
        <v>127</v>
      </c>
      <c r="C1380" s="23" t="s">
        <v>97</v>
      </c>
      <c r="O1380" s="45">
        <v>3.6100000000000003</v>
      </c>
      <c r="P1380" s="23"/>
      <c r="Q1380" s="23"/>
      <c r="R1380" s="26">
        <v>2.33</v>
      </c>
      <c r="U1380" s="45">
        <v>3.6100000000000003</v>
      </c>
      <c r="V1380" s="26">
        <v>2.33</v>
      </c>
      <c r="W1380" s="49">
        <f t="shared" si="156"/>
        <v>0.57277879399999998</v>
      </c>
      <c r="X1380" s="49"/>
      <c r="Y1380" s="49"/>
      <c r="Z1380" s="49"/>
    </row>
    <row r="1381" spans="1:26" s="45" customFormat="1" ht="12.75" hidden="1" customHeight="1">
      <c r="A1381" s="22" t="s">
        <v>126</v>
      </c>
      <c r="B1381" s="24" t="s">
        <v>127</v>
      </c>
      <c r="C1381" s="23" t="s">
        <v>97</v>
      </c>
      <c r="O1381" s="45">
        <v>3.62</v>
      </c>
      <c r="P1381" s="23"/>
      <c r="Q1381" s="23"/>
      <c r="R1381" s="26">
        <v>2.41</v>
      </c>
      <c r="U1381" s="45">
        <v>3.62</v>
      </c>
      <c r="V1381" s="26">
        <v>2.41</v>
      </c>
      <c r="W1381" s="49">
        <f t="shared" si="156"/>
        <v>0.49347154799999976</v>
      </c>
      <c r="X1381" s="49"/>
      <c r="Y1381" s="49"/>
      <c r="Z1381" s="49"/>
    </row>
    <row r="1382" spans="1:26" s="45" customFormat="1" ht="12.75" hidden="1" customHeight="1">
      <c r="A1382" s="22" t="s">
        <v>126</v>
      </c>
      <c r="B1382" s="24" t="s">
        <v>127</v>
      </c>
      <c r="C1382" s="23" t="s">
        <v>97</v>
      </c>
      <c r="O1382" s="45">
        <v>3.81</v>
      </c>
      <c r="P1382" s="23"/>
      <c r="Q1382" s="23"/>
      <c r="R1382" s="26">
        <v>2.48</v>
      </c>
      <c r="U1382" s="45">
        <v>3.81</v>
      </c>
      <c r="V1382" s="26">
        <v>2.48</v>
      </c>
      <c r="W1382" s="49">
        <f t="shared" si="156"/>
        <v>0.36978887399999988</v>
      </c>
      <c r="X1382" s="49"/>
      <c r="Y1382" s="49"/>
      <c r="Z1382" s="49"/>
    </row>
    <row r="1383" spans="1:26" s="45" customFormat="1" ht="12.75" hidden="1" customHeight="1">
      <c r="A1383" s="22" t="s">
        <v>126</v>
      </c>
      <c r="B1383" s="24" t="s">
        <v>127</v>
      </c>
      <c r="C1383" s="23" t="s">
        <v>96</v>
      </c>
      <c r="O1383" s="45">
        <v>2.99</v>
      </c>
      <c r="P1383" s="23"/>
      <c r="Q1383" s="23"/>
      <c r="R1383" s="26">
        <v>1.81</v>
      </c>
      <c r="U1383" s="45">
        <v>2.99</v>
      </c>
      <c r="V1383" s="26">
        <v>1.81</v>
      </c>
      <c r="W1383" s="49">
        <f t="shared" si="156"/>
        <v>1.2545120459999999</v>
      </c>
      <c r="X1383" s="49"/>
      <c r="Y1383" s="49"/>
      <c r="Z1383" s="49"/>
    </row>
    <row r="1384" spans="1:26" s="45" customFormat="1" ht="12.75" hidden="1" customHeight="1">
      <c r="A1384" s="22" t="s">
        <v>126</v>
      </c>
      <c r="B1384" s="24" t="s">
        <v>127</v>
      </c>
      <c r="C1384" s="23" t="s">
        <v>96</v>
      </c>
      <c r="O1384" s="45">
        <v>3.34</v>
      </c>
      <c r="P1384" s="23"/>
      <c r="Q1384" s="23"/>
      <c r="R1384" s="26">
        <v>1.97</v>
      </c>
      <c r="U1384" s="45">
        <v>3.34</v>
      </c>
      <c r="V1384" s="26">
        <v>1.97</v>
      </c>
      <c r="W1384" s="49">
        <f t="shared" si="156"/>
        <v>0.99705443600000032</v>
      </c>
      <c r="X1384" s="49"/>
      <c r="Y1384" s="49"/>
      <c r="Z1384" s="49"/>
    </row>
    <row r="1385" spans="1:26" s="45" customFormat="1" ht="12.75" hidden="1" customHeight="1">
      <c r="A1385" s="22" t="s">
        <v>126</v>
      </c>
      <c r="B1385" s="24" t="s">
        <v>127</v>
      </c>
      <c r="C1385" s="23" t="s">
        <v>96</v>
      </c>
      <c r="O1385" s="45">
        <v>3.32</v>
      </c>
      <c r="P1385" s="23"/>
      <c r="Q1385" s="23"/>
      <c r="R1385" s="26">
        <v>2.17</v>
      </c>
      <c r="U1385" s="45">
        <v>3.32</v>
      </c>
      <c r="V1385" s="26">
        <v>2.17</v>
      </c>
      <c r="W1385" s="49">
        <f t="shared" si="156"/>
        <v>0.81226492800000027</v>
      </c>
      <c r="X1385" s="49"/>
      <c r="Y1385" s="49"/>
      <c r="Z1385" s="49"/>
    </row>
    <row r="1386" spans="1:26" s="45" customFormat="1" ht="12.75" hidden="1" customHeight="1">
      <c r="A1386" s="22" t="s">
        <v>126</v>
      </c>
      <c r="B1386" s="24" t="s">
        <v>127</v>
      </c>
      <c r="C1386" s="23" t="s">
        <v>96</v>
      </c>
      <c r="O1386" s="45">
        <v>3.36</v>
      </c>
      <c r="P1386" s="23"/>
      <c r="Q1386" s="23"/>
      <c r="R1386" s="26">
        <v>2.15</v>
      </c>
      <c r="U1386" s="45">
        <v>3.36</v>
      </c>
      <c r="V1386" s="26">
        <v>2.15</v>
      </c>
      <c r="W1386" s="49">
        <f t="shared" si="156"/>
        <v>0.81936194400000018</v>
      </c>
      <c r="X1386" s="49"/>
      <c r="Y1386" s="49"/>
      <c r="Z1386" s="49"/>
    </row>
    <row r="1387" spans="1:26" s="45" customFormat="1" ht="12.75" hidden="1" customHeight="1">
      <c r="A1387" s="22" t="s">
        <v>126</v>
      </c>
      <c r="B1387" s="24" t="s">
        <v>127</v>
      </c>
      <c r="C1387" s="23" t="s">
        <v>96</v>
      </c>
      <c r="O1387" s="45">
        <v>3.38</v>
      </c>
      <c r="P1387" s="23"/>
      <c r="Q1387" s="23"/>
      <c r="R1387" s="26">
        <v>2.16</v>
      </c>
      <c r="U1387" s="45">
        <v>3.38</v>
      </c>
      <c r="V1387" s="26">
        <v>2.16</v>
      </c>
      <c r="W1387" s="49">
        <f t="shared" si="156"/>
        <v>0.80383245199999964</v>
      </c>
      <c r="X1387" s="49"/>
      <c r="Y1387" s="49"/>
      <c r="Z1387" s="49"/>
    </row>
    <row r="1388" spans="1:26" s="45" customFormat="1" ht="12.75" hidden="1" customHeight="1">
      <c r="A1388" s="22" t="s">
        <v>126</v>
      </c>
      <c r="B1388" s="24" t="s">
        <v>127</v>
      </c>
      <c r="C1388" s="23" t="s">
        <v>96</v>
      </c>
      <c r="O1388" s="45">
        <v>3.45</v>
      </c>
      <c r="P1388" s="23"/>
      <c r="Q1388" s="23"/>
      <c r="R1388" s="26">
        <v>2.2200000000000002</v>
      </c>
      <c r="U1388" s="45">
        <v>3.45</v>
      </c>
      <c r="V1388" s="26">
        <v>2.2200000000000002</v>
      </c>
      <c r="W1388" s="49">
        <f t="shared" si="156"/>
        <v>0.72563172999999948</v>
      </c>
      <c r="X1388" s="49"/>
      <c r="Y1388" s="49"/>
      <c r="Z1388" s="49"/>
    </row>
    <row r="1389" spans="1:26" s="45" customFormat="1" ht="12.75" hidden="1" customHeight="1">
      <c r="A1389" s="22" t="s">
        <v>126</v>
      </c>
      <c r="B1389" s="24" t="s">
        <v>127</v>
      </c>
      <c r="C1389" s="23" t="s">
        <v>96</v>
      </c>
      <c r="O1389" s="45">
        <v>3.59</v>
      </c>
      <c r="P1389" s="23"/>
      <c r="Q1389" s="23"/>
      <c r="R1389" s="26">
        <v>2.1800000000000002</v>
      </c>
      <c r="U1389" s="45">
        <v>3.59</v>
      </c>
      <c r="V1389" s="26">
        <v>2.1800000000000002</v>
      </c>
      <c r="W1389" s="49">
        <f t="shared" si="156"/>
        <v>0.72185428600000012</v>
      </c>
      <c r="X1389" s="49"/>
      <c r="Y1389" s="49"/>
      <c r="Z1389" s="49"/>
    </row>
    <row r="1390" spans="1:26" s="45" customFormat="1" ht="12.75" hidden="1" customHeight="1">
      <c r="A1390" s="22" t="s">
        <v>126</v>
      </c>
      <c r="B1390" s="24" t="s">
        <v>127</v>
      </c>
      <c r="C1390" s="23" t="s">
        <v>96</v>
      </c>
      <c r="O1390" s="45">
        <v>3.44</v>
      </c>
      <c r="P1390" s="23"/>
      <c r="Q1390" s="23"/>
      <c r="R1390" s="26">
        <v>2.39</v>
      </c>
      <c r="U1390" s="45">
        <v>3.44</v>
      </c>
      <c r="V1390" s="26">
        <v>2.39</v>
      </c>
      <c r="W1390" s="49">
        <f t="shared" si="156"/>
        <v>0.56646397599999965</v>
      </c>
      <c r="X1390" s="49"/>
      <c r="Y1390" s="49"/>
      <c r="Z1390" s="49"/>
    </row>
    <row r="1391" spans="1:26" s="45" customFormat="1" ht="12.75" hidden="1" customHeight="1">
      <c r="A1391" s="22" t="s">
        <v>126</v>
      </c>
      <c r="B1391" s="24" t="s">
        <v>127</v>
      </c>
      <c r="C1391" s="23" t="s">
        <v>96</v>
      </c>
      <c r="O1391" s="45">
        <v>3.51</v>
      </c>
      <c r="P1391" s="23"/>
      <c r="Q1391" s="23"/>
      <c r="R1391" s="26">
        <v>2.2999999999999998</v>
      </c>
      <c r="U1391" s="45">
        <v>3.51</v>
      </c>
      <c r="V1391" s="26">
        <v>2.2999999999999998</v>
      </c>
      <c r="W1391" s="49">
        <f t="shared" si="156"/>
        <v>0.63134825400000028</v>
      </c>
      <c r="X1391" s="49"/>
      <c r="Y1391" s="49"/>
      <c r="Z1391" s="49"/>
    </row>
    <row r="1392" spans="1:26" s="45" customFormat="1" ht="12.75" hidden="1" customHeight="1">
      <c r="A1392" s="22" t="s">
        <v>126</v>
      </c>
      <c r="B1392" s="24" t="s">
        <v>127</v>
      </c>
      <c r="C1392" s="23" t="s">
        <v>96</v>
      </c>
      <c r="O1392" s="45">
        <v>3.64</v>
      </c>
      <c r="P1392" s="23"/>
      <c r="Q1392" s="23"/>
      <c r="R1392" s="26">
        <v>2.2999999999999998</v>
      </c>
      <c r="U1392" s="45">
        <v>3.64</v>
      </c>
      <c r="V1392" s="26">
        <v>2.2999999999999998</v>
      </c>
      <c r="W1392" s="49">
        <f t="shared" si="156"/>
        <v>0.59241005600000018</v>
      </c>
      <c r="X1392" s="49"/>
      <c r="Y1392" s="49"/>
      <c r="Z1392" s="49"/>
    </row>
    <row r="1393" spans="1:26" s="45" customFormat="1" ht="12.75" hidden="1" customHeight="1">
      <c r="A1393" s="22" t="s">
        <v>126</v>
      </c>
      <c r="B1393" s="24" t="s">
        <v>127</v>
      </c>
      <c r="C1393" s="23" t="s">
        <v>96</v>
      </c>
      <c r="O1393" s="45">
        <v>3.64</v>
      </c>
      <c r="P1393" s="23"/>
      <c r="Q1393" s="23"/>
      <c r="R1393" s="26">
        <v>2.31</v>
      </c>
      <c r="U1393" s="45">
        <v>3.64</v>
      </c>
      <c r="V1393" s="26">
        <v>2.31</v>
      </c>
      <c r="W1393" s="49">
        <f t="shared" si="156"/>
        <v>0.582871056</v>
      </c>
      <c r="X1393" s="49"/>
      <c r="Y1393" s="49"/>
      <c r="Z1393" s="49"/>
    </row>
    <row r="1394" spans="1:26" s="45" customFormat="1" ht="12.75" hidden="1" customHeight="1">
      <c r="A1394" s="22" t="s">
        <v>126</v>
      </c>
      <c r="B1394" s="24" t="s">
        <v>127</v>
      </c>
      <c r="C1394" s="23" t="s">
        <v>96</v>
      </c>
      <c r="O1394" s="45">
        <v>3.77</v>
      </c>
      <c r="P1394" s="23"/>
      <c r="Q1394" s="23"/>
      <c r="R1394" s="26">
        <v>2.31</v>
      </c>
      <c r="U1394" s="45">
        <v>3.77</v>
      </c>
      <c r="V1394" s="26">
        <v>2.31</v>
      </c>
      <c r="W1394" s="49">
        <f t="shared" si="156"/>
        <v>0.54393285799999991</v>
      </c>
      <c r="X1394" s="49"/>
      <c r="Y1394" s="49"/>
      <c r="Z1394" s="49"/>
    </row>
    <row r="1395" spans="1:26" s="45" customFormat="1" ht="12.75" hidden="1" customHeight="1">
      <c r="A1395" s="22" t="s">
        <v>126</v>
      </c>
      <c r="B1395" s="24" t="s">
        <v>127</v>
      </c>
      <c r="C1395" s="23" t="s">
        <v>95</v>
      </c>
      <c r="O1395" s="45">
        <v>2.65</v>
      </c>
      <c r="P1395" s="23"/>
      <c r="Q1395" s="23"/>
      <c r="R1395" s="26">
        <v>1.81</v>
      </c>
      <c r="U1395" s="45">
        <v>2.65</v>
      </c>
      <c r="V1395" s="26">
        <v>1.81</v>
      </c>
      <c r="W1395" s="49">
        <f t="shared" si="156"/>
        <v>1.3563504099999999</v>
      </c>
      <c r="X1395" s="49"/>
      <c r="Y1395" s="49"/>
      <c r="Z1395" s="49"/>
    </row>
    <row r="1396" spans="1:26" s="45" customFormat="1" ht="12.75" hidden="1" customHeight="1">
      <c r="A1396" s="22" t="s">
        <v>126</v>
      </c>
      <c r="B1396" s="24" t="s">
        <v>127</v>
      </c>
      <c r="C1396" s="23" t="s">
        <v>95</v>
      </c>
      <c r="O1396" s="45">
        <v>2.79</v>
      </c>
      <c r="P1396" s="23"/>
      <c r="Q1396" s="23"/>
      <c r="R1396" s="26">
        <v>1.78</v>
      </c>
      <c r="U1396" s="45">
        <v>2.79</v>
      </c>
      <c r="V1396" s="26">
        <v>1.78</v>
      </c>
      <c r="W1396" s="49">
        <f t="shared" si="156"/>
        <v>1.3430339660000001</v>
      </c>
      <c r="X1396" s="49"/>
      <c r="Y1396" s="49"/>
      <c r="Z1396" s="49"/>
    </row>
    <row r="1397" spans="1:26" s="45" customFormat="1" ht="12.75" hidden="1" customHeight="1">
      <c r="A1397" s="22" t="s">
        <v>126</v>
      </c>
      <c r="B1397" s="24" t="s">
        <v>127</v>
      </c>
      <c r="C1397" s="23" t="s">
        <v>95</v>
      </c>
      <c r="O1397" s="45">
        <v>2.79</v>
      </c>
      <c r="P1397" s="23"/>
      <c r="Q1397" s="23"/>
      <c r="R1397" s="26">
        <v>1.91</v>
      </c>
      <c r="U1397" s="45">
        <v>2.79</v>
      </c>
      <c r="V1397" s="26">
        <v>1.91</v>
      </c>
      <c r="W1397" s="49">
        <f t="shared" si="156"/>
        <v>1.2190269660000002</v>
      </c>
      <c r="X1397" s="49"/>
      <c r="Y1397" s="49"/>
      <c r="Z1397" s="49"/>
    </row>
    <row r="1398" spans="1:26" s="45" customFormat="1" ht="12.75" hidden="1" customHeight="1">
      <c r="A1398" s="22" t="s">
        <v>126</v>
      </c>
      <c r="B1398" s="24" t="s">
        <v>127</v>
      </c>
      <c r="C1398" s="23" t="s">
        <v>95</v>
      </c>
      <c r="O1398" s="45">
        <v>3.0300000000000002</v>
      </c>
      <c r="P1398" s="23"/>
      <c r="Q1398" s="23"/>
      <c r="R1398" s="26">
        <v>1.9</v>
      </c>
      <c r="U1398" s="45">
        <v>3.0300000000000002</v>
      </c>
      <c r="V1398" s="26">
        <v>1.9</v>
      </c>
      <c r="W1398" s="49">
        <f t="shared" si="156"/>
        <v>1.156680062</v>
      </c>
      <c r="X1398" s="49"/>
      <c r="Y1398" s="49"/>
      <c r="Z1398" s="49"/>
    </row>
    <row r="1399" spans="1:26" s="45" customFormat="1" ht="12.75" hidden="1" customHeight="1">
      <c r="A1399" s="22" t="s">
        <v>126</v>
      </c>
      <c r="B1399" s="24" t="s">
        <v>127</v>
      </c>
      <c r="C1399" s="23" t="s">
        <v>95</v>
      </c>
      <c r="O1399" s="45">
        <v>3.48</v>
      </c>
      <c r="P1399" s="23"/>
      <c r="Q1399" s="23"/>
      <c r="R1399" s="26">
        <v>1.95</v>
      </c>
      <c r="U1399" s="45">
        <v>3.48</v>
      </c>
      <c r="V1399" s="26">
        <v>1.95</v>
      </c>
      <c r="W1399" s="49">
        <f t="shared" si="156"/>
        <v>0.97419899200000015</v>
      </c>
      <c r="X1399" s="49"/>
      <c r="Y1399" s="49"/>
      <c r="Z1399" s="49"/>
    </row>
    <row r="1400" spans="1:26" s="45" customFormat="1" ht="12.75" hidden="1" customHeight="1">
      <c r="A1400" s="22" t="s">
        <v>126</v>
      </c>
      <c r="B1400" s="24" t="s">
        <v>127</v>
      </c>
      <c r="C1400" s="23" t="s">
        <v>95</v>
      </c>
      <c r="O1400" s="45">
        <v>3.52</v>
      </c>
      <c r="P1400" s="23"/>
      <c r="Q1400" s="23"/>
      <c r="R1400" s="26">
        <v>2.1</v>
      </c>
      <c r="U1400" s="45">
        <v>3.52</v>
      </c>
      <c r="V1400" s="26">
        <v>2.1</v>
      </c>
      <c r="W1400" s="49">
        <f t="shared" si="156"/>
        <v>0.81913300799999988</v>
      </c>
      <c r="X1400" s="49"/>
      <c r="Y1400" s="49"/>
      <c r="Z1400" s="49"/>
    </row>
    <row r="1401" spans="1:26" s="45" customFormat="1" ht="12.75" hidden="1" customHeight="1">
      <c r="A1401" s="22" t="s">
        <v>126</v>
      </c>
      <c r="B1401" s="24" t="s">
        <v>127</v>
      </c>
      <c r="C1401" s="23" t="s">
        <v>95</v>
      </c>
      <c r="O1401" s="45">
        <v>3.56</v>
      </c>
      <c r="P1401" s="23"/>
      <c r="Q1401" s="23"/>
      <c r="R1401" s="26">
        <v>1.92</v>
      </c>
      <c r="U1401" s="45">
        <v>3.56</v>
      </c>
      <c r="V1401" s="26">
        <v>1.92</v>
      </c>
      <c r="W1401" s="49">
        <f t="shared" si="156"/>
        <v>0.97885402399999988</v>
      </c>
      <c r="X1401" s="49"/>
      <c r="Y1401" s="49"/>
      <c r="Z1401" s="49"/>
    </row>
    <row r="1402" spans="1:26" s="45" customFormat="1" ht="12.75" hidden="1" customHeight="1">
      <c r="A1402" s="22" t="s">
        <v>126</v>
      </c>
      <c r="B1402" s="24" t="s">
        <v>127</v>
      </c>
      <c r="C1402" s="23" t="s">
        <v>95</v>
      </c>
      <c r="O1402" s="45">
        <v>3.59</v>
      </c>
      <c r="P1402" s="23"/>
      <c r="Q1402" s="23"/>
      <c r="R1402" s="26">
        <v>1.925</v>
      </c>
      <c r="U1402" s="45">
        <v>3.59</v>
      </c>
      <c r="V1402" s="26">
        <v>1.925</v>
      </c>
      <c r="W1402" s="49">
        <f t="shared" si="156"/>
        <v>0.96509878600000021</v>
      </c>
      <c r="X1402" s="49"/>
      <c r="Y1402" s="49"/>
      <c r="Z1402" s="49"/>
    </row>
    <row r="1403" spans="1:26" s="45" customFormat="1" ht="12.75" hidden="1" customHeight="1">
      <c r="A1403" s="22" t="s">
        <v>126</v>
      </c>
      <c r="B1403" s="24" t="s">
        <v>127</v>
      </c>
      <c r="C1403" s="23" t="s">
        <v>95</v>
      </c>
      <c r="O1403" s="45">
        <v>3.6</v>
      </c>
      <c r="P1403" s="23"/>
      <c r="Q1403" s="23"/>
      <c r="R1403" s="26">
        <v>1.92</v>
      </c>
      <c r="U1403" s="45">
        <v>3.6</v>
      </c>
      <c r="V1403" s="26">
        <v>1.92</v>
      </c>
      <c r="W1403" s="49">
        <f t="shared" si="156"/>
        <v>0.96687304000000018</v>
      </c>
      <c r="X1403" s="49"/>
      <c r="Y1403" s="49"/>
      <c r="Z1403" s="49"/>
    </row>
    <row r="1404" spans="1:26" s="45" customFormat="1" ht="12.75" hidden="1" customHeight="1">
      <c r="A1404" s="22" t="s">
        <v>126</v>
      </c>
      <c r="B1404" s="24" t="s">
        <v>127</v>
      </c>
      <c r="C1404" s="23" t="s">
        <v>95</v>
      </c>
      <c r="O1404" s="45">
        <v>3.6900000000000004</v>
      </c>
      <c r="P1404" s="23"/>
      <c r="Q1404" s="23"/>
      <c r="R1404" s="26">
        <v>1.96</v>
      </c>
      <c r="U1404" s="45">
        <v>3.6900000000000004</v>
      </c>
      <c r="V1404" s="26">
        <v>1.96</v>
      </c>
      <c r="W1404" s="49">
        <f t="shared" si="156"/>
        <v>0.90175982599999982</v>
      </c>
      <c r="X1404" s="49"/>
      <c r="Y1404" s="49"/>
      <c r="Z1404" s="49"/>
    </row>
    <row r="1405" spans="1:26" s="45" customFormat="1" ht="12.75" hidden="1" customHeight="1">
      <c r="A1405" s="22" t="s">
        <v>126</v>
      </c>
      <c r="B1405" s="24" t="s">
        <v>127</v>
      </c>
      <c r="C1405" s="23" t="s">
        <v>95</v>
      </c>
      <c r="O1405" s="45">
        <v>3.6749999999999998</v>
      </c>
      <c r="P1405" s="23"/>
      <c r="Q1405" s="23"/>
      <c r="R1405" s="26">
        <v>2.02</v>
      </c>
      <c r="U1405" s="45">
        <v>3.6749999999999998</v>
      </c>
      <c r="V1405" s="26">
        <v>2.02</v>
      </c>
      <c r="W1405" s="49">
        <f t="shared" si="156"/>
        <v>0.84901869499999993</v>
      </c>
      <c r="X1405" s="49"/>
      <c r="Y1405" s="49"/>
      <c r="Z1405" s="49"/>
    </row>
    <row r="1406" spans="1:26" s="45" customFormat="1" ht="12.75" hidden="1" customHeight="1">
      <c r="A1406" s="22" t="s">
        <v>126</v>
      </c>
      <c r="B1406" s="24" t="s">
        <v>127</v>
      </c>
      <c r="C1406" s="23" t="s">
        <v>95</v>
      </c>
      <c r="O1406" s="45">
        <v>3.7199999999999998</v>
      </c>
      <c r="P1406" s="23"/>
      <c r="Q1406" s="23"/>
      <c r="R1406" s="26">
        <v>2.0300000000000002</v>
      </c>
      <c r="U1406" s="45">
        <v>3.7199999999999998</v>
      </c>
      <c r="V1406" s="26">
        <v>2.0300000000000002</v>
      </c>
      <c r="W1406" s="49">
        <f t="shared" si="156"/>
        <v>0.82600108800000005</v>
      </c>
      <c r="X1406" s="49"/>
      <c r="Y1406" s="49"/>
      <c r="Z1406" s="49"/>
    </row>
    <row r="1407" spans="1:26" s="45" customFormat="1" ht="12.75" hidden="1" customHeight="1">
      <c r="A1407" s="22" t="s">
        <v>126</v>
      </c>
      <c r="B1407" s="24" t="s">
        <v>127</v>
      </c>
      <c r="C1407" s="23" t="s">
        <v>98</v>
      </c>
      <c r="O1407" s="45">
        <v>3.23</v>
      </c>
      <c r="P1407" s="23"/>
      <c r="Q1407" s="23"/>
      <c r="R1407" s="26">
        <v>2.2650000000000001</v>
      </c>
      <c r="U1407" s="45">
        <v>3.23</v>
      </c>
      <c r="V1407" s="26">
        <v>2.2650000000000001</v>
      </c>
      <c r="W1407" s="49">
        <f t="shared" si="156"/>
        <v>0.74860164200000001</v>
      </c>
      <c r="X1407" s="49"/>
      <c r="Y1407" s="49"/>
      <c r="Z1407" s="49"/>
    </row>
    <row r="1408" spans="1:26" s="45" customFormat="1" ht="12.75" hidden="1" customHeight="1">
      <c r="A1408" s="22" t="s">
        <v>126</v>
      </c>
      <c r="B1408" s="24" t="s">
        <v>127</v>
      </c>
      <c r="C1408" s="23" t="s">
        <v>98</v>
      </c>
      <c r="O1408" s="45">
        <v>3.25</v>
      </c>
      <c r="P1408" s="23"/>
      <c r="Q1408" s="23"/>
      <c r="R1408" s="26">
        <v>2.2599999999999998</v>
      </c>
      <c r="U1408" s="45">
        <v>3.25</v>
      </c>
      <c r="V1408" s="26">
        <v>2.2599999999999998</v>
      </c>
      <c r="W1408" s="49">
        <f t="shared" si="156"/>
        <v>0.74738065000000009</v>
      </c>
      <c r="X1408" s="49"/>
      <c r="Y1408" s="49"/>
      <c r="Z1408" s="49"/>
    </row>
    <row r="1409" spans="1:26" s="45" customFormat="1" ht="12.75" hidden="1" customHeight="1">
      <c r="A1409" s="22" t="s">
        <v>126</v>
      </c>
      <c r="B1409" s="24" t="s">
        <v>127</v>
      </c>
      <c r="C1409" s="23" t="s">
        <v>98</v>
      </c>
      <c r="O1409" s="45">
        <v>3.51</v>
      </c>
      <c r="P1409" s="23"/>
      <c r="Q1409" s="23"/>
      <c r="R1409" s="26">
        <v>2.16</v>
      </c>
      <c r="U1409" s="45">
        <v>3.51</v>
      </c>
      <c r="V1409" s="26">
        <v>2.16</v>
      </c>
      <c r="W1409" s="49">
        <f t="shared" si="156"/>
        <v>0.764894254</v>
      </c>
      <c r="X1409" s="49"/>
      <c r="Y1409" s="49"/>
      <c r="Z1409" s="49"/>
    </row>
    <row r="1410" spans="1:26" s="45" customFormat="1" ht="12.75" hidden="1" customHeight="1">
      <c r="A1410" s="22" t="s">
        <v>126</v>
      </c>
      <c r="B1410" s="24" t="s">
        <v>127</v>
      </c>
      <c r="C1410" s="23" t="s">
        <v>98</v>
      </c>
      <c r="O1410" s="45">
        <v>3.55</v>
      </c>
      <c r="P1410" s="23"/>
      <c r="Q1410" s="23"/>
      <c r="R1410" s="26">
        <v>2.2000000000000002</v>
      </c>
      <c r="U1410" s="45">
        <v>3.55</v>
      </c>
      <c r="V1410" s="26">
        <v>2.2000000000000002</v>
      </c>
      <c r="W1410" s="49">
        <f t="shared" si="156"/>
        <v>0.71475726999999989</v>
      </c>
      <c r="X1410" s="49"/>
      <c r="Y1410" s="49"/>
      <c r="Z1410" s="49"/>
    </row>
    <row r="1411" spans="1:26" s="45" customFormat="1" ht="12.75" hidden="1" customHeight="1">
      <c r="A1411" s="22" t="s">
        <v>126</v>
      </c>
      <c r="B1411" s="24" t="s">
        <v>127</v>
      </c>
      <c r="C1411" s="23" t="s">
        <v>98</v>
      </c>
      <c r="O1411" s="45">
        <v>3.51</v>
      </c>
      <c r="P1411" s="23"/>
      <c r="Q1411" s="23"/>
      <c r="R1411" s="26">
        <v>2.2999999999999998</v>
      </c>
      <c r="U1411" s="45">
        <v>3.51</v>
      </c>
      <c r="V1411" s="26">
        <v>2.2999999999999998</v>
      </c>
      <c r="W1411" s="49">
        <f t="shared" si="156"/>
        <v>0.63134825400000028</v>
      </c>
      <c r="X1411" s="49"/>
      <c r="Y1411" s="49"/>
      <c r="Z1411" s="49"/>
    </row>
    <row r="1412" spans="1:26" s="45" customFormat="1" ht="12.75" hidden="1" customHeight="1">
      <c r="A1412" s="22" t="s">
        <v>126</v>
      </c>
      <c r="B1412" s="24" t="s">
        <v>127</v>
      </c>
      <c r="C1412" s="23" t="s">
        <v>98</v>
      </c>
      <c r="O1412" s="45">
        <v>3.46</v>
      </c>
      <c r="P1412" s="23"/>
      <c r="Q1412" s="23"/>
      <c r="R1412" s="26">
        <v>2.36</v>
      </c>
      <c r="U1412" s="45">
        <v>3.46</v>
      </c>
      <c r="V1412" s="26">
        <v>2.36</v>
      </c>
      <c r="W1412" s="49">
        <f t="shared" si="156"/>
        <v>0.58909048400000008</v>
      </c>
      <c r="X1412" s="49"/>
      <c r="Y1412" s="49"/>
      <c r="Z1412" s="49"/>
    </row>
    <row r="1413" spans="1:26" s="45" customFormat="1" ht="12.75" hidden="1" customHeight="1">
      <c r="A1413" s="22" t="s">
        <v>126</v>
      </c>
      <c r="B1413" s="24" t="s">
        <v>127</v>
      </c>
      <c r="C1413" s="23" t="s">
        <v>98</v>
      </c>
      <c r="O1413" s="45">
        <v>3.48</v>
      </c>
      <c r="P1413" s="23"/>
      <c r="Q1413" s="23"/>
      <c r="R1413" s="26">
        <v>2.44</v>
      </c>
      <c r="U1413" s="45">
        <v>3.48</v>
      </c>
      <c r="V1413" s="26">
        <v>2.44</v>
      </c>
      <c r="W1413" s="49">
        <f t="shared" si="156"/>
        <v>0.50678799200000013</v>
      </c>
      <c r="X1413" s="49"/>
      <c r="Y1413" s="49"/>
      <c r="Z1413" s="49"/>
    </row>
    <row r="1414" spans="1:26" s="45" customFormat="1" ht="12.75" hidden="1" customHeight="1">
      <c r="A1414" s="22" t="s">
        <v>126</v>
      </c>
      <c r="B1414" s="24" t="s">
        <v>127</v>
      </c>
      <c r="C1414" s="23" t="s">
        <v>98</v>
      </c>
      <c r="O1414" s="45">
        <v>3.51</v>
      </c>
      <c r="P1414" s="23"/>
      <c r="Q1414" s="23"/>
      <c r="R1414" s="26">
        <v>2.46</v>
      </c>
      <c r="U1414" s="45">
        <v>3.51</v>
      </c>
      <c r="V1414" s="26">
        <v>2.46</v>
      </c>
      <c r="W1414" s="49">
        <f t="shared" si="156"/>
        <v>0.47872425400000018</v>
      </c>
      <c r="X1414" s="49"/>
      <c r="Y1414" s="49"/>
      <c r="Z1414" s="49"/>
    </row>
    <row r="1415" spans="1:26" s="45" customFormat="1" ht="12.75" hidden="1" customHeight="1">
      <c r="A1415" s="22" t="s">
        <v>126</v>
      </c>
      <c r="B1415" s="24" t="s">
        <v>127</v>
      </c>
      <c r="C1415" s="23" t="s">
        <v>98</v>
      </c>
      <c r="O1415" s="45">
        <v>3.7300000000000004</v>
      </c>
      <c r="P1415" s="23"/>
      <c r="Q1415" s="23"/>
      <c r="R1415" s="26">
        <v>2.27</v>
      </c>
      <c r="U1415" s="45">
        <v>3.7300000000000004</v>
      </c>
      <c r="V1415" s="26">
        <v>2.27</v>
      </c>
      <c r="W1415" s="49">
        <f t="shared" si="156"/>
        <v>0.59406984200000013</v>
      </c>
      <c r="X1415" s="49"/>
      <c r="Y1415" s="49"/>
      <c r="Z1415" s="49"/>
    </row>
    <row r="1416" spans="1:26" s="45" customFormat="1" ht="12.75" hidden="1" customHeight="1">
      <c r="A1416" s="22" t="s">
        <v>126</v>
      </c>
      <c r="B1416" s="24" t="s">
        <v>127</v>
      </c>
      <c r="C1416" s="23" t="s">
        <v>98</v>
      </c>
      <c r="O1416" s="45">
        <v>3.75</v>
      </c>
      <c r="P1416" s="23"/>
      <c r="Q1416" s="23"/>
      <c r="R1416" s="26">
        <v>2.37</v>
      </c>
      <c r="U1416" s="45">
        <v>3.75</v>
      </c>
      <c r="V1416" s="26">
        <v>2.37</v>
      </c>
      <c r="W1416" s="49">
        <f t="shared" si="156"/>
        <v>0.49268934999999975</v>
      </c>
      <c r="X1416" s="49"/>
      <c r="Y1416" s="49"/>
      <c r="Z1416" s="49"/>
    </row>
    <row r="1417" spans="1:26" s="45" customFormat="1" ht="12.75" hidden="1" customHeight="1">
      <c r="A1417" s="22" t="s">
        <v>126</v>
      </c>
      <c r="B1417" s="24" t="s">
        <v>127</v>
      </c>
      <c r="C1417" s="23" t="s">
        <v>98</v>
      </c>
      <c r="O1417" s="45">
        <v>3.66</v>
      </c>
      <c r="P1417" s="23"/>
      <c r="Q1417" s="23"/>
      <c r="R1417" s="26">
        <v>2.4</v>
      </c>
      <c r="U1417" s="45">
        <v>3.66</v>
      </c>
      <c r="V1417" s="26">
        <v>2.4</v>
      </c>
      <c r="W1417" s="49">
        <f t="shared" si="156"/>
        <v>0.49102956400000031</v>
      </c>
      <c r="X1417" s="49"/>
      <c r="Y1417" s="49"/>
      <c r="Z1417" s="49"/>
    </row>
    <row r="1418" spans="1:26" s="45" customFormat="1" ht="12.75" hidden="1" customHeight="1">
      <c r="A1418" s="22" t="s">
        <v>126</v>
      </c>
      <c r="B1418" s="24" t="s">
        <v>127</v>
      </c>
      <c r="C1418" s="23" t="s">
        <v>98</v>
      </c>
      <c r="O1418" s="45">
        <v>3.75</v>
      </c>
      <c r="P1418" s="23"/>
      <c r="Q1418" s="23"/>
      <c r="R1418" s="26">
        <v>2.58</v>
      </c>
      <c r="U1418" s="45">
        <v>3.75</v>
      </c>
      <c r="V1418" s="26">
        <v>2.58</v>
      </c>
      <c r="W1418" s="49">
        <f t="shared" si="156"/>
        <v>0.29237034999999978</v>
      </c>
      <c r="X1418" s="49"/>
      <c r="Y1418" s="49"/>
      <c r="Z1418" s="49"/>
    </row>
    <row r="1419" spans="1:26" s="45" customFormat="1" ht="12.75" hidden="1" customHeight="1">
      <c r="A1419" s="22" t="s">
        <v>126</v>
      </c>
      <c r="B1419" s="24" t="s">
        <v>127</v>
      </c>
      <c r="C1419" s="23" t="s">
        <v>99</v>
      </c>
      <c r="O1419" s="45">
        <v>3.12</v>
      </c>
      <c r="P1419" s="23"/>
      <c r="Q1419" s="23"/>
      <c r="R1419" s="26">
        <v>2.0499999999999998</v>
      </c>
      <c r="U1419" s="45">
        <v>3.12</v>
      </c>
      <c r="V1419" s="26">
        <v>2.0499999999999998</v>
      </c>
      <c r="W1419" s="49">
        <f t="shared" si="156"/>
        <v>0.9866378480000001</v>
      </c>
      <c r="X1419" s="49"/>
      <c r="Y1419" s="49"/>
      <c r="Z1419" s="49"/>
    </row>
    <row r="1420" spans="1:26" s="45" customFormat="1" ht="12.75" hidden="1" customHeight="1">
      <c r="A1420" s="22" t="s">
        <v>126</v>
      </c>
      <c r="B1420" s="24" t="s">
        <v>127</v>
      </c>
      <c r="C1420" s="23" t="s">
        <v>99</v>
      </c>
      <c r="O1420" s="45">
        <v>3.31</v>
      </c>
      <c r="P1420" s="23"/>
      <c r="Q1420" s="23"/>
      <c r="R1420" s="26">
        <v>2.11</v>
      </c>
      <c r="U1420" s="45">
        <v>3.31</v>
      </c>
      <c r="V1420" s="26">
        <v>2.11</v>
      </c>
      <c r="W1420" s="49">
        <f t="shared" si="156"/>
        <v>0.87249417399999996</v>
      </c>
      <c r="X1420" s="49"/>
      <c r="Y1420" s="49"/>
      <c r="Z1420" s="49"/>
    </row>
    <row r="1421" spans="1:26" s="45" customFormat="1" ht="12.75" hidden="1" customHeight="1">
      <c r="A1421" s="22" t="s">
        <v>126</v>
      </c>
      <c r="B1421" s="24" t="s">
        <v>127</v>
      </c>
      <c r="C1421" s="23" t="s">
        <v>99</v>
      </c>
      <c r="O1421" s="45">
        <v>3.34</v>
      </c>
      <c r="P1421" s="23"/>
      <c r="Q1421" s="23"/>
      <c r="R1421" s="26">
        <v>1.98</v>
      </c>
      <c r="U1421" s="45">
        <v>3.34</v>
      </c>
      <c r="V1421" s="26">
        <v>1.98</v>
      </c>
      <c r="W1421" s="49">
        <f t="shared" si="156"/>
        <v>0.98751543600000036</v>
      </c>
      <c r="X1421" s="49"/>
      <c r="Y1421" s="49"/>
      <c r="Z1421" s="49"/>
    </row>
    <row r="1422" spans="1:26" s="45" customFormat="1" ht="12.75" hidden="1" customHeight="1">
      <c r="A1422" s="22" t="s">
        <v>126</v>
      </c>
      <c r="B1422" s="24" t="s">
        <v>127</v>
      </c>
      <c r="C1422" s="23" t="s">
        <v>99</v>
      </c>
      <c r="O1422" s="45">
        <v>3.38</v>
      </c>
      <c r="P1422" s="23"/>
      <c r="Q1422" s="23"/>
      <c r="R1422" s="26">
        <v>1.88</v>
      </c>
      <c r="U1422" s="45">
        <v>3.38</v>
      </c>
      <c r="V1422" s="26">
        <v>1.88</v>
      </c>
      <c r="W1422" s="49">
        <f t="shared" si="156"/>
        <v>1.0709244519999999</v>
      </c>
      <c r="X1422" s="49"/>
      <c r="Y1422" s="49"/>
      <c r="Z1422" s="49"/>
    </row>
    <row r="1423" spans="1:26" s="45" customFormat="1" ht="12.75" hidden="1" customHeight="1">
      <c r="A1423" s="22" t="s">
        <v>126</v>
      </c>
      <c r="B1423" s="24" t="s">
        <v>127</v>
      </c>
      <c r="C1423" s="23" t="s">
        <v>99</v>
      </c>
      <c r="O1423" s="45">
        <v>3.4249999999999998</v>
      </c>
      <c r="P1423" s="23"/>
      <c r="Q1423" s="23"/>
      <c r="R1423" s="26">
        <v>2.2000000000000002</v>
      </c>
      <c r="U1423" s="45">
        <v>3.4249999999999998</v>
      </c>
      <c r="V1423" s="26">
        <v>2.2000000000000002</v>
      </c>
      <c r="W1423" s="49">
        <f t="shared" si="156"/>
        <v>0.75219784499999987</v>
      </c>
      <c r="X1423" s="49"/>
      <c r="Y1423" s="49"/>
      <c r="Z1423" s="49"/>
    </row>
    <row r="1424" spans="1:26" s="45" customFormat="1" ht="12.75" hidden="1" customHeight="1">
      <c r="A1424" s="22" t="s">
        <v>126</v>
      </c>
      <c r="B1424" s="24" t="s">
        <v>127</v>
      </c>
      <c r="C1424" s="23" t="s">
        <v>99</v>
      </c>
      <c r="O1424" s="45">
        <v>3.4249999999999998</v>
      </c>
      <c r="P1424" s="23"/>
      <c r="Q1424" s="23"/>
      <c r="R1424" s="26">
        <v>2.2400000000000002</v>
      </c>
      <c r="U1424" s="45">
        <v>3.4249999999999998</v>
      </c>
      <c r="V1424" s="26">
        <v>2.2400000000000002</v>
      </c>
      <c r="W1424" s="49">
        <f t="shared" si="156"/>
        <v>0.71404184499999979</v>
      </c>
      <c r="X1424" s="49"/>
      <c r="Y1424" s="49"/>
      <c r="Z1424" s="49"/>
    </row>
    <row r="1425" spans="1:26" s="45" customFormat="1" ht="12.75" hidden="1" customHeight="1">
      <c r="A1425" s="22" t="s">
        <v>126</v>
      </c>
      <c r="B1425" s="24" t="s">
        <v>127</v>
      </c>
      <c r="C1425" s="23" t="s">
        <v>99</v>
      </c>
      <c r="O1425" s="45">
        <v>3.4699999999999998</v>
      </c>
      <c r="P1425" s="23"/>
      <c r="Q1425" s="23"/>
      <c r="R1425" s="26">
        <v>2.27</v>
      </c>
      <c r="U1425" s="45">
        <v>3.4699999999999998</v>
      </c>
      <c r="V1425" s="26">
        <v>2.27</v>
      </c>
      <c r="W1425" s="49">
        <f t="shared" si="156"/>
        <v>0.6719462380000002</v>
      </c>
      <c r="X1425" s="49"/>
      <c r="Y1425" s="49"/>
      <c r="Z1425" s="49"/>
    </row>
    <row r="1426" spans="1:26" s="45" customFormat="1" ht="12.75" hidden="1" customHeight="1">
      <c r="A1426" s="22" t="s">
        <v>126</v>
      </c>
      <c r="B1426" s="24" t="s">
        <v>127</v>
      </c>
      <c r="C1426" s="23" t="s">
        <v>99</v>
      </c>
      <c r="O1426" s="45">
        <v>3.6</v>
      </c>
      <c r="P1426" s="23"/>
      <c r="Q1426" s="23"/>
      <c r="R1426" s="26">
        <v>1.91</v>
      </c>
      <c r="U1426" s="45">
        <v>3.6</v>
      </c>
      <c r="V1426" s="26">
        <v>1.91</v>
      </c>
      <c r="W1426" s="49">
        <f t="shared" si="156"/>
        <v>0.97641204000000026</v>
      </c>
      <c r="X1426" s="49"/>
      <c r="Y1426" s="49"/>
      <c r="Z1426" s="49"/>
    </row>
    <row r="1427" spans="1:26" s="45" customFormat="1" ht="12.75" hidden="1" customHeight="1">
      <c r="A1427" s="22" t="s">
        <v>126</v>
      </c>
      <c r="B1427" s="24" t="s">
        <v>127</v>
      </c>
      <c r="C1427" s="23" t="s">
        <v>99</v>
      </c>
      <c r="O1427" s="45">
        <v>3.66</v>
      </c>
      <c r="P1427" s="23"/>
      <c r="Q1427" s="23"/>
      <c r="R1427" s="26">
        <v>1.98</v>
      </c>
      <c r="U1427" s="45">
        <v>3.66</v>
      </c>
      <c r="V1427" s="26">
        <v>1.98</v>
      </c>
      <c r="W1427" s="49">
        <f t="shared" si="156"/>
        <v>0.89166756400000025</v>
      </c>
      <c r="X1427" s="49"/>
      <c r="Y1427" s="49"/>
      <c r="Z1427" s="49"/>
    </row>
    <row r="1428" spans="1:26" s="45" customFormat="1" ht="12.75" hidden="1" customHeight="1">
      <c r="A1428" s="22" t="s">
        <v>126</v>
      </c>
      <c r="B1428" s="24" t="s">
        <v>127</v>
      </c>
      <c r="C1428" s="23" t="s">
        <v>99</v>
      </c>
      <c r="O1428" s="45">
        <v>3.58</v>
      </c>
      <c r="P1428" s="23"/>
      <c r="Q1428" s="23"/>
      <c r="R1428" s="26">
        <v>2.23</v>
      </c>
      <c r="U1428" s="45">
        <v>3.58</v>
      </c>
      <c r="V1428" s="26">
        <v>2.23</v>
      </c>
      <c r="W1428" s="49">
        <f t="shared" si="156"/>
        <v>0.67715453200000009</v>
      </c>
      <c r="X1428" s="49"/>
      <c r="Y1428" s="49"/>
      <c r="Z1428" s="49"/>
    </row>
    <row r="1429" spans="1:26" s="45" customFormat="1" ht="12.75" hidden="1" customHeight="1">
      <c r="A1429" s="22" t="s">
        <v>126</v>
      </c>
      <c r="B1429" s="24" t="s">
        <v>127</v>
      </c>
      <c r="C1429" s="23" t="s">
        <v>99</v>
      </c>
      <c r="O1429" s="45">
        <v>3.6500000000000004</v>
      </c>
      <c r="P1429" s="23"/>
      <c r="Q1429" s="23"/>
      <c r="R1429" s="26">
        <v>2.19</v>
      </c>
      <c r="U1429" s="45">
        <v>3.6500000000000004</v>
      </c>
      <c r="V1429" s="26">
        <v>2.19</v>
      </c>
      <c r="W1429" s="49">
        <f t="shared" si="156"/>
        <v>0.69434381000000001</v>
      </c>
      <c r="X1429" s="49"/>
      <c r="Y1429" s="49"/>
      <c r="Z1429" s="49"/>
    </row>
    <row r="1430" spans="1:26" s="45" customFormat="1" ht="12.75" hidden="1" customHeight="1">
      <c r="A1430" s="22" t="s">
        <v>126</v>
      </c>
      <c r="B1430" s="24" t="s">
        <v>127</v>
      </c>
      <c r="C1430" s="23" t="s">
        <v>99</v>
      </c>
      <c r="O1430" s="45">
        <v>3.55</v>
      </c>
      <c r="P1430" s="23"/>
      <c r="Q1430" s="23"/>
      <c r="R1430" s="26">
        <v>2.46</v>
      </c>
      <c r="U1430" s="45">
        <v>3.55</v>
      </c>
      <c r="V1430" s="26">
        <v>2.46</v>
      </c>
      <c r="W1430" s="49">
        <f t="shared" ref="W1430:W1462" si="157">0.9539*(4.064-0.314*U1430-V1430)</f>
        <v>0.46674327000000004</v>
      </c>
      <c r="X1430" s="49"/>
      <c r="Y1430" s="49"/>
      <c r="Z1430" s="49"/>
    </row>
    <row r="1431" spans="1:26" s="45" customFormat="1" ht="12.75" hidden="1" customHeight="1">
      <c r="A1431" s="22" t="s">
        <v>126</v>
      </c>
      <c r="B1431" s="24" t="s">
        <v>127</v>
      </c>
      <c r="C1431" s="23" t="s">
        <v>99</v>
      </c>
      <c r="O1431" s="45">
        <v>3.68</v>
      </c>
      <c r="P1431" s="23"/>
      <c r="Q1431" s="23"/>
      <c r="R1431" s="26">
        <v>2.34</v>
      </c>
      <c r="U1431" s="45">
        <v>3.68</v>
      </c>
      <c r="V1431" s="26">
        <v>2.34</v>
      </c>
      <c r="W1431" s="49">
        <f t="shared" si="157"/>
        <v>0.54227307200000008</v>
      </c>
      <c r="X1431" s="49"/>
      <c r="Y1431" s="49"/>
      <c r="Z1431" s="49"/>
    </row>
    <row r="1432" spans="1:26" s="45" customFormat="1" ht="12.75" hidden="1" customHeight="1">
      <c r="A1432" s="22" t="s">
        <v>126</v>
      </c>
      <c r="B1432" s="24" t="s">
        <v>127</v>
      </c>
      <c r="C1432" s="23" t="s">
        <v>99</v>
      </c>
      <c r="O1432" s="45">
        <v>3.7300000000000004</v>
      </c>
      <c r="P1432" s="23"/>
      <c r="Q1432" s="23"/>
      <c r="R1432" s="26">
        <v>2.3250000000000002</v>
      </c>
      <c r="U1432" s="45">
        <v>3.7300000000000004</v>
      </c>
      <c r="V1432" s="26">
        <v>2.3250000000000002</v>
      </c>
      <c r="W1432" s="49">
        <f t="shared" si="157"/>
        <v>0.54160534199999999</v>
      </c>
      <c r="X1432" s="49"/>
      <c r="Y1432" s="49"/>
      <c r="Z1432" s="49"/>
    </row>
    <row r="1433" spans="1:26" s="45" customFormat="1" ht="12.75" hidden="1" customHeight="1">
      <c r="A1433" s="22" t="s">
        <v>126</v>
      </c>
      <c r="B1433" s="24" t="s">
        <v>127</v>
      </c>
      <c r="C1433" s="23" t="s">
        <v>99</v>
      </c>
      <c r="O1433" s="45">
        <v>3.8</v>
      </c>
      <c r="P1433" s="23"/>
      <c r="Q1433" s="23"/>
      <c r="R1433" s="26">
        <v>2.39</v>
      </c>
      <c r="U1433" s="45">
        <v>3.8</v>
      </c>
      <c r="V1433" s="26">
        <v>2.39</v>
      </c>
      <c r="W1433" s="49">
        <f t="shared" si="157"/>
        <v>0.4586351199999999</v>
      </c>
      <c r="X1433" s="49"/>
      <c r="Y1433" s="49"/>
      <c r="Z1433" s="49"/>
    </row>
    <row r="1434" spans="1:26" s="45" customFormat="1" ht="12.75" hidden="1" customHeight="1">
      <c r="A1434" s="22" t="s">
        <v>126</v>
      </c>
      <c r="B1434" s="24" t="s">
        <v>127</v>
      </c>
      <c r="C1434" s="23" t="s">
        <v>100</v>
      </c>
      <c r="O1434" s="45">
        <v>3.2800000000000002</v>
      </c>
      <c r="P1434" s="23"/>
      <c r="Q1434" s="23"/>
      <c r="R1434" s="26">
        <v>2.58</v>
      </c>
      <c r="U1434" s="45">
        <v>3.2800000000000002</v>
      </c>
      <c r="V1434" s="26">
        <v>2.58</v>
      </c>
      <c r="W1434" s="49">
        <f t="shared" si="157"/>
        <v>0.43314691199999983</v>
      </c>
      <c r="X1434" s="49"/>
      <c r="Y1434" s="49"/>
      <c r="Z1434" s="49"/>
    </row>
    <row r="1435" spans="1:26" s="45" customFormat="1" ht="12.75" hidden="1" customHeight="1">
      <c r="A1435" s="22" t="s">
        <v>126</v>
      </c>
      <c r="B1435" s="24" t="s">
        <v>127</v>
      </c>
      <c r="C1435" s="23" t="s">
        <v>100</v>
      </c>
      <c r="O1435" s="45">
        <v>3.38</v>
      </c>
      <c r="P1435" s="23"/>
      <c r="Q1435" s="23"/>
      <c r="R1435" s="26">
        <v>2.5099999999999998</v>
      </c>
      <c r="U1435" s="45">
        <v>3.38</v>
      </c>
      <c r="V1435" s="26">
        <v>2.5099999999999998</v>
      </c>
      <c r="W1435" s="49">
        <f t="shared" si="157"/>
        <v>0.46996745200000001</v>
      </c>
      <c r="X1435" s="49"/>
      <c r="Y1435" s="49"/>
      <c r="Z1435" s="49"/>
    </row>
    <row r="1436" spans="1:26" s="45" customFormat="1" ht="12.75" hidden="1" customHeight="1">
      <c r="A1436" s="22" t="s">
        <v>126</v>
      </c>
      <c r="B1436" s="24" t="s">
        <v>127</v>
      </c>
      <c r="C1436" s="23" t="s">
        <v>100</v>
      </c>
      <c r="O1436" s="45">
        <v>3.39</v>
      </c>
      <c r="P1436" s="23"/>
      <c r="Q1436" s="23"/>
      <c r="R1436" s="26">
        <v>2.4</v>
      </c>
      <c r="U1436" s="45">
        <v>3.39</v>
      </c>
      <c r="V1436" s="26">
        <v>2.4</v>
      </c>
      <c r="W1436" s="49">
        <f t="shared" si="157"/>
        <v>0.57190120600000016</v>
      </c>
      <c r="X1436" s="49"/>
      <c r="Y1436" s="49"/>
      <c r="Z1436" s="49"/>
    </row>
    <row r="1437" spans="1:26" s="45" customFormat="1" ht="12.75" hidden="1" customHeight="1">
      <c r="A1437" s="22" t="s">
        <v>126</v>
      </c>
      <c r="B1437" s="24" t="s">
        <v>127</v>
      </c>
      <c r="C1437" s="23" t="s">
        <v>100</v>
      </c>
      <c r="O1437" s="45">
        <v>3.43</v>
      </c>
      <c r="P1437" s="23"/>
      <c r="Q1437" s="23"/>
      <c r="R1437" s="26">
        <v>2.37</v>
      </c>
      <c r="U1437" s="45">
        <v>3.43</v>
      </c>
      <c r="V1437" s="26">
        <v>2.37</v>
      </c>
      <c r="W1437" s="49">
        <f t="shared" si="157"/>
        <v>0.5885372219999998</v>
      </c>
      <c r="X1437" s="49"/>
      <c r="Y1437" s="49"/>
      <c r="Z1437" s="49"/>
    </row>
    <row r="1438" spans="1:26" s="45" customFormat="1" ht="12.75" hidden="1" customHeight="1">
      <c r="A1438" s="22" t="s">
        <v>126</v>
      </c>
      <c r="B1438" s="24" t="s">
        <v>127</v>
      </c>
      <c r="C1438" s="23" t="s">
        <v>100</v>
      </c>
      <c r="O1438" s="45">
        <v>3.55</v>
      </c>
      <c r="P1438" s="23"/>
      <c r="Q1438" s="23"/>
      <c r="R1438" s="26">
        <v>2.5300000000000002</v>
      </c>
      <c r="U1438" s="45">
        <v>3.55</v>
      </c>
      <c r="V1438" s="26">
        <v>2.5300000000000002</v>
      </c>
      <c r="W1438" s="49">
        <f t="shared" si="157"/>
        <v>0.39997026999999979</v>
      </c>
      <c r="X1438" s="49"/>
      <c r="Y1438" s="49"/>
      <c r="Z1438" s="49"/>
    </row>
    <row r="1439" spans="1:26" s="45" customFormat="1" ht="12.75" hidden="1" customHeight="1">
      <c r="A1439" s="22" t="s">
        <v>126</v>
      </c>
      <c r="B1439" s="24" t="s">
        <v>127</v>
      </c>
      <c r="C1439" s="23" t="s">
        <v>100</v>
      </c>
      <c r="O1439" s="45">
        <v>3.5700000000000003</v>
      </c>
      <c r="P1439" s="23"/>
      <c r="Q1439" s="23"/>
      <c r="R1439" s="26">
        <v>2.5</v>
      </c>
      <c r="U1439" s="45">
        <v>3.5700000000000003</v>
      </c>
      <c r="V1439" s="26">
        <v>2.5</v>
      </c>
      <c r="W1439" s="49">
        <f t="shared" si="157"/>
        <v>0.42259677799999973</v>
      </c>
      <c r="X1439" s="49"/>
      <c r="Y1439" s="49"/>
      <c r="Z1439" s="49"/>
    </row>
    <row r="1440" spans="1:26" s="45" customFormat="1" ht="12.75" hidden="1" customHeight="1">
      <c r="A1440" s="22" t="s">
        <v>126</v>
      </c>
      <c r="B1440" s="24" t="s">
        <v>127</v>
      </c>
      <c r="C1440" s="23" t="s">
        <v>100</v>
      </c>
      <c r="O1440" s="45">
        <v>3.7300000000000004</v>
      </c>
      <c r="P1440" s="23"/>
      <c r="Q1440" s="23"/>
      <c r="R1440" s="26">
        <v>2.33</v>
      </c>
      <c r="U1440" s="45">
        <v>3.7300000000000004</v>
      </c>
      <c r="V1440" s="26">
        <v>2.33</v>
      </c>
      <c r="W1440" s="49">
        <f t="shared" si="157"/>
        <v>0.53683584200000001</v>
      </c>
      <c r="X1440" s="49"/>
      <c r="Y1440" s="49"/>
      <c r="Z1440" s="49"/>
    </row>
    <row r="1441" spans="1:49" s="45" customFormat="1" ht="12.75" hidden="1" customHeight="1">
      <c r="A1441" s="22" t="s">
        <v>126</v>
      </c>
      <c r="B1441" s="24" t="s">
        <v>127</v>
      </c>
      <c r="C1441" s="23" t="s">
        <v>100</v>
      </c>
      <c r="O1441" s="45">
        <v>3.71</v>
      </c>
      <c r="P1441" s="23"/>
      <c r="Q1441" s="23"/>
      <c r="R1441" s="26">
        <v>2.42</v>
      </c>
      <c r="U1441" s="45">
        <v>3.71</v>
      </c>
      <c r="V1441" s="26">
        <v>2.42</v>
      </c>
      <c r="W1441" s="49">
        <f t="shared" si="157"/>
        <v>0.45697533400000001</v>
      </c>
      <c r="X1441" s="49"/>
      <c r="Y1441" s="49"/>
      <c r="Z1441" s="49"/>
    </row>
    <row r="1442" spans="1:49" s="45" customFormat="1" ht="12.75" hidden="1" customHeight="1">
      <c r="A1442" s="22" t="s">
        <v>126</v>
      </c>
      <c r="B1442" s="24" t="s">
        <v>127</v>
      </c>
      <c r="C1442" s="23" t="s">
        <v>100</v>
      </c>
      <c r="O1442" s="45">
        <v>3.7300000000000004</v>
      </c>
      <c r="P1442" s="23"/>
      <c r="Q1442" s="23"/>
      <c r="R1442" s="26">
        <v>2.46</v>
      </c>
      <c r="U1442" s="45">
        <v>3.7300000000000004</v>
      </c>
      <c r="V1442" s="26">
        <v>2.46</v>
      </c>
      <c r="W1442" s="49">
        <f t="shared" si="157"/>
        <v>0.41282884200000014</v>
      </c>
      <c r="X1442" s="49"/>
      <c r="Y1442" s="49"/>
      <c r="Z1442" s="49"/>
    </row>
    <row r="1443" spans="1:49" s="45" customFormat="1" ht="12.75" hidden="1" customHeight="1">
      <c r="A1443" s="22" t="s">
        <v>126</v>
      </c>
      <c r="B1443" s="24" t="s">
        <v>127</v>
      </c>
      <c r="C1443" s="23" t="s">
        <v>100</v>
      </c>
      <c r="O1443" s="45">
        <v>3.67</v>
      </c>
      <c r="P1443" s="23"/>
      <c r="Q1443" s="23"/>
      <c r="R1443" s="26">
        <v>2.4750000000000001</v>
      </c>
      <c r="U1443" s="45">
        <v>3.67</v>
      </c>
      <c r="V1443" s="26">
        <v>2.4750000000000001</v>
      </c>
      <c r="W1443" s="49">
        <f t="shared" si="157"/>
        <v>0.41649181800000001</v>
      </c>
      <c r="X1443" s="49"/>
      <c r="Y1443" s="49"/>
      <c r="Z1443" s="49"/>
    </row>
    <row r="1444" spans="1:49" s="45" customFormat="1" ht="12.75" hidden="1" customHeight="1">
      <c r="A1444" s="22" t="s">
        <v>126</v>
      </c>
      <c r="B1444" s="24" t="s">
        <v>127</v>
      </c>
      <c r="C1444" s="23" t="s">
        <v>100</v>
      </c>
      <c r="O1444" s="45">
        <v>3.7800000000000002</v>
      </c>
      <c r="P1444" s="23"/>
      <c r="Q1444" s="23"/>
      <c r="R1444" s="26">
        <v>2.5099999999999998</v>
      </c>
      <c r="U1444" s="45">
        <v>3.7800000000000002</v>
      </c>
      <c r="V1444" s="26">
        <v>2.5099999999999998</v>
      </c>
      <c r="W1444" s="49">
        <f t="shared" si="157"/>
        <v>0.35015761200000051</v>
      </c>
      <c r="X1444" s="49"/>
      <c r="Y1444" s="49"/>
      <c r="Z1444" s="49"/>
    </row>
    <row r="1445" spans="1:49" s="45" customFormat="1" ht="12.75" hidden="1" customHeight="1">
      <c r="A1445" s="22" t="s">
        <v>126</v>
      </c>
      <c r="B1445" s="24" t="s">
        <v>127</v>
      </c>
      <c r="C1445" s="23" t="s">
        <v>100</v>
      </c>
      <c r="O1445" s="45">
        <v>3.67</v>
      </c>
      <c r="P1445" s="23"/>
      <c r="Q1445" s="23"/>
      <c r="R1445" s="26">
        <v>2.56</v>
      </c>
      <c r="U1445" s="45">
        <v>3.67</v>
      </c>
      <c r="V1445" s="26">
        <v>2.56</v>
      </c>
      <c r="W1445" s="49">
        <f t="shared" si="157"/>
        <v>0.33541031800000004</v>
      </c>
      <c r="X1445" s="49"/>
      <c r="Y1445" s="49"/>
      <c r="Z1445" s="49"/>
    </row>
    <row r="1446" spans="1:49" s="45" customFormat="1" ht="12.75" hidden="1" customHeight="1">
      <c r="A1446" s="22" t="s">
        <v>126</v>
      </c>
      <c r="B1446" s="24" t="s">
        <v>127</v>
      </c>
      <c r="C1446" s="23" t="s">
        <v>100</v>
      </c>
      <c r="O1446" s="45">
        <v>3.59</v>
      </c>
      <c r="P1446" s="23"/>
      <c r="Q1446" s="23"/>
      <c r="R1446" s="26">
        <v>2.6</v>
      </c>
      <c r="U1446" s="45">
        <v>3.59</v>
      </c>
      <c r="V1446" s="26">
        <v>2.6</v>
      </c>
      <c r="W1446" s="49">
        <f t="shared" si="157"/>
        <v>0.32121628600000024</v>
      </c>
      <c r="X1446" s="49"/>
      <c r="Y1446" s="49"/>
      <c r="Z1446" s="49"/>
    </row>
    <row r="1447" spans="1:49" s="45" customFormat="1" ht="12.75" hidden="1" customHeight="1">
      <c r="A1447" s="22" t="s">
        <v>126</v>
      </c>
      <c r="B1447" s="24" t="s">
        <v>127</v>
      </c>
      <c r="C1447" s="23" t="s">
        <v>100</v>
      </c>
      <c r="O1447" s="45">
        <v>3.7300000000000004</v>
      </c>
      <c r="P1447" s="23"/>
      <c r="Q1447" s="23"/>
      <c r="R1447" s="26">
        <v>2.63</v>
      </c>
      <c r="U1447" s="45">
        <v>3.7300000000000004</v>
      </c>
      <c r="V1447" s="26">
        <v>2.63</v>
      </c>
      <c r="W1447" s="49">
        <f t="shared" si="157"/>
        <v>0.25066584200000019</v>
      </c>
      <c r="X1447" s="49"/>
      <c r="Y1447" s="49"/>
      <c r="Z1447" s="49"/>
    </row>
    <row r="1448" spans="1:49" s="45" customFormat="1" ht="12.75" hidden="1" customHeight="1">
      <c r="A1448" s="22" t="s">
        <v>126</v>
      </c>
      <c r="B1448" s="24" t="s">
        <v>127</v>
      </c>
      <c r="C1448" s="23" t="s">
        <v>100</v>
      </c>
      <c r="O1448" s="45">
        <v>3.75</v>
      </c>
      <c r="P1448" s="23"/>
      <c r="Q1448" s="23"/>
      <c r="R1448" s="26">
        <v>2.66</v>
      </c>
      <c r="U1448" s="45">
        <v>3.75</v>
      </c>
      <c r="V1448" s="26">
        <v>2.66</v>
      </c>
      <c r="W1448" s="49">
        <f t="shared" si="157"/>
        <v>0.2160583499999997</v>
      </c>
      <c r="X1448" s="49"/>
      <c r="Y1448" s="49"/>
      <c r="Z1448" s="49"/>
    </row>
    <row r="1449" spans="1:49" s="45" customFormat="1" ht="12.75" hidden="1" customHeight="1">
      <c r="A1449" s="22" t="s">
        <v>126</v>
      </c>
      <c r="B1449" s="24" t="s">
        <v>127</v>
      </c>
      <c r="C1449" s="23" t="s">
        <v>100</v>
      </c>
      <c r="O1449" s="45">
        <v>3.84</v>
      </c>
      <c r="P1449" s="23"/>
      <c r="Q1449" s="23"/>
      <c r="R1449" s="26">
        <v>2.66</v>
      </c>
      <c r="U1449" s="45">
        <v>3.84</v>
      </c>
      <c r="V1449" s="26">
        <v>2.66</v>
      </c>
      <c r="W1449" s="49">
        <f t="shared" si="157"/>
        <v>0.18910113600000017</v>
      </c>
      <c r="X1449" s="49"/>
      <c r="Y1449" s="49"/>
      <c r="Z1449" s="49"/>
    </row>
    <row r="1450" spans="1:49" ht="12.75" hidden="1" customHeight="1">
      <c r="A1450" s="22" t="s">
        <v>126</v>
      </c>
      <c r="B1450" s="24" t="s">
        <v>128</v>
      </c>
      <c r="C1450" s="23" t="s">
        <v>79</v>
      </c>
      <c r="D1450" s="45">
        <v>2010</v>
      </c>
      <c r="H1450" s="45">
        <v>7800</v>
      </c>
      <c r="I1450" s="45">
        <v>9950</v>
      </c>
      <c r="J1450" s="26">
        <f t="shared" ref="J1450:J1462" si="158">H1450+3*(I1450-H1450)</f>
        <v>14250</v>
      </c>
      <c r="K1450" s="45">
        <v>45</v>
      </c>
      <c r="L1450" s="45">
        <v>53</v>
      </c>
      <c r="M1450" s="26">
        <f t="shared" ref="M1450:M1462" si="159">L1450+3*(L1450-K1450)</f>
        <v>77</v>
      </c>
      <c r="N1450" s="26"/>
      <c r="O1450" s="48">
        <f t="shared" ref="O1450:O1519" si="160">LOG10(H1450)</f>
        <v>3.8920946026904804</v>
      </c>
      <c r="P1450" s="48">
        <f t="shared" ref="P1450:P1462" si="161">LOG10(I1450)</f>
        <v>3.9978230807457256</v>
      </c>
      <c r="Q1450" s="48">
        <f t="shared" ref="Q1450:Q1462" si="162">LOG10(J1450)</f>
        <v>4.153814864344529</v>
      </c>
      <c r="R1450" s="48">
        <f t="shared" ref="R1450:R1519" si="163">LOG10(K1450)</f>
        <v>1.6532125137753437</v>
      </c>
      <c r="S1450" s="48">
        <f t="shared" ref="S1450:S1462" si="164">LOG10(L1450)</f>
        <v>1.7242758696007889</v>
      </c>
      <c r="T1450" s="48">
        <f t="shared" ref="T1450:T1462" si="165">LOG10(M1450)</f>
        <v>1.8864907251724818</v>
      </c>
      <c r="U1450" s="48">
        <v>4.153814864344529</v>
      </c>
      <c r="V1450" s="48">
        <v>1.8864907251724818</v>
      </c>
      <c r="W1450" s="49">
        <f t="shared" si="157"/>
        <v>0.83295636154112007</v>
      </c>
      <c r="X1450" s="49"/>
      <c r="Y1450" s="49"/>
      <c r="Z1450" s="49"/>
      <c r="AA1450" s="48"/>
      <c r="AB1450" s="48"/>
      <c r="AC1450" s="48"/>
      <c r="AD1450" s="48"/>
      <c r="AO1450" s="45">
        <v>1.76</v>
      </c>
      <c r="AP1450" s="45"/>
      <c r="AQ1450" s="45">
        <v>0.14000000000000001</v>
      </c>
      <c r="AR1450" s="45"/>
      <c r="AS1450" s="45"/>
      <c r="AT1450" s="45"/>
      <c r="AU1450" s="45">
        <v>0.16</v>
      </c>
      <c r="AV1450" s="45"/>
      <c r="AW1450" s="45">
        <v>-0.84099999999999997</v>
      </c>
    </row>
    <row r="1451" spans="1:49" ht="12.75" hidden="1" customHeight="1">
      <c r="A1451" s="22" t="s">
        <v>126</v>
      </c>
      <c r="B1451" s="24" t="s">
        <v>128</v>
      </c>
      <c r="C1451" s="23" t="s">
        <v>80</v>
      </c>
      <c r="D1451" s="45">
        <v>2010</v>
      </c>
      <c r="H1451" s="45">
        <v>11100</v>
      </c>
      <c r="I1451" s="45">
        <v>12550</v>
      </c>
      <c r="J1451" s="26">
        <f t="shared" si="158"/>
        <v>15450</v>
      </c>
      <c r="K1451" s="45">
        <v>46.75</v>
      </c>
      <c r="L1451" s="45">
        <v>69</v>
      </c>
      <c r="M1451" s="26">
        <f t="shared" si="159"/>
        <v>135.75</v>
      </c>
      <c r="N1451" s="26"/>
      <c r="O1451" s="48">
        <f t="shared" si="160"/>
        <v>4.0453229787866576</v>
      </c>
      <c r="P1451" s="48">
        <f t="shared" si="161"/>
        <v>4.0986437258170572</v>
      </c>
      <c r="Q1451" s="48">
        <f t="shared" si="162"/>
        <v>4.1889284837608534</v>
      </c>
      <c r="R1451" s="48">
        <f t="shared" si="163"/>
        <v>1.6697816152085365</v>
      </c>
      <c r="S1451" s="48">
        <f t="shared" si="164"/>
        <v>1.8388490907372552</v>
      </c>
      <c r="T1451" s="48">
        <f t="shared" si="165"/>
        <v>2.1327398382608846</v>
      </c>
      <c r="U1451" s="48">
        <v>4.1889284837608534</v>
      </c>
      <c r="V1451" s="48">
        <v>2.1327398382608846</v>
      </c>
      <c r="W1451" s="49">
        <f t="shared" si="157"/>
        <v>0.58754193975586633</v>
      </c>
      <c r="X1451" s="49"/>
      <c r="Y1451" s="49"/>
      <c r="Z1451" s="49"/>
      <c r="AA1451" s="48"/>
      <c r="AB1451" s="48"/>
      <c r="AC1451" s="48"/>
      <c r="AD1451" s="48"/>
      <c r="AO1451" s="45">
        <v>1.54</v>
      </c>
      <c r="AP1451" s="45"/>
      <c r="AQ1451" s="45">
        <v>1.25</v>
      </c>
      <c r="AR1451" s="45"/>
      <c r="AS1451" s="45"/>
      <c r="AT1451" s="45"/>
      <c r="AU1451" s="45">
        <v>0.21</v>
      </c>
      <c r="AV1451" s="45"/>
      <c r="AW1451" s="45">
        <v>-7.3999999999999996E-2</v>
      </c>
    </row>
    <row r="1452" spans="1:49" ht="12.75" hidden="1" customHeight="1">
      <c r="A1452" s="22" t="s">
        <v>126</v>
      </c>
      <c r="B1452" s="24" t="s">
        <v>128</v>
      </c>
      <c r="C1452" s="23" t="s">
        <v>81</v>
      </c>
      <c r="D1452" s="45">
        <v>2010</v>
      </c>
      <c r="H1452" s="45">
        <v>8400</v>
      </c>
      <c r="I1452" s="45">
        <v>9900</v>
      </c>
      <c r="J1452" s="26">
        <f t="shared" si="158"/>
        <v>12900</v>
      </c>
      <c r="K1452" s="45">
        <v>64.5</v>
      </c>
      <c r="L1452" s="45">
        <v>74</v>
      </c>
      <c r="M1452" s="26">
        <f t="shared" si="159"/>
        <v>102.5</v>
      </c>
      <c r="N1452" s="26"/>
      <c r="O1452" s="48">
        <f t="shared" si="160"/>
        <v>3.9242792860618816</v>
      </c>
      <c r="P1452" s="48">
        <f t="shared" si="161"/>
        <v>3.9956351945975501</v>
      </c>
      <c r="Q1452" s="48">
        <f t="shared" si="162"/>
        <v>4.1105897102992488</v>
      </c>
      <c r="R1452" s="48">
        <f t="shared" si="163"/>
        <v>1.8095597146352678</v>
      </c>
      <c r="S1452" s="48">
        <f t="shared" si="164"/>
        <v>1.8692317197309762</v>
      </c>
      <c r="T1452" s="48">
        <f t="shared" si="165"/>
        <v>2.0107238653917729</v>
      </c>
      <c r="U1452" s="48">
        <v>4.1105897102992488</v>
      </c>
      <c r="V1452" s="48">
        <v>2.0107238653917729</v>
      </c>
      <c r="W1452" s="49">
        <f t="shared" si="157"/>
        <v>0.72739736606128969</v>
      </c>
      <c r="X1452" s="49"/>
      <c r="Y1452" s="49"/>
      <c r="Z1452" s="49"/>
      <c r="AA1452" s="48"/>
      <c r="AB1452" s="48"/>
      <c r="AC1452" s="48"/>
      <c r="AD1452" s="48"/>
      <c r="AO1452" s="45">
        <v>0.5</v>
      </c>
      <c r="AP1452" s="45"/>
      <c r="AQ1452" s="45">
        <v>0</v>
      </c>
      <c r="AR1452" s="45"/>
      <c r="AS1452" s="45"/>
      <c r="AT1452" s="45"/>
      <c r="AU1452" s="45">
        <v>0.34</v>
      </c>
      <c r="AV1452" s="45"/>
      <c r="AW1452" s="45">
        <v>-0.78700000000000003</v>
      </c>
    </row>
    <row r="1453" spans="1:49" ht="12.75" hidden="1" customHeight="1">
      <c r="A1453" s="22" t="s">
        <v>126</v>
      </c>
      <c r="B1453" s="24" t="s">
        <v>128</v>
      </c>
      <c r="C1453" s="23" t="s">
        <v>82</v>
      </c>
      <c r="D1453" s="45">
        <v>2010</v>
      </c>
      <c r="H1453" s="45">
        <v>4800</v>
      </c>
      <c r="I1453" s="45">
        <v>5650</v>
      </c>
      <c r="J1453" s="26">
        <f t="shared" si="158"/>
        <v>7350</v>
      </c>
      <c r="K1453" s="45">
        <v>10.5</v>
      </c>
      <c r="L1453" s="45">
        <v>12.5</v>
      </c>
      <c r="M1453" s="26">
        <f t="shared" si="159"/>
        <v>18.5</v>
      </c>
      <c r="N1453" s="26"/>
      <c r="O1453" s="48">
        <f t="shared" si="160"/>
        <v>3.6812412373755872</v>
      </c>
      <c r="P1453" s="48">
        <f t="shared" si="161"/>
        <v>3.7520484478194387</v>
      </c>
      <c r="Q1453" s="48">
        <f t="shared" si="162"/>
        <v>3.8662873390841948</v>
      </c>
      <c r="R1453" s="48">
        <f t="shared" si="163"/>
        <v>1.0211892990699381</v>
      </c>
      <c r="S1453" s="48">
        <f t="shared" si="164"/>
        <v>1.0969100130080565</v>
      </c>
      <c r="T1453" s="48">
        <f t="shared" si="165"/>
        <v>1.2671717284030137</v>
      </c>
      <c r="U1453" s="48">
        <v>3.8662873390841948</v>
      </c>
      <c r="V1453" s="48">
        <v>1.2671717284030137</v>
      </c>
      <c r="W1453" s="49">
        <f t="shared" si="157"/>
        <v>1.5098463195521072</v>
      </c>
      <c r="X1453" s="49"/>
      <c r="Y1453" s="49"/>
      <c r="Z1453" s="49"/>
      <c r="AA1453" s="48"/>
      <c r="AB1453" s="48"/>
      <c r="AC1453" s="48"/>
      <c r="AD1453" s="48"/>
      <c r="AO1453" s="45">
        <v>10.15</v>
      </c>
      <c r="AP1453" s="45"/>
      <c r="AQ1453" s="45">
        <v>0.38</v>
      </c>
      <c r="AR1453" s="45"/>
      <c r="AS1453" s="45"/>
      <c r="AT1453" s="45"/>
      <c r="AU1453" s="45">
        <v>0.56999999999999995</v>
      </c>
      <c r="AV1453" s="45"/>
      <c r="AW1453" s="45">
        <v>2.2229999999999999</v>
      </c>
    </row>
    <row r="1454" spans="1:49" ht="12.75" hidden="1" customHeight="1">
      <c r="A1454" s="22" t="s">
        <v>126</v>
      </c>
      <c r="B1454" s="24" t="s">
        <v>128</v>
      </c>
      <c r="C1454" s="23" t="s">
        <v>83</v>
      </c>
      <c r="D1454" s="45">
        <v>2010</v>
      </c>
      <c r="H1454" s="45">
        <v>2150</v>
      </c>
      <c r="I1454" s="45">
        <v>2400</v>
      </c>
      <c r="J1454" s="26">
        <f t="shared" si="158"/>
        <v>2900</v>
      </c>
      <c r="K1454" s="45">
        <v>3</v>
      </c>
      <c r="L1454" s="45">
        <v>3.75</v>
      </c>
      <c r="M1454" s="26">
        <f t="shared" si="159"/>
        <v>6</v>
      </c>
      <c r="N1454" s="26"/>
      <c r="O1454" s="48">
        <f t="shared" si="160"/>
        <v>3.3324384599156054</v>
      </c>
      <c r="P1454" s="48">
        <f t="shared" si="161"/>
        <v>3.3802112417116059</v>
      </c>
      <c r="Q1454" s="48">
        <f t="shared" si="162"/>
        <v>3.4623979978989561</v>
      </c>
      <c r="R1454" s="48">
        <f t="shared" si="163"/>
        <v>0.47712125471966244</v>
      </c>
      <c r="S1454" s="48">
        <f t="shared" si="164"/>
        <v>0.57403126772771884</v>
      </c>
      <c r="T1454" s="48">
        <f t="shared" si="165"/>
        <v>0.77815125038364363</v>
      </c>
      <c r="U1454" s="48">
        <v>3.4623979978989561</v>
      </c>
      <c r="V1454" s="48">
        <v>0.77815125038364363</v>
      </c>
      <c r="W1454" s="49">
        <f t="shared" si="157"/>
        <v>2.0972977468975564</v>
      </c>
      <c r="X1454" s="49"/>
      <c r="Y1454" s="49"/>
      <c r="Z1454" s="49"/>
      <c r="AA1454" s="48"/>
      <c r="AB1454" s="48"/>
      <c r="AC1454" s="48"/>
      <c r="AD1454" s="48"/>
      <c r="AO1454" s="45">
        <v>4.25</v>
      </c>
      <c r="AP1454" s="45"/>
      <c r="AQ1454" s="45">
        <v>0</v>
      </c>
      <c r="AR1454" s="45"/>
      <c r="AS1454" s="45"/>
      <c r="AT1454" s="45"/>
      <c r="AU1454" s="45">
        <v>0.59</v>
      </c>
      <c r="AV1454" s="45"/>
      <c r="AW1454" s="45">
        <v>0.67300000000000004</v>
      </c>
    </row>
    <row r="1455" spans="1:49" ht="12.75" hidden="1" customHeight="1">
      <c r="A1455" s="22" t="s">
        <v>126</v>
      </c>
      <c r="B1455" s="24" t="s">
        <v>128</v>
      </c>
      <c r="C1455" s="23" t="s">
        <v>84</v>
      </c>
      <c r="D1455" s="45">
        <v>2009</v>
      </c>
      <c r="H1455" s="45">
        <v>9400</v>
      </c>
      <c r="I1455" s="45">
        <v>10200</v>
      </c>
      <c r="J1455" s="26">
        <f t="shared" si="158"/>
        <v>11800</v>
      </c>
      <c r="K1455" s="45">
        <v>41.75</v>
      </c>
      <c r="L1455" s="45">
        <v>46.5</v>
      </c>
      <c r="M1455" s="26">
        <f t="shared" si="159"/>
        <v>60.75</v>
      </c>
      <c r="N1455" s="26"/>
      <c r="O1455" s="48">
        <f t="shared" si="160"/>
        <v>3.9731278535996988</v>
      </c>
      <c r="P1455" s="48">
        <f t="shared" si="161"/>
        <v>4.008600171761918</v>
      </c>
      <c r="Q1455" s="48">
        <f t="shared" si="162"/>
        <v>4.071882007306125</v>
      </c>
      <c r="R1455" s="48">
        <f t="shared" si="163"/>
        <v>1.6206564798196208</v>
      </c>
      <c r="S1455" s="48">
        <f t="shared" si="164"/>
        <v>1.667452952889954</v>
      </c>
      <c r="T1455" s="48">
        <f t="shared" si="165"/>
        <v>1.7835462822703498</v>
      </c>
      <c r="U1455" s="48">
        <v>4.071882007306125</v>
      </c>
      <c r="V1455" s="48">
        <v>1.7835462822703498</v>
      </c>
      <c r="W1455" s="49">
        <f t="shared" si="157"/>
        <v>0.95569597185674882</v>
      </c>
      <c r="X1455" s="49"/>
      <c r="Y1455" s="49"/>
      <c r="Z1455" s="49"/>
      <c r="AA1455" s="48"/>
      <c r="AB1455" s="48"/>
      <c r="AC1455" s="48"/>
      <c r="AD1455" s="48"/>
      <c r="AO1455" s="45">
        <v>5.94</v>
      </c>
      <c r="AP1455" s="45"/>
      <c r="AQ1455" s="45">
        <v>0.15</v>
      </c>
      <c r="AR1455" s="45"/>
      <c r="AS1455" s="45"/>
      <c r="AT1455" s="45"/>
      <c r="AU1455" s="45">
        <v>0.11</v>
      </c>
      <c r="AV1455" s="45"/>
      <c r="AW1455" s="45">
        <v>5.0000000000000001E-3</v>
      </c>
    </row>
    <row r="1456" spans="1:49" ht="12.75" hidden="1" customHeight="1">
      <c r="A1456" s="22" t="s">
        <v>126</v>
      </c>
      <c r="B1456" s="24" t="s">
        <v>128</v>
      </c>
      <c r="C1456" s="23" t="s">
        <v>84</v>
      </c>
      <c r="D1456" s="45">
        <v>2011</v>
      </c>
      <c r="H1456" s="45">
        <v>1100</v>
      </c>
      <c r="I1456" s="45">
        <v>1500</v>
      </c>
      <c r="J1456" s="26">
        <f t="shared" si="158"/>
        <v>2300</v>
      </c>
      <c r="K1456" s="45">
        <v>1</v>
      </c>
      <c r="L1456" s="45">
        <v>1.5</v>
      </c>
      <c r="M1456" s="26">
        <f t="shared" si="159"/>
        <v>3</v>
      </c>
      <c r="N1456" s="26"/>
      <c r="O1456" s="48">
        <f t="shared" si="160"/>
        <v>3.0413926851582249</v>
      </c>
      <c r="P1456" s="48">
        <f t="shared" si="161"/>
        <v>3.1760912590556813</v>
      </c>
      <c r="Q1456" s="48">
        <f t="shared" si="162"/>
        <v>3.3617278360175931</v>
      </c>
      <c r="R1456" s="48">
        <f t="shared" si="163"/>
        <v>0</v>
      </c>
      <c r="S1456" s="48">
        <f t="shared" si="164"/>
        <v>0.17609125905568124</v>
      </c>
      <c r="T1456" s="48">
        <f t="shared" si="165"/>
        <v>0.47712125471966244</v>
      </c>
      <c r="U1456" s="48">
        <v>3.3617278360175931</v>
      </c>
      <c r="V1456" s="48">
        <v>0.47712125471966244</v>
      </c>
      <c r="W1456" s="49">
        <f t="shared" si="157"/>
        <v>2.4146034497308784</v>
      </c>
      <c r="X1456" s="49"/>
      <c r="Y1456" s="49"/>
      <c r="Z1456" s="49"/>
      <c r="AA1456" s="48"/>
      <c r="AB1456" s="48"/>
      <c r="AC1456" s="48"/>
      <c r="AD1456" s="48"/>
      <c r="AO1456" s="45">
        <v>6.1</v>
      </c>
      <c r="AP1456" s="45"/>
      <c r="AQ1456" s="45">
        <v>1.43</v>
      </c>
      <c r="AR1456" s="45"/>
      <c r="AS1456" s="45"/>
      <c r="AT1456" s="45"/>
      <c r="AU1456" s="45">
        <v>0.13</v>
      </c>
      <c r="AV1456" s="45"/>
      <c r="AW1456" s="45">
        <v>0.89300000000000002</v>
      </c>
    </row>
    <row r="1457" spans="1:49" ht="12.75" hidden="1" customHeight="1">
      <c r="A1457" s="22" t="s">
        <v>126</v>
      </c>
      <c r="B1457" s="24" t="s">
        <v>128</v>
      </c>
      <c r="C1457" s="23" t="s">
        <v>85</v>
      </c>
      <c r="D1457" s="45">
        <v>2011</v>
      </c>
      <c r="H1457" s="45">
        <v>9300</v>
      </c>
      <c r="I1457" s="45">
        <v>10000</v>
      </c>
      <c r="J1457" s="26">
        <f t="shared" si="158"/>
        <v>11400</v>
      </c>
      <c r="K1457" s="45">
        <v>58.25</v>
      </c>
      <c r="L1457" s="45">
        <v>64.5</v>
      </c>
      <c r="M1457" s="26">
        <f t="shared" si="159"/>
        <v>83.25</v>
      </c>
      <c r="N1457" s="26"/>
      <c r="O1457" s="48">
        <f t="shared" si="160"/>
        <v>3.9684829485539352</v>
      </c>
      <c r="P1457" s="48">
        <f t="shared" si="161"/>
        <v>4</v>
      </c>
      <c r="Q1457" s="48">
        <f t="shared" si="162"/>
        <v>4.0569048513364727</v>
      </c>
      <c r="R1457" s="48">
        <f t="shared" si="163"/>
        <v>1.7652959296980566</v>
      </c>
      <c r="S1457" s="48">
        <f t="shared" si="164"/>
        <v>1.8095597146352678</v>
      </c>
      <c r="T1457" s="48">
        <f t="shared" si="165"/>
        <v>1.9203842421783575</v>
      </c>
      <c r="U1457" s="48">
        <v>4.0569048513364727</v>
      </c>
      <c r="V1457" s="48">
        <v>1.9203842421783575</v>
      </c>
      <c r="W1457" s="49">
        <f t="shared" si="157"/>
        <v>0.82965226855144836</v>
      </c>
      <c r="X1457" s="49"/>
      <c r="Y1457" s="49"/>
      <c r="Z1457" s="49"/>
      <c r="AA1457" s="48"/>
      <c r="AB1457" s="48"/>
      <c r="AC1457" s="48"/>
      <c r="AD1457" s="48"/>
      <c r="AO1457" s="45">
        <v>6.1</v>
      </c>
      <c r="AP1457" s="45"/>
      <c r="AQ1457" s="45">
        <v>1.43</v>
      </c>
      <c r="AR1457" s="45"/>
      <c r="AS1457" s="45"/>
      <c r="AT1457" s="45"/>
      <c r="AU1457" s="45">
        <v>0.13</v>
      </c>
      <c r="AV1457" s="45"/>
      <c r="AW1457" s="45">
        <v>0.89300000000000002</v>
      </c>
    </row>
    <row r="1458" spans="1:49" ht="12.75" hidden="1" customHeight="1">
      <c r="A1458" s="22" t="s">
        <v>126</v>
      </c>
      <c r="B1458" s="24" t="s">
        <v>128</v>
      </c>
      <c r="C1458" s="23" t="s">
        <v>86</v>
      </c>
      <c r="D1458" s="45">
        <v>2011</v>
      </c>
      <c r="H1458" s="45">
        <v>6350</v>
      </c>
      <c r="I1458" s="45">
        <v>7200</v>
      </c>
      <c r="J1458" s="26">
        <f t="shared" si="158"/>
        <v>8900</v>
      </c>
      <c r="K1458" s="45">
        <v>55.75</v>
      </c>
      <c r="L1458" s="45">
        <v>64</v>
      </c>
      <c r="M1458" s="26">
        <f t="shared" si="159"/>
        <v>88.75</v>
      </c>
      <c r="N1458" s="26"/>
      <c r="O1458" s="48">
        <f t="shared" si="160"/>
        <v>3.8027737252919755</v>
      </c>
      <c r="P1458" s="48">
        <f t="shared" si="161"/>
        <v>3.8573324964312685</v>
      </c>
      <c r="Q1458" s="48">
        <f t="shared" si="162"/>
        <v>3.9493900066449128</v>
      </c>
      <c r="R1458" s="48">
        <f t="shared" si="163"/>
        <v>1.7462448717201984</v>
      </c>
      <c r="S1458" s="48">
        <f t="shared" si="164"/>
        <v>1.8061799739838871</v>
      </c>
      <c r="T1458" s="48">
        <f t="shared" si="165"/>
        <v>1.9481683617271317</v>
      </c>
      <c r="U1458" s="48">
        <v>3.9493900066449128</v>
      </c>
      <c r="V1458" s="48">
        <v>1.9481683617271317</v>
      </c>
      <c r="W1458" s="49">
        <f t="shared" si="157"/>
        <v>0.83535233776417428</v>
      </c>
      <c r="X1458" s="49"/>
      <c r="Y1458" s="49"/>
      <c r="Z1458" s="49"/>
      <c r="AA1458" s="48"/>
      <c r="AB1458" s="48"/>
      <c r="AC1458" s="48"/>
      <c r="AD1458" s="48"/>
      <c r="AO1458" s="45">
        <v>4.8499999999999996</v>
      </c>
      <c r="AP1458" s="45"/>
      <c r="AQ1458" s="45">
        <v>0.8</v>
      </c>
      <c r="AR1458" s="45"/>
      <c r="AS1458" s="45"/>
      <c r="AT1458" s="45"/>
      <c r="AU1458" s="45">
        <v>0.41</v>
      </c>
      <c r="AV1458" s="45"/>
      <c r="AW1458" s="45">
        <v>0.876</v>
      </c>
    </row>
    <row r="1459" spans="1:49" ht="12.75" hidden="1" customHeight="1">
      <c r="A1459" s="22" t="s">
        <v>126</v>
      </c>
      <c r="B1459" s="24" t="s">
        <v>128</v>
      </c>
      <c r="C1459" s="23" t="s">
        <v>87</v>
      </c>
      <c r="D1459" s="45">
        <v>2011</v>
      </c>
      <c r="H1459" s="45">
        <v>3300</v>
      </c>
      <c r="I1459" s="45">
        <v>3800</v>
      </c>
      <c r="J1459" s="26">
        <f t="shared" si="158"/>
        <v>4800</v>
      </c>
      <c r="K1459" s="45">
        <v>41.25</v>
      </c>
      <c r="L1459" s="45">
        <v>52.75</v>
      </c>
      <c r="M1459" s="26">
        <f t="shared" si="159"/>
        <v>87.25</v>
      </c>
      <c r="N1459" s="26"/>
      <c r="O1459" s="48">
        <f t="shared" si="160"/>
        <v>3.5185139398778875</v>
      </c>
      <c r="P1459" s="48">
        <f t="shared" si="161"/>
        <v>3.5797835966168101</v>
      </c>
      <c r="Q1459" s="48">
        <f t="shared" si="162"/>
        <v>3.6812412373755872</v>
      </c>
      <c r="R1459" s="48">
        <f t="shared" si="163"/>
        <v>1.615423952885944</v>
      </c>
      <c r="S1459" s="48">
        <f t="shared" si="164"/>
        <v>1.7222224639697303</v>
      </c>
      <c r="T1459" s="48">
        <f t="shared" si="165"/>
        <v>1.9407654356312176</v>
      </c>
      <c r="U1459" s="48">
        <v>3.6812412373755872</v>
      </c>
      <c r="V1459" s="48">
        <v>1.9407654356312176</v>
      </c>
      <c r="W1459" s="49">
        <f t="shared" si="157"/>
        <v>0.92273114182295368</v>
      </c>
      <c r="X1459" s="49"/>
      <c r="Y1459" s="49"/>
      <c r="Z1459" s="49"/>
      <c r="AA1459" s="48"/>
      <c r="AB1459" s="48"/>
      <c r="AC1459" s="48"/>
      <c r="AD1459" s="48"/>
      <c r="AO1459" s="45">
        <v>2.69</v>
      </c>
      <c r="AP1459" s="45"/>
      <c r="AQ1459" s="45">
        <v>7.0000000000000007E-2</v>
      </c>
      <c r="AR1459" s="45"/>
      <c r="AS1459" s="45"/>
      <c r="AT1459" s="45"/>
      <c r="AU1459" s="45">
        <v>7.0000000000000007E-2</v>
      </c>
      <c r="AV1459" s="45"/>
      <c r="AW1459" s="45">
        <v>-0.90600000000000003</v>
      </c>
    </row>
    <row r="1460" spans="1:49" ht="12.75" hidden="1" customHeight="1">
      <c r="A1460" s="22" t="s">
        <v>126</v>
      </c>
      <c r="B1460" s="24" t="s">
        <v>128</v>
      </c>
      <c r="C1460" s="23" t="s">
        <v>88</v>
      </c>
      <c r="D1460" s="45">
        <v>2010</v>
      </c>
      <c r="H1460" s="45">
        <v>15650</v>
      </c>
      <c r="I1460" s="45">
        <v>17050</v>
      </c>
      <c r="J1460" s="26">
        <f t="shared" si="158"/>
        <v>19850</v>
      </c>
      <c r="K1460" s="45">
        <v>90</v>
      </c>
      <c r="L1460" s="45">
        <v>108.5</v>
      </c>
      <c r="M1460" s="26">
        <f t="shared" si="159"/>
        <v>164</v>
      </c>
      <c r="N1460" s="26"/>
      <c r="O1460" s="48">
        <f t="shared" si="160"/>
        <v>4.1945143418824671</v>
      </c>
      <c r="P1460" s="48">
        <f t="shared" si="161"/>
        <v>4.2317243833285163</v>
      </c>
      <c r="Q1460" s="48">
        <f t="shared" si="162"/>
        <v>4.2977605110991339</v>
      </c>
      <c r="R1460" s="48">
        <f t="shared" si="163"/>
        <v>1.954242509439325</v>
      </c>
      <c r="S1460" s="48">
        <f t="shared" si="164"/>
        <v>2.0354297381845483</v>
      </c>
      <c r="T1460" s="48">
        <f t="shared" si="165"/>
        <v>2.214843848047698</v>
      </c>
      <c r="U1460" s="48">
        <v>4.2977605110991339</v>
      </c>
      <c r="V1460" s="48">
        <v>2.214843848047698</v>
      </c>
      <c r="W1460" s="49">
        <f t="shared" si="157"/>
        <v>0.47662505536453714</v>
      </c>
      <c r="X1460" s="49"/>
      <c r="Y1460" s="49"/>
      <c r="Z1460" s="49"/>
      <c r="AA1460" s="48"/>
      <c r="AB1460" s="48"/>
      <c r="AC1460" s="48"/>
      <c r="AD1460" s="48"/>
      <c r="AO1460" s="45">
        <v>1.33</v>
      </c>
      <c r="AP1460" s="45"/>
      <c r="AQ1460" s="45">
        <v>0.06</v>
      </c>
      <c r="AR1460" s="45"/>
      <c r="AS1460" s="45"/>
      <c r="AT1460" s="45"/>
      <c r="AU1460" s="45">
        <v>0.03</v>
      </c>
      <c r="AV1460" s="45"/>
      <c r="AW1460" s="45">
        <v>-1.3009999999999999</v>
      </c>
    </row>
    <row r="1461" spans="1:49" ht="12.75" hidden="1" customHeight="1">
      <c r="A1461" s="22" t="s">
        <v>126</v>
      </c>
      <c r="B1461" s="24" t="s">
        <v>128</v>
      </c>
      <c r="C1461" s="23" t="s">
        <v>88</v>
      </c>
      <c r="D1461" s="45">
        <v>2011</v>
      </c>
      <c r="H1461" s="45">
        <v>15900</v>
      </c>
      <c r="I1461" s="45">
        <v>17500</v>
      </c>
      <c r="J1461" s="26">
        <f t="shared" si="158"/>
        <v>20700</v>
      </c>
      <c r="K1461" s="45">
        <v>43.75</v>
      </c>
      <c r="L1461" s="45">
        <v>53</v>
      </c>
      <c r="M1461" s="26">
        <f t="shared" si="159"/>
        <v>80.75</v>
      </c>
      <c r="N1461" s="26"/>
      <c r="O1461" s="48">
        <f t="shared" si="160"/>
        <v>4.2013971243204518</v>
      </c>
      <c r="P1461" s="48">
        <f t="shared" si="161"/>
        <v>4.2430380486862944</v>
      </c>
      <c r="Q1461" s="48">
        <f t="shared" si="162"/>
        <v>4.3159703454569174</v>
      </c>
      <c r="R1461" s="48">
        <f t="shared" si="163"/>
        <v>1.6409780573583321</v>
      </c>
      <c r="S1461" s="48">
        <f t="shared" si="164"/>
        <v>1.7242758696007889</v>
      </c>
      <c r="T1461" s="48">
        <f t="shared" si="165"/>
        <v>1.9071425310031405</v>
      </c>
      <c r="U1461" s="48">
        <v>4.3159703454569174</v>
      </c>
      <c r="V1461" s="48">
        <v>1.9071425310031405</v>
      </c>
      <c r="W1461" s="49">
        <f t="shared" si="157"/>
        <v>0.76468704834125922</v>
      </c>
      <c r="X1461" s="49"/>
      <c r="Y1461" s="49"/>
      <c r="Z1461" s="49"/>
      <c r="AA1461" s="48"/>
      <c r="AB1461" s="48"/>
      <c r="AC1461" s="48"/>
      <c r="AD1461" s="48"/>
      <c r="AO1461" s="45">
        <v>2.57</v>
      </c>
      <c r="AP1461" s="45"/>
      <c r="AQ1461" s="45">
        <v>0.06</v>
      </c>
      <c r="AR1461" s="45"/>
      <c r="AS1461" s="45"/>
      <c r="AT1461" s="45"/>
      <c r="AU1461" s="45">
        <v>0.06</v>
      </c>
      <c r="AV1461" s="45"/>
      <c r="AW1461" s="45">
        <v>-0.94599999999999995</v>
      </c>
    </row>
    <row r="1462" spans="1:49" ht="12.75" hidden="1" customHeight="1">
      <c r="A1462" s="22" t="s">
        <v>126</v>
      </c>
      <c r="B1462" s="24" t="s">
        <v>128</v>
      </c>
      <c r="C1462" s="23" t="s">
        <v>89</v>
      </c>
      <c r="D1462" s="45">
        <v>2010</v>
      </c>
      <c r="H1462" s="45">
        <v>8900</v>
      </c>
      <c r="I1462" s="45">
        <v>9500</v>
      </c>
      <c r="J1462" s="26">
        <f t="shared" si="158"/>
        <v>10700</v>
      </c>
      <c r="K1462" s="45">
        <v>91</v>
      </c>
      <c r="L1462" s="45">
        <v>129</v>
      </c>
      <c r="M1462" s="26">
        <f t="shared" si="159"/>
        <v>243</v>
      </c>
      <c r="N1462" s="26"/>
      <c r="O1462" s="48">
        <f t="shared" si="160"/>
        <v>3.9493900066449128</v>
      </c>
      <c r="P1462" s="48">
        <f t="shared" si="161"/>
        <v>3.9777236052888476</v>
      </c>
      <c r="Q1462" s="48">
        <f t="shared" si="162"/>
        <v>4.0293837776852097</v>
      </c>
      <c r="R1462" s="48">
        <f t="shared" si="163"/>
        <v>1.9590413923210936</v>
      </c>
      <c r="S1462" s="48">
        <f t="shared" si="164"/>
        <v>2.1105897102992488</v>
      </c>
      <c r="T1462" s="48">
        <f t="shared" si="165"/>
        <v>2.3856062735983121</v>
      </c>
      <c r="U1462" s="48">
        <v>4.0293837776852097</v>
      </c>
      <c r="V1462" s="48">
        <v>2.3856062735983121</v>
      </c>
      <c r="W1462" s="49">
        <f t="shared" si="157"/>
        <v>0.3941202113569186</v>
      </c>
      <c r="X1462" s="49"/>
      <c r="Y1462" s="49"/>
      <c r="Z1462" s="49"/>
      <c r="AA1462" s="48"/>
      <c r="AB1462" s="48"/>
      <c r="AC1462" s="48"/>
      <c r="AD1462" s="48"/>
      <c r="AO1462" s="45">
        <v>3.98</v>
      </c>
      <c r="AP1462" s="45"/>
      <c r="AQ1462" s="45">
        <v>0.05</v>
      </c>
      <c r="AR1462" s="45"/>
      <c r="AS1462" s="45"/>
      <c r="AT1462" s="45"/>
      <c r="AU1462" s="45">
        <v>0.03</v>
      </c>
      <c r="AV1462" s="45"/>
      <c r="AW1462" s="45">
        <v>-0.70899999999999996</v>
      </c>
    </row>
    <row r="1463" spans="1:49" ht="15" hidden="1" customHeight="1">
      <c r="A1463" s="22" t="s">
        <v>126</v>
      </c>
      <c r="B1463" s="24" t="s">
        <v>184</v>
      </c>
      <c r="C1463" s="24" t="s">
        <v>130</v>
      </c>
      <c r="D1463" s="45">
        <v>1994</v>
      </c>
      <c r="E1463" s="45">
        <v>2</v>
      </c>
      <c r="F1463" s="45"/>
      <c r="G1463" s="34">
        <f t="shared" ref="G1463:G1472" si="166">30.47*(E1463-1)+15</f>
        <v>45.47</v>
      </c>
      <c r="H1463" s="45">
        <v>200</v>
      </c>
      <c r="I1463" s="23"/>
      <c r="K1463" s="45">
        <v>20</v>
      </c>
      <c r="O1463" s="48">
        <f t="shared" si="160"/>
        <v>2.3010299956639813</v>
      </c>
      <c r="R1463" s="48">
        <f t="shared" si="163"/>
        <v>1.3010299956639813</v>
      </c>
      <c r="U1463" s="48">
        <v>2.3010299956639813</v>
      </c>
      <c r="V1463" s="48">
        <v>1.3010299956639813</v>
      </c>
      <c r="W1463" s="49">
        <f t="shared" ref="W1463:W1516" si="167">0.9539*(4.064-0.314*U1463-V1463)</f>
        <v>1.9463819980968728</v>
      </c>
      <c r="X1463" s="49"/>
      <c r="Y1463" s="49"/>
      <c r="Z1463" s="49"/>
      <c r="AE1463" s="45">
        <v>13</v>
      </c>
      <c r="AF1463" s="45">
        <f>AE1463</f>
        <v>13</v>
      </c>
      <c r="AI1463" s="45">
        <v>520</v>
      </c>
      <c r="AM1463" s="45"/>
      <c r="AN1463" s="45"/>
    </row>
    <row r="1464" spans="1:49" ht="15" hidden="1" customHeight="1">
      <c r="A1464" s="22" t="s">
        <v>126</v>
      </c>
      <c r="B1464" s="24" t="s">
        <v>184</v>
      </c>
      <c r="C1464" s="24" t="s">
        <v>130</v>
      </c>
      <c r="D1464" s="45">
        <v>1994</v>
      </c>
      <c r="E1464" s="45">
        <v>3</v>
      </c>
      <c r="F1464" s="45"/>
      <c r="G1464" s="34">
        <f t="shared" si="166"/>
        <v>75.94</v>
      </c>
      <c r="H1464" s="45">
        <v>275</v>
      </c>
      <c r="I1464" s="23"/>
      <c r="K1464" s="45">
        <v>25</v>
      </c>
      <c r="O1464" s="48">
        <f t="shared" si="160"/>
        <v>2.4393326938302629</v>
      </c>
      <c r="R1464" s="48">
        <f t="shared" si="163"/>
        <v>1.3979400086720377</v>
      </c>
      <c r="U1464" s="48">
        <v>2.4393326938302629</v>
      </c>
      <c r="V1464" s="48">
        <v>1.3979400086720377</v>
      </c>
      <c r="W1464" s="49">
        <f t="shared" si="167"/>
        <v>1.8125144763413115</v>
      </c>
      <c r="X1464" s="49"/>
      <c r="Y1464" s="49"/>
      <c r="Z1464" s="49"/>
      <c r="AE1464" s="45">
        <v>12</v>
      </c>
      <c r="AF1464" s="45">
        <f>AVERAGE(AE1463:AE1464)</f>
        <v>12.5</v>
      </c>
      <c r="AI1464" s="45">
        <v>550</v>
      </c>
      <c r="AM1464" s="45"/>
      <c r="AN1464" s="45"/>
    </row>
    <row r="1465" spans="1:49" ht="15" hidden="1" customHeight="1">
      <c r="A1465" s="22" t="s">
        <v>126</v>
      </c>
      <c r="B1465" s="24" t="s">
        <v>184</v>
      </c>
      <c r="C1465" s="24" t="s">
        <v>130</v>
      </c>
      <c r="D1465" s="45">
        <v>1994</v>
      </c>
      <c r="E1465" s="45">
        <v>4</v>
      </c>
      <c r="F1465" s="45"/>
      <c r="G1465" s="34">
        <f t="shared" si="166"/>
        <v>106.41</v>
      </c>
      <c r="H1465" s="45">
        <v>250</v>
      </c>
      <c r="I1465" s="23"/>
      <c r="K1465" s="45">
        <v>85</v>
      </c>
      <c r="O1465" s="48">
        <f t="shared" si="160"/>
        <v>2.3979400086720375</v>
      </c>
      <c r="R1465" s="48">
        <f t="shared" si="163"/>
        <v>1.9294189257142926</v>
      </c>
      <c r="U1465" s="48">
        <v>2.3979400086720375</v>
      </c>
      <c r="V1465" s="48">
        <v>1.9294189257142926</v>
      </c>
      <c r="W1465" s="49">
        <f t="shared" si="167"/>
        <v>1.3179348648396478</v>
      </c>
      <c r="X1465" s="49"/>
      <c r="Y1465" s="49"/>
      <c r="Z1465" s="49"/>
      <c r="AE1465" s="45">
        <v>15.5</v>
      </c>
      <c r="AF1465" s="45">
        <f t="shared" ref="AF1465:AF1484" si="168">AVERAGE(AE1464:AE1465)</f>
        <v>13.75</v>
      </c>
      <c r="AI1465" s="45">
        <v>750</v>
      </c>
      <c r="AM1465" s="45"/>
      <c r="AN1465" s="45"/>
    </row>
    <row r="1466" spans="1:49" ht="15" hidden="1" customHeight="1">
      <c r="A1466" s="22" t="s">
        <v>126</v>
      </c>
      <c r="B1466" s="24" t="s">
        <v>184</v>
      </c>
      <c r="C1466" s="24" t="s">
        <v>130</v>
      </c>
      <c r="D1466" s="45">
        <v>1994</v>
      </c>
      <c r="E1466" s="45">
        <v>5</v>
      </c>
      <c r="F1466" s="45"/>
      <c r="G1466" s="34">
        <f t="shared" si="166"/>
        <v>136.88</v>
      </c>
      <c r="H1466" s="45">
        <v>500</v>
      </c>
      <c r="I1466" s="23"/>
      <c r="K1466" s="45">
        <v>82.5</v>
      </c>
      <c r="O1466" s="48">
        <f t="shared" si="160"/>
        <v>2.6989700043360187</v>
      </c>
      <c r="R1466" s="48">
        <f t="shared" si="163"/>
        <v>1.916453948549925</v>
      </c>
      <c r="U1466" s="48">
        <v>2.6989700043360187</v>
      </c>
      <c r="V1466" s="48">
        <v>1.916453948549925</v>
      </c>
      <c r="W1466" s="49">
        <f t="shared" si="167"/>
        <v>1.2401362675174823</v>
      </c>
      <c r="X1466" s="49"/>
      <c r="Y1466" s="49"/>
      <c r="Z1466" s="49"/>
      <c r="AE1466" s="45">
        <v>23.5</v>
      </c>
      <c r="AF1466" s="45">
        <f t="shared" si="168"/>
        <v>19.5</v>
      </c>
      <c r="AI1466" s="45">
        <v>750</v>
      </c>
      <c r="AM1466" s="45"/>
      <c r="AN1466" s="45"/>
    </row>
    <row r="1467" spans="1:49" ht="15" hidden="1" customHeight="1">
      <c r="A1467" s="22" t="s">
        <v>126</v>
      </c>
      <c r="B1467" s="24" t="s">
        <v>184</v>
      </c>
      <c r="C1467" s="24" t="s">
        <v>130</v>
      </c>
      <c r="D1467" s="45">
        <v>1994</v>
      </c>
      <c r="E1467" s="45">
        <v>6</v>
      </c>
      <c r="F1467" s="45"/>
      <c r="G1467" s="34">
        <f t="shared" si="166"/>
        <v>167.35</v>
      </c>
      <c r="H1467" s="45">
        <v>600</v>
      </c>
      <c r="I1467" s="23"/>
      <c r="K1467" s="45">
        <v>110</v>
      </c>
      <c r="O1467" s="48">
        <f t="shared" si="160"/>
        <v>2.7781512503836434</v>
      </c>
      <c r="R1467" s="48">
        <f t="shared" si="163"/>
        <v>2.0413926851582249</v>
      </c>
      <c r="U1467" s="48">
        <v>2.7781512503836434</v>
      </c>
      <c r="V1467" s="48">
        <v>2.0413926851582249</v>
      </c>
      <c r="W1467" s="49">
        <f t="shared" si="167"/>
        <v>1.0972404756169085</v>
      </c>
      <c r="X1467" s="49"/>
      <c r="Y1467" s="49"/>
      <c r="Z1467" s="49"/>
      <c r="AE1467" s="45">
        <v>25.5</v>
      </c>
      <c r="AF1467" s="45">
        <f t="shared" si="168"/>
        <v>24.5</v>
      </c>
      <c r="AI1467" s="45">
        <v>800</v>
      </c>
      <c r="AM1467" s="45"/>
      <c r="AN1467" s="45"/>
    </row>
    <row r="1468" spans="1:49" ht="15" hidden="1" customHeight="1">
      <c r="A1468" s="22" t="s">
        <v>126</v>
      </c>
      <c r="B1468" s="24" t="s">
        <v>184</v>
      </c>
      <c r="C1468" s="24" t="s">
        <v>130</v>
      </c>
      <c r="D1468" s="45">
        <v>1994</v>
      </c>
      <c r="E1468" s="45">
        <v>7</v>
      </c>
      <c r="F1468" s="45"/>
      <c r="G1468" s="34">
        <f t="shared" si="166"/>
        <v>197.82</v>
      </c>
      <c r="H1468" s="45">
        <v>1300</v>
      </c>
      <c r="I1468" s="23"/>
      <c r="K1468" s="45">
        <v>215</v>
      </c>
      <c r="O1468" s="48">
        <f t="shared" si="160"/>
        <v>3.1139433523068369</v>
      </c>
      <c r="R1468" s="48">
        <f t="shared" si="163"/>
        <v>2.3324384599156054</v>
      </c>
      <c r="U1468" s="48">
        <v>3.1139433523068369</v>
      </c>
      <c r="V1468" s="48">
        <v>2.3324384599156054</v>
      </c>
      <c r="W1468" s="49">
        <f t="shared" si="167"/>
        <v>0.71903391606413958</v>
      </c>
      <c r="X1468" s="49"/>
      <c r="Y1468" s="49"/>
      <c r="Z1468" s="49"/>
      <c r="AE1468" s="45">
        <v>26</v>
      </c>
      <c r="AF1468" s="45">
        <f t="shared" si="168"/>
        <v>25.75</v>
      </c>
      <c r="AI1468" s="45">
        <v>700</v>
      </c>
      <c r="AM1468" s="45"/>
      <c r="AN1468" s="45"/>
    </row>
    <row r="1469" spans="1:49" ht="15" hidden="1" customHeight="1">
      <c r="A1469" s="22" t="s">
        <v>126</v>
      </c>
      <c r="B1469" s="24" t="s">
        <v>184</v>
      </c>
      <c r="C1469" s="24" t="s">
        <v>130</v>
      </c>
      <c r="D1469" s="45">
        <v>1994</v>
      </c>
      <c r="E1469" s="45">
        <v>8</v>
      </c>
      <c r="F1469" s="45"/>
      <c r="G1469" s="34">
        <f t="shared" si="166"/>
        <v>228.29</v>
      </c>
      <c r="H1469" s="45">
        <v>2250</v>
      </c>
      <c r="I1469" s="23"/>
      <c r="K1469" s="45">
        <v>145</v>
      </c>
      <c r="O1469" s="48">
        <f t="shared" si="160"/>
        <v>3.3521825181113627</v>
      </c>
      <c r="R1469" s="48">
        <f t="shared" si="163"/>
        <v>2.1613680022349748</v>
      </c>
      <c r="U1469" s="48">
        <v>3.3521825181113627</v>
      </c>
      <c r="V1469" s="48">
        <v>2.1613680022349748</v>
      </c>
      <c r="W1469" s="49">
        <f t="shared" si="167"/>
        <v>0.81085953480375894</v>
      </c>
      <c r="X1469" s="49"/>
      <c r="Y1469" s="49"/>
      <c r="Z1469" s="49"/>
      <c r="AE1469" s="45">
        <v>21.5</v>
      </c>
      <c r="AF1469" s="45">
        <f t="shared" si="168"/>
        <v>23.75</v>
      </c>
      <c r="AI1469" s="45">
        <v>660</v>
      </c>
      <c r="AM1469" s="45"/>
      <c r="AN1469" s="45"/>
    </row>
    <row r="1470" spans="1:49" ht="15" hidden="1" customHeight="1">
      <c r="A1470" s="22" t="s">
        <v>126</v>
      </c>
      <c r="B1470" s="24" t="s">
        <v>184</v>
      </c>
      <c r="C1470" s="24" t="s">
        <v>130</v>
      </c>
      <c r="D1470" s="45">
        <v>1994</v>
      </c>
      <c r="E1470" s="45">
        <v>9</v>
      </c>
      <c r="F1470" s="45"/>
      <c r="G1470" s="34">
        <f t="shared" si="166"/>
        <v>258.76</v>
      </c>
      <c r="H1470" s="45">
        <v>2250</v>
      </c>
      <c r="I1470" s="23"/>
      <c r="K1470" s="45">
        <v>202.5</v>
      </c>
      <c r="O1470" s="48">
        <f t="shared" si="160"/>
        <v>3.3521825181113627</v>
      </c>
      <c r="R1470" s="48">
        <f t="shared" si="163"/>
        <v>2.3064250275506875</v>
      </c>
      <c r="U1470" s="48">
        <v>3.3521825181113627</v>
      </c>
      <c r="V1470" s="48">
        <v>2.3064250275506875</v>
      </c>
      <c r="W1470" s="49">
        <f t="shared" si="167"/>
        <v>0.67248963835510067</v>
      </c>
      <c r="X1470" s="49"/>
      <c r="Y1470" s="49"/>
      <c r="Z1470" s="49"/>
      <c r="AE1470" s="45">
        <v>15</v>
      </c>
      <c r="AF1470" s="45">
        <f t="shared" si="168"/>
        <v>18.25</v>
      </c>
      <c r="AI1470" s="45">
        <v>400</v>
      </c>
      <c r="AM1470" s="45"/>
      <c r="AN1470" s="45"/>
    </row>
    <row r="1471" spans="1:49" ht="15" hidden="1" customHeight="1">
      <c r="A1471" s="22" t="s">
        <v>126</v>
      </c>
      <c r="B1471" s="24" t="s">
        <v>184</v>
      </c>
      <c r="C1471" s="24" t="s">
        <v>130</v>
      </c>
      <c r="D1471" s="45">
        <v>1994</v>
      </c>
      <c r="E1471" s="45">
        <v>10</v>
      </c>
      <c r="F1471" s="45"/>
      <c r="G1471" s="34">
        <f t="shared" si="166"/>
        <v>289.23</v>
      </c>
      <c r="H1471" s="45">
        <v>2075</v>
      </c>
      <c r="I1471" s="23"/>
      <c r="K1471" s="45">
        <v>175</v>
      </c>
      <c r="O1471" s="48">
        <f t="shared" si="160"/>
        <v>3.3170181010481117</v>
      </c>
      <c r="R1471" s="48">
        <f t="shared" si="163"/>
        <v>2.2430380486862944</v>
      </c>
      <c r="U1471" s="48">
        <v>3.3170181010481117</v>
      </c>
      <c r="V1471" s="48">
        <v>2.2430380486862944</v>
      </c>
      <c r="W1471" s="49">
        <f t="shared" si="167"/>
        <v>0.74348708544894859</v>
      </c>
      <c r="X1471" s="49"/>
      <c r="Y1471" s="49"/>
      <c r="Z1471" s="49"/>
      <c r="AE1471" s="45">
        <v>11</v>
      </c>
      <c r="AF1471" s="45">
        <f t="shared" si="168"/>
        <v>13</v>
      </c>
      <c r="AI1471" s="45">
        <v>350</v>
      </c>
      <c r="AM1471" s="45"/>
      <c r="AN1471" s="45"/>
    </row>
    <row r="1472" spans="1:49" ht="15" hidden="1" customHeight="1">
      <c r="A1472" s="22" t="s">
        <v>126</v>
      </c>
      <c r="B1472" s="24" t="s">
        <v>184</v>
      </c>
      <c r="C1472" s="24" t="s">
        <v>130</v>
      </c>
      <c r="D1472" s="45">
        <v>1994</v>
      </c>
      <c r="E1472" s="45">
        <v>11</v>
      </c>
      <c r="F1472" s="45"/>
      <c r="G1472" s="34">
        <f t="shared" si="166"/>
        <v>319.7</v>
      </c>
      <c r="H1472" s="45">
        <v>1400</v>
      </c>
      <c r="I1472" s="23"/>
      <c r="K1472" s="45">
        <v>97.5</v>
      </c>
      <c r="O1472" s="48">
        <f t="shared" si="160"/>
        <v>3.1461280356782382</v>
      </c>
      <c r="R1472" s="48">
        <f t="shared" si="163"/>
        <v>1.9890046156985368</v>
      </c>
      <c r="U1472" s="48">
        <v>3.1461280356782382</v>
      </c>
      <c r="V1472" s="48">
        <v>1.9890046156985368</v>
      </c>
      <c r="W1472" s="49">
        <f t="shared" si="167"/>
        <v>1.0369953556498559</v>
      </c>
      <c r="X1472" s="49"/>
      <c r="Y1472" s="49"/>
      <c r="Z1472" s="49"/>
      <c r="AE1472" s="45">
        <v>7.5</v>
      </c>
      <c r="AF1472" s="45">
        <f t="shared" si="168"/>
        <v>9.25</v>
      </c>
      <c r="AI1472" s="45">
        <v>250</v>
      </c>
      <c r="AM1472" s="45"/>
      <c r="AN1472" s="45"/>
    </row>
    <row r="1473" spans="1:40" ht="15" hidden="1" customHeight="1">
      <c r="A1473" s="22" t="s">
        <v>126</v>
      </c>
      <c r="B1473" s="24" t="s">
        <v>184</v>
      </c>
      <c r="C1473" s="24" t="s">
        <v>130</v>
      </c>
      <c r="D1473" s="45">
        <v>1994</v>
      </c>
      <c r="E1473" s="45">
        <v>12</v>
      </c>
      <c r="F1473" s="45"/>
      <c r="G1473" s="34">
        <f>30.47*(E1473-1)+15</f>
        <v>350.16999999999996</v>
      </c>
      <c r="H1473" s="45">
        <v>1075</v>
      </c>
      <c r="I1473" s="23"/>
      <c r="K1473" s="45">
        <v>92.5</v>
      </c>
      <c r="O1473" s="48">
        <f t="shared" si="160"/>
        <v>3.0314084642516241</v>
      </c>
      <c r="R1473" s="48">
        <f t="shared" si="163"/>
        <v>1.9661417327390327</v>
      </c>
      <c r="U1473" s="48">
        <v>3.0314084642516241</v>
      </c>
      <c r="V1473" s="48">
        <v>1.9661417327390327</v>
      </c>
      <c r="W1473" s="49">
        <f t="shared" si="167"/>
        <v>1.0931655934486546</v>
      </c>
      <c r="X1473" s="49"/>
      <c r="Y1473" s="49"/>
      <c r="Z1473" s="49"/>
      <c r="AE1473" s="45">
        <v>9</v>
      </c>
      <c r="AF1473" s="45">
        <f t="shared" si="168"/>
        <v>8.25</v>
      </c>
      <c r="AI1473" s="45">
        <v>300</v>
      </c>
      <c r="AM1473" s="45"/>
      <c r="AN1473" s="45"/>
    </row>
    <row r="1474" spans="1:40" ht="15" hidden="1" customHeight="1">
      <c r="A1474" s="22" t="s">
        <v>126</v>
      </c>
      <c r="B1474" s="24" t="s">
        <v>184</v>
      </c>
      <c r="C1474" s="24" t="s">
        <v>130</v>
      </c>
      <c r="D1474" s="45">
        <v>1995</v>
      </c>
      <c r="E1474" s="45">
        <v>1</v>
      </c>
      <c r="F1474" s="45"/>
      <c r="G1474" s="34">
        <f>365+30.47*(E1474-1)+15</f>
        <v>380</v>
      </c>
      <c r="H1474" s="45">
        <v>1175</v>
      </c>
      <c r="I1474" s="23"/>
      <c r="K1474" s="45">
        <v>85</v>
      </c>
      <c r="O1474" s="48">
        <f t="shared" si="160"/>
        <v>3.070037866607755</v>
      </c>
      <c r="R1474" s="48">
        <f t="shared" si="163"/>
        <v>1.9294189257142926</v>
      </c>
      <c r="U1474" s="48">
        <v>3.070037866607755</v>
      </c>
      <c r="V1474" s="48">
        <v>1.9294189257142926</v>
      </c>
      <c r="W1474" s="49">
        <f t="shared" si="167"/>
        <v>1.1166250227805949</v>
      </c>
      <c r="X1474" s="49"/>
      <c r="Y1474" s="49"/>
      <c r="Z1474" s="49"/>
      <c r="AE1474" s="45">
        <v>9.5</v>
      </c>
      <c r="AF1474" s="45">
        <f t="shared" si="168"/>
        <v>9.25</v>
      </c>
      <c r="AI1474" s="45">
        <v>370</v>
      </c>
      <c r="AM1474" s="45"/>
      <c r="AN1474" s="45"/>
    </row>
    <row r="1475" spans="1:40" ht="15" hidden="1" customHeight="1">
      <c r="A1475" s="22" t="s">
        <v>126</v>
      </c>
      <c r="B1475" s="24" t="s">
        <v>184</v>
      </c>
      <c r="C1475" s="24" t="s">
        <v>130</v>
      </c>
      <c r="D1475" s="45">
        <v>1995</v>
      </c>
      <c r="E1475" s="45">
        <v>2</v>
      </c>
      <c r="F1475" s="45"/>
      <c r="G1475" s="34">
        <f t="shared" ref="G1475:G1484" si="169">365+30.47*(E1475-1)+15</f>
        <v>410.47</v>
      </c>
      <c r="H1475" s="45">
        <v>1450</v>
      </c>
      <c r="I1475" s="23"/>
      <c r="K1475" s="45">
        <v>110</v>
      </c>
      <c r="O1475" s="48">
        <f t="shared" si="160"/>
        <v>3.1613680022349748</v>
      </c>
      <c r="R1475" s="48">
        <f t="shared" si="163"/>
        <v>2.0413926851582249</v>
      </c>
      <c r="U1475" s="48">
        <v>3.1613680022349748</v>
      </c>
      <c r="V1475" s="48">
        <v>2.0413926851582249</v>
      </c>
      <c r="W1475" s="49">
        <f t="shared" si="167"/>
        <v>0.98245763130533903</v>
      </c>
      <c r="X1475" s="49"/>
      <c r="Y1475" s="49"/>
      <c r="Z1475" s="49"/>
      <c r="AE1475" s="45">
        <v>12</v>
      </c>
      <c r="AF1475" s="45">
        <f t="shared" si="168"/>
        <v>10.75</v>
      </c>
      <c r="AI1475" s="45">
        <v>520</v>
      </c>
      <c r="AM1475" s="45"/>
      <c r="AN1475" s="45"/>
    </row>
    <row r="1476" spans="1:40" ht="15" hidden="1" customHeight="1">
      <c r="A1476" s="22" t="s">
        <v>126</v>
      </c>
      <c r="B1476" s="24" t="s">
        <v>184</v>
      </c>
      <c r="C1476" s="24" t="s">
        <v>130</v>
      </c>
      <c r="D1476" s="45">
        <v>1995</v>
      </c>
      <c r="E1476" s="45">
        <v>3</v>
      </c>
      <c r="F1476" s="45"/>
      <c r="G1476" s="34">
        <f t="shared" si="169"/>
        <v>440.94</v>
      </c>
      <c r="H1476" s="45">
        <v>2175</v>
      </c>
      <c r="I1476" s="23"/>
      <c r="K1476" s="45">
        <v>200</v>
      </c>
      <c r="O1476" s="48">
        <f t="shared" si="160"/>
        <v>3.3374592612906562</v>
      </c>
      <c r="R1476" s="48">
        <f t="shared" si="163"/>
        <v>2.3010299956639813</v>
      </c>
      <c r="U1476" s="48">
        <v>3.3374592612906562</v>
      </c>
      <c r="V1476" s="48">
        <v>2.3010299956639813</v>
      </c>
      <c r="W1476" s="49">
        <f t="shared" si="167"/>
        <v>0.68204593688174908</v>
      </c>
      <c r="X1476" s="49"/>
      <c r="Y1476" s="49"/>
      <c r="Z1476" s="49"/>
      <c r="AE1476" s="45">
        <v>12</v>
      </c>
      <c r="AF1476" s="45">
        <f t="shared" si="168"/>
        <v>12</v>
      </c>
      <c r="AI1476" s="45">
        <v>680</v>
      </c>
      <c r="AM1476" s="45"/>
      <c r="AN1476" s="45"/>
    </row>
    <row r="1477" spans="1:40" ht="15" hidden="1" customHeight="1">
      <c r="A1477" s="22" t="s">
        <v>126</v>
      </c>
      <c r="B1477" s="24" t="s">
        <v>184</v>
      </c>
      <c r="C1477" s="24" t="s">
        <v>130</v>
      </c>
      <c r="D1477" s="45">
        <v>1995</v>
      </c>
      <c r="E1477" s="45">
        <v>4</v>
      </c>
      <c r="F1477" s="45"/>
      <c r="G1477" s="34">
        <f t="shared" si="169"/>
        <v>471.40999999999997</v>
      </c>
      <c r="H1477" s="45">
        <v>2575</v>
      </c>
      <c r="I1477" s="23"/>
      <c r="K1477" s="45">
        <v>147.5</v>
      </c>
      <c r="O1477" s="48">
        <f t="shared" si="160"/>
        <v>3.4107772333772099</v>
      </c>
      <c r="R1477" s="48">
        <f t="shared" si="163"/>
        <v>2.1687920203141817</v>
      </c>
      <c r="U1477" s="48">
        <v>3.4107772333772099</v>
      </c>
      <c r="V1477" s="48">
        <v>2.1687920203141817</v>
      </c>
      <c r="W1477" s="49">
        <f t="shared" si="167"/>
        <v>0.78622720530588652</v>
      </c>
      <c r="X1477" s="49"/>
      <c r="Y1477" s="49"/>
      <c r="Z1477" s="49"/>
      <c r="AE1477" s="45">
        <v>20.5</v>
      </c>
      <c r="AF1477" s="45">
        <f t="shared" si="168"/>
        <v>16.25</v>
      </c>
      <c r="AI1477" s="45">
        <v>720</v>
      </c>
      <c r="AM1477" s="45"/>
      <c r="AN1477" s="45"/>
    </row>
    <row r="1478" spans="1:40" ht="15" hidden="1" customHeight="1">
      <c r="A1478" s="22" t="s">
        <v>126</v>
      </c>
      <c r="B1478" s="24" t="s">
        <v>184</v>
      </c>
      <c r="C1478" s="24" t="s">
        <v>130</v>
      </c>
      <c r="D1478" s="45">
        <v>1995</v>
      </c>
      <c r="E1478" s="45">
        <v>5</v>
      </c>
      <c r="F1478" s="45"/>
      <c r="G1478" s="34">
        <f t="shared" si="169"/>
        <v>501.88</v>
      </c>
      <c r="H1478" s="45">
        <v>2775</v>
      </c>
      <c r="I1478" s="23"/>
      <c r="K1478" s="45">
        <v>145</v>
      </c>
      <c r="O1478" s="48">
        <f t="shared" si="160"/>
        <v>3.4432629874586951</v>
      </c>
      <c r="R1478" s="48">
        <f t="shared" si="163"/>
        <v>2.1613680022349748</v>
      </c>
      <c r="U1478" s="48">
        <v>3.4432629874586951</v>
      </c>
      <c r="V1478" s="48">
        <v>2.1613680022349748</v>
      </c>
      <c r="W1478" s="49">
        <f t="shared" si="167"/>
        <v>0.78357869365468702</v>
      </c>
      <c r="X1478" s="49"/>
      <c r="Y1478" s="49"/>
      <c r="Z1478" s="49"/>
      <c r="AE1478" s="45">
        <v>18</v>
      </c>
      <c r="AF1478" s="45">
        <f t="shared" si="168"/>
        <v>19.25</v>
      </c>
      <c r="AI1478" s="45">
        <v>700</v>
      </c>
      <c r="AM1478" s="45"/>
      <c r="AN1478" s="45"/>
    </row>
    <row r="1479" spans="1:40" ht="15" hidden="1" customHeight="1">
      <c r="A1479" s="22" t="s">
        <v>126</v>
      </c>
      <c r="B1479" s="24" t="s">
        <v>184</v>
      </c>
      <c r="C1479" s="24" t="s">
        <v>130</v>
      </c>
      <c r="D1479" s="45">
        <v>1995</v>
      </c>
      <c r="E1479" s="45">
        <v>6</v>
      </c>
      <c r="F1479" s="45"/>
      <c r="G1479" s="34">
        <f t="shared" si="169"/>
        <v>532.35</v>
      </c>
      <c r="H1479" s="45">
        <v>2200</v>
      </c>
      <c r="I1479" s="23"/>
      <c r="K1479" s="45">
        <v>225</v>
      </c>
      <c r="O1479" s="48">
        <f t="shared" si="160"/>
        <v>3.3424226808222062</v>
      </c>
      <c r="R1479" s="48">
        <f t="shared" si="163"/>
        <v>2.3521825181113627</v>
      </c>
      <c r="U1479" s="48">
        <v>3.3424226808222062</v>
      </c>
      <c r="V1479" s="48">
        <v>2.3521825181113627</v>
      </c>
      <c r="W1479" s="49">
        <f t="shared" si="167"/>
        <v>0.63176487946937232</v>
      </c>
      <c r="X1479" s="49"/>
      <c r="Y1479" s="49"/>
      <c r="Z1479" s="49"/>
      <c r="AE1479" s="45">
        <v>25.5</v>
      </c>
      <c r="AF1479" s="45">
        <f t="shared" si="168"/>
        <v>21.75</v>
      </c>
      <c r="AI1479" s="45">
        <v>750</v>
      </c>
      <c r="AM1479" s="45"/>
      <c r="AN1479" s="45"/>
    </row>
    <row r="1480" spans="1:40" ht="15" hidden="1" customHeight="1">
      <c r="A1480" s="22" t="s">
        <v>126</v>
      </c>
      <c r="B1480" s="24" t="s">
        <v>184</v>
      </c>
      <c r="C1480" s="24" t="s">
        <v>130</v>
      </c>
      <c r="D1480" s="45">
        <v>1995</v>
      </c>
      <c r="E1480" s="45">
        <v>7</v>
      </c>
      <c r="F1480" s="45"/>
      <c r="G1480" s="34">
        <f t="shared" si="169"/>
        <v>562.81999999999994</v>
      </c>
      <c r="H1480" s="45">
        <v>1750</v>
      </c>
      <c r="I1480" s="23"/>
      <c r="K1480" s="45">
        <v>182.5</v>
      </c>
      <c r="O1480" s="48">
        <f t="shared" si="160"/>
        <v>3.2430380486862944</v>
      </c>
      <c r="R1480" s="48">
        <f t="shared" si="163"/>
        <v>2.2612628687924934</v>
      </c>
      <c r="U1480" s="48">
        <v>3.2430380486862944</v>
      </c>
      <c r="V1480" s="48">
        <v>2.2612628687924934</v>
      </c>
      <c r="W1480" s="49">
        <f t="shared" si="167"/>
        <v>0.7482612751412977</v>
      </c>
      <c r="X1480" s="49"/>
      <c r="Y1480" s="49"/>
      <c r="Z1480" s="49"/>
      <c r="AE1480" s="45">
        <v>25.5</v>
      </c>
      <c r="AF1480" s="45">
        <f t="shared" si="168"/>
        <v>25.5</v>
      </c>
      <c r="AI1480" s="45">
        <v>750</v>
      </c>
      <c r="AM1480" s="45"/>
      <c r="AN1480" s="45"/>
    </row>
    <row r="1481" spans="1:40" ht="15" hidden="1" customHeight="1">
      <c r="A1481" s="22" t="s">
        <v>126</v>
      </c>
      <c r="B1481" s="24" t="s">
        <v>184</v>
      </c>
      <c r="C1481" s="24" t="s">
        <v>130</v>
      </c>
      <c r="D1481" s="45">
        <v>1995</v>
      </c>
      <c r="E1481" s="45">
        <v>8</v>
      </c>
      <c r="F1481" s="45"/>
      <c r="G1481" s="34">
        <f t="shared" si="169"/>
        <v>593.29</v>
      </c>
      <c r="H1481" s="45">
        <v>1200</v>
      </c>
      <c r="I1481" s="23"/>
      <c r="K1481" s="45">
        <v>107.5</v>
      </c>
      <c r="O1481" s="48">
        <f t="shared" si="160"/>
        <v>3.0791812460476247</v>
      </c>
      <c r="R1481" s="48">
        <f t="shared" si="163"/>
        <v>2.0314084642516241</v>
      </c>
      <c r="U1481" s="48">
        <v>3.0791812460476247</v>
      </c>
      <c r="V1481" s="48">
        <v>2.0314084642516241</v>
      </c>
      <c r="W1481" s="49">
        <f t="shared" si="167"/>
        <v>1.0165985349004591</v>
      </c>
      <c r="X1481" s="49"/>
      <c r="Y1481" s="49"/>
      <c r="Z1481" s="49"/>
      <c r="AE1481" s="45">
        <v>20.5</v>
      </c>
      <c r="AF1481" s="45">
        <f t="shared" si="168"/>
        <v>23</v>
      </c>
      <c r="AI1481" s="45">
        <v>640</v>
      </c>
      <c r="AM1481" s="45"/>
      <c r="AN1481" s="45"/>
    </row>
    <row r="1482" spans="1:40" ht="15" hidden="1" customHeight="1">
      <c r="A1482" s="22" t="s">
        <v>126</v>
      </c>
      <c r="B1482" s="24" t="s">
        <v>184</v>
      </c>
      <c r="C1482" s="24" t="s">
        <v>130</v>
      </c>
      <c r="D1482" s="45">
        <v>1995</v>
      </c>
      <c r="E1482" s="45">
        <v>9</v>
      </c>
      <c r="F1482" s="45"/>
      <c r="G1482" s="34">
        <f t="shared" si="169"/>
        <v>623.76</v>
      </c>
      <c r="H1482" s="45">
        <v>1000</v>
      </c>
      <c r="I1482" s="23"/>
      <c r="K1482" s="45">
        <v>90</v>
      </c>
      <c r="O1482" s="48">
        <f t="shared" si="160"/>
        <v>3</v>
      </c>
      <c r="R1482" s="48">
        <f t="shared" si="163"/>
        <v>1.954242509439325</v>
      </c>
      <c r="U1482" s="48">
        <v>3</v>
      </c>
      <c r="V1482" s="48">
        <v>1.954242509439325</v>
      </c>
      <c r="W1482" s="49">
        <f t="shared" si="167"/>
        <v>1.1139238702458278</v>
      </c>
      <c r="X1482" s="49"/>
      <c r="Y1482" s="49"/>
      <c r="Z1482" s="49"/>
      <c r="AE1482" s="45">
        <v>19</v>
      </c>
      <c r="AF1482" s="45">
        <f t="shared" si="168"/>
        <v>19.75</v>
      </c>
      <c r="AI1482" s="45">
        <v>470</v>
      </c>
      <c r="AM1482" s="45"/>
      <c r="AN1482" s="45"/>
    </row>
    <row r="1483" spans="1:40" ht="15" hidden="1" customHeight="1">
      <c r="A1483" s="22" t="s">
        <v>126</v>
      </c>
      <c r="B1483" s="24" t="s">
        <v>184</v>
      </c>
      <c r="C1483" s="24" t="s">
        <v>130</v>
      </c>
      <c r="D1483" s="45">
        <v>1995</v>
      </c>
      <c r="E1483" s="45">
        <v>10</v>
      </c>
      <c r="F1483" s="45"/>
      <c r="G1483" s="34">
        <f t="shared" si="169"/>
        <v>654.23</v>
      </c>
      <c r="H1483" s="45">
        <v>775</v>
      </c>
      <c r="I1483" s="23"/>
      <c r="K1483" s="45">
        <v>45</v>
      </c>
      <c r="O1483" s="48">
        <f t="shared" si="160"/>
        <v>2.8893017025063101</v>
      </c>
      <c r="R1483" s="48">
        <f t="shared" si="163"/>
        <v>1.6532125137753437</v>
      </c>
      <c r="U1483" s="48">
        <v>2.8893017025063101</v>
      </c>
      <c r="V1483" s="48">
        <v>1.6532125137753437</v>
      </c>
      <c r="W1483" s="49">
        <f t="shared" si="167"/>
        <v>1.4342332463871781</v>
      </c>
      <c r="X1483" s="49"/>
      <c r="Y1483" s="49"/>
      <c r="Z1483" s="49"/>
      <c r="AE1483" s="45">
        <v>14</v>
      </c>
      <c r="AF1483" s="45">
        <f t="shared" si="168"/>
        <v>16.5</v>
      </c>
      <c r="AI1483" s="45">
        <v>360</v>
      </c>
      <c r="AM1483" s="45"/>
      <c r="AN1483" s="45"/>
    </row>
    <row r="1484" spans="1:40" ht="15" hidden="1" customHeight="1">
      <c r="A1484" s="22" t="s">
        <v>126</v>
      </c>
      <c r="B1484" s="24" t="s">
        <v>184</v>
      </c>
      <c r="C1484" s="24" t="s">
        <v>130</v>
      </c>
      <c r="D1484" s="45">
        <v>1995</v>
      </c>
      <c r="E1484" s="45">
        <v>11</v>
      </c>
      <c r="F1484" s="45"/>
      <c r="G1484" s="34">
        <f t="shared" si="169"/>
        <v>684.7</v>
      </c>
      <c r="H1484" s="45">
        <v>575</v>
      </c>
      <c r="I1484" s="23"/>
      <c r="K1484" s="45">
        <v>35</v>
      </c>
      <c r="O1484" s="48">
        <f t="shared" si="160"/>
        <v>2.7596678446896306</v>
      </c>
      <c r="R1484" s="48">
        <f t="shared" si="163"/>
        <v>1.5440680443502757</v>
      </c>
      <c r="U1484" s="48">
        <v>2.7596678446896306</v>
      </c>
      <c r="V1484" s="48">
        <v>1.5440680443502757</v>
      </c>
      <c r="W1484" s="49">
        <f t="shared" si="167"/>
        <v>1.5771746851807482</v>
      </c>
      <c r="X1484" s="49"/>
      <c r="Y1484" s="49"/>
      <c r="Z1484" s="49"/>
      <c r="AE1484" s="45">
        <v>9</v>
      </c>
      <c r="AF1484" s="45">
        <f t="shared" si="168"/>
        <v>11.5</v>
      </c>
      <c r="AI1484" s="45">
        <v>250</v>
      </c>
      <c r="AM1484" s="45"/>
      <c r="AN1484" s="45"/>
    </row>
    <row r="1485" spans="1:40" s="45" customFormat="1" ht="15" hidden="1" customHeight="1">
      <c r="A1485" s="87" t="s">
        <v>150</v>
      </c>
      <c r="B1485" s="28" t="s">
        <v>149</v>
      </c>
      <c r="C1485" s="52" t="s">
        <v>148</v>
      </c>
      <c r="D1485" s="28"/>
      <c r="E1485" s="28"/>
      <c r="F1485" s="28"/>
      <c r="H1485" s="88">
        <v>490.40325877999999</v>
      </c>
      <c r="I1485" s="28"/>
      <c r="J1485" s="28"/>
      <c r="K1485" s="88">
        <v>295.56057917999999</v>
      </c>
      <c r="L1485" s="28"/>
      <c r="N1485" s="89"/>
      <c r="O1485" s="48">
        <f t="shared" si="160"/>
        <v>2.690553347451365</v>
      </c>
      <c r="R1485" s="48">
        <f t="shared" si="163"/>
        <v>2.4706465089302778</v>
      </c>
      <c r="U1485" s="48">
        <v>2.690553347451365</v>
      </c>
      <c r="V1485" s="48">
        <v>2.4706465089302778</v>
      </c>
      <c r="W1485" s="49">
        <f t="shared" si="167"/>
        <v>0.71401297995737689</v>
      </c>
      <c r="X1485" s="49"/>
      <c r="Y1485" s="49"/>
      <c r="Z1485" s="49"/>
    </row>
    <row r="1486" spans="1:40" s="45" customFormat="1" ht="15" hidden="1" customHeight="1">
      <c r="A1486" s="87" t="s">
        <v>150</v>
      </c>
      <c r="B1486" s="28" t="s">
        <v>149</v>
      </c>
      <c r="C1486" s="52" t="s">
        <v>148</v>
      </c>
      <c r="D1486" s="28"/>
      <c r="E1486" s="28"/>
      <c r="F1486" s="28"/>
      <c r="H1486" s="88">
        <v>714.11077967000006</v>
      </c>
      <c r="I1486" s="28"/>
      <c r="J1486" s="28"/>
      <c r="K1486" s="88">
        <v>374.46152559000001</v>
      </c>
      <c r="L1486" s="28"/>
      <c r="N1486" s="89"/>
      <c r="O1486" s="48">
        <f t="shared" si="160"/>
        <v>2.8537655889014921</v>
      </c>
      <c r="R1486" s="48">
        <f t="shared" si="163"/>
        <v>2.5734072023229868</v>
      </c>
      <c r="U1486" s="48">
        <v>2.8537655889014921</v>
      </c>
      <c r="V1486" s="48">
        <v>2.5734072023229868</v>
      </c>
      <c r="W1486" s="49">
        <f t="shared" si="167"/>
        <v>0.56710347319461907</v>
      </c>
      <c r="X1486" s="49"/>
      <c r="Y1486" s="49"/>
      <c r="Z1486" s="49"/>
    </row>
    <row r="1487" spans="1:40" s="45" customFormat="1" ht="15" hidden="1" customHeight="1">
      <c r="A1487" s="87" t="s">
        <v>150</v>
      </c>
      <c r="B1487" s="28" t="s">
        <v>149</v>
      </c>
      <c r="C1487" s="52" t="s">
        <v>148</v>
      </c>
      <c r="D1487" s="28"/>
      <c r="E1487" s="28"/>
      <c r="F1487" s="28"/>
      <c r="H1487" s="88">
        <v>819.47817487999998</v>
      </c>
      <c r="I1487" s="28"/>
      <c r="J1487" s="28"/>
      <c r="K1487" s="88">
        <v>479.18115738</v>
      </c>
      <c r="L1487" s="28"/>
      <c r="N1487" s="89"/>
      <c r="O1487" s="48">
        <f t="shared" si="160"/>
        <v>2.9135373915179854</v>
      </c>
      <c r="R1487" s="48">
        <f t="shared" si="163"/>
        <v>2.6804997321550834</v>
      </c>
      <c r="U1487" s="48">
        <v>2.9135373915179854</v>
      </c>
      <c r="V1487" s="48">
        <v>2.6804997321550834</v>
      </c>
      <c r="W1487" s="49">
        <f t="shared" si="167"/>
        <v>0.44704478371779788</v>
      </c>
      <c r="X1487" s="49"/>
      <c r="Y1487" s="49"/>
      <c r="Z1487" s="49"/>
    </row>
    <row r="1488" spans="1:40" s="45" customFormat="1" ht="15" hidden="1" customHeight="1">
      <c r="A1488" s="87" t="s">
        <v>150</v>
      </c>
      <c r="B1488" s="28" t="s">
        <v>149</v>
      </c>
      <c r="C1488" s="52" t="s">
        <v>148</v>
      </c>
      <c r="D1488" s="28"/>
      <c r="E1488" s="28"/>
      <c r="F1488" s="28"/>
      <c r="H1488" s="88">
        <v>952.09427319999998</v>
      </c>
      <c r="I1488" s="28"/>
      <c r="J1488" s="28"/>
      <c r="K1488" s="88">
        <v>176.33213855</v>
      </c>
      <c r="L1488" s="28"/>
      <c r="N1488" s="89"/>
      <c r="O1488" s="48">
        <f t="shared" si="160"/>
        <v>2.9786799529049555</v>
      </c>
      <c r="R1488" s="48">
        <f t="shared" si="163"/>
        <v>2.2463314746525742</v>
      </c>
      <c r="U1488" s="48">
        <v>2.9786799529049555</v>
      </c>
      <c r="V1488" s="48">
        <v>2.2463314746525742</v>
      </c>
      <c r="W1488" s="49">
        <f t="shared" si="167"/>
        <v>0.84168608490703367</v>
      </c>
      <c r="X1488" s="49"/>
      <c r="Y1488" s="49"/>
      <c r="Z1488" s="49"/>
    </row>
    <row r="1489" spans="1:26" s="45" customFormat="1" ht="15" hidden="1" customHeight="1">
      <c r="A1489" s="87" t="s">
        <v>150</v>
      </c>
      <c r="B1489" s="28" t="s">
        <v>149</v>
      </c>
      <c r="C1489" s="52" t="s">
        <v>148</v>
      </c>
      <c r="D1489" s="28"/>
      <c r="E1489" s="28"/>
      <c r="F1489" s="28"/>
      <c r="H1489" s="88">
        <v>1049.47249689</v>
      </c>
      <c r="I1489" s="28"/>
      <c r="J1489" s="28"/>
      <c r="K1489" s="88">
        <v>515.23527406000005</v>
      </c>
      <c r="L1489" s="28"/>
      <c r="N1489" s="89"/>
      <c r="O1489" s="48">
        <f t="shared" si="160"/>
        <v>3.0209710616840995</v>
      </c>
      <c r="R1489" s="48">
        <f t="shared" si="163"/>
        <v>2.7120055880575089</v>
      </c>
      <c r="U1489" s="48">
        <v>3.0209710616840995</v>
      </c>
      <c r="V1489" s="48">
        <v>2.7120055880575089</v>
      </c>
      <c r="W1489" s="49">
        <f t="shared" si="167"/>
        <v>0.38481232068943716</v>
      </c>
      <c r="X1489" s="49"/>
      <c r="Y1489" s="49"/>
      <c r="Z1489" s="49"/>
    </row>
    <row r="1490" spans="1:26" s="45" customFormat="1" ht="15" hidden="1" customHeight="1">
      <c r="A1490" s="87" t="s">
        <v>150</v>
      </c>
      <c r="B1490" s="28" t="s">
        <v>149</v>
      </c>
      <c r="C1490" s="52" t="s">
        <v>148</v>
      </c>
      <c r="D1490" s="28"/>
      <c r="E1490" s="28"/>
      <c r="F1490" s="28"/>
      <c r="H1490" s="88">
        <v>1113.9094840099999</v>
      </c>
      <c r="I1490" s="28"/>
      <c r="J1490" s="28"/>
      <c r="K1490" s="88">
        <v>574.08178802999998</v>
      </c>
      <c r="L1490" s="28"/>
      <c r="N1490" s="89"/>
      <c r="O1490" s="48">
        <f t="shared" si="160"/>
        <v>3.0468499016167745</v>
      </c>
      <c r="R1490" s="48">
        <f t="shared" si="163"/>
        <v>2.7589737696797929</v>
      </c>
      <c r="U1490" s="48">
        <v>3.0468499016167745</v>
      </c>
      <c r="V1490" s="48">
        <v>2.7589737696797929</v>
      </c>
      <c r="W1490" s="49">
        <f t="shared" si="167"/>
        <v>0.33225802306064173</v>
      </c>
      <c r="X1490" s="49"/>
      <c r="Y1490" s="49"/>
      <c r="Z1490" s="49"/>
    </row>
    <row r="1491" spans="1:26" s="45" customFormat="1" ht="15" hidden="1" customHeight="1">
      <c r="A1491" s="87" t="s">
        <v>150</v>
      </c>
      <c r="B1491" s="28" t="s">
        <v>149</v>
      </c>
      <c r="C1491" s="52" t="s">
        <v>148</v>
      </c>
      <c r="D1491" s="28"/>
      <c r="E1491" s="28"/>
      <c r="F1491" s="28"/>
      <c r="H1491" s="88">
        <v>1176.9810825</v>
      </c>
      <c r="I1491" s="28"/>
      <c r="J1491" s="28"/>
      <c r="K1491" s="88">
        <v>454.54442991000002</v>
      </c>
      <c r="L1491" s="28"/>
      <c r="N1491" s="89"/>
      <c r="O1491" s="48">
        <f t="shared" si="160"/>
        <v>3.0707694825274734</v>
      </c>
      <c r="R1491" s="48">
        <f t="shared" si="163"/>
        <v>2.6575763401909378</v>
      </c>
      <c r="U1491" s="48">
        <v>3.0707694825274734</v>
      </c>
      <c r="V1491" s="48">
        <v>2.6575763401909378</v>
      </c>
      <c r="W1491" s="49">
        <f t="shared" si="167"/>
        <v>0.42181652814561599</v>
      </c>
      <c r="X1491" s="49"/>
      <c r="Y1491" s="49"/>
      <c r="Z1491" s="49"/>
    </row>
    <row r="1492" spans="1:26" s="45" customFormat="1" ht="15" hidden="1" customHeight="1">
      <c r="A1492" s="87" t="s">
        <v>150</v>
      </c>
      <c r="B1492" s="28" t="s">
        <v>149</v>
      </c>
      <c r="C1492" s="52" t="s">
        <v>148</v>
      </c>
      <c r="D1492" s="28"/>
      <c r="E1492" s="28"/>
      <c r="F1492" s="28"/>
      <c r="H1492" s="88">
        <v>1233.8189734499999</v>
      </c>
      <c r="I1492" s="28"/>
      <c r="J1492" s="28"/>
      <c r="K1492" s="88">
        <v>371.87466015000001</v>
      </c>
      <c r="L1492" s="28"/>
      <c r="N1492" s="89"/>
      <c r="O1492" s="48">
        <f t="shared" si="160"/>
        <v>3.0912514444630586</v>
      </c>
      <c r="R1492" s="48">
        <f t="shared" si="163"/>
        <v>2.5703965861783806</v>
      </c>
      <c r="U1492" s="48">
        <v>3.0912514444630586</v>
      </c>
      <c r="V1492" s="48">
        <v>2.5703965861783806</v>
      </c>
      <c r="W1492" s="49">
        <f t="shared" si="167"/>
        <v>0.49884244404222294</v>
      </c>
      <c r="X1492" s="49"/>
      <c r="Y1492" s="49"/>
      <c r="Z1492" s="49"/>
    </row>
    <row r="1493" spans="1:26" s="45" customFormat="1" ht="15" hidden="1" customHeight="1">
      <c r="A1493" s="87" t="s">
        <v>150</v>
      </c>
      <c r="B1493" s="28" t="s">
        <v>149</v>
      </c>
      <c r="C1493" s="52" t="s">
        <v>148</v>
      </c>
      <c r="D1493" s="28"/>
      <c r="E1493" s="28"/>
      <c r="F1493" s="28"/>
      <c r="H1493" s="88">
        <v>1244.3797497800001</v>
      </c>
      <c r="I1493" s="28"/>
      <c r="J1493" s="28"/>
      <c r="K1493" s="88">
        <v>512.39666146000002</v>
      </c>
      <c r="L1493" s="28"/>
      <c r="N1493" s="89"/>
      <c r="O1493" s="48">
        <f t="shared" si="160"/>
        <v>3.0949529350705767</v>
      </c>
      <c r="R1493" s="48">
        <f t="shared" si="163"/>
        <v>2.7096062914195982</v>
      </c>
      <c r="U1493" s="48">
        <v>3.0949529350705767</v>
      </c>
      <c r="V1493" s="48">
        <v>2.7096062914195982</v>
      </c>
      <c r="W1493" s="49">
        <f t="shared" si="167"/>
        <v>0.36494161871900499</v>
      </c>
      <c r="X1493" s="49"/>
      <c r="Y1493" s="49"/>
      <c r="Z1493" s="49"/>
    </row>
    <row r="1494" spans="1:26" s="45" customFormat="1" ht="15" hidden="1" customHeight="1">
      <c r="A1494" s="87" t="s">
        <v>150</v>
      </c>
      <c r="B1494" s="28" t="s">
        <v>149</v>
      </c>
      <c r="C1494" s="52" t="s">
        <v>148</v>
      </c>
      <c r="D1494" s="28"/>
      <c r="E1494" s="28"/>
      <c r="F1494" s="28"/>
      <c r="H1494" s="88">
        <v>1290.0009179599999</v>
      </c>
      <c r="I1494" s="28"/>
      <c r="J1494" s="28"/>
      <c r="K1494" s="88">
        <v>362.94922064000002</v>
      </c>
      <c r="L1494" s="28"/>
      <c r="N1494" s="89"/>
      <c r="O1494" s="48">
        <f t="shared" si="160"/>
        <v>3.1105900193417457</v>
      </c>
      <c r="R1494" s="48">
        <f t="shared" si="163"/>
        <v>2.5598458681808078</v>
      </c>
      <c r="U1494" s="48">
        <v>3.1105900193417457</v>
      </c>
      <c r="V1494" s="48">
        <v>2.5598458681808078</v>
      </c>
      <c r="W1494" s="49">
        <f t="shared" si="167"/>
        <v>0.50311439503499866</v>
      </c>
      <c r="X1494" s="49"/>
      <c r="Y1494" s="49"/>
      <c r="Z1494" s="49"/>
    </row>
    <row r="1495" spans="1:26" s="45" customFormat="1" ht="15" hidden="1" customHeight="1">
      <c r="A1495" s="87" t="s">
        <v>150</v>
      </c>
      <c r="B1495" s="28" t="s">
        <v>149</v>
      </c>
      <c r="C1495" s="52" t="s">
        <v>148</v>
      </c>
      <c r="D1495" s="28"/>
      <c r="E1495" s="28"/>
      <c r="F1495" s="28"/>
      <c r="H1495" s="88">
        <v>1540.7352150300001</v>
      </c>
      <c r="I1495" s="28"/>
      <c r="J1495" s="28"/>
      <c r="K1495" s="88">
        <v>391.04697238</v>
      </c>
      <c r="L1495" s="28"/>
      <c r="N1495" s="89"/>
      <c r="O1495" s="48">
        <f t="shared" si="160"/>
        <v>3.1877280089117543</v>
      </c>
      <c r="R1495" s="48">
        <f t="shared" si="163"/>
        <v>2.5922289277799506</v>
      </c>
      <c r="U1495" s="48">
        <v>3.1877280089117543</v>
      </c>
      <c r="V1495" s="48">
        <v>2.5922289277799506</v>
      </c>
      <c r="W1495" s="49">
        <f t="shared" si="167"/>
        <v>0.4491194690126154</v>
      </c>
      <c r="X1495" s="49"/>
      <c r="Y1495" s="49"/>
      <c r="Z1495" s="49"/>
    </row>
    <row r="1496" spans="1:26" s="45" customFormat="1" ht="15" hidden="1" customHeight="1">
      <c r="A1496" s="87" t="s">
        <v>150</v>
      </c>
      <c r="B1496" s="28" t="s">
        <v>149</v>
      </c>
      <c r="C1496" s="52" t="s">
        <v>148</v>
      </c>
      <c r="D1496" s="28"/>
      <c r="E1496" s="28"/>
      <c r="F1496" s="28"/>
      <c r="H1496" s="88">
        <v>1844.1134162599999</v>
      </c>
      <c r="I1496" s="28"/>
      <c r="J1496" s="28"/>
      <c r="K1496" s="88">
        <v>475.98901687</v>
      </c>
      <c r="L1496" s="28"/>
      <c r="N1496" s="89"/>
      <c r="O1496" s="48">
        <f t="shared" si="160"/>
        <v>3.2657876274232382</v>
      </c>
      <c r="R1496" s="48">
        <f t="shared" si="163"/>
        <v>2.6775969317797705</v>
      </c>
      <c r="U1496" s="48">
        <v>3.2657876274232382</v>
      </c>
      <c r="V1496" s="48">
        <v>2.6775969317797705</v>
      </c>
      <c r="W1496" s="49">
        <f t="shared" si="167"/>
        <v>0.34430615398638248</v>
      </c>
      <c r="X1496" s="49"/>
      <c r="Y1496" s="49"/>
      <c r="Z1496" s="49"/>
    </row>
    <row r="1497" spans="1:26" s="45" customFormat="1" ht="15" hidden="1" customHeight="1">
      <c r="A1497" s="87" t="s">
        <v>150</v>
      </c>
      <c r="B1497" s="28" t="s">
        <v>149</v>
      </c>
      <c r="C1497" s="52" t="s">
        <v>148</v>
      </c>
      <c r="D1497" s="28"/>
      <c r="E1497" s="28"/>
      <c r="F1497" s="28"/>
      <c r="H1497" s="88">
        <v>1853.91154785</v>
      </c>
      <c r="I1497" s="28"/>
      <c r="J1497" s="28"/>
      <c r="K1497" s="88">
        <v>370.36209377</v>
      </c>
      <c r="L1497" s="28"/>
      <c r="N1497" s="89"/>
      <c r="O1497" s="48">
        <f t="shared" si="160"/>
        <v>3.2680890096374768</v>
      </c>
      <c r="R1497" s="48">
        <f t="shared" si="163"/>
        <v>2.5686265306315237</v>
      </c>
      <c r="U1497" s="48">
        <v>3.2680890096374768</v>
      </c>
      <c r="V1497" s="48">
        <v>2.5686265306315237</v>
      </c>
      <c r="W1497" s="49">
        <f t="shared" si="167"/>
        <v>0.44756369905452809</v>
      </c>
      <c r="X1497" s="49"/>
      <c r="Y1497" s="49"/>
      <c r="Z1497" s="49"/>
    </row>
    <row r="1498" spans="1:26" s="45" customFormat="1" ht="15" hidden="1" customHeight="1">
      <c r="A1498" s="87" t="s">
        <v>150</v>
      </c>
      <c r="B1498" s="28" t="s">
        <v>149</v>
      </c>
      <c r="C1498" s="52" t="s">
        <v>148</v>
      </c>
      <c r="D1498" s="28"/>
      <c r="E1498" s="28"/>
      <c r="F1498" s="28"/>
      <c r="H1498" s="88">
        <v>1895.29417711</v>
      </c>
      <c r="I1498" s="28"/>
      <c r="J1498" s="28"/>
      <c r="K1498" s="88">
        <v>365.41138581000001</v>
      </c>
      <c r="L1498" s="28"/>
      <c r="N1498" s="89"/>
      <c r="O1498" s="48">
        <f t="shared" si="160"/>
        <v>3.2776766283304766</v>
      </c>
      <c r="R1498" s="48">
        <f t="shared" si="163"/>
        <v>2.5627820753575619</v>
      </c>
      <c r="U1498" s="48">
        <v>3.2776766283304766</v>
      </c>
      <c r="V1498" s="48">
        <v>2.5627820753575619</v>
      </c>
      <c r="W1498" s="49">
        <f t="shared" si="167"/>
        <v>0.45026699728638736</v>
      </c>
      <c r="X1498" s="49"/>
      <c r="Y1498" s="49"/>
      <c r="Z1498" s="49"/>
    </row>
    <row r="1499" spans="1:26" s="45" customFormat="1" ht="15" hidden="1" customHeight="1">
      <c r="A1499" s="87" t="s">
        <v>150</v>
      </c>
      <c r="B1499" s="28" t="s">
        <v>149</v>
      </c>
      <c r="C1499" s="52" t="s">
        <v>148</v>
      </c>
      <c r="D1499" s="28"/>
      <c r="E1499" s="28"/>
      <c r="F1499" s="28"/>
      <c r="H1499" s="88">
        <v>1967.2950093899999</v>
      </c>
      <c r="I1499" s="28"/>
      <c r="J1499" s="28"/>
      <c r="K1499" s="88">
        <v>569.76035676000004</v>
      </c>
      <c r="L1499" s="28"/>
      <c r="N1499" s="89"/>
      <c r="O1499" s="48">
        <f t="shared" si="160"/>
        <v>3.2938694902413492</v>
      </c>
      <c r="R1499" s="48">
        <f t="shared" si="163"/>
        <v>2.7556922282672236</v>
      </c>
      <c r="U1499" s="48">
        <v>3.2938694902413492</v>
      </c>
      <c r="V1499" s="48">
        <v>2.7556922282672236</v>
      </c>
      <c r="W1499" s="49">
        <f t="shared" si="167"/>
        <v>0.26139984193915133</v>
      </c>
      <c r="X1499" s="49"/>
      <c r="Y1499" s="49"/>
      <c r="Z1499" s="49"/>
    </row>
    <row r="1500" spans="1:26" s="45" customFormat="1" ht="15" hidden="1" customHeight="1">
      <c r="A1500" s="87" t="s">
        <v>150</v>
      </c>
      <c r="B1500" s="28" t="s">
        <v>149</v>
      </c>
      <c r="C1500" s="52" t="s">
        <v>148</v>
      </c>
      <c r="D1500" s="28"/>
      <c r="E1500" s="28"/>
      <c r="F1500" s="28"/>
      <c r="H1500" s="88">
        <v>1986.1641721000001</v>
      </c>
      <c r="I1500" s="28"/>
      <c r="J1500" s="28"/>
      <c r="K1500" s="88">
        <v>440.22322342000001</v>
      </c>
      <c r="L1500" s="28"/>
      <c r="N1500" s="89"/>
      <c r="O1500" s="48">
        <f t="shared" si="160"/>
        <v>3.2980151434999052</v>
      </c>
      <c r="R1500" s="48">
        <f t="shared" si="163"/>
        <v>2.6436729494783933</v>
      </c>
      <c r="U1500" s="48">
        <v>3.2980151434999052</v>
      </c>
      <c r="V1500" s="48">
        <v>2.6436729494783933</v>
      </c>
      <c r="W1500" s="49">
        <f t="shared" si="167"/>
        <v>0.36701330684180894</v>
      </c>
      <c r="X1500" s="49"/>
      <c r="Y1500" s="49"/>
      <c r="Z1500" s="49"/>
    </row>
    <row r="1501" spans="1:26" s="45" customFormat="1" ht="15" hidden="1" customHeight="1">
      <c r="A1501" s="87" t="s">
        <v>150</v>
      </c>
      <c r="B1501" s="28" t="s">
        <v>149</v>
      </c>
      <c r="C1501" s="52" t="s">
        <v>148</v>
      </c>
      <c r="D1501" s="28"/>
      <c r="E1501" s="28"/>
      <c r="F1501" s="28"/>
      <c r="H1501" s="88">
        <v>2159.9765496</v>
      </c>
      <c r="I1501" s="28"/>
      <c r="J1501" s="28"/>
      <c r="K1501" s="88">
        <v>485.20277959999999</v>
      </c>
      <c r="L1501" s="28"/>
      <c r="N1501" s="89"/>
      <c r="O1501" s="48">
        <f t="shared" si="160"/>
        <v>3.3344490361349108</v>
      </c>
      <c r="R1501" s="48">
        <f t="shared" si="163"/>
        <v>2.6859232801613206</v>
      </c>
      <c r="U1501" s="48">
        <v>3.3344490361349108</v>
      </c>
      <c r="V1501" s="48">
        <v>2.6859232801613206</v>
      </c>
      <c r="W1501" s="49">
        <f t="shared" si="167"/>
        <v>0.31579786928542147</v>
      </c>
      <c r="X1501" s="49"/>
      <c r="Y1501" s="49"/>
      <c r="Z1501" s="49"/>
    </row>
    <row r="1502" spans="1:26" s="45" customFormat="1" ht="15" hidden="1" customHeight="1">
      <c r="A1502" s="87" t="s">
        <v>150</v>
      </c>
      <c r="B1502" s="28" t="s">
        <v>149</v>
      </c>
      <c r="C1502" s="52" t="s">
        <v>148</v>
      </c>
      <c r="D1502" s="28"/>
      <c r="E1502" s="28"/>
      <c r="F1502" s="28"/>
      <c r="H1502" s="88">
        <v>2209.93365356</v>
      </c>
      <c r="I1502" s="28"/>
      <c r="J1502" s="28"/>
      <c r="K1502" s="88">
        <v>512.14839436</v>
      </c>
      <c r="L1502" s="28"/>
      <c r="N1502" s="89"/>
      <c r="O1502" s="48">
        <f t="shared" si="160"/>
        <v>3.344379235528864</v>
      </c>
      <c r="R1502" s="48">
        <f t="shared" si="163"/>
        <v>2.709395815495546</v>
      </c>
      <c r="U1502" s="48">
        <v>3.344379235528864</v>
      </c>
      <c r="V1502" s="48">
        <v>2.709395815495546</v>
      </c>
      <c r="W1502" s="49">
        <f t="shared" si="167"/>
        <v>0.29043307882871011</v>
      </c>
      <c r="X1502" s="49"/>
      <c r="Y1502" s="49"/>
      <c r="Z1502" s="49"/>
    </row>
    <row r="1503" spans="1:26" s="45" customFormat="1" ht="15" hidden="1" customHeight="1">
      <c r="A1503" s="87" t="s">
        <v>150</v>
      </c>
      <c r="B1503" s="28" t="s">
        <v>149</v>
      </c>
      <c r="C1503" s="52" t="s">
        <v>148</v>
      </c>
      <c r="D1503" s="28"/>
      <c r="E1503" s="28"/>
      <c r="F1503" s="28"/>
      <c r="H1503" s="88">
        <v>2243.1496934199999</v>
      </c>
      <c r="I1503" s="28"/>
      <c r="J1503" s="28"/>
      <c r="K1503" s="88">
        <v>429.46031841000001</v>
      </c>
      <c r="L1503" s="28"/>
      <c r="N1503" s="89"/>
      <c r="O1503" s="48">
        <f t="shared" si="160"/>
        <v>3.350858256577629</v>
      </c>
      <c r="R1503" s="48">
        <f t="shared" si="163"/>
        <v>2.6329230417604572</v>
      </c>
      <c r="U1503" s="48">
        <v>3.350858256577629</v>
      </c>
      <c r="V1503" s="48">
        <v>2.6329230417604572</v>
      </c>
      <c r="W1503" s="49">
        <f t="shared" si="167"/>
        <v>0.36143983150658843</v>
      </c>
      <c r="X1503" s="49"/>
      <c r="Y1503" s="49"/>
      <c r="Z1503" s="49"/>
    </row>
    <row r="1504" spans="1:26" s="45" customFormat="1" ht="15" hidden="1" customHeight="1">
      <c r="A1504" s="87" t="s">
        <v>150</v>
      </c>
      <c r="B1504" s="28" t="s">
        <v>149</v>
      </c>
      <c r="C1504" s="52" t="s">
        <v>148</v>
      </c>
      <c r="D1504" s="28"/>
      <c r="E1504" s="28"/>
      <c r="F1504" s="28"/>
      <c r="H1504" s="88">
        <v>2325.7287430900001</v>
      </c>
      <c r="I1504" s="28"/>
      <c r="J1504" s="28"/>
      <c r="K1504" s="88">
        <v>440.48637527</v>
      </c>
      <c r="L1504" s="28"/>
      <c r="N1504" s="89"/>
      <c r="O1504" s="48">
        <f t="shared" si="160"/>
        <v>3.3665590602424182</v>
      </c>
      <c r="R1504" s="48">
        <f t="shared" si="163"/>
        <v>2.6439324797479138</v>
      </c>
      <c r="U1504" s="48">
        <v>3.3665590602424182</v>
      </c>
      <c r="V1504" s="48">
        <v>2.6439324797479138</v>
      </c>
      <c r="W1504" s="49">
        <f t="shared" si="167"/>
        <v>0.34623515167297886</v>
      </c>
      <c r="X1504" s="49"/>
      <c r="Y1504" s="49"/>
      <c r="Z1504" s="49"/>
    </row>
    <row r="1505" spans="1:48" s="45" customFormat="1" ht="15" hidden="1" customHeight="1">
      <c r="A1505" s="87" t="s">
        <v>150</v>
      </c>
      <c r="B1505" s="28" t="s">
        <v>149</v>
      </c>
      <c r="C1505" s="52" t="s">
        <v>148</v>
      </c>
      <c r="D1505" s="28"/>
      <c r="E1505" s="28"/>
      <c r="F1505" s="28"/>
      <c r="H1505" s="88">
        <v>2453.3616092799998</v>
      </c>
      <c r="I1505" s="28"/>
      <c r="J1505" s="28"/>
      <c r="K1505" s="88">
        <v>33.992060199999997</v>
      </c>
      <c r="L1505" s="28"/>
      <c r="N1505" s="89"/>
      <c r="O1505" s="48">
        <f t="shared" si="160"/>
        <v>3.3897615650594837</v>
      </c>
      <c r="R1505" s="48">
        <f t="shared" si="163"/>
        <v>1.5313774872184507</v>
      </c>
      <c r="U1505" s="48">
        <v>3.3897615650594837</v>
      </c>
      <c r="V1505" s="48">
        <v>1.5313774872184507</v>
      </c>
      <c r="W1505" s="49">
        <f t="shared" si="167"/>
        <v>1.400551638072504</v>
      </c>
      <c r="X1505" s="49"/>
      <c r="Y1505" s="49"/>
      <c r="Z1505" s="49"/>
    </row>
    <row r="1506" spans="1:48" s="45" customFormat="1" ht="15" hidden="1" customHeight="1">
      <c r="A1506" s="87" t="s">
        <v>150</v>
      </c>
      <c r="B1506" s="28" t="s">
        <v>149</v>
      </c>
      <c r="C1506" s="52" t="s">
        <v>148</v>
      </c>
      <c r="D1506" s="28"/>
      <c r="E1506" s="28"/>
      <c r="F1506" s="28"/>
      <c r="H1506" s="88">
        <v>2431.5042411499999</v>
      </c>
      <c r="I1506" s="28"/>
      <c r="J1506" s="28"/>
      <c r="K1506" s="88">
        <v>499.36492528999997</v>
      </c>
      <c r="L1506" s="28"/>
      <c r="N1506" s="89"/>
      <c r="O1506" s="48">
        <f t="shared" si="160"/>
        <v>3.3858750314227795</v>
      </c>
      <c r="R1506" s="48">
        <f t="shared" si="163"/>
        <v>2.6984180348355959</v>
      </c>
      <c r="U1506" s="48">
        <v>3.3858750314227795</v>
      </c>
      <c r="V1506" s="48">
        <v>2.6984180348355959</v>
      </c>
      <c r="W1506" s="49">
        <f t="shared" si="167"/>
        <v>0.28847577213342934</v>
      </c>
      <c r="X1506" s="49"/>
      <c r="Y1506" s="49"/>
      <c r="Z1506" s="49"/>
    </row>
    <row r="1507" spans="1:48" s="45" customFormat="1" ht="15" hidden="1" customHeight="1">
      <c r="A1507" s="87" t="s">
        <v>150</v>
      </c>
      <c r="B1507" s="28" t="s">
        <v>149</v>
      </c>
      <c r="C1507" s="52" t="s">
        <v>148</v>
      </c>
      <c r="D1507" s="28"/>
      <c r="E1507" s="28"/>
      <c r="F1507" s="28"/>
      <c r="H1507" s="88">
        <v>2446.4895480300002</v>
      </c>
      <c r="I1507" s="28"/>
      <c r="J1507" s="28"/>
      <c r="K1507" s="88">
        <v>474.46272081000001</v>
      </c>
      <c r="L1507" s="28"/>
      <c r="N1507" s="89"/>
      <c r="O1507" s="48">
        <f t="shared" si="160"/>
        <v>3.3885433646933034</v>
      </c>
      <c r="R1507" s="48">
        <f t="shared" si="163"/>
        <v>2.6762020949876923</v>
      </c>
      <c r="U1507" s="48">
        <v>3.3885433646933034</v>
      </c>
      <c r="V1507" s="48">
        <v>2.6762020949876923</v>
      </c>
      <c r="W1507" s="49">
        <f t="shared" si="167"/>
        <v>0.30886832569882444</v>
      </c>
      <c r="X1507" s="49"/>
      <c r="Y1507" s="49"/>
      <c r="Z1507" s="49"/>
    </row>
    <row r="1508" spans="1:48" s="45" customFormat="1" ht="15" hidden="1" customHeight="1">
      <c r="A1508" s="87" t="s">
        <v>150</v>
      </c>
      <c r="B1508" s="28" t="s">
        <v>149</v>
      </c>
      <c r="C1508" s="52" t="s">
        <v>148</v>
      </c>
      <c r="D1508" s="28"/>
      <c r="E1508" s="28"/>
      <c r="F1508" s="28"/>
      <c r="H1508" s="88">
        <v>2520.0596357700001</v>
      </c>
      <c r="I1508" s="28"/>
      <c r="J1508" s="28"/>
      <c r="K1508" s="88">
        <v>502.42321250999998</v>
      </c>
      <c r="L1508" s="28"/>
      <c r="N1508" s="89"/>
      <c r="O1508" s="48">
        <f t="shared" si="160"/>
        <v>3.4014108182336806</v>
      </c>
      <c r="R1508" s="48">
        <f t="shared" si="163"/>
        <v>2.7010696960797018</v>
      </c>
      <c r="U1508" s="48">
        <v>3.4014108182336806</v>
      </c>
      <c r="V1508" s="48">
        <v>2.7010696960797018</v>
      </c>
      <c r="W1508" s="49">
        <f t="shared" si="167"/>
        <v>0.28129300214245656</v>
      </c>
      <c r="X1508" s="49"/>
      <c r="Y1508" s="49"/>
      <c r="Z1508" s="49"/>
    </row>
    <row r="1509" spans="1:48" s="45" customFormat="1" ht="15" hidden="1" customHeight="1">
      <c r="A1509" s="87" t="s">
        <v>150</v>
      </c>
      <c r="B1509" s="28" t="s">
        <v>149</v>
      </c>
      <c r="C1509" s="52" t="s">
        <v>148</v>
      </c>
      <c r="D1509" s="28"/>
      <c r="E1509" s="28"/>
      <c r="F1509" s="28"/>
      <c r="H1509" s="88">
        <v>2540.3653411599998</v>
      </c>
      <c r="I1509" s="28"/>
      <c r="J1509" s="28"/>
      <c r="K1509" s="88">
        <v>543.29756865000002</v>
      </c>
      <c r="L1509" s="28"/>
      <c r="N1509" s="89"/>
      <c r="O1509" s="48">
        <f t="shared" si="160"/>
        <v>3.4048961789191701</v>
      </c>
      <c r="R1509" s="48">
        <f t="shared" si="163"/>
        <v>2.7350377614956178</v>
      </c>
      <c r="U1509" s="48">
        <v>3.4048961789191701</v>
      </c>
      <c r="V1509" s="48">
        <v>2.7350377614956178</v>
      </c>
      <c r="W1509" s="49">
        <f t="shared" si="167"/>
        <v>0.24784691327703742</v>
      </c>
      <c r="X1509" s="49"/>
      <c r="Y1509" s="49"/>
      <c r="Z1509" s="49"/>
    </row>
    <row r="1510" spans="1:48" s="45" customFormat="1" ht="13.5" hidden="1" customHeight="1">
      <c r="A1510" s="87" t="s">
        <v>150</v>
      </c>
      <c r="B1510" s="28" t="s">
        <v>149</v>
      </c>
      <c r="C1510" s="52" t="s">
        <v>148</v>
      </c>
      <c r="D1510" s="28"/>
      <c r="E1510" s="28"/>
      <c r="F1510" s="28"/>
      <c r="H1510" s="88">
        <v>2578.3342103199998</v>
      </c>
      <c r="I1510" s="28"/>
      <c r="J1510" s="28"/>
      <c r="K1510" s="88">
        <v>258.31315869000002</v>
      </c>
      <c r="L1510" s="28"/>
      <c r="N1510" s="89"/>
      <c r="O1510" s="48">
        <f t="shared" si="160"/>
        <v>3.411339211035338</v>
      </c>
      <c r="R1510" s="48">
        <f t="shared" si="163"/>
        <v>2.4121465300637417</v>
      </c>
      <c r="U1510" s="48">
        <v>3.411339211035338</v>
      </c>
      <c r="V1510" s="48">
        <v>2.4121465300637417</v>
      </c>
      <c r="W1510" s="49">
        <f t="shared" si="167"/>
        <v>0.55392301232252172</v>
      </c>
      <c r="X1510" s="49"/>
      <c r="Y1510" s="49"/>
      <c r="Z1510" s="49"/>
    </row>
    <row r="1511" spans="1:48" s="45" customFormat="1" ht="15" hidden="1" customHeight="1">
      <c r="A1511" s="87" t="s">
        <v>150</v>
      </c>
      <c r="B1511" s="28" t="s">
        <v>149</v>
      </c>
      <c r="C1511" s="52" t="s">
        <v>148</v>
      </c>
      <c r="D1511" s="28"/>
      <c r="E1511" s="28"/>
      <c r="F1511" s="28"/>
      <c r="H1511" s="88">
        <v>2598.57770497</v>
      </c>
      <c r="I1511" s="28"/>
      <c r="J1511" s="28"/>
      <c r="K1511" s="88">
        <v>638.01513706000003</v>
      </c>
      <c r="L1511" s="28"/>
      <c r="N1511" s="89"/>
      <c r="O1511" s="48">
        <f t="shared" si="160"/>
        <v>3.4147357080109537</v>
      </c>
      <c r="R1511" s="48">
        <f t="shared" si="163"/>
        <v>2.8048309825826756</v>
      </c>
      <c r="U1511" s="48">
        <v>3.4147357080109537</v>
      </c>
      <c r="V1511" s="48">
        <v>2.8048309825826756</v>
      </c>
      <c r="W1511" s="49">
        <f t="shared" si="167"/>
        <v>0.17832397866668839</v>
      </c>
      <c r="X1511" s="49"/>
      <c r="Y1511" s="49"/>
      <c r="Z1511" s="49"/>
    </row>
    <row r="1512" spans="1:48" s="45" customFormat="1" ht="15" hidden="1" customHeight="1">
      <c r="A1512" s="87" t="s">
        <v>150</v>
      </c>
      <c r="B1512" s="28" t="s">
        <v>149</v>
      </c>
      <c r="C1512" s="52" t="s">
        <v>148</v>
      </c>
      <c r="D1512" s="28"/>
      <c r="E1512" s="28"/>
      <c r="F1512" s="28"/>
      <c r="H1512" s="88">
        <v>2634.4539440899998</v>
      </c>
      <c r="I1512" s="28"/>
      <c r="J1512" s="28"/>
      <c r="K1512" s="88">
        <v>588.21534141999996</v>
      </c>
      <c r="L1512" s="28"/>
      <c r="N1512" s="89"/>
      <c r="O1512" s="48">
        <f t="shared" si="160"/>
        <v>3.4206906105753818</v>
      </c>
      <c r="R1512" s="48">
        <f t="shared" si="163"/>
        <v>2.7695363472828558</v>
      </c>
      <c r="U1512" s="48">
        <v>3.4206906105753818</v>
      </c>
      <c r="V1512" s="48">
        <v>2.7695363472828558</v>
      </c>
      <c r="W1512" s="49">
        <f t="shared" si="167"/>
        <v>0.21020789147053684</v>
      </c>
      <c r="X1512" s="49"/>
      <c r="Y1512" s="49"/>
      <c r="Z1512" s="49"/>
    </row>
    <row r="1513" spans="1:48" s="45" customFormat="1" ht="15" hidden="1" customHeight="1">
      <c r="A1513" s="87" t="s">
        <v>150</v>
      </c>
      <c r="B1513" s="28" t="s">
        <v>149</v>
      </c>
      <c r="C1513" s="52" t="s">
        <v>148</v>
      </c>
      <c r="D1513" s="28"/>
      <c r="E1513" s="28"/>
      <c r="F1513" s="28"/>
      <c r="H1513" s="88">
        <v>2870.5044148500001</v>
      </c>
      <c r="I1513" s="28"/>
      <c r="J1513" s="28"/>
      <c r="K1513" s="88">
        <v>607.33277155999997</v>
      </c>
      <c r="L1513" s="28"/>
      <c r="N1513" s="89"/>
      <c r="O1513" s="48">
        <f t="shared" si="160"/>
        <v>3.457958219151215</v>
      </c>
      <c r="R1513" s="48">
        <f t="shared" si="163"/>
        <v>2.7834267162018862</v>
      </c>
      <c r="U1513" s="48">
        <v>3.457958219151215</v>
      </c>
      <c r="V1513" s="48">
        <v>2.7834267162018862</v>
      </c>
      <c r="W1513" s="49">
        <f t="shared" si="167"/>
        <v>0.185795303007041</v>
      </c>
      <c r="X1513" s="49"/>
      <c r="Y1513" s="49"/>
      <c r="Z1513" s="49"/>
    </row>
    <row r="1514" spans="1:48" s="45" customFormat="1" ht="15" hidden="1" customHeight="1">
      <c r="A1514" s="87" t="s">
        <v>150</v>
      </c>
      <c r="B1514" s="28" t="s">
        <v>149</v>
      </c>
      <c r="C1514" s="52" t="s">
        <v>148</v>
      </c>
      <c r="D1514" s="28"/>
      <c r="E1514" s="28"/>
      <c r="F1514" s="28"/>
      <c r="H1514" s="88">
        <v>2905.1921727499998</v>
      </c>
      <c r="I1514" s="28"/>
      <c r="J1514" s="28"/>
      <c r="K1514" s="88">
        <v>359.21816482999998</v>
      </c>
      <c r="L1514" s="28"/>
      <c r="N1514" s="89"/>
      <c r="O1514" s="48">
        <f t="shared" si="160"/>
        <v>3.4631748654025949</v>
      </c>
      <c r="R1514" s="48">
        <f t="shared" si="163"/>
        <v>2.5553582898158931</v>
      </c>
      <c r="U1514" s="48">
        <v>3.4631748654025949</v>
      </c>
      <c r="V1514" s="48">
        <v>2.5553582898158931</v>
      </c>
      <c r="W1514" s="49">
        <f t="shared" si="167"/>
        <v>0.40178726105485357</v>
      </c>
      <c r="X1514" s="49"/>
      <c r="Y1514" s="49"/>
      <c r="Z1514" s="49"/>
    </row>
    <row r="1515" spans="1:48" s="45" customFormat="1" ht="15" hidden="1" customHeight="1">
      <c r="A1515" s="87" t="s">
        <v>150</v>
      </c>
      <c r="B1515" s="28" t="s">
        <v>149</v>
      </c>
      <c r="C1515" s="52" t="s">
        <v>148</v>
      </c>
      <c r="D1515" s="28"/>
      <c r="E1515" s="28"/>
      <c r="F1515" s="28"/>
      <c r="H1515" s="88">
        <v>2955.48644276</v>
      </c>
      <c r="I1515" s="28"/>
      <c r="J1515" s="28"/>
      <c r="K1515" s="88">
        <v>348.29508061000001</v>
      </c>
      <c r="L1515" s="28"/>
      <c r="N1515" s="89"/>
      <c r="O1515" s="48">
        <f t="shared" si="160"/>
        <v>3.470628971518428</v>
      </c>
      <c r="R1515" s="48">
        <f t="shared" si="163"/>
        <v>2.5419473404386577</v>
      </c>
      <c r="U1515" s="48">
        <v>3.470628971518428</v>
      </c>
      <c r="V1515" s="48">
        <v>2.5419473404386577</v>
      </c>
      <c r="W1515" s="49">
        <f t="shared" si="167"/>
        <v>0.41234727751309574</v>
      </c>
      <c r="X1515" s="49"/>
      <c r="Y1515" s="49"/>
      <c r="Z1515" s="49"/>
    </row>
    <row r="1516" spans="1:48" s="45" customFormat="1" ht="15" hidden="1" customHeight="1">
      <c r="A1516" s="87" t="s">
        <v>150</v>
      </c>
      <c r="B1516" s="28" t="s">
        <v>149</v>
      </c>
      <c r="C1516" s="52" t="s">
        <v>148</v>
      </c>
      <c r="D1516" s="28"/>
      <c r="E1516" s="28"/>
      <c r="F1516" s="28"/>
      <c r="H1516" s="88">
        <v>3004.4945518999998</v>
      </c>
      <c r="I1516" s="28"/>
      <c r="J1516" s="28"/>
      <c r="K1516" s="88">
        <v>481.87105391</v>
      </c>
      <c r="L1516" s="28"/>
      <c r="N1516" s="89"/>
      <c r="O1516" s="48">
        <f t="shared" si="160"/>
        <v>3.477771420836556</v>
      </c>
      <c r="R1516" s="48">
        <f t="shared" si="163"/>
        <v>2.6829308389288755</v>
      </c>
      <c r="U1516" s="48">
        <v>3.477771420836556</v>
      </c>
      <c r="V1516" s="48">
        <v>2.6829308389288755</v>
      </c>
      <c r="W1516" s="49">
        <f t="shared" si="167"/>
        <v>0.27572377902824458</v>
      </c>
      <c r="X1516" s="49"/>
      <c r="Y1516" s="49"/>
      <c r="Z1516" s="49"/>
    </row>
    <row r="1517" spans="1:48" s="45" customFormat="1" ht="15" hidden="1">
      <c r="A1517" s="87" t="s">
        <v>150</v>
      </c>
      <c r="B1517" s="28" t="s">
        <v>151</v>
      </c>
      <c r="C1517" s="52"/>
      <c r="D1517" s="28">
        <v>2001</v>
      </c>
      <c r="E1517" s="28">
        <v>7</v>
      </c>
      <c r="F1517" s="28">
        <v>25</v>
      </c>
      <c r="G1517" s="46">
        <f t="shared" ref="G1517:G1533" si="170">30.47*(E1517-1)+F1517</f>
        <v>207.82</v>
      </c>
      <c r="H1517" s="67">
        <v>234.34736588000001</v>
      </c>
      <c r="I1517" s="28">
        <v>255</v>
      </c>
      <c r="J1517" s="46">
        <f t="shared" ref="J1517:J1572" si="171">H1517+3*(I1517-H1517)</f>
        <v>296.30526823999998</v>
      </c>
      <c r="K1517" s="67">
        <v>251.48148148000001</v>
      </c>
      <c r="L1517" s="28">
        <v>302.5</v>
      </c>
      <c r="M1517" s="46">
        <f t="shared" ref="M1517:M1572" si="172">L1517+3*(L1517-K1517)</f>
        <v>455.55555555999996</v>
      </c>
      <c r="N1517" s="28"/>
      <c r="O1517" s="48">
        <f t="shared" si="160"/>
        <v>2.3698600763106348</v>
      </c>
      <c r="P1517" s="48">
        <f>LOG10(I1517)</f>
        <v>2.406540180433955</v>
      </c>
      <c r="Q1517" s="48">
        <f>LOG10(J1517)</f>
        <v>2.471739373205402</v>
      </c>
      <c r="R1517" s="48">
        <f t="shared" si="163"/>
        <v>2.4005060101189559</v>
      </c>
      <c r="S1517" s="48">
        <f>LOG10(L1517)</f>
        <v>2.4807253789884878</v>
      </c>
      <c r="T1517" s="48">
        <f>LOG10(M1517)</f>
        <v>2.6585413472846477</v>
      </c>
      <c r="U1517" s="48">
        <v>2.471739373205402</v>
      </c>
      <c r="V1517" s="48">
        <v>2.6585413472846477</v>
      </c>
      <c r="W1517" s="49">
        <f t="shared" ref="W1517:W1576" si="173">0.9539*(4.064-0.314*U1517-V1517)</f>
        <v>0.6003202617615756</v>
      </c>
      <c r="X1517" s="90">
        <v>77.442952672873417</v>
      </c>
      <c r="Y1517" s="90">
        <v>82.092972342953487</v>
      </c>
      <c r="Z1517" s="90">
        <v>26.14980164081614</v>
      </c>
      <c r="AA1517" s="90">
        <v>27.500785190378814</v>
      </c>
      <c r="AB1517" s="90">
        <f>Z1517/X1517</f>
        <v>0.33766534898631062</v>
      </c>
      <c r="AC1517" s="90">
        <f>AA1517/Y1517</f>
        <v>0.33499560809530565</v>
      </c>
      <c r="AD1517" s="90"/>
      <c r="AE1517" s="33">
        <v>20.2160288</v>
      </c>
      <c r="AF1517" s="33"/>
      <c r="AG1517" s="28">
        <v>32.713656389999997</v>
      </c>
      <c r="AH1517" s="28"/>
      <c r="AI1517" s="28"/>
      <c r="AO1517" s="28">
        <v>56.116026640000001</v>
      </c>
      <c r="AP1517" s="28">
        <v>2.1660377400000002</v>
      </c>
      <c r="AS1517" s="28">
        <v>31.099744250000001</v>
      </c>
      <c r="AT1517" s="28">
        <v>4.7493403699999996</v>
      </c>
      <c r="AU1517" s="28">
        <v>97.904690680000002</v>
      </c>
      <c r="AV1517" s="28">
        <v>0.62946429000000004</v>
      </c>
    </row>
    <row r="1518" spans="1:48" s="45" customFormat="1" ht="15" hidden="1">
      <c r="A1518" s="87" t="s">
        <v>150</v>
      </c>
      <c r="B1518" s="28" t="s">
        <v>151</v>
      </c>
      <c r="C1518" s="52"/>
      <c r="D1518" s="28">
        <v>2001</v>
      </c>
      <c r="E1518" s="28">
        <v>8</v>
      </c>
      <c r="F1518" s="28">
        <v>8</v>
      </c>
      <c r="G1518" s="46">
        <f t="shared" si="170"/>
        <v>221.29</v>
      </c>
      <c r="H1518" s="67"/>
      <c r="I1518" s="28"/>
      <c r="J1518" s="46"/>
      <c r="K1518" s="67"/>
      <c r="L1518" s="28"/>
      <c r="M1518" s="46"/>
      <c r="N1518" s="28"/>
      <c r="O1518" s="48"/>
      <c r="P1518" s="48"/>
      <c r="Q1518" s="48"/>
      <c r="R1518" s="48"/>
      <c r="S1518" s="48"/>
      <c r="T1518" s="48"/>
      <c r="U1518" s="48"/>
      <c r="V1518" s="48"/>
      <c r="W1518" s="49"/>
      <c r="X1518" s="91"/>
      <c r="Y1518" s="91"/>
      <c r="Z1518" s="91"/>
      <c r="AA1518" s="39"/>
      <c r="AB1518" s="90"/>
      <c r="AC1518" s="90"/>
      <c r="AD1518" s="90"/>
      <c r="AE1518" s="33">
        <v>22.593612669999999</v>
      </c>
      <c r="AF1518" s="33"/>
      <c r="AG1518" s="28"/>
      <c r="AH1518" s="28"/>
      <c r="AI1518" s="28"/>
      <c r="AO1518" s="28">
        <v>70.486216130000003</v>
      </c>
      <c r="AP1518" s="28"/>
      <c r="AS1518" s="28">
        <v>18.550724639999999</v>
      </c>
      <c r="AT1518" s="28">
        <v>39.577836410000003</v>
      </c>
      <c r="AU1518" s="28">
        <v>111.49134572</v>
      </c>
      <c r="AV1518" s="28">
        <v>1.62723214</v>
      </c>
    </row>
    <row r="1519" spans="1:48" s="45" customFormat="1" ht="15" hidden="1">
      <c r="A1519" s="87" t="s">
        <v>150</v>
      </c>
      <c r="B1519" s="28" t="s">
        <v>151</v>
      </c>
      <c r="C1519" s="52"/>
      <c r="D1519" s="28">
        <v>2001</v>
      </c>
      <c r="E1519" s="28">
        <v>8</v>
      </c>
      <c r="F1519" s="28">
        <v>30</v>
      </c>
      <c r="G1519" s="46">
        <f t="shared" si="170"/>
        <v>243.29</v>
      </c>
      <c r="H1519" s="67">
        <v>164.29704183999999</v>
      </c>
      <c r="I1519" s="28">
        <v>180</v>
      </c>
      <c r="J1519" s="46">
        <f t="shared" si="171"/>
        <v>211.40591632000002</v>
      </c>
      <c r="K1519" s="67">
        <v>101.85185185</v>
      </c>
      <c r="L1519" s="28">
        <v>114.99999999999999</v>
      </c>
      <c r="M1519" s="46">
        <f t="shared" si="172"/>
        <v>154.44444444999993</v>
      </c>
      <c r="N1519" s="28"/>
      <c r="O1519" s="48">
        <f t="shared" si="160"/>
        <v>2.2156297440550854</v>
      </c>
      <c r="P1519" s="48">
        <f t="shared" ref="P1519:P1572" si="174">LOG10(I1519)</f>
        <v>2.255272505103306</v>
      </c>
      <c r="Q1519" s="48">
        <f t="shared" ref="Q1519:Q1572" si="175">LOG10(J1519)</f>
        <v>2.3251171371302317</v>
      </c>
      <c r="R1519" s="48">
        <f t="shared" si="163"/>
        <v>2.0079689296633791</v>
      </c>
      <c r="S1519" s="48">
        <f t="shared" ref="S1519:S1572" si="176">LOG10(L1519)</f>
        <v>2.0606978403536118</v>
      </c>
      <c r="T1519" s="48">
        <f t="shared" ref="T1519:T1572" si="177">LOG10(M1519)</f>
        <v>2.1887722908303919</v>
      </c>
      <c r="U1519" s="48">
        <v>2.3251171371302317</v>
      </c>
      <c r="V1519" s="48">
        <v>2.1887722908303919</v>
      </c>
      <c r="W1519" s="49">
        <f t="shared" si="173"/>
        <v>1.0923499313248115</v>
      </c>
      <c r="X1519" s="90">
        <v>62.537685572665879</v>
      </c>
      <c r="Y1519" s="90">
        <v>65.440203385296428</v>
      </c>
      <c r="Z1519" s="90">
        <v>20.601247048782881</v>
      </c>
      <c r="AA1519" s="90">
        <v>22.241238964805653</v>
      </c>
      <c r="AB1519" s="90">
        <f t="shared" ref="AB1519:AB1529" si="178">Z1519/X1519</f>
        <v>0.32942132188191053</v>
      </c>
      <c r="AC1519" s="90">
        <f t="shared" ref="AC1519:AC1529" si="179">AA1519/Y1519</f>
        <v>0.33987117726169802</v>
      </c>
      <c r="AD1519" s="90"/>
      <c r="AE1519" s="33">
        <v>23.977973899999999</v>
      </c>
      <c r="AF1519" s="33">
        <f>AVERAGE(AE1517:AE1519)</f>
        <v>22.262538456666665</v>
      </c>
      <c r="AG1519" s="28">
        <v>30.123348020000002</v>
      </c>
      <c r="AH1519" s="28"/>
      <c r="AI1519" s="28"/>
      <c r="AO1519" s="28">
        <v>48.761666419999997</v>
      </c>
      <c r="AP1519" s="28">
        <v>5.9874213799999998</v>
      </c>
      <c r="AS1519" s="28">
        <v>49.786871269999999</v>
      </c>
      <c r="AT1519" s="28">
        <v>5.0131926099999999</v>
      </c>
      <c r="AU1519" s="28">
        <v>52.431172480000001</v>
      </c>
      <c r="AV1519" s="28"/>
    </row>
    <row r="1520" spans="1:48" s="45" customFormat="1" ht="15" hidden="1">
      <c r="A1520" s="87" t="s">
        <v>150</v>
      </c>
      <c r="B1520" s="28" t="s">
        <v>151</v>
      </c>
      <c r="C1520" s="52"/>
      <c r="D1520" s="28">
        <v>2001</v>
      </c>
      <c r="E1520" s="28">
        <v>9</v>
      </c>
      <c r="F1520" s="28">
        <v>8</v>
      </c>
      <c r="G1520" s="46">
        <f t="shared" si="170"/>
        <v>251.76</v>
      </c>
      <c r="H1520" s="67"/>
      <c r="I1520" s="28"/>
      <c r="J1520" s="46"/>
      <c r="K1520" s="67"/>
      <c r="L1520" s="28"/>
      <c r="M1520" s="46"/>
      <c r="N1520" s="28"/>
      <c r="O1520" s="48"/>
      <c r="P1520" s="48"/>
      <c r="Q1520" s="48"/>
      <c r="R1520" s="48"/>
      <c r="S1520" s="48"/>
      <c r="T1520" s="48"/>
      <c r="U1520" s="48"/>
      <c r="V1520" s="48"/>
      <c r="W1520" s="49"/>
      <c r="X1520" s="91"/>
      <c r="Y1520" s="91"/>
      <c r="Z1520" s="91"/>
      <c r="AA1520" s="39"/>
      <c r="AB1520" s="90"/>
      <c r="AC1520" s="90"/>
      <c r="AD1520" s="90"/>
      <c r="AE1520" s="33">
        <v>24.179515760000001</v>
      </c>
      <c r="AF1520" s="33"/>
      <c r="AG1520" s="28"/>
      <c r="AH1520" s="28"/>
      <c r="AI1520" s="28"/>
      <c r="AO1520" s="28"/>
      <c r="AP1520" s="28">
        <v>1.8842767300000001</v>
      </c>
      <c r="AS1520" s="28"/>
      <c r="AT1520" s="28"/>
      <c r="AU1520" s="28"/>
      <c r="AV1520" s="28"/>
    </row>
    <row r="1521" spans="1:48" s="45" customFormat="1" ht="15" hidden="1">
      <c r="A1521" s="87" t="s">
        <v>150</v>
      </c>
      <c r="B1521" s="28" t="s">
        <v>151</v>
      </c>
      <c r="C1521" s="52"/>
      <c r="D1521" s="28">
        <v>2001</v>
      </c>
      <c r="E1521" s="28">
        <v>9</v>
      </c>
      <c r="F1521" s="28">
        <v>27</v>
      </c>
      <c r="G1521" s="46">
        <f t="shared" si="170"/>
        <v>270.76</v>
      </c>
      <c r="H1521" s="67">
        <v>249.95041875000001</v>
      </c>
      <c r="I1521" s="28">
        <v>282</v>
      </c>
      <c r="J1521" s="46">
        <f t="shared" si="171"/>
        <v>346.09916249999998</v>
      </c>
      <c r="K1521" s="67">
        <v>68.518518520000001</v>
      </c>
      <c r="L1521" s="28">
        <v>75</v>
      </c>
      <c r="M1521" s="46">
        <f t="shared" si="172"/>
        <v>94.444444439999998</v>
      </c>
      <c r="N1521" s="28"/>
      <c r="O1521" s="48">
        <f t="shared" ref="O1521:O1572" si="180">LOG10(H1521)</f>
        <v>2.3978538686767745</v>
      </c>
      <c r="P1521" s="48">
        <f t="shared" si="174"/>
        <v>2.4502491083193609</v>
      </c>
      <c r="Q1521" s="48">
        <f t="shared" si="175"/>
        <v>2.5392005483780089</v>
      </c>
      <c r="R1521" s="48">
        <f t="shared" ref="R1521:R1572" si="181">LOG10(K1521)</f>
        <v>1.8358079642534166</v>
      </c>
      <c r="S1521" s="48">
        <f t="shared" si="176"/>
        <v>1.8750612633917001</v>
      </c>
      <c r="T1521" s="48">
        <f t="shared" si="177"/>
        <v>1.9751764162545304</v>
      </c>
      <c r="U1521" s="48">
        <v>2.5392005483780089</v>
      </c>
      <c r="V1521" s="48">
        <v>1.9751764162545304</v>
      </c>
      <c r="W1521" s="49">
        <f t="shared" si="173"/>
        <v>1.2319757879620996</v>
      </c>
      <c r="X1521" s="90">
        <v>35.700564453115263</v>
      </c>
      <c r="Y1521" s="90">
        <v>37.728139171370714</v>
      </c>
      <c r="Z1521" s="90">
        <v>13.375589897009347</v>
      </c>
      <c r="AA1521" s="90">
        <v>14.09025015093458</v>
      </c>
      <c r="AB1521" s="90">
        <f t="shared" si="178"/>
        <v>0.37466045990883995</v>
      </c>
      <c r="AC1521" s="90">
        <f t="shared" si="179"/>
        <v>0.37346793296465308</v>
      </c>
      <c r="AD1521" s="90"/>
      <c r="AE1521" s="33">
        <v>21.960352759999999</v>
      </c>
      <c r="AF1521" s="33">
        <f>AVERAGE(AE1520:AE1521)</f>
        <v>23.06993426</v>
      </c>
      <c r="AG1521" s="28">
        <v>31.938325989999999</v>
      </c>
      <c r="AH1521" s="28"/>
      <c r="AI1521" s="28"/>
      <c r="AO1521" s="28">
        <v>24.281883520000001</v>
      </c>
      <c r="AP1521" s="28"/>
      <c r="AS1521" s="28">
        <v>35.87382779</v>
      </c>
      <c r="AT1521" s="28"/>
      <c r="AU1521" s="28">
        <v>57.513700319999998</v>
      </c>
      <c r="AV1521" s="28">
        <v>0.36830357000000002</v>
      </c>
    </row>
    <row r="1522" spans="1:48" s="45" customFormat="1" ht="15" hidden="1">
      <c r="A1522" s="87" t="s">
        <v>150</v>
      </c>
      <c r="B1522" s="28" t="s">
        <v>151</v>
      </c>
      <c r="C1522" s="52"/>
      <c r="D1522" s="28">
        <v>2001</v>
      </c>
      <c r="E1522" s="28">
        <v>11</v>
      </c>
      <c r="F1522" s="28">
        <v>15</v>
      </c>
      <c r="G1522" s="46">
        <f t="shared" si="170"/>
        <v>319.7</v>
      </c>
      <c r="H1522" s="67">
        <v>269.08321108000001</v>
      </c>
      <c r="I1522" s="28">
        <v>285</v>
      </c>
      <c r="J1522" s="46">
        <f t="shared" si="171"/>
        <v>316.83357783999998</v>
      </c>
      <c r="K1522" s="67">
        <v>61.111111110000003</v>
      </c>
      <c r="L1522" s="28">
        <v>70</v>
      </c>
      <c r="M1522" s="46">
        <f t="shared" si="172"/>
        <v>96.666666669999984</v>
      </c>
      <c r="N1522" s="28"/>
      <c r="O1522" s="48">
        <f t="shared" si="180"/>
        <v>2.4298866016553462</v>
      </c>
      <c r="P1522" s="48">
        <f t="shared" si="174"/>
        <v>2.4548448600085102</v>
      </c>
      <c r="Q1522" s="48">
        <f t="shared" si="175"/>
        <v>2.5008312016354717</v>
      </c>
      <c r="R1522" s="48">
        <f t="shared" si="181"/>
        <v>1.7861201800470228</v>
      </c>
      <c r="S1522" s="48">
        <f t="shared" si="176"/>
        <v>1.8450980400142569</v>
      </c>
      <c r="T1522" s="48">
        <f t="shared" si="177"/>
        <v>1.9852767431942693</v>
      </c>
      <c r="U1522" s="48">
        <v>2.5008312016354717</v>
      </c>
      <c r="V1522" s="48">
        <v>1.9852767431942693</v>
      </c>
      <c r="W1522" s="49">
        <f t="shared" si="173"/>
        <v>1.2338336493296027</v>
      </c>
      <c r="X1522" s="90">
        <v>48.437354592114502</v>
      </c>
      <c r="Y1522" s="90">
        <v>50.046719315960658</v>
      </c>
      <c r="Z1522" s="90">
        <v>10.5819048715209</v>
      </c>
      <c r="AA1522" s="90">
        <v>11.306475118443975</v>
      </c>
      <c r="AB1522" s="90">
        <f t="shared" si="178"/>
        <v>0.21846578865897873</v>
      </c>
      <c r="AC1522" s="90">
        <f t="shared" si="179"/>
        <v>0.22591840729984011</v>
      </c>
      <c r="AD1522" s="90"/>
      <c r="AE1522" s="33">
        <v>18.872765300000001</v>
      </c>
      <c r="AF1522" s="33">
        <f t="shared" ref="AF1522:AF1533" si="182">AVERAGE(AE1521:AE1522)</f>
        <v>20.416559030000002</v>
      </c>
      <c r="AG1522" s="28">
        <v>32.995594709999999</v>
      </c>
      <c r="AH1522" s="28"/>
      <c r="AI1522" s="28"/>
      <c r="AO1522" s="28">
        <v>37.720820070000002</v>
      </c>
      <c r="AP1522" s="28"/>
      <c r="AS1522" s="28">
        <v>42.693947139999999</v>
      </c>
      <c r="AT1522" s="28">
        <v>26.385224269999998</v>
      </c>
      <c r="AU1522" s="28">
        <v>65.559048430000004</v>
      </c>
      <c r="AV1522" s="28">
        <v>0.66964285999999995</v>
      </c>
    </row>
    <row r="1523" spans="1:48" s="45" customFormat="1" ht="15" hidden="1">
      <c r="A1523" s="87" t="s">
        <v>150</v>
      </c>
      <c r="B1523" s="28" t="s">
        <v>151</v>
      </c>
      <c r="C1523" s="52"/>
      <c r="D1523" s="28">
        <v>2001</v>
      </c>
      <c r="E1523" s="28">
        <v>11</v>
      </c>
      <c r="F1523" s="28">
        <v>26</v>
      </c>
      <c r="G1523" s="46">
        <f t="shared" si="170"/>
        <v>330.7</v>
      </c>
      <c r="H1523" s="67"/>
      <c r="I1523" s="28"/>
      <c r="J1523" s="46"/>
      <c r="K1523" s="67"/>
      <c r="L1523" s="28"/>
      <c r="M1523" s="46"/>
      <c r="N1523" s="28"/>
      <c r="O1523" s="48"/>
      <c r="P1523" s="48"/>
      <c r="Q1523" s="48"/>
      <c r="R1523" s="48"/>
      <c r="S1523" s="48"/>
      <c r="T1523" s="48"/>
      <c r="U1523" s="48"/>
      <c r="V1523" s="48"/>
      <c r="W1523" s="49"/>
      <c r="X1523" s="91"/>
      <c r="Y1523" s="91"/>
      <c r="Z1523" s="91"/>
      <c r="AA1523" s="39"/>
      <c r="AB1523" s="90"/>
      <c r="AC1523" s="90"/>
      <c r="AD1523" s="90"/>
      <c r="AE1523" s="33">
        <v>17.218062010000001</v>
      </c>
      <c r="AF1523" s="33"/>
      <c r="AG1523" s="28"/>
      <c r="AH1523" s="28"/>
      <c r="AI1523" s="28"/>
      <c r="AO1523" s="28"/>
      <c r="AP1523" s="28">
        <v>4.6138364799999998</v>
      </c>
      <c r="AS1523" s="28"/>
      <c r="AT1523" s="28"/>
      <c r="AU1523" s="28"/>
      <c r="AV1523" s="28"/>
    </row>
    <row r="1524" spans="1:48" s="45" customFormat="1" ht="15" hidden="1">
      <c r="A1524" s="87" t="s">
        <v>150</v>
      </c>
      <c r="B1524" s="28" t="s">
        <v>151</v>
      </c>
      <c r="C1524" s="52"/>
      <c r="D1524" s="28">
        <v>2001</v>
      </c>
      <c r="E1524" s="28">
        <v>12</v>
      </c>
      <c r="F1524" s="28">
        <v>14</v>
      </c>
      <c r="G1524" s="46">
        <f t="shared" si="170"/>
        <v>349.16999999999996</v>
      </c>
      <c r="H1524" s="67">
        <v>76.599506039999994</v>
      </c>
      <c r="I1524" s="28">
        <v>90</v>
      </c>
      <c r="J1524" s="46">
        <f t="shared" si="171"/>
        <v>116.80098792000001</v>
      </c>
      <c r="K1524" s="67">
        <v>14.44444444</v>
      </c>
      <c r="L1524" s="28">
        <v>20</v>
      </c>
      <c r="M1524" s="46">
        <f t="shared" si="172"/>
        <v>36.666666679999999</v>
      </c>
      <c r="N1524" s="28"/>
      <c r="O1524" s="48">
        <f t="shared" si="180"/>
        <v>1.8842259690478262</v>
      </c>
      <c r="P1524" s="48">
        <f t="shared" si="174"/>
        <v>1.954242509439325</v>
      </c>
      <c r="Q1524" s="48">
        <f t="shared" si="175"/>
        <v>2.0674465161187614</v>
      </c>
      <c r="R1524" s="48">
        <f t="shared" si="181"/>
        <v>1.1597008427338829</v>
      </c>
      <c r="S1524" s="48">
        <f t="shared" si="176"/>
        <v>1.3010299956639813</v>
      </c>
      <c r="T1524" s="48">
        <f t="shared" si="177"/>
        <v>1.5642714305964878</v>
      </c>
      <c r="U1524" s="48">
        <v>2.0674465161187614</v>
      </c>
      <c r="V1524" s="48">
        <v>1.5642714305964878</v>
      </c>
      <c r="W1524" s="49">
        <f t="shared" si="173"/>
        <v>1.7652399915921446</v>
      </c>
      <c r="X1524" s="90">
        <v>41.584158420000001</v>
      </c>
      <c r="Y1524" s="90">
        <v>43.391442130768979</v>
      </c>
      <c r="Z1524" s="90">
        <v>11.474635827410449</v>
      </c>
      <c r="AA1524" s="90">
        <v>11.919767168307589</v>
      </c>
      <c r="AB1524" s="90">
        <f t="shared" si="178"/>
        <v>0.27593767106013367</v>
      </c>
      <c r="AC1524" s="90">
        <f t="shared" si="179"/>
        <v>0.27470318069597532</v>
      </c>
      <c r="AD1524" s="90"/>
      <c r="AE1524" s="33">
        <v>15.514868180000001</v>
      </c>
      <c r="AF1524" s="33">
        <f>AVERAGE(AE1523:AE1524)</f>
        <v>16.366465095000002</v>
      </c>
      <c r="AG1524" s="28">
        <v>32.096916299999997</v>
      </c>
      <c r="AH1524" s="28"/>
      <c r="AI1524" s="28"/>
      <c r="AO1524" s="28">
        <v>26.392593359999999</v>
      </c>
      <c r="AP1524" s="28">
        <v>0.72201258000000001</v>
      </c>
      <c r="AS1524" s="28">
        <v>44.876385339999999</v>
      </c>
      <c r="AT1524" s="28">
        <v>7.3878627999999997</v>
      </c>
      <c r="AU1524" s="28">
        <v>51.949626100000003</v>
      </c>
      <c r="AV1524" s="28">
        <v>0.29464286000000001</v>
      </c>
    </row>
    <row r="1525" spans="1:48" s="45" customFormat="1" ht="15" hidden="1">
      <c r="A1525" s="87" t="s">
        <v>150</v>
      </c>
      <c r="B1525" s="28" t="s">
        <v>151</v>
      </c>
      <c r="C1525" s="52"/>
      <c r="D1525" s="28">
        <v>2002</v>
      </c>
      <c r="E1525" s="28">
        <v>1</v>
      </c>
      <c r="F1525" s="28">
        <v>17</v>
      </c>
      <c r="G1525" s="46">
        <f t="shared" si="170"/>
        <v>17</v>
      </c>
      <c r="H1525" s="67">
        <v>235.70964326999999</v>
      </c>
      <c r="I1525" s="28">
        <v>270</v>
      </c>
      <c r="J1525" s="46">
        <f t="shared" si="171"/>
        <v>338.58071346000003</v>
      </c>
      <c r="K1525" s="67">
        <v>41.111111110000003</v>
      </c>
      <c r="L1525" s="28">
        <v>47.5</v>
      </c>
      <c r="M1525" s="46">
        <f t="shared" si="172"/>
        <v>66.666666669999984</v>
      </c>
      <c r="N1525" s="28"/>
      <c r="O1525" s="48">
        <f t="shared" si="180"/>
        <v>2.3723773505908401</v>
      </c>
      <c r="P1525" s="48">
        <f t="shared" si="174"/>
        <v>2.4313637641589874</v>
      </c>
      <c r="Q1525" s="48">
        <f t="shared" si="175"/>
        <v>2.5296622158034712</v>
      </c>
      <c r="R1525" s="48">
        <f t="shared" si="181"/>
        <v>1.6139592146159325</v>
      </c>
      <c r="S1525" s="48">
        <f t="shared" si="176"/>
        <v>1.6766936096248666</v>
      </c>
      <c r="T1525" s="48">
        <f t="shared" si="177"/>
        <v>1.8239087409660333</v>
      </c>
      <c r="U1525" s="48">
        <v>2.5296622158034712</v>
      </c>
      <c r="V1525" s="48">
        <v>1.8239087409660333</v>
      </c>
      <c r="W1525" s="49">
        <f t="shared" si="173"/>
        <v>1.3791269886688526</v>
      </c>
      <c r="X1525" s="90">
        <v>42.263471633264722</v>
      </c>
      <c r="Y1525" s="90">
        <v>43.9268379661235</v>
      </c>
      <c r="Z1525" s="90">
        <v>12.781917813744997</v>
      </c>
      <c r="AA1525" s="90">
        <v>13.296905166386507</v>
      </c>
      <c r="AB1525" s="90">
        <f t="shared" si="178"/>
        <v>0.30243416642764881</v>
      </c>
      <c r="AC1525" s="90">
        <f t="shared" si="179"/>
        <v>0.30270572119580103</v>
      </c>
      <c r="AD1525" s="90"/>
      <c r="AE1525" s="33">
        <v>12.397684010000001</v>
      </c>
      <c r="AF1525" s="33">
        <f t="shared" si="182"/>
        <v>13.956276095</v>
      </c>
      <c r="AG1525" s="28">
        <v>33.083700440000001</v>
      </c>
      <c r="AH1525" s="28"/>
      <c r="AI1525" s="28"/>
      <c r="AO1525" s="28">
        <v>139.24326930999999</v>
      </c>
      <c r="AP1525" s="28">
        <v>0.26415094</v>
      </c>
      <c r="AS1525" s="28">
        <v>52.242114239999999</v>
      </c>
      <c r="AT1525" s="28">
        <v>20.580474930000001</v>
      </c>
      <c r="AU1525" s="28">
        <v>190.41941804999999</v>
      </c>
      <c r="AV1525" s="28">
        <v>2.32366071</v>
      </c>
    </row>
    <row r="1526" spans="1:48" s="45" customFormat="1" ht="15" hidden="1">
      <c r="A1526" s="87" t="s">
        <v>150</v>
      </c>
      <c r="B1526" s="28" t="s">
        <v>151</v>
      </c>
      <c r="C1526" s="52"/>
      <c r="D1526" s="28">
        <v>2002</v>
      </c>
      <c r="E1526" s="28">
        <v>2</v>
      </c>
      <c r="F1526" s="28">
        <v>14</v>
      </c>
      <c r="G1526" s="46">
        <f t="shared" si="170"/>
        <v>44.47</v>
      </c>
      <c r="H1526" s="67">
        <v>181.41910085000001</v>
      </c>
      <c r="I1526" s="28">
        <v>222</v>
      </c>
      <c r="J1526" s="46">
        <f t="shared" si="171"/>
        <v>303.16179829999999</v>
      </c>
      <c r="K1526" s="67">
        <v>38.148148149999997</v>
      </c>
      <c r="L1526" s="28">
        <v>42.5</v>
      </c>
      <c r="M1526" s="46">
        <f t="shared" si="172"/>
        <v>55.555555550000008</v>
      </c>
      <c r="N1526" s="28"/>
      <c r="O1526" s="48">
        <f t="shared" si="180"/>
        <v>2.2586830101609334</v>
      </c>
      <c r="P1526" s="48">
        <f t="shared" si="174"/>
        <v>2.3463529744506388</v>
      </c>
      <c r="Q1526" s="48">
        <f t="shared" si="175"/>
        <v>2.4816744745564021</v>
      </c>
      <c r="R1526" s="48">
        <f t="shared" si="181"/>
        <v>1.5814734605672671</v>
      </c>
      <c r="S1526" s="48">
        <f t="shared" si="176"/>
        <v>1.6283889300503116</v>
      </c>
      <c r="T1526" s="48">
        <f t="shared" si="177"/>
        <v>1.7447274948532645</v>
      </c>
      <c r="U1526" s="48">
        <v>2.4816744745564021</v>
      </c>
      <c r="V1526" s="48">
        <v>1.7447274948532645</v>
      </c>
      <c r="W1526" s="49">
        <f t="shared" si="173"/>
        <v>1.4690314883377547</v>
      </c>
      <c r="X1526" s="90">
        <v>43.960396039999999</v>
      </c>
      <c r="Y1526" s="90">
        <v>45.170886902584336</v>
      </c>
      <c r="Z1526" s="90">
        <v>11.94736832417</v>
      </c>
      <c r="AA1526" s="90">
        <v>12.897772799075662</v>
      </c>
      <c r="AB1526" s="90">
        <f t="shared" si="178"/>
        <v>0.27177572088520247</v>
      </c>
      <c r="AC1526" s="90">
        <f t="shared" si="179"/>
        <v>0.28553286604469458</v>
      </c>
      <c r="AD1526" s="90"/>
      <c r="AE1526" s="33">
        <v>9.7301765479999993</v>
      </c>
      <c r="AF1526" s="33">
        <f t="shared" si="182"/>
        <v>11.063930279000001</v>
      </c>
      <c r="AG1526" s="28">
        <v>34.687224669999999</v>
      </c>
      <c r="AH1526" s="28"/>
      <c r="AI1526" s="28"/>
      <c r="AO1526" s="28">
        <v>115.06869789</v>
      </c>
      <c r="AP1526" s="28">
        <v>0.21132075</v>
      </c>
      <c r="AS1526" s="28">
        <v>18.00511509</v>
      </c>
      <c r="AT1526" s="28">
        <v>5.2770448500000002</v>
      </c>
      <c r="AU1526" s="28">
        <v>96.096316869999995</v>
      </c>
      <c r="AV1526" s="28">
        <v>0.99776785999999995</v>
      </c>
    </row>
    <row r="1527" spans="1:48" s="45" customFormat="1" ht="15" hidden="1">
      <c r="A1527" s="87" t="s">
        <v>150</v>
      </c>
      <c r="B1527" s="28" t="s">
        <v>151</v>
      </c>
      <c r="C1527" s="52"/>
      <c r="D1527" s="28">
        <v>2002</v>
      </c>
      <c r="E1527" s="28">
        <v>3</v>
      </c>
      <c r="F1527" s="28">
        <v>17</v>
      </c>
      <c r="G1527" s="46">
        <f t="shared" si="170"/>
        <v>77.94</v>
      </c>
      <c r="H1527" s="67">
        <v>260.06870809999998</v>
      </c>
      <c r="I1527" s="28">
        <v>300</v>
      </c>
      <c r="J1527" s="46">
        <f t="shared" si="171"/>
        <v>379.86258380000004</v>
      </c>
      <c r="K1527" s="67">
        <v>73.703703700000005</v>
      </c>
      <c r="L1527" s="28">
        <v>75</v>
      </c>
      <c r="M1527" s="46">
        <f t="shared" si="172"/>
        <v>78.888888899999984</v>
      </c>
      <c r="N1527" s="28"/>
      <c r="O1527" s="48">
        <f t="shared" si="180"/>
        <v>2.4150881003041191</v>
      </c>
      <c r="P1527" s="48">
        <f t="shared" si="174"/>
        <v>2.4771212547196626</v>
      </c>
      <c r="Q1527" s="48">
        <f t="shared" si="175"/>
        <v>2.5796265179573079</v>
      </c>
      <c r="R1527" s="48">
        <f t="shared" si="181"/>
        <v>1.8674893122288956</v>
      </c>
      <c r="S1527" s="48">
        <f t="shared" si="176"/>
        <v>1.8750612633917001</v>
      </c>
      <c r="T1527" s="48">
        <f t="shared" si="177"/>
        <v>1.8970158393409187</v>
      </c>
      <c r="U1527" s="48">
        <v>2.5796265179573079</v>
      </c>
      <c r="V1527" s="48">
        <v>1.8970158393409187</v>
      </c>
      <c r="W1527" s="49">
        <f t="shared" si="173"/>
        <v>1.2944245899121425</v>
      </c>
      <c r="X1527" s="90">
        <v>54.146751658925183</v>
      </c>
      <c r="Y1527" s="90">
        <v>58.74848981651563</v>
      </c>
      <c r="Z1527" s="90">
        <v>13.071939541320688</v>
      </c>
      <c r="AA1527" s="90">
        <v>14.523660481102915</v>
      </c>
      <c r="AB1527" s="90">
        <f t="shared" si="178"/>
        <v>0.24141687434293205</v>
      </c>
      <c r="AC1527" s="90">
        <f t="shared" si="179"/>
        <v>0.24721759702187207</v>
      </c>
      <c r="AD1527" s="90"/>
      <c r="AE1527" s="33">
        <v>11.15271693</v>
      </c>
      <c r="AF1527" s="33">
        <f t="shared" si="182"/>
        <v>10.441446739</v>
      </c>
      <c r="AG1527" s="28">
        <v>34.123348020000002</v>
      </c>
      <c r="AH1527" s="28"/>
      <c r="AI1527" s="28"/>
      <c r="AO1527" s="28">
        <v>20.239946410000002</v>
      </c>
      <c r="AP1527" s="28">
        <v>0.88050313999999996</v>
      </c>
      <c r="AS1527" s="28">
        <v>28.917306050000001</v>
      </c>
      <c r="AT1527" s="28">
        <v>8.7071240099999994</v>
      </c>
      <c r="AU1527" s="28">
        <v>40.430639079999999</v>
      </c>
      <c r="AV1527" s="28">
        <v>0.25446428999999998</v>
      </c>
    </row>
    <row r="1528" spans="1:48" s="45" customFormat="1" ht="15" hidden="1">
      <c r="A1528" s="87" t="s">
        <v>150</v>
      </c>
      <c r="B1528" s="28" t="s">
        <v>151</v>
      </c>
      <c r="C1528" s="52"/>
      <c r="D1528" s="28">
        <v>2002</v>
      </c>
      <c r="E1528" s="28">
        <v>4</v>
      </c>
      <c r="F1528" s="28">
        <v>13</v>
      </c>
      <c r="G1528" s="46">
        <f t="shared" si="170"/>
        <v>104.41</v>
      </c>
      <c r="H1528" s="67">
        <v>247.76364412999999</v>
      </c>
      <c r="I1528" s="28">
        <v>275</v>
      </c>
      <c r="J1528" s="46">
        <f t="shared" si="171"/>
        <v>329.47271174000002</v>
      </c>
      <c r="K1528" s="67">
        <v>132.22222221999999</v>
      </c>
      <c r="L1528" s="28">
        <v>140</v>
      </c>
      <c r="M1528" s="46">
        <f t="shared" si="172"/>
        <v>163.33333334000002</v>
      </c>
      <c r="N1528" s="28"/>
      <c r="O1528" s="48">
        <f t="shared" si="180"/>
        <v>2.3940375800380731</v>
      </c>
      <c r="P1528" s="48">
        <f t="shared" si="174"/>
        <v>2.4393326938302629</v>
      </c>
      <c r="Q1528" s="48">
        <f t="shared" si="175"/>
        <v>2.517819450397389</v>
      </c>
      <c r="R1528" s="48">
        <f t="shared" si="181"/>
        <v>2.1213044519459068</v>
      </c>
      <c r="S1528" s="48">
        <f t="shared" si="176"/>
        <v>2.1461280356782382</v>
      </c>
      <c r="T1528" s="48">
        <f t="shared" si="177"/>
        <v>2.2130748253265775</v>
      </c>
      <c r="U1528" s="48">
        <v>2.517819450397389</v>
      </c>
      <c r="V1528" s="48">
        <v>2.2130748253265775</v>
      </c>
      <c r="W1528" s="49">
        <f t="shared" si="173"/>
        <v>1.01144866036848</v>
      </c>
      <c r="X1528" s="90">
        <f>X1527+($G1528-$G1527)/($G1530-$G1527)*(X1530-X1527)</f>
        <v>33.653979047947921</v>
      </c>
      <c r="Y1528" s="90">
        <f>Y1527+($G1528-$G1527)/($G1530-$G1527)*(Y1530-Y1527)</f>
        <v>36.51410998461445</v>
      </c>
      <c r="Z1528" s="90">
        <f>Z1527+($G1528-$G1527)/($G1530-$G1527)*(Z1530-Z1527)</f>
        <v>8.124638430958111</v>
      </c>
      <c r="AA1528" s="90">
        <f>AA1527+($G1528-$G1527)/($G1530-$G1527)*(AA1530-AA1527)</f>
        <v>9.0269305277887284</v>
      </c>
      <c r="AB1528" s="90">
        <f t="shared" si="178"/>
        <v>0.24141687434293205</v>
      </c>
      <c r="AC1528" s="90">
        <f t="shared" si="179"/>
        <v>0.24721759702187202</v>
      </c>
      <c r="AD1528" s="90"/>
      <c r="AE1528" s="33">
        <v>12.75487762</v>
      </c>
      <c r="AF1528" s="33">
        <f t="shared" si="182"/>
        <v>11.953797274999999</v>
      </c>
      <c r="AG1528" s="28">
        <v>33.436123350000003</v>
      </c>
      <c r="AH1528" s="28"/>
      <c r="AI1528" s="28"/>
      <c r="AO1528" s="28">
        <v>28.18143199</v>
      </c>
      <c r="AP1528" s="28">
        <v>1.5320754700000001</v>
      </c>
      <c r="AS1528" s="28">
        <v>23.324808180000002</v>
      </c>
      <c r="AT1528" s="28">
        <v>7.65171504</v>
      </c>
      <c r="AU1528" s="28">
        <v>45.087996689999997</v>
      </c>
      <c r="AV1528" s="28">
        <v>0.20089286000000001</v>
      </c>
    </row>
    <row r="1529" spans="1:48" s="45" customFormat="1" ht="15" hidden="1">
      <c r="A1529" s="87" t="s">
        <v>150</v>
      </c>
      <c r="B1529" s="28" t="s">
        <v>151</v>
      </c>
      <c r="C1529" s="52"/>
      <c r="D1529" s="28">
        <v>2002</v>
      </c>
      <c r="E1529" s="28">
        <v>5</v>
      </c>
      <c r="F1529" s="28">
        <v>10</v>
      </c>
      <c r="G1529" s="46">
        <f t="shared" si="170"/>
        <v>131.88</v>
      </c>
      <c r="H1529" s="67">
        <v>317.67506638999998</v>
      </c>
      <c r="I1529" s="28">
        <v>360</v>
      </c>
      <c r="J1529" s="46">
        <f t="shared" si="171"/>
        <v>444.64986722000003</v>
      </c>
      <c r="K1529" s="67">
        <v>215.18518519</v>
      </c>
      <c r="L1529" s="28">
        <v>245.00000000000003</v>
      </c>
      <c r="M1529" s="46">
        <f t="shared" si="172"/>
        <v>334.44444443000009</v>
      </c>
      <c r="N1529" s="28"/>
      <c r="O1529" s="48">
        <f t="shared" si="180"/>
        <v>2.5019831293560131</v>
      </c>
      <c r="P1529" s="48">
        <f t="shared" si="174"/>
        <v>2.5563025007672873</v>
      </c>
      <c r="Q1529" s="48">
        <f t="shared" si="175"/>
        <v>2.6480181669639959</v>
      </c>
      <c r="R1529" s="48">
        <f t="shared" si="181"/>
        <v>2.3328123682410609</v>
      </c>
      <c r="S1529" s="48">
        <f t="shared" si="176"/>
        <v>2.3891660843645326</v>
      </c>
      <c r="T1529" s="48">
        <f t="shared" si="177"/>
        <v>2.5243239861357618</v>
      </c>
      <c r="U1529" s="48">
        <v>2.6480181669639959</v>
      </c>
      <c r="V1529" s="48">
        <v>2.5243239861357618</v>
      </c>
      <c r="W1529" s="49">
        <f t="shared" si="173"/>
        <v>0.67555036737247265</v>
      </c>
      <c r="X1529" s="90">
        <f>X1527+($G1529-$G1527)/($G1530-$G1527)*(X1530-X1527)</f>
        <v>12.387017823031215</v>
      </c>
      <c r="Y1529" s="90">
        <f>Y1527+($G1529-$G1527)/($G1530-$G1527)*(Y1530-Y1527)</f>
        <v>13.439746026083071</v>
      </c>
      <c r="Z1529" s="90">
        <f>Z1527+($G1529-$G1527)/($G1530-$G1527)*(Z1530-Z1527)</f>
        <v>2.9904351252663854</v>
      </c>
      <c r="AA1529" s="90">
        <f>AA1527+($G1529-$G1527)/($G1530-$G1527)*(AA1530-AA1527)</f>
        <v>3.3225417171525109</v>
      </c>
      <c r="AB1529" s="90">
        <f t="shared" si="178"/>
        <v>0.24141687434293196</v>
      </c>
      <c r="AC1529" s="90">
        <f t="shared" si="179"/>
        <v>0.24721759702187204</v>
      </c>
      <c r="AD1529" s="90"/>
      <c r="AE1529" s="33">
        <v>14.961454079999999</v>
      </c>
      <c r="AF1529" s="33">
        <f t="shared" si="182"/>
        <v>13.858165849999999</v>
      </c>
      <c r="AG1529" s="28">
        <v>31.392070480000001</v>
      </c>
      <c r="AH1529" s="28"/>
      <c r="AI1529" s="28"/>
      <c r="AO1529" s="28">
        <v>98.825329879999998</v>
      </c>
      <c r="AP1529" s="28">
        <v>1.35597484</v>
      </c>
      <c r="AS1529" s="28">
        <v>26.052855919999999</v>
      </c>
      <c r="AT1529" s="28">
        <v>12.66490765</v>
      </c>
      <c r="AU1529" s="28">
        <v>70.987241650000001</v>
      </c>
      <c r="AV1529" s="28">
        <v>0.60267857000000002</v>
      </c>
    </row>
    <row r="1530" spans="1:48" s="45" customFormat="1" ht="15" hidden="1">
      <c r="A1530" s="87" t="s">
        <v>150</v>
      </c>
      <c r="B1530" s="28" t="s">
        <v>151</v>
      </c>
      <c r="C1530" s="52"/>
      <c r="D1530" s="28">
        <v>2002</v>
      </c>
      <c r="E1530" s="28">
        <v>5</v>
      </c>
      <c r="F1530" s="28">
        <v>26</v>
      </c>
      <c r="G1530" s="46">
        <f t="shared" si="170"/>
        <v>147.88</v>
      </c>
      <c r="H1530" s="67"/>
      <c r="I1530" s="28"/>
      <c r="J1530" s="46"/>
      <c r="K1530" s="67"/>
      <c r="L1530" s="28"/>
      <c r="M1530" s="46"/>
      <c r="N1530" s="28"/>
      <c r="O1530" s="48"/>
      <c r="P1530" s="48"/>
      <c r="Q1530" s="48"/>
      <c r="R1530" s="48"/>
      <c r="S1530" s="48"/>
      <c r="T1530" s="48"/>
      <c r="U1530" s="48"/>
      <c r="V1530" s="48"/>
      <c r="W1530" s="49"/>
      <c r="X1530" s="49"/>
      <c r="Y1530" s="49"/>
      <c r="Z1530" s="49"/>
      <c r="AA1530" s="48"/>
      <c r="AB1530" s="90"/>
      <c r="AC1530" s="90"/>
      <c r="AD1530" s="90"/>
      <c r="AE1530" s="33">
        <v>16.69603558</v>
      </c>
      <c r="AF1530" s="33"/>
      <c r="AG1530" s="28">
        <v>32.237885460000001</v>
      </c>
      <c r="AH1530" s="28"/>
      <c r="AI1530" s="28"/>
      <c r="AO1530" s="28"/>
      <c r="AP1530" s="28"/>
      <c r="AS1530" s="28"/>
      <c r="AT1530" s="28"/>
      <c r="AU1530" s="28"/>
      <c r="AV1530" s="28"/>
    </row>
    <row r="1531" spans="1:48" s="45" customFormat="1" ht="15" hidden="1">
      <c r="A1531" s="87" t="s">
        <v>150</v>
      </c>
      <c r="B1531" s="28" t="s">
        <v>151</v>
      </c>
      <c r="C1531" s="52"/>
      <c r="D1531" s="28">
        <v>2002</v>
      </c>
      <c r="E1531" s="28">
        <v>6</v>
      </c>
      <c r="F1531" s="28">
        <v>9</v>
      </c>
      <c r="G1531" s="46">
        <f t="shared" si="170"/>
        <v>161.35</v>
      </c>
      <c r="H1531" s="67"/>
      <c r="I1531" s="28"/>
      <c r="J1531" s="46"/>
      <c r="K1531" s="67"/>
      <c r="L1531" s="28"/>
      <c r="M1531" s="46"/>
      <c r="N1531" s="28"/>
      <c r="O1531" s="48"/>
      <c r="P1531" s="48"/>
      <c r="Q1531" s="48"/>
      <c r="R1531" s="48"/>
      <c r="S1531" s="48"/>
      <c r="T1531" s="48"/>
      <c r="U1531" s="48"/>
      <c r="V1531" s="48"/>
      <c r="W1531" s="49"/>
      <c r="X1531" s="49"/>
      <c r="Y1531" s="49"/>
      <c r="Z1531" s="49"/>
      <c r="AA1531" s="48"/>
      <c r="AB1531" s="90"/>
      <c r="AC1531" s="90"/>
      <c r="AD1531" s="90"/>
      <c r="AE1531" s="33">
        <v>18.843612669999999</v>
      </c>
      <c r="AF1531" s="33"/>
      <c r="AG1531" s="28"/>
      <c r="AH1531" s="28"/>
      <c r="AI1531" s="28"/>
      <c r="AO1531" s="28"/>
      <c r="AP1531" s="28">
        <v>2.25408805</v>
      </c>
      <c r="AS1531" s="28"/>
      <c r="AT1531" s="28"/>
      <c r="AU1531" s="28"/>
      <c r="AV1531" s="28"/>
    </row>
    <row r="1532" spans="1:48" s="45" customFormat="1" ht="15" hidden="1">
      <c r="A1532" s="87" t="s">
        <v>150</v>
      </c>
      <c r="B1532" s="28" t="s">
        <v>151</v>
      </c>
      <c r="C1532" s="52"/>
      <c r="D1532" s="28">
        <v>2002</v>
      </c>
      <c r="E1532" s="28">
        <v>6</v>
      </c>
      <c r="F1532" s="28">
        <v>22</v>
      </c>
      <c r="G1532" s="46">
        <f t="shared" si="170"/>
        <v>174.35</v>
      </c>
      <c r="H1532" s="67">
        <v>196.88102357</v>
      </c>
      <c r="I1532" s="28">
        <v>220</v>
      </c>
      <c r="J1532" s="46">
        <f t="shared" si="171"/>
        <v>266.23795286000001</v>
      </c>
      <c r="K1532" s="54">
        <v>141.85185185</v>
      </c>
      <c r="L1532" s="54">
        <v>160</v>
      </c>
      <c r="M1532" s="48">
        <f t="shared" si="172"/>
        <v>214.44444444999999</v>
      </c>
      <c r="N1532" s="28"/>
      <c r="O1532" s="48">
        <f t="shared" si="180"/>
        <v>2.2942038585657705</v>
      </c>
      <c r="P1532" s="48">
        <f t="shared" si="174"/>
        <v>2.3424226808222062</v>
      </c>
      <c r="Q1532" s="48">
        <f t="shared" si="175"/>
        <v>2.4252699652738521</v>
      </c>
      <c r="R1532" s="48">
        <f t="shared" si="181"/>
        <v>2.1518350098039658</v>
      </c>
      <c r="S1532" s="48">
        <f t="shared" si="176"/>
        <v>2.2041199826559246</v>
      </c>
      <c r="T1532" s="48">
        <f t="shared" si="177"/>
        <v>2.3313147995797001</v>
      </c>
      <c r="U1532" s="48">
        <v>2.4252699652738521</v>
      </c>
      <c r="V1532" s="48">
        <v>2.3313147995797001</v>
      </c>
      <c r="W1532" s="49">
        <f t="shared" si="173"/>
        <v>0.92638039644025949</v>
      </c>
      <c r="X1532" s="28"/>
      <c r="Y1532" s="28"/>
      <c r="Z1532" s="28"/>
      <c r="AA1532" s="28"/>
      <c r="AB1532" s="90"/>
      <c r="AC1532" s="90"/>
      <c r="AD1532" s="90"/>
      <c r="AE1532" s="33">
        <v>19.029460690000001</v>
      </c>
      <c r="AF1532" s="33">
        <f>AVERAGE(AE1530:AE1532)</f>
        <v>18.18970298</v>
      </c>
      <c r="AG1532" s="28">
        <v>33.612334799999999</v>
      </c>
      <c r="AH1532" s="28"/>
      <c r="AI1532" s="28"/>
      <c r="AO1532" s="28">
        <v>25.401990130000001</v>
      </c>
      <c r="AP1532" s="28"/>
      <c r="AS1532" s="28">
        <v>29.190110829999998</v>
      </c>
      <c r="AT1532" s="28">
        <v>4.22163588</v>
      </c>
      <c r="AU1532" s="28">
        <v>49.2994044</v>
      </c>
      <c r="AV1532" s="28">
        <v>0.38169642999999998</v>
      </c>
    </row>
    <row r="1533" spans="1:48" s="45" customFormat="1" ht="15" hidden="1">
      <c r="A1533" s="87" t="s">
        <v>150</v>
      </c>
      <c r="B1533" s="28" t="s">
        <v>151</v>
      </c>
      <c r="C1533" s="52"/>
      <c r="D1533" s="28">
        <v>2002</v>
      </c>
      <c r="E1533" s="28">
        <v>7</v>
      </c>
      <c r="F1533" s="28">
        <v>21</v>
      </c>
      <c r="G1533" s="46">
        <f t="shared" si="170"/>
        <v>203.82</v>
      </c>
      <c r="H1533" s="67">
        <v>259.78941895000003</v>
      </c>
      <c r="I1533" s="28">
        <v>282</v>
      </c>
      <c r="J1533" s="46">
        <f t="shared" si="171"/>
        <v>326.42116209999995</v>
      </c>
      <c r="K1533" s="54">
        <v>140.37037036999999</v>
      </c>
      <c r="L1533" s="54">
        <v>157.5</v>
      </c>
      <c r="M1533" s="48">
        <f t="shared" si="172"/>
        <v>208.88888889000003</v>
      </c>
      <c r="N1533" s="28"/>
      <c r="O1533" s="48">
        <f t="shared" si="180"/>
        <v>2.4146214585722361</v>
      </c>
      <c r="P1533" s="48">
        <f t="shared" si="174"/>
        <v>2.4502491083193609</v>
      </c>
      <c r="Q1533" s="48">
        <f t="shared" si="175"/>
        <v>2.5137783065932613</v>
      </c>
      <c r="R1533" s="48">
        <f t="shared" si="181"/>
        <v>2.1472754458079391</v>
      </c>
      <c r="S1533" s="48">
        <f t="shared" si="176"/>
        <v>2.1972805581256192</v>
      </c>
      <c r="T1533" s="48">
        <f t="shared" si="177"/>
        <v>2.319915339826665</v>
      </c>
      <c r="U1533" s="48">
        <v>2.5137783065932613</v>
      </c>
      <c r="V1533" s="48">
        <v>2.319915339826665</v>
      </c>
      <c r="W1533" s="49">
        <f t="shared" si="173"/>
        <v>0.91074391556832046</v>
      </c>
      <c r="X1533" s="49"/>
      <c r="Y1533" s="49"/>
      <c r="Z1533" s="49"/>
      <c r="AA1533" s="48"/>
      <c r="AB1533" s="90"/>
      <c r="AC1533" s="90"/>
      <c r="AD1533" s="90"/>
      <c r="AE1533" s="33">
        <v>19.307906670000001</v>
      </c>
      <c r="AF1533" s="33">
        <f t="shared" si="182"/>
        <v>19.168683680000001</v>
      </c>
      <c r="AG1533" s="28">
        <v>29.947136560000001</v>
      </c>
      <c r="AH1533" s="28"/>
      <c r="AI1533" s="28"/>
      <c r="AO1533" s="28">
        <v>31.202309799999998</v>
      </c>
      <c r="AP1533" s="28">
        <v>3.16981132</v>
      </c>
      <c r="AS1533" s="28">
        <v>28.917306050000001</v>
      </c>
      <c r="AT1533" s="28">
        <v>85.224274410000007</v>
      </c>
      <c r="AU1533" s="28">
        <v>48.008715539999997</v>
      </c>
      <c r="AV1533" s="28">
        <v>0.73660714000000005</v>
      </c>
    </row>
    <row r="1534" spans="1:48" s="45" customFormat="1" ht="15" hidden="1" customHeight="1">
      <c r="A1534" s="87" t="s">
        <v>150</v>
      </c>
      <c r="B1534" s="29" t="s">
        <v>198</v>
      </c>
      <c r="C1534" s="77" t="s">
        <v>199</v>
      </c>
      <c r="D1534" s="28"/>
      <c r="E1534" s="28">
        <v>5</v>
      </c>
      <c r="F1534" s="28"/>
      <c r="G1534" s="34">
        <f t="shared" ref="G1534:G1554" si="183">30.47*(E1534-1)+15</f>
        <v>136.88</v>
      </c>
      <c r="H1534" s="67">
        <v>575</v>
      </c>
      <c r="I1534" s="28">
        <f>575+35.36</f>
        <v>610.36</v>
      </c>
      <c r="J1534" s="46">
        <f t="shared" si="171"/>
        <v>681.08</v>
      </c>
      <c r="K1534" s="54">
        <v>27.31</v>
      </c>
      <c r="L1534" s="54">
        <f>27.31+2.45</f>
        <v>29.759999999999998</v>
      </c>
      <c r="M1534" s="48">
        <f t="shared" si="172"/>
        <v>37.11</v>
      </c>
      <c r="N1534" s="28"/>
      <c r="O1534" s="48">
        <f t="shared" ref="O1534:O1554" si="184">LOG10(H1534)</f>
        <v>2.7596678446896306</v>
      </c>
      <c r="P1534" s="48">
        <f t="shared" ref="P1534:P1554" si="185">LOG10(I1534)</f>
        <v>2.7855860643496841</v>
      </c>
      <c r="Q1534" s="48">
        <f t="shared" ref="Q1534:Q1554" si="186">LOG10(J1534)</f>
        <v>2.8331981273576816</v>
      </c>
      <c r="R1534" s="48">
        <f t="shared" ref="R1534:R1554" si="187">LOG10(K1534)</f>
        <v>1.4363217001397333</v>
      </c>
      <c r="S1534" s="48">
        <f t="shared" ref="S1534:S1554" si="188">LOG10(L1534)</f>
        <v>1.4736329268738411</v>
      </c>
      <c r="T1534" s="48">
        <f t="shared" ref="T1534:T1554" si="189">LOG10(M1534)</f>
        <v>1.5694909543487832</v>
      </c>
      <c r="U1534" s="48">
        <v>2.8331981273576816</v>
      </c>
      <c r="V1534" s="48">
        <v>1.5694909543487832</v>
      </c>
      <c r="W1534" s="49">
        <f t="shared" si="173"/>
        <v>1.5308996428291373</v>
      </c>
      <c r="X1534" s="49"/>
      <c r="Y1534" s="49"/>
      <c r="Z1534" s="49"/>
      <c r="AA1534" s="48"/>
      <c r="AB1534" s="48"/>
      <c r="AC1534" s="48"/>
      <c r="AD1534" s="48"/>
      <c r="AG1534" s="28"/>
      <c r="AH1534" s="28"/>
      <c r="AI1534" s="28"/>
      <c r="AO1534" s="28"/>
      <c r="AP1534" s="28"/>
      <c r="AS1534" s="28"/>
      <c r="AT1534" s="28"/>
      <c r="AU1534" s="28"/>
      <c r="AV1534" s="28"/>
    </row>
    <row r="1535" spans="1:48" s="45" customFormat="1" ht="15" hidden="1" customHeight="1">
      <c r="A1535" s="87" t="s">
        <v>150</v>
      </c>
      <c r="B1535" s="29" t="s">
        <v>198</v>
      </c>
      <c r="C1535" s="77" t="s">
        <v>199</v>
      </c>
      <c r="D1535" s="28"/>
      <c r="E1535" s="28">
        <v>5</v>
      </c>
      <c r="F1535" s="28"/>
      <c r="G1535" s="34">
        <f t="shared" si="183"/>
        <v>136.88</v>
      </c>
      <c r="H1535" s="67">
        <v>300</v>
      </c>
      <c r="I1535" s="28">
        <f>300+220.79</f>
        <v>520.79</v>
      </c>
      <c r="J1535" s="46">
        <f t="shared" si="171"/>
        <v>962.36999999999989</v>
      </c>
      <c r="K1535" s="54">
        <v>16.21</v>
      </c>
      <c r="L1535" s="54">
        <f>16.21+7.64</f>
        <v>23.85</v>
      </c>
      <c r="M1535" s="48">
        <f t="shared" si="172"/>
        <v>46.77</v>
      </c>
      <c r="N1535" s="28"/>
      <c r="O1535" s="48">
        <f t="shared" si="184"/>
        <v>2.4771212547196626</v>
      </c>
      <c r="P1535" s="48">
        <f t="shared" si="185"/>
        <v>2.7166626364923272</v>
      </c>
      <c r="Q1535" s="48">
        <f t="shared" si="186"/>
        <v>2.9833420762628675</v>
      </c>
      <c r="R1535" s="48">
        <f t="shared" si="187"/>
        <v>1.2097830148485149</v>
      </c>
      <c r="S1535" s="48">
        <f t="shared" si="188"/>
        <v>1.3774883833761327</v>
      </c>
      <c r="T1535" s="48">
        <f t="shared" si="189"/>
        <v>1.6699673699085043</v>
      </c>
      <c r="U1535" s="48">
        <v>2.9833420762628675</v>
      </c>
      <c r="V1535" s="48">
        <v>1.6699673699085043</v>
      </c>
      <c r="W1535" s="49">
        <f t="shared" si="173"/>
        <v>1.390083383788473</v>
      </c>
      <c r="X1535" s="49"/>
      <c r="Y1535" s="49"/>
      <c r="Z1535" s="49"/>
      <c r="AA1535" s="48"/>
      <c r="AB1535" s="48"/>
      <c r="AC1535" s="48"/>
      <c r="AD1535" s="48"/>
      <c r="AG1535" s="28"/>
      <c r="AH1535" s="28"/>
      <c r="AI1535" s="28"/>
      <c r="AO1535" s="28"/>
      <c r="AP1535" s="28"/>
      <c r="AS1535" s="28"/>
      <c r="AT1535" s="28"/>
      <c r="AU1535" s="28"/>
      <c r="AV1535" s="28"/>
    </row>
    <row r="1536" spans="1:48" s="45" customFormat="1" ht="15" hidden="1" customHeight="1">
      <c r="A1536" s="87" t="s">
        <v>150</v>
      </c>
      <c r="B1536" s="29" t="s">
        <v>198</v>
      </c>
      <c r="C1536" s="77" t="s">
        <v>199</v>
      </c>
      <c r="D1536" s="28"/>
      <c r="E1536" s="28">
        <v>5</v>
      </c>
      <c r="F1536" s="28"/>
      <c r="G1536" s="34">
        <f t="shared" si="183"/>
        <v>136.88</v>
      </c>
      <c r="H1536" s="67">
        <v>133.33000000000001</v>
      </c>
      <c r="I1536" s="28">
        <f>133.33+14.43</f>
        <v>147.76000000000002</v>
      </c>
      <c r="J1536" s="46">
        <f t="shared" si="171"/>
        <v>176.62000000000003</v>
      </c>
      <c r="K1536" s="54">
        <v>7.8</v>
      </c>
      <c r="L1536" s="54">
        <f>7.8+3.47</f>
        <v>11.27</v>
      </c>
      <c r="M1536" s="48">
        <f t="shared" si="172"/>
        <v>21.68</v>
      </c>
      <c r="N1536" s="28"/>
      <c r="O1536" s="48">
        <f t="shared" si="184"/>
        <v>2.1249278791105333</v>
      </c>
      <c r="P1536" s="48">
        <f t="shared" si="185"/>
        <v>2.1695568824321851</v>
      </c>
      <c r="Q1536" s="48">
        <f t="shared" si="186"/>
        <v>2.247039880429746</v>
      </c>
      <c r="R1536" s="48">
        <f t="shared" si="187"/>
        <v>0.89209460269048035</v>
      </c>
      <c r="S1536" s="48">
        <f t="shared" si="188"/>
        <v>1.0519239160461065</v>
      </c>
      <c r="T1536" s="48">
        <f t="shared" si="189"/>
        <v>1.3360592778663494</v>
      </c>
      <c r="U1536" s="48">
        <v>2.247039880429746</v>
      </c>
      <c r="V1536" s="48">
        <v>1.3360592778663494</v>
      </c>
      <c r="W1536" s="49">
        <f t="shared" si="173"/>
        <v>1.9291389334735218</v>
      </c>
      <c r="X1536" s="49"/>
      <c r="Y1536" s="49"/>
      <c r="Z1536" s="49"/>
      <c r="AA1536" s="48"/>
      <c r="AB1536" s="48"/>
      <c r="AC1536" s="48"/>
      <c r="AD1536" s="48"/>
      <c r="AG1536" s="28"/>
      <c r="AH1536" s="28"/>
      <c r="AI1536" s="28"/>
      <c r="AO1536" s="28"/>
      <c r="AP1536" s="28"/>
      <c r="AS1536" s="28"/>
      <c r="AT1536" s="28"/>
      <c r="AU1536" s="28"/>
      <c r="AV1536" s="28"/>
    </row>
    <row r="1537" spans="1:48" s="45" customFormat="1" ht="15" hidden="1" customHeight="1">
      <c r="A1537" s="87" t="s">
        <v>150</v>
      </c>
      <c r="B1537" s="29" t="s">
        <v>198</v>
      </c>
      <c r="C1537" s="77" t="s">
        <v>199</v>
      </c>
      <c r="D1537" s="28"/>
      <c r="E1537" s="28">
        <v>7</v>
      </c>
      <c r="F1537" s="28"/>
      <c r="G1537" s="34">
        <f t="shared" si="183"/>
        <v>197.82</v>
      </c>
      <c r="H1537" s="67">
        <v>966.67</v>
      </c>
      <c r="I1537" s="28">
        <f>966.67+354.73</f>
        <v>1321.4</v>
      </c>
      <c r="J1537" s="46">
        <f t="shared" si="171"/>
        <v>2030.8600000000006</v>
      </c>
      <c r="K1537" s="54">
        <v>69.42</v>
      </c>
      <c r="L1537" s="54">
        <f>69.42+26.71</f>
        <v>96.13</v>
      </c>
      <c r="M1537" s="48">
        <f t="shared" si="172"/>
        <v>176.26</v>
      </c>
      <c r="N1537" s="28"/>
      <c r="O1537" s="48">
        <f t="shared" si="184"/>
        <v>2.9852782407438907</v>
      </c>
      <c r="P1537" s="48">
        <f t="shared" si="185"/>
        <v>3.1210343024722991</v>
      </c>
      <c r="Q1537" s="48">
        <f t="shared" si="186"/>
        <v>3.3076799857764838</v>
      </c>
      <c r="R1537" s="48">
        <f t="shared" si="187"/>
        <v>1.8414846093353932</v>
      </c>
      <c r="S1537" s="48">
        <f t="shared" si="188"/>
        <v>1.9828589423120753</v>
      </c>
      <c r="T1537" s="48">
        <f t="shared" si="189"/>
        <v>2.2461537657861008</v>
      </c>
      <c r="U1537" s="48">
        <v>3.3076799857764838</v>
      </c>
      <c r="V1537" s="48">
        <v>2.2461537657861008</v>
      </c>
      <c r="W1537" s="49">
        <f t="shared" si="173"/>
        <v>0.74331199814893134</v>
      </c>
      <c r="X1537" s="49"/>
      <c r="Y1537" s="49"/>
      <c r="Z1537" s="49"/>
      <c r="AA1537" s="48"/>
      <c r="AB1537" s="48"/>
      <c r="AC1537" s="48"/>
      <c r="AD1537" s="48"/>
      <c r="AG1537" s="28"/>
      <c r="AH1537" s="28"/>
      <c r="AI1537" s="28"/>
      <c r="AO1537" s="28"/>
      <c r="AP1537" s="28"/>
      <c r="AS1537" s="28"/>
      <c r="AT1537" s="28"/>
      <c r="AU1537" s="28"/>
      <c r="AV1537" s="28"/>
    </row>
    <row r="1538" spans="1:48" s="45" customFormat="1" ht="15" hidden="1" customHeight="1">
      <c r="A1538" s="87" t="s">
        <v>150</v>
      </c>
      <c r="B1538" s="29" t="s">
        <v>198</v>
      </c>
      <c r="C1538" s="77" t="s">
        <v>199</v>
      </c>
      <c r="D1538" s="28"/>
      <c r="E1538" s="28">
        <v>7</v>
      </c>
      <c r="F1538" s="28"/>
      <c r="G1538" s="34">
        <f t="shared" si="183"/>
        <v>197.82</v>
      </c>
      <c r="H1538" s="67">
        <v>366.67</v>
      </c>
      <c r="I1538" s="28">
        <f>366.67+76.38</f>
        <v>443.05</v>
      </c>
      <c r="J1538" s="46">
        <f t="shared" si="171"/>
        <v>595.80999999999995</v>
      </c>
      <c r="K1538" s="54">
        <v>38.85</v>
      </c>
      <c r="L1538" s="54">
        <f>38.85+15.14</f>
        <v>53.99</v>
      </c>
      <c r="M1538" s="48">
        <f t="shared" si="172"/>
        <v>99.41</v>
      </c>
      <c r="N1538" s="28"/>
      <c r="O1538" s="48">
        <f t="shared" si="184"/>
        <v>2.5642753785522703</v>
      </c>
      <c r="P1538" s="48">
        <f t="shared" si="185"/>
        <v>2.6464527408929372</v>
      </c>
      <c r="Q1538" s="48">
        <f t="shared" si="186"/>
        <v>2.7751077880840822</v>
      </c>
      <c r="R1538" s="48">
        <f t="shared" si="187"/>
        <v>1.589391023136933</v>
      </c>
      <c r="S1538" s="48">
        <f t="shared" si="188"/>
        <v>1.7323133274712426</v>
      </c>
      <c r="T1538" s="48">
        <f t="shared" si="189"/>
        <v>1.9974300737974713</v>
      </c>
      <c r="U1538" s="48">
        <v>2.7751077880840822</v>
      </c>
      <c r="V1538" s="48">
        <v>1.9974300737974713</v>
      </c>
      <c r="W1538" s="49">
        <f t="shared" si="173"/>
        <v>1.1400880024218227</v>
      </c>
      <c r="X1538" s="49"/>
      <c r="Y1538" s="49"/>
      <c r="Z1538" s="49"/>
      <c r="AA1538" s="48"/>
      <c r="AB1538" s="48"/>
      <c r="AC1538" s="48"/>
      <c r="AD1538" s="48"/>
      <c r="AG1538" s="28"/>
      <c r="AH1538" s="28"/>
      <c r="AI1538" s="28"/>
      <c r="AO1538" s="28"/>
      <c r="AP1538" s="28"/>
      <c r="AS1538" s="28"/>
      <c r="AT1538" s="28"/>
      <c r="AU1538" s="28"/>
      <c r="AV1538" s="28"/>
    </row>
    <row r="1539" spans="1:48" s="45" customFormat="1" ht="15" hidden="1" customHeight="1">
      <c r="A1539" s="87" t="s">
        <v>150</v>
      </c>
      <c r="B1539" s="29" t="s">
        <v>198</v>
      </c>
      <c r="C1539" s="77" t="s">
        <v>199</v>
      </c>
      <c r="D1539" s="28"/>
      <c r="E1539" s="28">
        <v>7</v>
      </c>
      <c r="F1539" s="28"/>
      <c r="G1539" s="34">
        <f t="shared" si="183"/>
        <v>197.82</v>
      </c>
      <c r="H1539" s="67">
        <v>216.67</v>
      </c>
      <c r="I1539" s="28">
        <f>216.67+57.74</f>
        <v>274.40999999999997</v>
      </c>
      <c r="J1539" s="46">
        <f t="shared" si="171"/>
        <v>389.88999999999993</v>
      </c>
      <c r="K1539" s="54">
        <v>15.06</v>
      </c>
      <c r="L1539" s="54">
        <f>15.06+5.63</f>
        <v>20.69</v>
      </c>
      <c r="M1539" s="48">
        <f t="shared" si="172"/>
        <v>37.58</v>
      </c>
      <c r="N1539" s="28"/>
      <c r="O1539" s="48">
        <f t="shared" si="184"/>
        <v>2.3357987833253655</v>
      </c>
      <c r="P1539" s="48">
        <f t="shared" si="185"/>
        <v>2.4383999338047055</v>
      </c>
      <c r="Q1539" s="48">
        <f t="shared" si="186"/>
        <v>2.5909420964331433</v>
      </c>
      <c r="R1539" s="48">
        <f t="shared" si="187"/>
        <v>1.1778249718646818</v>
      </c>
      <c r="S1539" s="48">
        <f t="shared" si="188"/>
        <v>1.3157604906657345</v>
      </c>
      <c r="T1539" s="48">
        <f t="shared" si="189"/>
        <v>1.5749567757645069</v>
      </c>
      <c r="U1539" s="48">
        <v>2.5909420964331433</v>
      </c>
      <c r="V1539" s="48">
        <v>1.5749567757645069</v>
      </c>
      <c r="W1539" s="49">
        <f t="shared" si="173"/>
        <v>1.5982474365409383</v>
      </c>
      <c r="X1539" s="49"/>
      <c r="Y1539" s="49"/>
      <c r="Z1539" s="49"/>
      <c r="AA1539" s="48"/>
      <c r="AB1539" s="48"/>
      <c r="AC1539" s="48"/>
      <c r="AD1539" s="48"/>
      <c r="AG1539" s="28"/>
      <c r="AH1539" s="28"/>
      <c r="AI1539" s="28"/>
      <c r="AO1539" s="28"/>
      <c r="AP1539" s="28"/>
      <c r="AS1539" s="28"/>
      <c r="AT1539" s="28"/>
      <c r="AU1539" s="28"/>
      <c r="AV1539" s="28"/>
    </row>
    <row r="1540" spans="1:48" s="45" customFormat="1" ht="15" hidden="1" customHeight="1">
      <c r="A1540" s="87" t="s">
        <v>150</v>
      </c>
      <c r="B1540" s="29" t="s">
        <v>198</v>
      </c>
      <c r="C1540" s="77" t="s">
        <v>199</v>
      </c>
      <c r="D1540" s="28"/>
      <c r="E1540" s="28">
        <v>9</v>
      </c>
      <c r="F1540" s="28"/>
      <c r="G1540" s="34">
        <f t="shared" si="183"/>
        <v>258.76</v>
      </c>
      <c r="H1540" s="67">
        <v>1300</v>
      </c>
      <c r="I1540" s="28">
        <f>1300+326.92</f>
        <v>1626.92</v>
      </c>
      <c r="J1540" s="46">
        <f t="shared" si="171"/>
        <v>2280.7600000000002</v>
      </c>
      <c r="K1540" s="54">
        <v>65.47</v>
      </c>
      <c r="L1540" s="54">
        <f>65.47+17.46</f>
        <v>82.93</v>
      </c>
      <c r="M1540" s="48">
        <f t="shared" si="172"/>
        <v>135.31000000000003</v>
      </c>
      <c r="N1540" s="28"/>
      <c r="O1540" s="48">
        <f t="shared" si="184"/>
        <v>3.1139433523068369</v>
      </c>
      <c r="P1540" s="48">
        <f t="shared" si="185"/>
        <v>3.2113661980427253</v>
      </c>
      <c r="Q1540" s="48">
        <f t="shared" si="186"/>
        <v>3.3580795877056442</v>
      </c>
      <c r="R1540" s="48">
        <f t="shared" si="187"/>
        <v>1.8160423409219966</v>
      </c>
      <c r="S1540" s="48">
        <f t="shared" si="188"/>
        <v>1.9187116653823213</v>
      </c>
      <c r="T1540" s="48">
        <f t="shared" si="189"/>
        <v>2.13132989404281</v>
      </c>
      <c r="U1540" s="48">
        <v>3.3580795877056442</v>
      </c>
      <c r="V1540" s="48">
        <v>2.13132989404281</v>
      </c>
      <c r="W1540" s="49">
        <f t="shared" si="173"/>
        <v>0.83774656879686571</v>
      </c>
      <c r="X1540" s="49"/>
      <c r="Y1540" s="49"/>
      <c r="Z1540" s="49"/>
      <c r="AA1540" s="48"/>
      <c r="AB1540" s="48"/>
      <c r="AC1540" s="48"/>
      <c r="AD1540" s="48"/>
      <c r="AG1540" s="28"/>
      <c r="AH1540" s="28"/>
      <c r="AI1540" s="28"/>
      <c r="AO1540" s="28"/>
      <c r="AP1540" s="28"/>
      <c r="AS1540" s="28"/>
      <c r="AT1540" s="28"/>
      <c r="AU1540" s="28"/>
      <c r="AV1540" s="28"/>
    </row>
    <row r="1541" spans="1:48" s="45" customFormat="1" ht="15" hidden="1" customHeight="1">
      <c r="A1541" s="87" t="s">
        <v>150</v>
      </c>
      <c r="B1541" s="29" t="s">
        <v>198</v>
      </c>
      <c r="C1541" s="77" t="s">
        <v>199</v>
      </c>
      <c r="D1541" s="28"/>
      <c r="E1541" s="28">
        <v>9</v>
      </c>
      <c r="F1541" s="28"/>
      <c r="G1541" s="34">
        <f t="shared" si="183"/>
        <v>258.76</v>
      </c>
      <c r="H1541" s="67">
        <v>275</v>
      </c>
      <c r="I1541" s="28">
        <f>275+50</f>
        <v>325</v>
      </c>
      <c r="J1541" s="46">
        <f t="shared" si="171"/>
        <v>425</v>
      </c>
      <c r="K1541" s="54">
        <v>28.06</v>
      </c>
      <c r="L1541" s="54">
        <f>28.06+4.65</f>
        <v>32.71</v>
      </c>
      <c r="M1541" s="48">
        <f t="shared" si="172"/>
        <v>46.660000000000011</v>
      </c>
      <c r="N1541" s="28"/>
      <c r="O1541" s="48">
        <f t="shared" si="184"/>
        <v>2.4393326938302629</v>
      </c>
      <c r="P1541" s="48">
        <f t="shared" si="185"/>
        <v>2.5118833609788744</v>
      </c>
      <c r="Q1541" s="48">
        <f t="shared" si="186"/>
        <v>2.6283889300503116</v>
      </c>
      <c r="R1541" s="48">
        <f t="shared" si="187"/>
        <v>1.448087666692341</v>
      </c>
      <c r="S1541" s="48">
        <f t="shared" si="188"/>
        <v>1.5146805441249815</v>
      </c>
      <c r="T1541" s="48">
        <f t="shared" si="189"/>
        <v>1.6689447344577339</v>
      </c>
      <c r="U1541" s="48">
        <v>2.6283889300503116</v>
      </c>
      <c r="V1541" s="48">
        <v>1.6689447344577339</v>
      </c>
      <c r="W1541" s="49">
        <f t="shared" si="173"/>
        <v>1.49737607488302</v>
      </c>
      <c r="X1541" s="49"/>
      <c r="Y1541" s="49"/>
      <c r="Z1541" s="49"/>
      <c r="AA1541" s="48"/>
      <c r="AB1541" s="48"/>
      <c r="AC1541" s="48"/>
      <c r="AD1541" s="48"/>
      <c r="AG1541" s="28"/>
      <c r="AH1541" s="28"/>
      <c r="AI1541" s="28"/>
      <c r="AO1541" s="28"/>
      <c r="AP1541" s="28"/>
      <c r="AS1541" s="28"/>
      <c r="AT1541" s="28"/>
      <c r="AU1541" s="28"/>
      <c r="AV1541" s="28"/>
    </row>
    <row r="1542" spans="1:48" s="45" customFormat="1" ht="15" hidden="1" customHeight="1">
      <c r="A1542" s="87" t="s">
        <v>150</v>
      </c>
      <c r="B1542" s="29" t="s">
        <v>198</v>
      </c>
      <c r="C1542" s="77" t="s">
        <v>199</v>
      </c>
      <c r="D1542" s="28"/>
      <c r="E1542" s="28">
        <v>9</v>
      </c>
      <c r="F1542" s="28"/>
      <c r="G1542" s="34">
        <f t="shared" si="183"/>
        <v>258.76</v>
      </c>
      <c r="H1542" s="67">
        <v>300</v>
      </c>
      <c r="I1542" s="28">
        <f>300+108.97</f>
        <v>408.97</v>
      </c>
      <c r="J1542" s="46">
        <f t="shared" si="171"/>
        <v>626.91000000000008</v>
      </c>
      <c r="K1542" s="54">
        <v>37.14</v>
      </c>
      <c r="L1542" s="54">
        <f>37.14+12.8</f>
        <v>49.94</v>
      </c>
      <c r="M1542" s="48">
        <f t="shared" si="172"/>
        <v>88.339999999999989</v>
      </c>
      <c r="N1542" s="28"/>
      <c r="O1542" s="48">
        <f t="shared" si="184"/>
        <v>2.4771212547196626</v>
      </c>
      <c r="P1542" s="48">
        <f t="shared" si="185"/>
        <v>2.6116914514980252</v>
      </c>
      <c r="Q1542" s="48">
        <f t="shared" si="186"/>
        <v>2.7972051974353556</v>
      </c>
      <c r="R1542" s="48">
        <f t="shared" si="187"/>
        <v>1.5698418994037615</v>
      </c>
      <c r="S1542" s="48">
        <f t="shared" si="188"/>
        <v>1.6984485380153289</v>
      </c>
      <c r="T1542" s="48">
        <f t="shared" si="189"/>
        <v>1.9461573949223723</v>
      </c>
      <c r="U1542" s="48">
        <v>2.7972051974353556</v>
      </c>
      <c r="V1542" s="48">
        <v>1.9461573949223723</v>
      </c>
      <c r="W1542" s="49">
        <f t="shared" si="173"/>
        <v>1.1823782931038032</v>
      </c>
      <c r="X1542" s="49"/>
      <c r="Y1542" s="49"/>
      <c r="Z1542" s="49"/>
      <c r="AA1542" s="48"/>
      <c r="AB1542" s="48"/>
      <c r="AC1542" s="48"/>
      <c r="AD1542" s="48"/>
      <c r="AG1542" s="28"/>
      <c r="AH1542" s="28"/>
      <c r="AI1542" s="28"/>
      <c r="AO1542" s="28"/>
      <c r="AP1542" s="28"/>
      <c r="AS1542" s="28"/>
      <c r="AT1542" s="28"/>
      <c r="AU1542" s="28"/>
      <c r="AV1542" s="28"/>
    </row>
    <row r="1543" spans="1:48" s="45" customFormat="1" ht="15" hidden="1" customHeight="1">
      <c r="A1543" s="87" t="s">
        <v>150</v>
      </c>
      <c r="B1543" s="29" t="s">
        <v>198</v>
      </c>
      <c r="C1543" s="77" t="s">
        <v>200</v>
      </c>
      <c r="D1543" s="28"/>
      <c r="E1543" s="28">
        <v>5</v>
      </c>
      <c r="F1543" s="28"/>
      <c r="G1543" s="34">
        <f t="shared" si="183"/>
        <v>136.88</v>
      </c>
      <c r="H1543" s="67">
        <v>208.33</v>
      </c>
      <c r="I1543" s="28">
        <f>208.33+144.34</f>
        <v>352.67</v>
      </c>
      <c r="J1543" s="46">
        <f t="shared" si="171"/>
        <v>641.35</v>
      </c>
      <c r="K1543" s="54">
        <v>8.16</v>
      </c>
      <c r="L1543" s="54">
        <f>8.16+6.08</f>
        <v>14.24</v>
      </c>
      <c r="M1543" s="48">
        <f t="shared" si="172"/>
        <v>32.480000000000004</v>
      </c>
      <c r="N1543" s="28"/>
      <c r="O1543" s="48">
        <f t="shared" si="184"/>
        <v>2.3187518138571122</v>
      </c>
      <c r="P1543" s="48">
        <f t="shared" si="185"/>
        <v>2.5473685178228833</v>
      </c>
      <c r="Q1543" s="48">
        <f t="shared" si="186"/>
        <v>2.8070950990746182</v>
      </c>
      <c r="R1543" s="48">
        <f t="shared" si="187"/>
        <v>0.91169015875386117</v>
      </c>
      <c r="S1543" s="48">
        <f t="shared" si="188"/>
        <v>1.1535099893008376</v>
      </c>
      <c r="T1543" s="48">
        <f t="shared" si="189"/>
        <v>1.5116160205691378</v>
      </c>
      <c r="U1543" s="48">
        <v>2.8070950990746182</v>
      </c>
      <c r="V1543" s="48">
        <v>1.5116160205691378</v>
      </c>
      <c r="W1543" s="49">
        <f t="shared" si="173"/>
        <v>1.5939250412668138</v>
      </c>
      <c r="X1543" s="49"/>
      <c r="Y1543" s="49"/>
      <c r="Z1543" s="49"/>
      <c r="AA1543" s="48"/>
      <c r="AB1543" s="48"/>
      <c r="AC1543" s="48"/>
      <c r="AD1543" s="48"/>
      <c r="AG1543" s="28"/>
      <c r="AH1543" s="28"/>
      <c r="AI1543" s="28"/>
      <c r="AO1543" s="28"/>
      <c r="AP1543" s="28"/>
      <c r="AS1543" s="28"/>
      <c r="AT1543" s="28"/>
      <c r="AU1543" s="28"/>
      <c r="AV1543" s="28"/>
    </row>
    <row r="1544" spans="1:48" s="45" customFormat="1" ht="15" hidden="1" customHeight="1">
      <c r="A1544" s="87" t="s">
        <v>150</v>
      </c>
      <c r="B1544" s="29" t="s">
        <v>198</v>
      </c>
      <c r="C1544" s="77" t="s">
        <v>200</v>
      </c>
      <c r="D1544" s="28"/>
      <c r="E1544" s="28">
        <v>7</v>
      </c>
      <c r="F1544" s="28"/>
      <c r="G1544" s="34">
        <f t="shared" si="183"/>
        <v>197.82</v>
      </c>
      <c r="H1544" s="67">
        <v>358.33</v>
      </c>
      <c r="I1544" s="29">
        <f>358.33+62.92</f>
        <v>421.25</v>
      </c>
      <c r="J1544" s="46">
        <f t="shared" si="171"/>
        <v>547.09</v>
      </c>
      <c r="K1544" s="54">
        <v>23.35</v>
      </c>
      <c r="L1544" s="54">
        <f>23.35+9.67</f>
        <v>33.020000000000003</v>
      </c>
      <c r="M1544" s="48">
        <f t="shared" si="172"/>
        <v>62.030000000000008</v>
      </c>
      <c r="N1544" s="28"/>
      <c r="O1544" s="48">
        <f t="shared" si="184"/>
        <v>2.5542831695645023</v>
      </c>
      <c r="P1544" s="48">
        <f t="shared" si="185"/>
        <v>2.6245399138793952</v>
      </c>
      <c r="Q1544" s="48">
        <f t="shared" si="186"/>
        <v>2.7380587765860782</v>
      </c>
      <c r="R1544" s="48">
        <f t="shared" si="187"/>
        <v>1.368286884902131</v>
      </c>
      <c r="S1544" s="48">
        <f t="shared" si="188"/>
        <v>1.5187770689267748</v>
      </c>
      <c r="T1544" s="48">
        <f t="shared" si="189"/>
        <v>1.7926017811649664</v>
      </c>
      <c r="U1544" s="48">
        <v>2.7380587765860782</v>
      </c>
      <c r="V1544" s="48">
        <v>1.7926017811649664</v>
      </c>
      <c r="W1544" s="49">
        <f t="shared" si="173"/>
        <v>1.346570801113304</v>
      </c>
      <c r="X1544" s="49"/>
      <c r="Y1544" s="49"/>
      <c r="Z1544" s="49"/>
      <c r="AA1544" s="48"/>
      <c r="AB1544" s="48"/>
      <c r="AC1544" s="48"/>
      <c r="AD1544" s="48"/>
      <c r="AG1544" s="28"/>
      <c r="AH1544" s="28"/>
      <c r="AI1544" s="28"/>
      <c r="AO1544" s="28"/>
      <c r="AP1544" s="28"/>
      <c r="AS1544" s="28"/>
      <c r="AT1544" s="28"/>
      <c r="AU1544" s="28"/>
      <c r="AV1544" s="28"/>
    </row>
    <row r="1545" spans="1:48" s="45" customFormat="1" ht="15" hidden="1" customHeight="1">
      <c r="A1545" s="87" t="s">
        <v>150</v>
      </c>
      <c r="B1545" s="29" t="s">
        <v>198</v>
      </c>
      <c r="C1545" s="77" t="s">
        <v>200</v>
      </c>
      <c r="D1545" s="28"/>
      <c r="E1545" s="28">
        <v>9</v>
      </c>
      <c r="F1545" s="28"/>
      <c r="G1545" s="34">
        <f t="shared" si="183"/>
        <v>258.76</v>
      </c>
      <c r="H1545" s="67">
        <v>316.67</v>
      </c>
      <c r="I1545" s="28">
        <f>316.67+101.04</f>
        <v>417.71000000000004</v>
      </c>
      <c r="J1545" s="46">
        <f t="shared" si="171"/>
        <v>619.79000000000008</v>
      </c>
      <c r="K1545" s="54">
        <v>26.58</v>
      </c>
      <c r="L1545" s="54">
        <f>26.58+6.74</f>
        <v>33.32</v>
      </c>
      <c r="M1545" s="48">
        <f t="shared" si="172"/>
        <v>53.540000000000006</v>
      </c>
      <c r="N1545" s="28"/>
      <c r="O1545" s="48">
        <f t="shared" si="184"/>
        <v>2.500606922065987</v>
      </c>
      <c r="P1545" s="48">
        <f t="shared" si="185"/>
        <v>2.62087487242297</v>
      </c>
      <c r="Q1545" s="48">
        <f t="shared" si="186"/>
        <v>2.7922445648367034</v>
      </c>
      <c r="R1545" s="48">
        <f t="shared" si="187"/>
        <v>1.4245549766067132</v>
      </c>
      <c r="S1545" s="48">
        <f t="shared" si="188"/>
        <v>1.52270499273475</v>
      </c>
      <c r="T1545" s="48">
        <f t="shared" si="189"/>
        <v>1.7286783668509138</v>
      </c>
      <c r="U1545" s="48">
        <v>2.7922445648367034</v>
      </c>
      <c r="V1545" s="48">
        <v>1.7286783668509138</v>
      </c>
      <c r="W1545" s="49">
        <f t="shared" si="173"/>
        <v>1.3913173694760255</v>
      </c>
      <c r="X1545" s="49"/>
      <c r="Y1545" s="49"/>
      <c r="Z1545" s="49"/>
      <c r="AA1545" s="48"/>
      <c r="AB1545" s="48"/>
      <c r="AC1545" s="48"/>
      <c r="AD1545" s="48"/>
      <c r="AG1545" s="28"/>
      <c r="AH1545" s="28"/>
      <c r="AI1545" s="28"/>
      <c r="AO1545" s="28"/>
      <c r="AP1545" s="28"/>
      <c r="AS1545" s="28"/>
      <c r="AT1545" s="28"/>
      <c r="AU1545" s="28"/>
      <c r="AV1545" s="28"/>
    </row>
    <row r="1546" spans="1:48" s="45" customFormat="1" ht="15" hidden="1" customHeight="1">
      <c r="A1546" s="87" t="s">
        <v>150</v>
      </c>
      <c r="B1546" s="29" t="s">
        <v>198</v>
      </c>
      <c r="C1546" s="77" t="s">
        <v>201</v>
      </c>
      <c r="D1546" s="28"/>
      <c r="E1546" s="28">
        <v>5</v>
      </c>
      <c r="F1546" s="28"/>
      <c r="G1546" s="34">
        <f t="shared" si="183"/>
        <v>136.88</v>
      </c>
      <c r="H1546" s="67">
        <v>325</v>
      </c>
      <c r="I1546" s="28">
        <f>325+132.29</f>
        <v>457.28999999999996</v>
      </c>
      <c r="J1546" s="46">
        <f t="shared" si="171"/>
        <v>721.86999999999989</v>
      </c>
      <c r="K1546" s="54">
        <v>14.14</v>
      </c>
      <c r="L1546" s="54">
        <f>14.14+9.04</f>
        <v>23.18</v>
      </c>
      <c r="M1546" s="48">
        <f t="shared" si="172"/>
        <v>50.3</v>
      </c>
      <c r="N1546" s="28"/>
      <c r="O1546" s="48">
        <f t="shared" si="184"/>
        <v>2.5118833609788744</v>
      </c>
      <c r="P1546" s="48">
        <f t="shared" si="185"/>
        <v>2.6601917043496206</v>
      </c>
      <c r="Q1546" s="48">
        <f t="shared" si="186"/>
        <v>2.8584589934615132</v>
      </c>
      <c r="R1546" s="48">
        <f t="shared" si="187"/>
        <v>1.1504494094608806</v>
      </c>
      <c r="S1546" s="48">
        <f t="shared" si="188"/>
        <v>1.3651134316275773</v>
      </c>
      <c r="T1546" s="48">
        <f t="shared" si="189"/>
        <v>1.7015679850559273</v>
      </c>
      <c r="U1546" s="48">
        <v>2.8584589934615132</v>
      </c>
      <c r="V1546" s="48">
        <v>1.7015679850559273</v>
      </c>
      <c r="W1546" s="49">
        <f t="shared" si="173"/>
        <v>1.3973451124221885</v>
      </c>
      <c r="X1546" s="49"/>
      <c r="Y1546" s="49"/>
      <c r="Z1546" s="49"/>
      <c r="AA1546" s="48"/>
      <c r="AB1546" s="48"/>
      <c r="AC1546" s="48"/>
      <c r="AD1546" s="48"/>
      <c r="AG1546" s="28"/>
      <c r="AH1546" s="28"/>
      <c r="AI1546" s="28"/>
      <c r="AO1546" s="28"/>
      <c r="AP1546" s="28"/>
      <c r="AS1546" s="28"/>
      <c r="AT1546" s="28"/>
      <c r="AU1546" s="28"/>
      <c r="AV1546" s="28"/>
    </row>
    <row r="1547" spans="1:48" s="45" customFormat="1" ht="15" hidden="1" customHeight="1">
      <c r="A1547" s="87" t="s">
        <v>150</v>
      </c>
      <c r="B1547" s="29" t="s">
        <v>198</v>
      </c>
      <c r="C1547" s="77" t="s">
        <v>201</v>
      </c>
      <c r="D1547" s="28"/>
      <c r="E1547" s="28">
        <v>7</v>
      </c>
      <c r="F1547" s="28"/>
      <c r="G1547" s="34">
        <f t="shared" si="183"/>
        <v>197.82</v>
      </c>
      <c r="H1547" s="67">
        <v>658.33</v>
      </c>
      <c r="I1547" s="28">
        <f>658.33+175.59</f>
        <v>833.92000000000007</v>
      </c>
      <c r="J1547" s="46">
        <f t="shared" si="171"/>
        <v>1185.1000000000001</v>
      </c>
      <c r="K1547" s="54">
        <v>37.770000000000003</v>
      </c>
      <c r="L1547" s="54">
        <f>37.77+10.24</f>
        <v>48.010000000000005</v>
      </c>
      <c r="M1547" s="48">
        <f t="shared" si="172"/>
        <v>78.730000000000018</v>
      </c>
      <c r="N1547" s="28"/>
      <c r="O1547" s="48">
        <f t="shared" si="184"/>
        <v>2.8184436462778475</v>
      </c>
      <c r="P1547" s="48">
        <f t="shared" si="185"/>
        <v>2.9211243896964718</v>
      </c>
      <c r="Q1547" s="48">
        <f t="shared" si="186"/>
        <v>3.0737549981231922</v>
      </c>
      <c r="R1547" s="48">
        <f t="shared" si="187"/>
        <v>1.577146984827525</v>
      </c>
      <c r="S1547" s="48">
        <f t="shared" si="188"/>
        <v>1.6813317059691657</v>
      </c>
      <c r="T1547" s="48">
        <f t="shared" si="189"/>
        <v>1.8961402514420196</v>
      </c>
      <c r="U1547" s="48">
        <v>3.0737549981231922</v>
      </c>
      <c r="V1547" s="48">
        <v>1.8961402514420196</v>
      </c>
      <c r="W1547" s="49">
        <f t="shared" si="173"/>
        <v>1.1472561778386077</v>
      </c>
      <c r="X1547" s="49"/>
      <c r="Y1547" s="49"/>
      <c r="Z1547" s="49"/>
      <c r="AA1547" s="48"/>
      <c r="AB1547" s="48"/>
      <c r="AC1547" s="48"/>
      <c r="AD1547" s="48"/>
      <c r="AG1547" s="28"/>
      <c r="AH1547" s="28"/>
      <c r="AI1547" s="28"/>
      <c r="AO1547" s="28"/>
      <c r="AP1547" s="28"/>
      <c r="AS1547" s="28"/>
      <c r="AT1547" s="28"/>
      <c r="AU1547" s="28"/>
      <c r="AV1547" s="28"/>
    </row>
    <row r="1548" spans="1:48" s="45" customFormat="1" ht="15" hidden="1" customHeight="1">
      <c r="A1548" s="87" t="s">
        <v>150</v>
      </c>
      <c r="B1548" s="29" t="s">
        <v>198</v>
      </c>
      <c r="C1548" s="77" t="s">
        <v>202</v>
      </c>
      <c r="D1548" s="28"/>
      <c r="E1548" s="28">
        <v>5</v>
      </c>
      <c r="F1548" s="28"/>
      <c r="G1548" s="34">
        <f t="shared" si="183"/>
        <v>136.88</v>
      </c>
      <c r="H1548" s="67">
        <v>475</v>
      </c>
      <c r="I1548" s="28">
        <f>475+319.18</f>
        <v>794.18000000000006</v>
      </c>
      <c r="J1548" s="46">
        <f t="shared" si="171"/>
        <v>1432.5400000000002</v>
      </c>
      <c r="K1548" s="54">
        <v>23.97</v>
      </c>
      <c r="L1548" s="54">
        <f>23.97+12.23</f>
        <v>36.200000000000003</v>
      </c>
      <c r="M1548" s="48">
        <f t="shared" si="172"/>
        <v>72.890000000000015</v>
      </c>
      <c r="N1548" s="28"/>
      <c r="O1548" s="48">
        <f t="shared" si="184"/>
        <v>2.6766936096248664</v>
      </c>
      <c r="P1548" s="48">
        <f t="shared" si="185"/>
        <v>2.8999189459373751</v>
      </c>
      <c r="Q1548" s="48">
        <f t="shared" si="186"/>
        <v>3.1561067573666475</v>
      </c>
      <c r="R1548" s="48">
        <f t="shared" si="187"/>
        <v>1.3796680340336538</v>
      </c>
      <c r="S1548" s="48">
        <f t="shared" si="188"/>
        <v>1.5587085705331658</v>
      </c>
      <c r="T1548" s="48">
        <f t="shared" si="189"/>
        <v>1.8626679502285881</v>
      </c>
      <c r="U1548" s="48">
        <v>3.1561067573666475</v>
      </c>
      <c r="V1548" s="48">
        <v>1.8626679502285881</v>
      </c>
      <c r="W1548" s="49">
        <f t="shared" si="173"/>
        <v>1.1545190282194078</v>
      </c>
      <c r="X1548" s="49"/>
      <c r="Y1548" s="49"/>
      <c r="Z1548" s="49"/>
      <c r="AA1548" s="48"/>
      <c r="AB1548" s="48"/>
      <c r="AC1548" s="48"/>
      <c r="AD1548" s="48"/>
      <c r="AG1548" s="28"/>
      <c r="AH1548" s="28"/>
      <c r="AI1548" s="28"/>
      <c r="AO1548" s="28"/>
      <c r="AP1548" s="28"/>
      <c r="AS1548" s="28"/>
      <c r="AT1548" s="28"/>
      <c r="AU1548" s="28"/>
      <c r="AV1548" s="28"/>
    </row>
    <row r="1549" spans="1:48" s="45" customFormat="1" ht="15" hidden="1" customHeight="1">
      <c r="A1549" s="87" t="s">
        <v>150</v>
      </c>
      <c r="B1549" s="29" t="s">
        <v>198</v>
      </c>
      <c r="C1549" s="77" t="s">
        <v>202</v>
      </c>
      <c r="D1549" s="28"/>
      <c r="E1549" s="28">
        <v>5</v>
      </c>
      <c r="F1549" s="28"/>
      <c r="G1549" s="34">
        <f t="shared" si="183"/>
        <v>136.88</v>
      </c>
      <c r="H1549" s="67">
        <v>158.33000000000001</v>
      </c>
      <c r="I1549" s="28">
        <f>158.33+57.74</f>
        <v>216.07000000000002</v>
      </c>
      <c r="J1549" s="46">
        <f t="shared" si="171"/>
        <v>331.55000000000007</v>
      </c>
      <c r="K1549" s="54">
        <v>9.85</v>
      </c>
      <c r="L1549" s="54">
        <f>9.85+4.18</f>
        <v>14.03</v>
      </c>
      <c r="M1549" s="48">
        <f t="shared" si="172"/>
        <v>26.57</v>
      </c>
      <c r="N1549" s="28"/>
      <c r="O1549" s="48">
        <f t="shared" si="184"/>
        <v>2.1995632117672361</v>
      </c>
      <c r="P1549" s="48">
        <f t="shared" si="185"/>
        <v>2.3345944719322822</v>
      </c>
      <c r="Q1549" s="48">
        <f t="shared" si="186"/>
        <v>2.5205490322480277</v>
      </c>
      <c r="R1549" s="48">
        <f t="shared" si="187"/>
        <v>0.99343623049761176</v>
      </c>
      <c r="S1549" s="48">
        <f t="shared" si="188"/>
        <v>1.14705767102836</v>
      </c>
      <c r="T1549" s="48">
        <f t="shared" si="189"/>
        <v>1.4243915544102774</v>
      </c>
      <c r="U1549" s="48">
        <v>2.5205490322480277</v>
      </c>
      <c r="V1549" s="48">
        <v>1.4243915544102774</v>
      </c>
      <c r="W1549" s="49">
        <f t="shared" si="173"/>
        <v>1.7629560555835588</v>
      </c>
      <c r="X1549" s="49"/>
      <c r="Y1549" s="49"/>
      <c r="Z1549" s="49"/>
      <c r="AA1549" s="48"/>
      <c r="AB1549" s="48"/>
      <c r="AC1549" s="48"/>
      <c r="AD1549" s="48"/>
      <c r="AG1549" s="28"/>
      <c r="AH1549" s="28"/>
      <c r="AI1549" s="28"/>
      <c r="AO1549" s="28"/>
      <c r="AP1549" s="28"/>
      <c r="AS1549" s="28"/>
      <c r="AT1549" s="28"/>
      <c r="AU1549" s="28"/>
      <c r="AV1549" s="28"/>
    </row>
    <row r="1550" spans="1:48" s="45" customFormat="1" ht="15" hidden="1" customHeight="1">
      <c r="A1550" s="87" t="s">
        <v>150</v>
      </c>
      <c r="B1550" s="29" t="s">
        <v>198</v>
      </c>
      <c r="C1550" s="77" t="s">
        <v>202</v>
      </c>
      <c r="D1550" s="28"/>
      <c r="E1550" s="28">
        <v>5</v>
      </c>
      <c r="F1550" s="28"/>
      <c r="G1550" s="34">
        <f t="shared" si="183"/>
        <v>136.88</v>
      </c>
      <c r="H1550" s="67">
        <v>50</v>
      </c>
      <c r="I1550" s="28">
        <v>50</v>
      </c>
      <c r="J1550" s="46">
        <f t="shared" si="171"/>
        <v>50</v>
      </c>
      <c r="K1550" s="54">
        <v>0.75</v>
      </c>
      <c r="L1550" s="92">
        <v>0.75</v>
      </c>
      <c r="M1550" s="48">
        <f t="shared" si="172"/>
        <v>0.75</v>
      </c>
      <c r="N1550" s="28"/>
      <c r="O1550" s="48">
        <f t="shared" si="184"/>
        <v>1.6989700043360187</v>
      </c>
      <c r="P1550" s="48">
        <f t="shared" si="185"/>
        <v>1.6989700043360187</v>
      </c>
      <c r="Q1550" s="48">
        <f t="shared" si="186"/>
        <v>1.6989700043360187</v>
      </c>
      <c r="R1550" s="48">
        <f t="shared" si="187"/>
        <v>-0.12493873660829995</v>
      </c>
      <c r="S1550" s="48">
        <f t="shared" si="188"/>
        <v>-0.12493873660829995</v>
      </c>
      <c r="T1550" s="48">
        <f t="shared" si="189"/>
        <v>-0.12493873660829995</v>
      </c>
      <c r="U1550" s="48">
        <v>1.6989700043360187</v>
      </c>
      <c r="V1550" s="48">
        <v>-0.12493873660829995</v>
      </c>
      <c r="W1550" s="49">
        <f t="shared" si="173"/>
        <v>3.486945349889913</v>
      </c>
      <c r="X1550" s="49"/>
      <c r="Y1550" s="49"/>
      <c r="Z1550" s="49"/>
      <c r="AA1550" s="48"/>
      <c r="AB1550" s="48"/>
      <c r="AC1550" s="48"/>
      <c r="AD1550" s="48"/>
      <c r="AG1550" s="28"/>
      <c r="AH1550" s="28"/>
      <c r="AI1550" s="28"/>
      <c r="AO1550" s="28"/>
      <c r="AP1550" s="28"/>
      <c r="AS1550" s="28"/>
      <c r="AT1550" s="28"/>
      <c r="AU1550" s="28"/>
      <c r="AV1550" s="28"/>
    </row>
    <row r="1551" spans="1:48" s="45" customFormat="1" ht="15" hidden="1" customHeight="1">
      <c r="A1551" s="87" t="s">
        <v>150</v>
      </c>
      <c r="B1551" s="29" t="s">
        <v>198</v>
      </c>
      <c r="C1551" s="77" t="s">
        <v>202</v>
      </c>
      <c r="D1551" s="28"/>
      <c r="E1551" s="28">
        <v>7</v>
      </c>
      <c r="F1551" s="28"/>
      <c r="G1551" s="34">
        <f t="shared" si="183"/>
        <v>197.82</v>
      </c>
      <c r="H1551" s="67">
        <v>1083</v>
      </c>
      <c r="I1551" s="28">
        <f>1083+566.97</f>
        <v>1649.97</v>
      </c>
      <c r="J1551" s="46">
        <f t="shared" si="171"/>
        <v>2783.91</v>
      </c>
      <c r="K1551" s="54">
        <v>36.93</v>
      </c>
      <c r="L1551" s="92">
        <f>36.93+8.63</f>
        <v>45.56</v>
      </c>
      <c r="M1551" s="48">
        <f t="shared" si="172"/>
        <v>71.450000000000017</v>
      </c>
      <c r="N1551" s="28"/>
      <c r="O1551" s="48">
        <f t="shared" si="184"/>
        <v>3.0346284566253203</v>
      </c>
      <c r="P1551" s="48">
        <f t="shared" si="185"/>
        <v>3.2174760478788138</v>
      </c>
      <c r="Q1551" s="48">
        <f t="shared" si="186"/>
        <v>3.4446551910192822</v>
      </c>
      <c r="R1551" s="48">
        <f t="shared" si="187"/>
        <v>1.5673793076509788</v>
      </c>
      <c r="S1551" s="48">
        <f t="shared" si="188"/>
        <v>1.6585837154070628</v>
      </c>
      <c r="T1551" s="48">
        <f t="shared" si="189"/>
        <v>1.8540022331269892</v>
      </c>
      <c r="U1551" s="48">
        <v>3.4446551910192822</v>
      </c>
      <c r="V1551" s="48">
        <v>1.8540022331269892</v>
      </c>
      <c r="W1551" s="49">
        <f t="shared" si="173"/>
        <v>1.0763579015921911</v>
      </c>
      <c r="X1551" s="49"/>
      <c r="Y1551" s="49"/>
      <c r="Z1551" s="49"/>
      <c r="AA1551" s="48"/>
      <c r="AB1551" s="48"/>
      <c r="AC1551" s="48"/>
      <c r="AD1551" s="48"/>
      <c r="AG1551" s="28"/>
      <c r="AH1551" s="28"/>
      <c r="AI1551" s="28"/>
      <c r="AO1551" s="28"/>
      <c r="AP1551" s="28"/>
      <c r="AS1551" s="28"/>
      <c r="AT1551" s="28"/>
      <c r="AU1551" s="28"/>
      <c r="AV1551" s="28"/>
    </row>
    <row r="1552" spans="1:48" s="45" customFormat="1" ht="15" hidden="1" customHeight="1">
      <c r="A1552" s="87" t="s">
        <v>150</v>
      </c>
      <c r="B1552" s="29" t="s">
        <v>198</v>
      </c>
      <c r="C1552" s="77" t="s">
        <v>202</v>
      </c>
      <c r="D1552" s="28"/>
      <c r="E1552" s="28">
        <v>7</v>
      </c>
      <c r="F1552" s="28"/>
      <c r="G1552" s="34">
        <f t="shared" si="183"/>
        <v>197.82</v>
      </c>
      <c r="H1552" s="67">
        <v>558</v>
      </c>
      <c r="I1552" s="28">
        <f>558.33+326.6</f>
        <v>884.93000000000006</v>
      </c>
      <c r="J1552" s="46">
        <f t="shared" si="171"/>
        <v>1538.7900000000002</v>
      </c>
      <c r="K1552" s="54">
        <v>45.62</v>
      </c>
      <c r="L1552" s="54">
        <f>45.62+19.96</f>
        <v>65.58</v>
      </c>
      <c r="M1552" s="48">
        <f t="shared" si="172"/>
        <v>125.46000000000001</v>
      </c>
      <c r="N1552" s="28"/>
      <c r="O1552" s="48">
        <f t="shared" si="184"/>
        <v>2.7466341989375787</v>
      </c>
      <c r="P1552" s="48">
        <f t="shared" si="185"/>
        <v>2.9469089183632708</v>
      </c>
      <c r="Q1552" s="48">
        <f t="shared" si="186"/>
        <v>3.1871793553323795</v>
      </c>
      <c r="R1552" s="48">
        <f t="shared" si="187"/>
        <v>1.6591552809406298</v>
      </c>
      <c r="S1552" s="48">
        <f t="shared" si="188"/>
        <v>1.8167714123333465</v>
      </c>
      <c r="T1552" s="48">
        <f t="shared" si="189"/>
        <v>2.0985052832013156</v>
      </c>
      <c r="U1552" s="48">
        <v>3.1871793553323795</v>
      </c>
      <c r="V1552" s="48">
        <v>2.0985052832013156</v>
      </c>
      <c r="W1552" s="49">
        <f t="shared" si="173"/>
        <v>0.92024678882007638</v>
      </c>
      <c r="X1552" s="49"/>
      <c r="Y1552" s="49"/>
      <c r="Z1552" s="49"/>
      <c r="AA1552" s="48"/>
      <c r="AB1552" s="48"/>
      <c r="AC1552" s="48"/>
      <c r="AD1552" s="48"/>
      <c r="AG1552" s="28"/>
      <c r="AH1552" s="28"/>
      <c r="AI1552" s="28"/>
      <c r="AO1552" s="28"/>
      <c r="AP1552" s="28"/>
      <c r="AS1552" s="28"/>
      <c r="AT1552" s="28"/>
      <c r="AU1552" s="28"/>
      <c r="AV1552" s="28"/>
    </row>
    <row r="1553" spans="1:48" s="45" customFormat="1" ht="15" hidden="1" customHeight="1">
      <c r="A1553" s="87" t="s">
        <v>150</v>
      </c>
      <c r="B1553" s="29" t="s">
        <v>198</v>
      </c>
      <c r="C1553" s="77" t="s">
        <v>202</v>
      </c>
      <c r="D1553" s="28"/>
      <c r="E1553" s="28">
        <v>9</v>
      </c>
      <c r="F1553" s="28"/>
      <c r="G1553" s="34">
        <f t="shared" si="183"/>
        <v>258.76</v>
      </c>
      <c r="H1553" s="67">
        <v>1066.67</v>
      </c>
      <c r="I1553" s="28">
        <f>1066.67+469.26</f>
        <v>1535.93</v>
      </c>
      <c r="J1553" s="46">
        <f t="shared" si="171"/>
        <v>2474.4499999999998</v>
      </c>
      <c r="K1553" s="54">
        <v>68.59</v>
      </c>
      <c r="L1553" s="54">
        <f>68.59+15.3</f>
        <v>83.89</v>
      </c>
      <c r="M1553" s="48">
        <f t="shared" si="172"/>
        <v>129.79</v>
      </c>
      <c r="N1553" s="28"/>
      <c r="O1553" s="48">
        <f t="shared" si="184"/>
        <v>3.0280300807683789</v>
      </c>
      <c r="P1553" s="48">
        <f t="shared" si="185"/>
        <v>3.1863714231782558</v>
      </c>
      <c r="Q1553" s="48">
        <f t="shared" si="186"/>
        <v>3.3934786826598105</v>
      </c>
      <c r="R1553" s="48">
        <f t="shared" si="187"/>
        <v>1.8362608028584868</v>
      </c>
      <c r="S1553" s="48">
        <f t="shared" si="188"/>
        <v>1.9237101943965629</v>
      </c>
      <c r="T1553" s="48">
        <f t="shared" si="189"/>
        <v>2.1132412324325989</v>
      </c>
      <c r="U1553" s="48">
        <v>3.3934786826598105</v>
      </c>
      <c r="V1553" s="48">
        <v>2.1132412324325989</v>
      </c>
      <c r="W1553" s="49">
        <f t="shared" si="173"/>
        <v>0.8443984433503372</v>
      </c>
      <c r="X1553" s="49"/>
      <c r="Y1553" s="49"/>
      <c r="Z1553" s="49"/>
      <c r="AA1553" s="48"/>
      <c r="AB1553" s="48"/>
      <c r="AC1553" s="48"/>
      <c r="AD1553" s="48"/>
      <c r="AG1553" s="28"/>
      <c r="AH1553" s="28"/>
      <c r="AI1553" s="28"/>
      <c r="AO1553" s="28"/>
      <c r="AP1553" s="28"/>
      <c r="AS1553" s="28"/>
      <c r="AT1553" s="28"/>
      <c r="AU1553" s="28"/>
      <c r="AV1553" s="28"/>
    </row>
    <row r="1554" spans="1:48" s="45" customFormat="1" ht="15" hidden="1" customHeight="1">
      <c r="A1554" s="87" t="s">
        <v>150</v>
      </c>
      <c r="B1554" s="29" t="s">
        <v>198</v>
      </c>
      <c r="C1554" s="77" t="s">
        <v>202</v>
      </c>
      <c r="D1554" s="28"/>
      <c r="E1554" s="28">
        <v>9</v>
      </c>
      <c r="F1554" s="28"/>
      <c r="G1554" s="34">
        <f t="shared" si="183"/>
        <v>258.76</v>
      </c>
      <c r="H1554" s="67">
        <v>162.5</v>
      </c>
      <c r="I1554" s="28">
        <f>162.5+88.39</f>
        <v>250.89</v>
      </c>
      <c r="J1554" s="46">
        <f t="shared" si="171"/>
        <v>427.66999999999996</v>
      </c>
      <c r="K1554" s="54">
        <v>18.420000000000002</v>
      </c>
      <c r="L1554" s="54">
        <f>18.42+11.25</f>
        <v>29.67</v>
      </c>
      <c r="M1554" s="48">
        <f t="shared" si="172"/>
        <v>63.42</v>
      </c>
      <c r="N1554" s="28"/>
      <c r="O1554" s="48">
        <f t="shared" si="184"/>
        <v>2.2108533653148932</v>
      </c>
      <c r="P1554" s="48">
        <f t="shared" si="185"/>
        <v>2.3994833515044522</v>
      </c>
      <c r="Q1554" s="48">
        <f t="shared" si="186"/>
        <v>2.6311087866341389</v>
      </c>
      <c r="R1554" s="48">
        <f t="shared" si="187"/>
        <v>1.2652896258608302</v>
      </c>
      <c r="S1554" s="48">
        <f t="shared" si="188"/>
        <v>1.4723175463168419</v>
      </c>
      <c r="T1554" s="48">
        <f t="shared" si="189"/>
        <v>1.8022262376910698</v>
      </c>
      <c r="U1554" s="48">
        <v>2.6311087866341389</v>
      </c>
      <c r="V1554" s="48">
        <v>1.8022262376910698</v>
      </c>
      <c r="W1554" s="49">
        <f t="shared" si="173"/>
        <v>1.3694241849934128</v>
      </c>
      <c r="X1554" s="49"/>
      <c r="Y1554" s="49"/>
      <c r="Z1554" s="49"/>
      <c r="AA1554" s="48"/>
      <c r="AB1554" s="48"/>
      <c r="AC1554" s="48"/>
      <c r="AD1554" s="48"/>
      <c r="AG1554" s="28"/>
      <c r="AH1554" s="28"/>
      <c r="AI1554" s="28"/>
      <c r="AO1554" s="28"/>
      <c r="AP1554" s="28"/>
      <c r="AS1554" s="28"/>
      <c r="AT1554" s="28"/>
      <c r="AU1554" s="28"/>
      <c r="AV1554" s="28"/>
    </row>
    <row r="1555" spans="1:48" s="45" customFormat="1" ht="15" hidden="1" customHeight="1">
      <c r="A1555" s="87" t="s">
        <v>152</v>
      </c>
      <c r="B1555" s="28" t="s">
        <v>151</v>
      </c>
      <c r="C1555" s="52"/>
      <c r="D1555" s="28">
        <v>2001</v>
      </c>
      <c r="E1555" s="28">
        <v>7</v>
      </c>
      <c r="F1555" s="28">
        <v>6</v>
      </c>
      <c r="G1555" s="46">
        <f t="shared" ref="G1555:G1572" si="190">30.47*(E1555-1)+F1555</f>
        <v>188.82</v>
      </c>
      <c r="H1555" s="67">
        <v>6235.7733142799998</v>
      </c>
      <c r="I1555" s="28">
        <v>6600.0000000000009</v>
      </c>
      <c r="J1555" s="46">
        <f t="shared" si="171"/>
        <v>7328.4533714400031</v>
      </c>
      <c r="K1555" s="54">
        <v>110.74074074000001</v>
      </c>
      <c r="L1555" s="54">
        <v>112</v>
      </c>
      <c r="M1555" s="48">
        <f t="shared" si="172"/>
        <v>115.77777777999998</v>
      </c>
      <c r="N1555" s="28"/>
      <c r="O1555" s="48">
        <f t="shared" si="180"/>
        <v>3.7948903191295815</v>
      </c>
      <c r="P1555" s="48">
        <f t="shared" si="174"/>
        <v>3.8195439355418688</v>
      </c>
      <c r="Q1555" s="48">
        <f t="shared" si="175"/>
        <v>3.8650123289218103</v>
      </c>
      <c r="R1555" s="48">
        <f t="shared" si="181"/>
        <v>2.0443074241625374</v>
      </c>
      <c r="S1555" s="48">
        <f t="shared" si="176"/>
        <v>2.0492180226701815</v>
      </c>
      <c r="T1555" s="48">
        <f t="shared" si="177"/>
        <v>2.0636252095325167</v>
      </c>
      <c r="U1555" s="48">
        <v>3.8650123289218103</v>
      </c>
      <c r="V1555" s="48">
        <v>2.0636252095325167</v>
      </c>
      <c r="W1555" s="49">
        <f t="shared" si="173"/>
        <v>0.75049124081155871</v>
      </c>
      <c r="X1555" s="93">
        <v>16.817019397922223</v>
      </c>
      <c r="Y1555" s="93">
        <v>17.696869492488894</v>
      </c>
      <c r="Z1555" s="93">
        <v>1.6666887607888896</v>
      </c>
      <c r="AA1555" s="90">
        <v>1.8172520437000008</v>
      </c>
      <c r="AB1555" s="90">
        <f t="shared" ref="AB1555" si="191">Z1555/X1555</f>
        <v>9.9107262788482739E-2</v>
      </c>
      <c r="AC1555" s="90">
        <f t="shared" ref="AC1555" si="192">AA1555/Y1555</f>
        <v>0.10268776884359686</v>
      </c>
      <c r="AD1555" s="90"/>
      <c r="AG1555" s="28">
        <v>30.528634360000002</v>
      </c>
      <c r="AH1555" s="28">
        <f>AG1555</f>
        <v>30.528634360000002</v>
      </c>
      <c r="AI1555" s="28"/>
      <c r="AP1555" s="28">
        <v>4.5962264199999998</v>
      </c>
      <c r="AT1555" s="28">
        <v>6.5963060699999998</v>
      </c>
      <c r="AV1555" s="28">
        <v>0.34151786000000001</v>
      </c>
    </row>
    <row r="1556" spans="1:48" s="45" customFormat="1" ht="15" hidden="1" customHeight="1">
      <c r="A1556" s="87" t="s">
        <v>152</v>
      </c>
      <c r="B1556" s="28" t="s">
        <v>151</v>
      </c>
      <c r="C1556" s="52"/>
      <c r="D1556" s="28">
        <v>2001</v>
      </c>
      <c r="E1556" s="28">
        <v>7</v>
      </c>
      <c r="F1556" s="28">
        <v>25</v>
      </c>
      <c r="G1556" s="46">
        <f t="shared" si="190"/>
        <v>207.82</v>
      </c>
      <c r="H1556" s="67">
        <v>8963.4106840599998</v>
      </c>
      <c r="I1556" s="28">
        <v>9450</v>
      </c>
      <c r="J1556" s="46">
        <f t="shared" si="171"/>
        <v>10423.17863188</v>
      </c>
      <c r="K1556" s="54">
        <v>144.81481481</v>
      </c>
      <c r="L1556" s="54">
        <v>150</v>
      </c>
      <c r="M1556" s="48">
        <f t="shared" si="172"/>
        <v>165.55555557</v>
      </c>
      <c r="N1556" s="28"/>
      <c r="O1556" s="48">
        <f t="shared" si="180"/>
        <v>3.952473295311242</v>
      </c>
      <c r="P1556" s="48">
        <f t="shared" si="174"/>
        <v>3.975431808509263</v>
      </c>
      <c r="Q1556" s="48">
        <f t="shared" si="175"/>
        <v>4.0180001807459016</v>
      </c>
      <c r="R1556" s="48">
        <f t="shared" si="181"/>
        <v>2.1608129932224402</v>
      </c>
      <c r="S1556" s="48">
        <f t="shared" si="176"/>
        <v>2.1760912590556813</v>
      </c>
      <c r="T1556" s="48">
        <f t="shared" si="177"/>
        <v>2.2189437590108407</v>
      </c>
      <c r="U1556" s="48">
        <v>4.0180001807459016</v>
      </c>
      <c r="V1556" s="48">
        <v>2.2189437590108407</v>
      </c>
      <c r="W1556" s="49">
        <f t="shared" si="173"/>
        <v>0.55650925134171514</v>
      </c>
      <c r="X1556" s="39">
        <v>20.932295495487363</v>
      </c>
      <c r="Y1556" s="93">
        <v>21.608995445936987</v>
      </c>
      <c r="Z1556" s="93">
        <v>3.2148232990351162</v>
      </c>
      <c r="AA1556" s="90">
        <v>3.7728404724286175</v>
      </c>
      <c r="AB1556" s="90">
        <f t="shared" ref="AB1556:AB1569" si="193">Z1556/X1556</f>
        <v>0.15358197574308924</v>
      </c>
      <c r="AC1556" s="90">
        <f t="shared" ref="AC1556:AC1569" si="194">AA1556/Y1556</f>
        <v>0.17459582893928569</v>
      </c>
      <c r="AD1556" s="90"/>
      <c r="AG1556" s="28">
        <v>32.713656389999997</v>
      </c>
      <c r="AH1556" s="28">
        <f>AVERAGE(AG1555:AG1556)</f>
        <v>31.621145374999998</v>
      </c>
      <c r="AI1556" s="28"/>
      <c r="AO1556" s="28">
        <v>56.116026640000001</v>
      </c>
      <c r="AP1556" s="28">
        <v>2.1660377400000002</v>
      </c>
      <c r="AS1556" s="28">
        <v>31.099744250000001</v>
      </c>
      <c r="AT1556" s="28">
        <v>4.7493403699999996</v>
      </c>
      <c r="AU1556" s="28">
        <v>97.904690680000002</v>
      </c>
      <c r="AV1556" s="28">
        <v>0.62946429000000004</v>
      </c>
    </row>
    <row r="1557" spans="1:48" s="45" customFormat="1" ht="15" hidden="1" customHeight="1">
      <c r="A1557" s="87" t="s">
        <v>152</v>
      </c>
      <c r="B1557" s="28" t="s">
        <v>151</v>
      </c>
      <c r="C1557" s="52"/>
      <c r="D1557" s="28">
        <v>2001</v>
      </c>
      <c r="E1557" s="28">
        <v>8</v>
      </c>
      <c r="F1557" s="28">
        <v>8</v>
      </c>
      <c r="G1557" s="46">
        <f t="shared" si="190"/>
        <v>221.29</v>
      </c>
      <c r="H1557" s="67"/>
      <c r="I1557" s="28"/>
      <c r="J1557" s="46"/>
      <c r="K1557" s="54"/>
      <c r="L1557" s="54"/>
      <c r="M1557" s="48"/>
      <c r="N1557" s="28"/>
      <c r="O1557" s="48"/>
      <c r="P1557" s="48"/>
      <c r="Q1557" s="48"/>
      <c r="R1557" s="48"/>
      <c r="S1557" s="48"/>
      <c r="T1557" s="48"/>
      <c r="U1557" s="48"/>
      <c r="V1557" s="48"/>
      <c r="W1557" s="49"/>
      <c r="X1557" s="39"/>
      <c r="Y1557" s="39"/>
      <c r="Z1557" s="39"/>
      <c r="AA1557" s="39"/>
      <c r="AB1557" s="90"/>
      <c r="AC1557" s="90"/>
      <c r="AD1557" s="90"/>
      <c r="AG1557" s="28"/>
      <c r="AH1557" s="28"/>
      <c r="AI1557" s="28"/>
      <c r="AO1557" s="28">
        <v>70.486216130000003</v>
      </c>
      <c r="AP1557" s="28"/>
      <c r="AS1557" s="28">
        <v>18.550724639999999</v>
      </c>
      <c r="AT1557" s="28">
        <v>39.577836410000003</v>
      </c>
      <c r="AU1557" s="28">
        <v>111.49134572</v>
      </c>
      <c r="AV1557" s="28">
        <v>1.62723214</v>
      </c>
    </row>
    <row r="1558" spans="1:48" s="45" customFormat="1" ht="15" hidden="1" customHeight="1">
      <c r="A1558" s="87" t="s">
        <v>152</v>
      </c>
      <c r="B1558" s="28" t="s">
        <v>151</v>
      </c>
      <c r="C1558" s="52"/>
      <c r="D1558" s="28">
        <v>2001</v>
      </c>
      <c r="E1558" s="28">
        <v>8</v>
      </c>
      <c r="F1558" s="28">
        <v>30</v>
      </c>
      <c r="G1558" s="46">
        <f t="shared" si="190"/>
        <v>243.29</v>
      </c>
      <c r="H1558" s="67">
        <v>6127.2070852500001</v>
      </c>
      <c r="I1558" s="28">
        <v>7200.0000000000009</v>
      </c>
      <c r="J1558" s="46">
        <f t="shared" si="171"/>
        <v>9345.5858295000035</v>
      </c>
      <c r="K1558" s="54">
        <v>108.51851852</v>
      </c>
      <c r="L1558" s="54">
        <v>127.49999999999999</v>
      </c>
      <c r="M1558" s="48">
        <f t="shared" si="172"/>
        <v>184.44444443999993</v>
      </c>
      <c r="N1558" s="28"/>
      <c r="O1558" s="48">
        <f t="shared" si="180"/>
        <v>3.7872625587164044</v>
      </c>
      <c r="P1558" s="48">
        <f t="shared" si="174"/>
        <v>3.8573324964312685</v>
      </c>
      <c r="Q1558" s="48">
        <f t="shared" si="175"/>
        <v>3.9706065303852376</v>
      </c>
      <c r="R1558" s="48">
        <f t="shared" si="181"/>
        <v>2.0355038562010512</v>
      </c>
      <c r="S1558" s="48">
        <f t="shared" si="176"/>
        <v>2.1055101847699738</v>
      </c>
      <c r="T1558" s="48">
        <f t="shared" si="177"/>
        <v>2.2658655785902653</v>
      </c>
      <c r="U1558" s="48">
        <v>3.9706065303852376</v>
      </c>
      <c r="V1558" s="48">
        <v>2.2658655785902653</v>
      </c>
      <c r="W1558" s="49">
        <f t="shared" si="173"/>
        <v>0.52594609181171981</v>
      </c>
      <c r="X1558" s="39">
        <v>18.834552140430677</v>
      </c>
      <c r="Y1558" s="93">
        <v>19.306128976713261</v>
      </c>
      <c r="Z1558" s="93">
        <v>2.9878680311938055</v>
      </c>
      <c r="AA1558" s="90">
        <v>3.4557220353192313</v>
      </c>
      <c r="AB1558" s="90">
        <f t="shared" si="193"/>
        <v>0.15863759376470546</v>
      </c>
      <c r="AC1558" s="90">
        <f t="shared" si="194"/>
        <v>0.17899611255510969</v>
      </c>
      <c r="AD1558" s="90"/>
      <c r="AG1558" s="28">
        <v>30.123348020000002</v>
      </c>
      <c r="AH1558" s="28">
        <f>AG1558</f>
        <v>30.123348020000002</v>
      </c>
      <c r="AI1558" s="28"/>
      <c r="AO1558" s="28">
        <v>48.761666419999997</v>
      </c>
      <c r="AP1558" s="28">
        <v>5.9874213799999998</v>
      </c>
      <c r="AS1558" s="28">
        <v>49.786871269999999</v>
      </c>
      <c r="AT1558" s="28">
        <v>5.0131926099999999</v>
      </c>
      <c r="AU1558" s="28">
        <v>52.431172480000001</v>
      </c>
      <c r="AV1558" s="28"/>
    </row>
    <row r="1559" spans="1:48" s="45" customFormat="1" ht="15" hidden="1" customHeight="1">
      <c r="A1559" s="87" t="s">
        <v>152</v>
      </c>
      <c r="B1559" s="28" t="s">
        <v>151</v>
      </c>
      <c r="C1559" s="52"/>
      <c r="D1559" s="28">
        <v>2001</v>
      </c>
      <c r="E1559" s="28">
        <v>9</v>
      </c>
      <c r="F1559" s="28">
        <v>8</v>
      </c>
      <c r="G1559" s="46">
        <f t="shared" si="190"/>
        <v>251.76</v>
      </c>
      <c r="H1559" s="67"/>
      <c r="I1559" s="28"/>
      <c r="J1559" s="46"/>
      <c r="K1559" s="67"/>
      <c r="L1559" s="28"/>
      <c r="M1559" s="46"/>
      <c r="N1559" s="28"/>
      <c r="O1559" s="48"/>
      <c r="P1559" s="48"/>
      <c r="Q1559" s="48"/>
      <c r="R1559" s="48"/>
      <c r="S1559" s="48"/>
      <c r="T1559" s="48"/>
      <c r="U1559" s="48"/>
      <c r="V1559" s="48"/>
      <c r="W1559" s="49"/>
      <c r="Y1559" s="39"/>
      <c r="Z1559" s="39"/>
      <c r="AA1559" s="39"/>
      <c r="AB1559" s="90"/>
      <c r="AC1559" s="90"/>
      <c r="AD1559" s="90"/>
      <c r="AG1559" s="28"/>
      <c r="AH1559" s="28"/>
      <c r="AI1559" s="28"/>
      <c r="AO1559" s="28"/>
      <c r="AP1559" s="28">
        <v>1.8842767300000001</v>
      </c>
      <c r="AS1559" s="28"/>
      <c r="AT1559" s="28"/>
      <c r="AU1559" s="28"/>
      <c r="AV1559" s="28"/>
    </row>
    <row r="1560" spans="1:48" s="45" customFormat="1" ht="15" hidden="1" customHeight="1">
      <c r="A1560" s="87" t="s">
        <v>152</v>
      </c>
      <c r="B1560" s="28" t="s">
        <v>151</v>
      </c>
      <c r="C1560" s="52"/>
      <c r="D1560" s="28">
        <v>2001</v>
      </c>
      <c r="E1560" s="28">
        <v>9</v>
      </c>
      <c r="F1560" s="28">
        <v>27</v>
      </c>
      <c r="G1560" s="46">
        <f t="shared" si="190"/>
        <v>270.76</v>
      </c>
      <c r="H1560" s="67">
        <v>6912.5518327899999</v>
      </c>
      <c r="I1560" s="28">
        <v>7500</v>
      </c>
      <c r="J1560" s="46">
        <f t="shared" si="171"/>
        <v>8674.8963344200001</v>
      </c>
      <c r="K1560" s="67">
        <v>61.851851850000003</v>
      </c>
      <c r="L1560" s="28">
        <v>70</v>
      </c>
      <c r="M1560" s="46">
        <f t="shared" si="172"/>
        <v>94.444444449999992</v>
      </c>
      <c r="N1560" s="28"/>
      <c r="O1560" s="48">
        <f t="shared" si="180"/>
        <v>3.8396384008205713</v>
      </c>
      <c r="P1560" s="48">
        <f t="shared" si="174"/>
        <v>3.8750612633917001</v>
      </c>
      <c r="Q1560" s="48">
        <f t="shared" si="175"/>
        <v>3.9382642936463856</v>
      </c>
      <c r="R1560" s="48">
        <f t="shared" si="181"/>
        <v>1.7913527069755932</v>
      </c>
      <c r="S1560" s="48">
        <f t="shared" si="176"/>
        <v>1.8450980400142569</v>
      </c>
      <c r="T1560" s="48">
        <f t="shared" si="177"/>
        <v>1.9751764163005145</v>
      </c>
      <c r="U1560" s="48">
        <v>3.9382642936463856</v>
      </c>
      <c r="V1560" s="48">
        <v>1.9751764163005145</v>
      </c>
      <c r="W1560" s="49">
        <f t="shared" si="173"/>
        <v>0.81292177924222275</v>
      </c>
      <c r="X1560" s="93">
        <v>16.662736417135392</v>
      </c>
      <c r="Y1560" s="93">
        <v>17.199474293095339</v>
      </c>
      <c r="Z1560" s="93">
        <v>5.8890799744841091</v>
      </c>
      <c r="AA1560" s="90">
        <v>7.402160826743577</v>
      </c>
      <c r="AB1560" s="90">
        <f t="shared" si="193"/>
        <v>0.35342814211644008</v>
      </c>
      <c r="AC1560" s="90">
        <f t="shared" si="194"/>
        <v>0.43037134162380447</v>
      </c>
      <c r="AD1560" s="90"/>
      <c r="AG1560" s="28">
        <v>31.938325989999999</v>
      </c>
      <c r="AH1560" s="28">
        <f>AG1560</f>
        <v>31.938325989999999</v>
      </c>
      <c r="AI1560" s="28"/>
      <c r="AO1560" s="28">
        <v>24.281883520000001</v>
      </c>
      <c r="AP1560" s="28"/>
      <c r="AS1560" s="28">
        <v>35.87382779</v>
      </c>
      <c r="AT1560" s="28"/>
      <c r="AU1560" s="28">
        <v>57.513700319999998</v>
      </c>
      <c r="AV1560" s="28">
        <v>0.36830357000000002</v>
      </c>
    </row>
    <row r="1561" spans="1:48" s="45" customFormat="1" ht="15" hidden="1" customHeight="1">
      <c r="A1561" s="87" t="s">
        <v>152</v>
      </c>
      <c r="B1561" s="28" t="s">
        <v>151</v>
      </c>
      <c r="C1561" s="52"/>
      <c r="D1561" s="28">
        <v>2001</v>
      </c>
      <c r="E1561" s="28">
        <v>11</v>
      </c>
      <c r="F1561" s="28">
        <v>15</v>
      </c>
      <c r="G1561" s="46">
        <f t="shared" si="190"/>
        <v>319.7</v>
      </c>
      <c r="H1561" s="67">
        <v>6279.5385182700002</v>
      </c>
      <c r="I1561" s="28">
        <v>6600.0000000000009</v>
      </c>
      <c r="J1561" s="46">
        <f t="shared" si="171"/>
        <v>7240.9229634600024</v>
      </c>
      <c r="K1561" s="67">
        <v>84.814814810000001</v>
      </c>
      <c r="L1561" s="28">
        <v>95</v>
      </c>
      <c r="M1561" s="46">
        <f t="shared" si="172"/>
        <v>125.55555557</v>
      </c>
      <c r="N1561" s="28"/>
      <c r="O1561" s="48">
        <f t="shared" si="180"/>
        <v>3.7979277287160134</v>
      </c>
      <c r="P1561" s="48">
        <f t="shared" si="174"/>
        <v>3.8195439355418688</v>
      </c>
      <c r="Q1561" s="48">
        <f t="shared" si="175"/>
        <v>3.8597939270245241</v>
      </c>
      <c r="R1561" s="48">
        <f t="shared" si="181"/>
        <v>1.9284717181562465</v>
      </c>
      <c r="S1561" s="48">
        <f t="shared" si="176"/>
        <v>1.9777236052888478</v>
      </c>
      <c r="T1561" s="48">
        <f t="shared" si="177"/>
        <v>2.0988359340940579</v>
      </c>
      <c r="U1561" s="48">
        <v>3.8597939270245241</v>
      </c>
      <c r="V1561" s="48">
        <v>2.0988359340940579</v>
      </c>
      <c r="W1561" s="49">
        <f t="shared" si="173"/>
        <v>0.71846677039322859</v>
      </c>
      <c r="X1561" s="93">
        <v>10.601753141539865</v>
      </c>
      <c r="Y1561" s="93">
        <v>11.261022122894071</v>
      </c>
      <c r="Z1561" s="93">
        <v>3.1955627013978871</v>
      </c>
      <c r="AA1561" s="90">
        <v>3.7781610272588262</v>
      </c>
      <c r="AB1561" s="90">
        <f t="shared" si="193"/>
        <v>0.30141832758555853</v>
      </c>
      <c r="AC1561" s="90">
        <f t="shared" si="194"/>
        <v>0.33550782389261863</v>
      </c>
      <c r="AD1561" s="90"/>
      <c r="AG1561" s="28">
        <v>32.995594709999999</v>
      </c>
      <c r="AH1561" s="28">
        <f>AVERAGE(AG1560:AG1561)</f>
        <v>32.466960350000001</v>
      </c>
      <c r="AI1561" s="28"/>
      <c r="AO1561" s="28">
        <v>37.720820070000002</v>
      </c>
      <c r="AP1561" s="28"/>
      <c r="AS1561" s="28">
        <v>42.693947139999999</v>
      </c>
      <c r="AT1561" s="28">
        <v>26.385224269999998</v>
      </c>
      <c r="AU1561" s="28">
        <v>65.559048430000004</v>
      </c>
      <c r="AV1561" s="28">
        <v>0.66964285999999995</v>
      </c>
    </row>
    <row r="1562" spans="1:48" s="45" customFormat="1" ht="15" hidden="1" customHeight="1">
      <c r="A1562" s="87" t="s">
        <v>152</v>
      </c>
      <c r="B1562" s="28" t="s">
        <v>151</v>
      </c>
      <c r="C1562" s="52"/>
      <c r="D1562" s="28">
        <v>2001</v>
      </c>
      <c r="E1562" s="28">
        <v>11</v>
      </c>
      <c r="F1562" s="28">
        <v>26</v>
      </c>
      <c r="G1562" s="46">
        <f t="shared" si="190"/>
        <v>330.7</v>
      </c>
      <c r="H1562" s="67"/>
      <c r="I1562" s="28"/>
      <c r="J1562" s="46"/>
      <c r="K1562" s="67"/>
      <c r="L1562" s="28"/>
      <c r="M1562" s="46"/>
      <c r="N1562" s="28"/>
      <c r="O1562" s="48"/>
      <c r="P1562" s="48"/>
      <c r="Q1562" s="48"/>
      <c r="R1562" s="48"/>
      <c r="S1562" s="48"/>
      <c r="T1562" s="48"/>
      <c r="U1562" s="48"/>
      <c r="V1562" s="48"/>
      <c r="W1562" s="49"/>
      <c r="X1562" s="39"/>
      <c r="Y1562" s="39"/>
      <c r="Z1562" s="39"/>
      <c r="AA1562" s="39"/>
      <c r="AB1562" s="90"/>
      <c r="AC1562" s="90"/>
      <c r="AD1562" s="90"/>
      <c r="AG1562" s="28"/>
      <c r="AH1562" s="28"/>
      <c r="AI1562" s="28"/>
      <c r="AO1562" s="28"/>
      <c r="AP1562" s="28">
        <v>4.6138364799999998</v>
      </c>
      <c r="AS1562" s="28"/>
      <c r="AT1562" s="28"/>
      <c r="AU1562" s="28"/>
      <c r="AV1562" s="28"/>
    </row>
    <row r="1563" spans="1:48" s="45" customFormat="1" ht="15" hidden="1" customHeight="1">
      <c r="A1563" s="87" t="s">
        <v>152</v>
      </c>
      <c r="B1563" s="28" t="s">
        <v>151</v>
      </c>
      <c r="C1563" s="52"/>
      <c r="D1563" s="28">
        <v>2001</v>
      </c>
      <c r="E1563" s="28">
        <v>12</v>
      </c>
      <c r="F1563" s="28">
        <v>14</v>
      </c>
      <c r="G1563" s="46">
        <f t="shared" si="190"/>
        <v>349.16999999999996</v>
      </c>
      <c r="H1563" s="67">
        <v>5542.9282417699997</v>
      </c>
      <c r="I1563" s="28">
        <v>6600.0000000000009</v>
      </c>
      <c r="J1563" s="46">
        <f t="shared" si="171"/>
        <v>8714.1435164600043</v>
      </c>
      <c r="K1563" s="67">
        <v>44.814814810000001</v>
      </c>
      <c r="L1563" s="28">
        <v>50</v>
      </c>
      <c r="M1563" s="46">
        <f t="shared" si="172"/>
        <v>65.555555569999996</v>
      </c>
      <c r="N1563" s="28"/>
      <c r="O1563" s="48">
        <f t="shared" si="180"/>
        <v>3.7437392562931571</v>
      </c>
      <c r="P1563" s="48">
        <f t="shared" si="174"/>
        <v>3.8195439355418688</v>
      </c>
      <c r="Q1563" s="48">
        <f t="shared" si="175"/>
        <v>3.9402247082154553</v>
      </c>
      <c r="R1563" s="48">
        <f t="shared" si="181"/>
        <v>1.6514216061108031</v>
      </c>
      <c r="S1563" s="48">
        <f t="shared" si="176"/>
        <v>1.6989700043360187</v>
      </c>
      <c r="T1563" s="48">
        <f t="shared" si="177"/>
        <v>1.8166095022985114</v>
      </c>
      <c r="U1563" s="48">
        <v>3.9402247082154553</v>
      </c>
      <c r="V1563" s="48">
        <v>1.8166095022985114</v>
      </c>
      <c r="W1563" s="49">
        <f t="shared" si="173"/>
        <v>0.96359156611909902</v>
      </c>
      <c r="X1563" s="39">
        <v>12.075821949714097</v>
      </c>
      <c r="Y1563" s="93">
        <v>12.968679093930332</v>
      </c>
      <c r="Z1563" s="93">
        <v>1.9708760228623066</v>
      </c>
      <c r="AA1563" s="90">
        <v>2.2072951676930654</v>
      </c>
      <c r="AB1563" s="90">
        <f t="shared" si="193"/>
        <v>0.16320843674818908</v>
      </c>
      <c r="AC1563" s="90">
        <f t="shared" si="194"/>
        <v>0.17020200374347572</v>
      </c>
      <c r="AD1563" s="90"/>
      <c r="AG1563" s="28">
        <v>32.096916299999997</v>
      </c>
      <c r="AH1563" s="28">
        <f>AG1563</f>
        <v>32.096916299999997</v>
      </c>
      <c r="AI1563" s="28"/>
      <c r="AO1563" s="28">
        <v>26.392593359999999</v>
      </c>
      <c r="AP1563" s="28">
        <v>0.72201258000000001</v>
      </c>
      <c r="AS1563" s="28">
        <v>44.876385339999999</v>
      </c>
      <c r="AT1563" s="28">
        <v>7.3878627999999997</v>
      </c>
      <c r="AU1563" s="28">
        <v>51.949626100000003</v>
      </c>
      <c r="AV1563" s="28">
        <v>0.29464286000000001</v>
      </c>
    </row>
    <row r="1564" spans="1:48" s="45" customFormat="1" ht="15" hidden="1" customHeight="1">
      <c r="A1564" s="87" t="s">
        <v>152</v>
      </c>
      <c r="B1564" s="28" t="s">
        <v>151</v>
      </c>
      <c r="C1564" s="52"/>
      <c r="D1564" s="28">
        <v>2002</v>
      </c>
      <c r="E1564" s="28">
        <v>1</v>
      </c>
      <c r="F1564" s="28">
        <v>17</v>
      </c>
      <c r="G1564" s="46">
        <f t="shared" si="190"/>
        <v>17</v>
      </c>
      <c r="H1564" s="67">
        <v>6485.3508523099999</v>
      </c>
      <c r="I1564" s="28">
        <v>7200.0000000000009</v>
      </c>
      <c r="J1564" s="46">
        <f t="shared" si="171"/>
        <v>8629.2982953800019</v>
      </c>
      <c r="K1564" s="67">
        <v>40.370370370000003</v>
      </c>
      <c r="L1564" s="28">
        <v>47.5</v>
      </c>
      <c r="M1564" s="46">
        <f t="shared" si="172"/>
        <v>68.88888888999999</v>
      </c>
      <c r="N1564" s="28"/>
      <c r="O1564" s="48">
        <f t="shared" si="180"/>
        <v>3.8119334760408372</v>
      </c>
      <c r="P1564" s="48">
        <f t="shared" si="174"/>
        <v>3.8573324964312685</v>
      </c>
      <c r="Q1564" s="48">
        <f t="shared" si="175"/>
        <v>3.9359754818294022</v>
      </c>
      <c r="R1564" s="48">
        <f t="shared" si="181"/>
        <v>1.6060627337776521</v>
      </c>
      <c r="S1564" s="48">
        <f t="shared" si="176"/>
        <v>1.6766936096248666</v>
      </c>
      <c r="T1564" s="48">
        <f t="shared" si="177"/>
        <v>1.8381491800659338</v>
      </c>
      <c r="U1564" s="48">
        <v>3.9359754818294022</v>
      </c>
      <c r="V1564" s="48">
        <v>1.8381491800659338</v>
      </c>
      <c r="W1564" s="49">
        <f t="shared" si="173"/>
        <v>0.94431761533034675</v>
      </c>
      <c r="X1564" s="39">
        <v>9.9537037000000002</v>
      </c>
      <c r="Y1564" s="39">
        <v>10.44973545</v>
      </c>
      <c r="Z1564" s="39">
        <v>4.2279655366666669</v>
      </c>
      <c r="AA1564" s="39">
        <v>5.0430748833333334</v>
      </c>
      <c r="AB1564" s="90">
        <f t="shared" si="193"/>
        <v>0.42476304942316767</v>
      </c>
      <c r="AC1564" s="90">
        <f t="shared" si="194"/>
        <v>0.48260311540550371</v>
      </c>
      <c r="AD1564" s="90"/>
      <c r="AG1564" s="28">
        <v>33.083700440000001</v>
      </c>
      <c r="AH1564" s="28">
        <f>AVERAGE(AG1563:AG1564)</f>
        <v>32.590308370000002</v>
      </c>
      <c r="AI1564" s="28"/>
      <c r="AO1564" s="28">
        <v>139.24326930999999</v>
      </c>
      <c r="AP1564" s="28">
        <v>0.26415094</v>
      </c>
      <c r="AS1564" s="28">
        <v>52.242114239999999</v>
      </c>
      <c r="AT1564" s="28">
        <v>20.580474930000001</v>
      </c>
      <c r="AU1564" s="28">
        <v>190.41941804999999</v>
      </c>
      <c r="AV1564" s="28">
        <v>2.32366071</v>
      </c>
    </row>
    <row r="1565" spans="1:48" s="45" customFormat="1" ht="15" hidden="1" customHeight="1">
      <c r="A1565" s="87" t="s">
        <v>152</v>
      </c>
      <c r="B1565" s="28" t="s">
        <v>151</v>
      </c>
      <c r="C1565" s="52"/>
      <c r="D1565" s="28">
        <v>2002</v>
      </c>
      <c r="E1565" s="28">
        <v>2</v>
      </c>
      <c r="F1565" s="28">
        <v>14</v>
      </c>
      <c r="G1565" s="46">
        <f t="shared" si="190"/>
        <v>44.47</v>
      </c>
      <c r="H1565" s="67">
        <v>4331.8309548099996</v>
      </c>
      <c r="I1565" s="28">
        <v>4500</v>
      </c>
      <c r="J1565" s="46">
        <f t="shared" si="171"/>
        <v>4836.3380903800007</v>
      </c>
      <c r="K1565" s="67">
        <v>41.851851850000003</v>
      </c>
      <c r="L1565" s="28">
        <v>42.5</v>
      </c>
      <c r="M1565" s="46">
        <f t="shared" si="172"/>
        <v>44.444444449999992</v>
      </c>
      <c r="N1565" s="28"/>
      <c r="O1565" s="48">
        <f t="shared" si="180"/>
        <v>3.6366715003942636</v>
      </c>
      <c r="P1565" s="48">
        <f t="shared" si="174"/>
        <v>3.6532125137753435</v>
      </c>
      <c r="Q1565" s="48">
        <f t="shared" si="175"/>
        <v>3.6845166531593923</v>
      </c>
      <c r="R1565" s="48">
        <f t="shared" si="181"/>
        <v>1.621714679305216</v>
      </c>
      <c r="S1565" s="48">
        <f t="shared" si="176"/>
        <v>1.6283889300503116</v>
      </c>
      <c r="T1565" s="48">
        <f t="shared" si="177"/>
        <v>1.6478174819429243</v>
      </c>
      <c r="U1565" s="48">
        <v>3.6845166531593923</v>
      </c>
      <c r="V1565" s="48">
        <v>1.6478174819429243</v>
      </c>
      <c r="W1565" s="49">
        <f t="shared" si="173"/>
        <v>1.2011931272437388</v>
      </c>
      <c r="X1565" s="39">
        <v>12.266086810185659</v>
      </c>
      <c r="Y1565" s="39">
        <v>12.704335465900986</v>
      </c>
      <c r="Z1565" s="39">
        <v>4.5014803749544958</v>
      </c>
      <c r="AA1565" s="39">
        <v>5.2964991256425185</v>
      </c>
      <c r="AB1565" s="90">
        <f t="shared" si="193"/>
        <v>0.36698585658276145</v>
      </c>
      <c r="AC1565" s="90">
        <f t="shared" si="194"/>
        <v>0.41690485424118112</v>
      </c>
      <c r="AD1565" s="90"/>
      <c r="AG1565" s="28">
        <v>34.687224669999999</v>
      </c>
      <c r="AH1565" s="28">
        <f>AVERAGE(AG1564:AG1565)</f>
        <v>33.885462555000004</v>
      </c>
      <c r="AI1565" s="28"/>
      <c r="AO1565" s="28">
        <v>115.06869789</v>
      </c>
      <c r="AP1565" s="28">
        <v>0.21132075</v>
      </c>
      <c r="AS1565" s="28">
        <v>18.00511509</v>
      </c>
      <c r="AT1565" s="28">
        <v>5.2770448500000002</v>
      </c>
      <c r="AU1565" s="28">
        <v>96.096316869999995</v>
      </c>
      <c r="AV1565" s="28">
        <v>0.99776785999999995</v>
      </c>
    </row>
    <row r="1566" spans="1:48" s="45" customFormat="1" ht="15" hidden="1" customHeight="1">
      <c r="A1566" s="87" t="s">
        <v>152</v>
      </c>
      <c r="B1566" s="28" t="s">
        <v>151</v>
      </c>
      <c r="C1566" s="52"/>
      <c r="D1566" s="28">
        <v>2002</v>
      </c>
      <c r="E1566" s="28">
        <v>3</v>
      </c>
      <c r="F1566" s="28">
        <v>17</v>
      </c>
      <c r="G1566" s="46">
        <f t="shared" si="190"/>
        <v>77.94</v>
      </c>
      <c r="H1566" s="67">
        <v>10994.548453089999</v>
      </c>
      <c r="I1566" s="28">
        <v>11400</v>
      </c>
      <c r="J1566" s="46">
        <f t="shared" si="171"/>
        <v>12210.903093820001</v>
      </c>
      <c r="K1566" s="67">
        <v>71.481481479999999</v>
      </c>
      <c r="L1566" s="28">
        <v>95</v>
      </c>
      <c r="M1566" s="46">
        <f t="shared" si="172"/>
        <v>165.55555556000002</v>
      </c>
      <c r="N1566" s="28"/>
      <c r="O1566" s="48">
        <f t="shared" si="180"/>
        <v>4.0411773975569014</v>
      </c>
      <c r="P1566" s="48">
        <f t="shared" si="174"/>
        <v>4.0569048513364727</v>
      </c>
      <c r="Q1566" s="48">
        <f t="shared" si="175"/>
        <v>4.0867477846786109</v>
      </c>
      <c r="R1566" s="48">
        <f t="shared" si="181"/>
        <v>1.8541935448397855</v>
      </c>
      <c r="S1566" s="48">
        <f t="shared" si="176"/>
        <v>1.9777236052888478</v>
      </c>
      <c r="T1566" s="48">
        <f t="shared" si="177"/>
        <v>2.2189437589846079</v>
      </c>
      <c r="U1566" s="48">
        <v>4.0867477846786109</v>
      </c>
      <c r="V1566" s="48">
        <v>2.2189437589846079</v>
      </c>
      <c r="W1566" s="49">
        <f t="shared" si="173"/>
        <v>0.53591765279783521</v>
      </c>
      <c r="X1566" s="39">
        <v>12.596502728114572</v>
      </c>
      <c r="Y1566" s="39">
        <v>13</v>
      </c>
      <c r="Z1566" s="39">
        <v>4.1026035080200227</v>
      </c>
      <c r="AA1566" s="39">
        <v>4.6647921119799776</v>
      </c>
      <c r="AB1566" s="90">
        <f t="shared" si="193"/>
        <v>0.32569385301392262</v>
      </c>
      <c r="AC1566" s="90">
        <f t="shared" si="194"/>
        <v>0.35883016245999827</v>
      </c>
      <c r="AD1566" s="90"/>
      <c r="AG1566" s="28">
        <v>34.123348020000002</v>
      </c>
      <c r="AH1566" s="28">
        <f t="shared" ref="AH1566:AH1569" si="195">AVERAGE(AG1565:AG1566)</f>
        <v>34.405286345</v>
      </c>
      <c r="AI1566" s="28"/>
      <c r="AO1566" s="28">
        <v>20.239946410000002</v>
      </c>
      <c r="AP1566" s="28">
        <v>0.88050313999999996</v>
      </c>
      <c r="AS1566" s="28">
        <v>28.917306050000001</v>
      </c>
      <c r="AT1566" s="28">
        <v>8.7071240099999994</v>
      </c>
      <c r="AU1566" s="28">
        <v>40.430639079999999</v>
      </c>
      <c r="AV1566" s="28">
        <v>0.25446428999999998</v>
      </c>
    </row>
    <row r="1567" spans="1:48" s="45" customFormat="1" ht="15" hidden="1" customHeight="1">
      <c r="A1567" s="87" t="s">
        <v>152</v>
      </c>
      <c r="B1567" s="28" t="s">
        <v>151</v>
      </c>
      <c r="C1567" s="52"/>
      <c r="D1567" s="28">
        <v>2002</v>
      </c>
      <c r="E1567" s="28">
        <v>4</v>
      </c>
      <c r="F1567" s="28">
        <v>13</v>
      </c>
      <c r="G1567" s="46">
        <f t="shared" si="190"/>
        <v>104.41</v>
      </c>
      <c r="H1567" s="67">
        <v>10730.308234710001</v>
      </c>
      <c r="I1567" s="28">
        <v>12000</v>
      </c>
      <c r="J1567" s="46">
        <f t="shared" si="171"/>
        <v>14539.383530579998</v>
      </c>
      <c r="K1567" s="67">
        <v>99.629629629999997</v>
      </c>
      <c r="L1567" s="28">
        <v>114.99999999999999</v>
      </c>
      <c r="M1567" s="46">
        <f t="shared" si="172"/>
        <v>161.11111110999997</v>
      </c>
      <c r="N1567" s="28"/>
      <c r="O1567" s="48">
        <f t="shared" si="180"/>
        <v>4.0306121975214957</v>
      </c>
      <c r="P1567" s="48">
        <f t="shared" si="174"/>
        <v>4.0791812460476251</v>
      </c>
      <c r="Q1567" s="48">
        <f t="shared" si="175"/>
        <v>4.1625459928405473</v>
      </c>
      <c r="R1567" s="48">
        <f t="shared" si="181"/>
        <v>1.9983885158450352</v>
      </c>
      <c r="S1567" s="48">
        <f t="shared" si="176"/>
        <v>2.0606978403536118</v>
      </c>
      <c r="T1567" s="48">
        <f t="shared" si="177"/>
        <v>2.2071254927926547</v>
      </c>
      <c r="U1567" s="48">
        <v>4.1625459928405473</v>
      </c>
      <c r="V1567" s="48">
        <v>2.2071254927926547</v>
      </c>
      <c r="W1567" s="49">
        <f t="shared" si="173"/>
        <v>0.5244876689379192</v>
      </c>
      <c r="X1567" s="53">
        <v>11.768881947486097</v>
      </c>
      <c r="Y1567" s="39">
        <v>12.07388835335558</v>
      </c>
      <c r="Z1567" s="39">
        <v>4.1513838706933628</v>
      </c>
      <c r="AA1567" s="39">
        <v>4.6160117493066375</v>
      </c>
      <c r="AB1567" s="90">
        <f t="shared" si="193"/>
        <v>0.35274241760748759</v>
      </c>
      <c r="AC1567" s="90">
        <f t="shared" si="194"/>
        <v>0.38231360223102889</v>
      </c>
      <c r="AD1567" s="90"/>
      <c r="AG1567" s="28">
        <v>33.436123350000003</v>
      </c>
      <c r="AH1567" s="28">
        <f t="shared" si="195"/>
        <v>33.779735685000006</v>
      </c>
      <c r="AI1567" s="28"/>
      <c r="AO1567" s="28">
        <v>28.18143199</v>
      </c>
      <c r="AP1567" s="28">
        <v>1.5320754700000001</v>
      </c>
      <c r="AS1567" s="28">
        <v>23.324808180000002</v>
      </c>
      <c r="AT1567" s="28">
        <v>7.65171504</v>
      </c>
      <c r="AU1567" s="28">
        <v>45.087996689999997</v>
      </c>
      <c r="AV1567" s="28">
        <v>0.20089286000000001</v>
      </c>
    </row>
    <row r="1568" spans="1:48" s="45" customFormat="1" ht="15" hidden="1" customHeight="1">
      <c r="A1568" s="87" t="s">
        <v>152</v>
      </c>
      <c r="B1568" s="28" t="s">
        <v>151</v>
      </c>
      <c r="C1568" s="52"/>
      <c r="D1568" s="28">
        <v>2002</v>
      </c>
      <c r="E1568" s="28">
        <v>5</v>
      </c>
      <c r="F1568" s="28">
        <v>10</v>
      </c>
      <c r="G1568" s="46">
        <f t="shared" si="190"/>
        <v>131.88</v>
      </c>
      <c r="H1568" s="67">
        <v>11200.78417759</v>
      </c>
      <c r="I1568" s="28">
        <v>12450</v>
      </c>
      <c r="J1568" s="46">
        <f t="shared" si="171"/>
        <v>14948.431644820001</v>
      </c>
      <c r="K1568" s="67">
        <v>161.11111111</v>
      </c>
      <c r="L1568" s="28">
        <v>187.5</v>
      </c>
      <c r="M1568" s="46">
        <f t="shared" si="172"/>
        <v>266.66666667000004</v>
      </c>
      <c r="N1568" s="28"/>
      <c r="O1568" s="48">
        <f t="shared" si="180"/>
        <v>4.0492484291057425</v>
      </c>
      <c r="P1568" s="48">
        <f t="shared" si="174"/>
        <v>4.0951693514317551</v>
      </c>
      <c r="Q1568" s="48">
        <f t="shared" si="175"/>
        <v>4.1745956298691249</v>
      </c>
      <c r="R1568" s="48">
        <f t="shared" si="181"/>
        <v>2.2071254927926547</v>
      </c>
      <c r="S1568" s="48">
        <f t="shared" si="176"/>
        <v>2.2730012720637376</v>
      </c>
      <c r="T1568" s="48">
        <f t="shared" si="177"/>
        <v>2.4259687322777097</v>
      </c>
      <c r="U1568" s="48">
        <v>4.1745956298691249</v>
      </c>
      <c r="V1568" s="48">
        <v>2.4259687322777097</v>
      </c>
      <c r="W1568" s="49">
        <f t="shared" si="173"/>
        <v>0.31212394008199484</v>
      </c>
      <c r="X1568" s="39">
        <v>17.256476391050171</v>
      </c>
      <c r="Y1568" s="39">
        <v>17.652629138713287</v>
      </c>
      <c r="Z1568" s="39">
        <v>3.3784813880738236</v>
      </c>
      <c r="AA1568" s="39">
        <v>3.8094128254042108</v>
      </c>
      <c r="AB1568" s="90">
        <f t="shared" si="193"/>
        <v>0.19578048910529761</v>
      </c>
      <c r="AC1568" s="90">
        <f t="shared" si="194"/>
        <v>0.21579860968414824</v>
      </c>
      <c r="AD1568" s="90"/>
      <c r="AG1568" s="28">
        <v>31.392070480000001</v>
      </c>
      <c r="AH1568" s="28">
        <f t="shared" si="195"/>
        <v>32.414096915000002</v>
      </c>
      <c r="AI1568" s="28"/>
      <c r="AO1568" s="28">
        <v>98.825329879999998</v>
      </c>
      <c r="AP1568" s="28">
        <v>1.35597484</v>
      </c>
      <c r="AS1568" s="28">
        <v>26.052855919999999</v>
      </c>
      <c r="AT1568" s="28">
        <v>12.66490765</v>
      </c>
      <c r="AU1568" s="28">
        <v>70.987241650000001</v>
      </c>
      <c r="AV1568" s="28">
        <v>0.60267857000000002</v>
      </c>
    </row>
    <row r="1569" spans="1:48" s="45" customFormat="1" ht="15" hidden="1" customHeight="1">
      <c r="A1569" s="87" t="s">
        <v>152</v>
      </c>
      <c r="B1569" s="28" t="s">
        <v>151</v>
      </c>
      <c r="C1569" s="52"/>
      <c r="D1569" s="28">
        <v>2002</v>
      </c>
      <c r="E1569" s="28">
        <v>5</v>
      </c>
      <c r="F1569" s="28">
        <v>26</v>
      </c>
      <c r="G1569" s="46">
        <f t="shared" si="190"/>
        <v>147.88</v>
      </c>
      <c r="H1569" s="67"/>
      <c r="I1569" s="28"/>
      <c r="J1569" s="46"/>
      <c r="K1569" s="67"/>
      <c r="L1569" s="28"/>
      <c r="M1569" s="46"/>
      <c r="N1569" s="28"/>
      <c r="O1569" s="48"/>
      <c r="P1569" s="48"/>
      <c r="Q1569" s="48"/>
      <c r="R1569" s="48"/>
      <c r="S1569" s="48"/>
      <c r="T1569" s="48"/>
      <c r="U1569" s="48"/>
      <c r="V1569" s="48"/>
      <c r="W1569" s="49"/>
      <c r="X1569" s="53">
        <v>19.807593127546415</v>
      </c>
      <c r="Y1569" s="39">
        <v>20.237770211732801</v>
      </c>
      <c r="Z1569" s="39">
        <v>2.8105846217400803</v>
      </c>
      <c r="AA1569" s="39">
        <v>3.1911696950600659</v>
      </c>
      <c r="AB1569" s="90">
        <f t="shared" si="193"/>
        <v>0.14189430304035278</v>
      </c>
      <c r="AC1569" s="90">
        <f t="shared" si="194"/>
        <v>0.15768385853150918</v>
      </c>
      <c r="AD1569" s="90"/>
      <c r="AG1569" s="28">
        <v>32.237885460000001</v>
      </c>
      <c r="AH1569" s="28">
        <f t="shared" si="195"/>
        <v>31.814977970000001</v>
      </c>
      <c r="AI1569" s="28"/>
      <c r="AO1569" s="28"/>
      <c r="AP1569" s="28"/>
      <c r="AS1569" s="28"/>
      <c r="AT1569" s="28"/>
      <c r="AU1569" s="28"/>
      <c r="AV1569" s="28"/>
    </row>
    <row r="1570" spans="1:48" s="45" customFormat="1" ht="15" hidden="1" customHeight="1">
      <c r="A1570" s="87" t="s">
        <v>152</v>
      </c>
      <c r="B1570" s="28" t="s">
        <v>151</v>
      </c>
      <c r="C1570" s="52"/>
      <c r="D1570" s="28">
        <v>2002</v>
      </c>
      <c r="E1570" s="28">
        <v>6</v>
      </c>
      <c r="F1570" s="28">
        <v>9</v>
      </c>
      <c r="G1570" s="46">
        <f t="shared" si="190"/>
        <v>161.35</v>
      </c>
      <c r="H1570" s="67"/>
      <c r="I1570" s="28"/>
      <c r="J1570" s="46"/>
      <c r="K1570" s="67"/>
      <c r="L1570" s="28"/>
      <c r="M1570" s="46"/>
      <c r="N1570" s="28"/>
      <c r="O1570" s="48"/>
      <c r="P1570" s="48"/>
      <c r="Q1570" s="48"/>
      <c r="R1570" s="48"/>
      <c r="S1570" s="48"/>
      <c r="T1570" s="48"/>
      <c r="U1570" s="48"/>
      <c r="V1570" s="48"/>
      <c r="W1570" s="49"/>
      <c r="X1570" s="39"/>
      <c r="Y1570" s="49"/>
      <c r="Z1570" s="49"/>
      <c r="AA1570" s="48"/>
      <c r="AB1570" s="48"/>
      <c r="AC1570" s="48"/>
      <c r="AD1570" s="48"/>
      <c r="AG1570" s="28"/>
      <c r="AH1570" s="28"/>
      <c r="AI1570" s="28"/>
      <c r="AO1570" s="28"/>
      <c r="AP1570" s="28">
        <v>2.25408805</v>
      </c>
      <c r="AS1570" s="28"/>
      <c r="AT1570" s="28"/>
      <c r="AU1570" s="28"/>
      <c r="AV1570" s="28"/>
    </row>
    <row r="1571" spans="1:48" s="45" customFormat="1" ht="15" hidden="1" customHeight="1">
      <c r="A1571" s="87" t="s">
        <v>152</v>
      </c>
      <c r="B1571" s="28" t="s">
        <v>151</v>
      </c>
      <c r="C1571" s="52"/>
      <c r="D1571" s="28">
        <v>2002</v>
      </c>
      <c r="E1571" s="28">
        <v>6</v>
      </c>
      <c r="F1571" s="28">
        <v>22</v>
      </c>
      <c r="G1571" s="46">
        <f t="shared" si="190"/>
        <v>174.35</v>
      </c>
      <c r="H1571" s="67">
        <v>10988.13074497</v>
      </c>
      <c r="I1571" s="28">
        <v>12300</v>
      </c>
      <c r="J1571" s="46">
        <f t="shared" si="171"/>
        <v>14923.73851006</v>
      </c>
      <c r="K1571" s="67">
        <v>147.77777778000001</v>
      </c>
      <c r="L1571" s="28">
        <v>170</v>
      </c>
      <c r="M1571" s="46">
        <f t="shared" si="172"/>
        <v>236.66666665999998</v>
      </c>
      <c r="N1571" s="28"/>
      <c r="O1571" s="48">
        <f t="shared" si="180"/>
        <v>4.0409238183387313</v>
      </c>
      <c r="P1571" s="48">
        <f t="shared" si="174"/>
        <v>4.0899051114393981</v>
      </c>
      <c r="Q1571" s="48">
        <f t="shared" si="175"/>
        <v>4.1738776308383088</v>
      </c>
      <c r="R1571" s="48">
        <f t="shared" si="181"/>
        <v>2.1696091315342918</v>
      </c>
      <c r="S1571" s="48">
        <f t="shared" si="176"/>
        <v>2.2304489213782741</v>
      </c>
      <c r="T1571" s="48">
        <f t="shared" si="177"/>
        <v>2.3741370939871791</v>
      </c>
      <c r="U1571" s="48">
        <v>4.1738776308383088</v>
      </c>
      <c r="V1571" s="48">
        <v>2.3741370939871791</v>
      </c>
      <c r="W1571" s="49">
        <f t="shared" si="173"/>
        <v>0.36178119821983806</v>
      </c>
      <c r="X1571" s="39"/>
      <c r="Y1571" s="49"/>
      <c r="Z1571" s="49"/>
      <c r="AA1571" s="48"/>
      <c r="AB1571" s="48"/>
      <c r="AC1571" s="48"/>
      <c r="AD1571" s="48"/>
      <c r="AG1571" s="28">
        <v>33.612334799999999</v>
      </c>
      <c r="AH1571" s="28">
        <f>AVERAGE(AG1571)</f>
        <v>33.612334799999999</v>
      </c>
      <c r="AI1571" s="28"/>
      <c r="AO1571" s="28">
        <v>25.401990130000001</v>
      </c>
      <c r="AP1571" s="28"/>
      <c r="AS1571" s="28">
        <v>29.190110829999998</v>
      </c>
      <c r="AT1571" s="28">
        <v>4.22163588</v>
      </c>
      <c r="AU1571" s="28">
        <v>49.2994044</v>
      </c>
      <c r="AV1571" s="28">
        <v>0.38169642999999998</v>
      </c>
    </row>
    <row r="1572" spans="1:48" s="45" customFormat="1" ht="15" hidden="1" customHeight="1">
      <c r="A1572" s="87" t="s">
        <v>152</v>
      </c>
      <c r="B1572" s="28" t="s">
        <v>151</v>
      </c>
      <c r="C1572" s="52"/>
      <c r="D1572" s="28">
        <v>2002</v>
      </c>
      <c r="E1572" s="28">
        <v>7</v>
      </c>
      <c r="F1572" s="28">
        <v>21</v>
      </c>
      <c r="G1572" s="46">
        <f t="shared" si="190"/>
        <v>203.82</v>
      </c>
      <c r="H1572" s="67">
        <v>10776.234958450001</v>
      </c>
      <c r="I1572" s="28">
        <v>11100</v>
      </c>
      <c r="J1572" s="46">
        <f t="shared" si="171"/>
        <v>11747.530083099999</v>
      </c>
      <c r="K1572" s="67">
        <v>133.70370370000001</v>
      </c>
      <c r="L1572" s="28">
        <v>140</v>
      </c>
      <c r="M1572" s="46">
        <f t="shared" si="172"/>
        <v>158.88888889999998</v>
      </c>
      <c r="N1572" s="28"/>
      <c r="O1572" s="48">
        <f t="shared" si="180"/>
        <v>4.0324670519099817</v>
      </c>
      <c r="P1572" s="48">
        <f t="shared" si="174"/>
        <v>4.0453229787866576</v>
      </c>
      <c r="Q1572" s="48">
        <f t="shared" si="175"/>
        <v>4.0699465658386451</v>
      </c>
      <c r="R1572" s="48">
        <f t="shared" si="181"/>
        <v>2.1261434377346404</v>
      </c>
      <c r="S1572" s="48">
        <f t="shared" si="176"/>
        <v>2.1461280356782382</v>
      </c>
      <c r="T1572" s="48">
        <f t="shared" si="177"/>
        <v>2.201093528056107</v>
      </c>
      <c r="U1572" s="48">
        <v>4.0699465658386451</v>
      </c>
      <c r="V1572" s="48">
        <v>2.201093528056107</v>
      </c>
      <c r="W1572" s="49">
        <f t="shared" si="173"/>
        <v>0.55797736643308571</v>
      </c>
      <c r="X1572" s="39"/>
      <c r="Y1572" s="49"/>
      <c r="Z1572" s="49"/>
      <c r="AA1572" s="48"/>
      <c r="AB1572" s="48"/>
      <c r="AC1572" s="48"/>
      <c r="AD1572" s="48"/>
      <c r="AG1572" s="28">
        <v>29.947136560000001</v>
      </c>
      <c r="AH1572" s="28">
        <f>AVERAGE(AG1571:AG1572)</f>
        <v>31.779735680000002</v>
      </c>
      <c r="AI1572" s="28"/>
      <c r="AO1572" s="28">
        <v>31.202309799999998</v>
      </c>
      <c r="AP1572" s="28">
        <v>3.16981132</v>
      </c>
      <c r="AS1572" s="28">
        <v>28.917306050000001</v>
      </c>
      <c r="AT1572" s="28">
        <v>85.224274410000007</v>
      </c>
      <c r="AU1572" s="28">
        <v>48.008715539999997</v>
      </c>
      <c r="AV1572" s="28">
        <v>0.73660714000000005</v>
      </c>
    </row>
    <row r="1573" spans="1:48" s="45" customFormat="1" ht="12.75" hidden="1" customHeight="1">
      <c r="A1573" s="22" t="s">
        <v>126</v>
      </c>
      <c r="B1573" s="63" t="s">
        <v>129</v>
      </c>
      <c r="C1573" s="24" t="s">
        <v>130</v>
      </c>
      <c r="O1573" s="45" t="s">
        <v>185</v>
      </c>
      <c r="R1573" s="94">
        <v>1.66622230745922</v>
      </c>
      <c r="U1573" s="45" t="s">
        <v>185</v>
      </c>
      <c r="V1573" s="94">
        <v>1.66622230745922</v>
      </c>
      <c r="W1573" s="49"/>
      <c r="X1573" s="49"/>
      <c r="Y1573" s="49"/>
      <c r="Z1573" s="49"/>
      <c r="AE1573" s="45">
        <v>21.5</v>
      </c>
      <c r="AK1573" s="45" t="s">
        <v>185</v>
      </c>
      <c r="AL1573" s="45">
        <v>370</v>
      </c>
      <c r="AO1573" s="45">
        <v>0.88</v>
      </c>
      <c r="AS1573" s="45">
        <v>0.04</v>
      </c>
      <c r="AU1573" s="45">
        <v>0.78</v>
      </c>
    </row>
    <row r="1574" spans="1:48" s="45" customFormat="1" ht="12.75" hidden="1" customHeight="1">
      <c r="A1574" s="22" t="s">
        <v>126</v>
      </c>
      <c r="B1574" s="63" t="s">
        <v>129</v>
      </c>
      <c r="C1574" s="24" t="s">
        <v>130</v>
      </c>
      <c r="O1574" s="45" t="s">
        <v>185</v>
      </c>
      <c r="R1574" s="94">
        <v>1.9383353505263401</v>
      </c>
      <c r="U1574" s="45" t="s">
        <v>185</v>
      </c>
      <c r="V1574" s="94">
        <v>1.9383353505263401</v>
      </c>
      <c r="W1574" s="49"/>
      <c r="X1574" s="49">
        <v>17.256476391050171</v>
      </c>
      <c r="Y1574" s="49"/>
      <c r="Z1574" s="49"/>
      <c r="AE1574" s="45">
        <v>21.5</v>
      </c>
      <c r="AK1574" s="45" t="s">
        <v>185</v>
      </c>
      <c r="AL1574" s="45">
        <v>370</v>
      </c>
      <c r="AO1574" s="45">
        <v>0.88</v>
      </c>
      <c r="AS1574" s="45">
        <v>0.04</v>
      </c>
      <c r="AU1574" s="45">
        <v>0.78</v>
      </c>
    </row>
    <row r="1575" spans="1:48" s="45" customFormat="1" ht="12.75" hidden="1" customHeight="1">
      <c r="A1575" s="22" t="s">
        <v>126</v>
      </c>
      <c r="B1575" s="63" t="s">
        <v>129</v>
      </c>
      <c r="C1575" s="24" t="s">
        <v>130</v>
      </c>
      <c r="O1575" s="94">
        <v>3.3948892571674198</v>
      </c>
      <c r="R1575" s="94">
        <v>1.85446585577967</v>
      </c>
      <c r="U1575" s="94">
        <v>3.3948892571674198</v>
      </c>
      <c r="V1575" s="94">
        <v>1.85446585577967</v>
      </c>
      <c r="W1575" s="49">
        <f t="shared" si="173"/>
        <v>1.0908217733744041</v>
      </c>
      <c r="X1575" s="49"/>
      <c r="Y1575" s="49"/>
      <c r="Z1575" s="49"/>
      <c r="AE1575" s="45">
        <v>21.5</v>
      </c>
      <c r="AF1575" s="45">
        <f>AVERAGE(AE1573:AE1575)</f>
        <v>21.5</v>
      </c>
      <c r="AK1575" s="45" t="s">
        <v>185</v>
      </c>
      <c r="AL1575" s="45">
        <v>370</v>
      </c>
      <c r="AO1575" s="45">
        <v>0.88</v>
      </c>
      <c r="AS1575" s="45">
        <v>0.04</v>
      </c>
      <c r="AU1575" s="45">
        <v>0.78</v>
      </c>
    </row>
    <row r="1576" spans="1:48" s="45" customFormat="1" ht="12.75" hidden="1" customHeight="1">
      <c r="A1576" s="22" t="s">
        <v>126</v>
      </c>
      <c r="B1576" s="63" t="s">
        <v>129</v>
      </c>
      <c r="C1576" s="24" t="s">
        <v>130</v>
      </c>
      <c r="O1576" s="94">
        <v>3.5494814586831498</v>
      </c>
      <c r="R1576" s="94">
        <v>1.8586532640750499</v>
      </c>
      <c r="U1576" s="94">
        <v>3.5494814586831498</v>
      </c>
      <c r="V1576" s="94">
        <v>1.8586532640750499</v>
      </c>
      <c r="W1576" s="49">
        <f t="shared" si="173"/>
        <v>1.0405232372793229</v>
      </c>
      <c r="X1576" s="49">
        <v>19.807593127546415</v>
      </c>
      <c r="Y1576" s="49"/>
      <c r="Z1576" s="49"/>
      <c r="AE1576" s="45">
        <v>21.5</v>
      </c>
      <c r="AF1576" s="45">
        <f>AVERAGE(AE1575:AE1576)</f>
        <v>21.5</v>
      </c>
      <c r="AK1576" s="45" t="s">
        <v>185</v>
      </c>
      <c r="AL1576" s="45">
        <v>370</v>
      </c>
      <c r="AO1576" s="45">
        <v>0.88</v>
      </c>
      <c r="AS1576" s="45">
        <v>0.04</v>
      </c>
      <c r="AU1576" s="45">
        <v>0.78</v>
      </c>
    </row>
    <row r="1577" spans="1:48" s="45" customFormat="1" ht="12.75" hidden="1" customHeight="1">
      <c r="A1577" s="22" t="s">
        <v>126</v>
      </c>
      <c r="B1577" s="63" t="s">
        <v>129</v>
      </c>
      <c r="C1577" s="24" t="s">
        <v>130</v>
      </c>
      <c r="O1577" s="45" t="s">
        <v>185</v>
      </c>
      <c r="R1577" s="94">
        <v>2.0357807116010198</v>
      </c>
      <c r="U1577" s="45" t="s">
        <v>185</v>
      </c>
      <c r="V1577" s="94">
        <v>2.0357807116010198</v>
      </c>
      <c r="W1577" s="49"/>
      <c r="X1577" s="49"/>
      <c r="Y1577" s="49"/>
      <c r="Z1577" s="49"/>
      <c r="AE1577" s="45">
        <v>21.7</v>
      </c>
      <c r="AK1577" s="45" t="s">
        <v>185</v>
      </c>
      <c r="AL1577" s="45">
        <f t="shared" ref="AL1577:AL1584" si="196">(100+793)/2</f>
        <v>446.5</v>
      </c>
      <c r="AO1577" s="45">
        <v>0.81</v>
      </c>
      <c r="AS1577" s="45">
        <v>0.06</v>
      </c>
      <c r="AU1577" s="45">
        <v>0.88</v>
      </c>
    </row>
    <row r="1578" spans="1:48" s="45" customFormat="1" ht="12.75" hidden="1" customHeight="1">
      <c r="A1578" s="22" t="s">
        <v>126</v>
      </c>
      <c r="B1578" s="63" t="s">
        <v>129</v>
      </c>
      <c r="C1578" s="24" t="s">
        <v>130</v>
      </c>
      <c r="O1578" s="45" t="s">
        <v>185</v>
      </c>
      <c r="R1578" s="94">
        <v>2.1094956572385999</v>
      </c>
      <c r="U1578" s="45" t="s">
        <v>185</v>
      </c>
      <c r="V1578" s="94">
        <v>2.1094956572385999</v>
      </c>
      <c r="W1578" s="49"/>
      <c r="X1578" s="49"/>
      <c r="Y1578" s="49"/>
      <c r="Z1578" s="49"/>
      <c r="AE1578" s="45">
        <v>21.7</v>
      </c>
      <c r="AK1578" s="45" t="s">
        <v>185</v>
      </c>
      <c r="AL1578" s="45">
        <f t="shared" si="196"/>
        <v>446.5</v>
      </c>
      <c r="AO1578" s="45">
        <v>0.81</v>
      </c>
      <c r="AS1578" s="45">
        <v>0.06</v>
      </c>
      <c r="AU1578" s="45">
        <v>0.88</v>
      </c>
    </row>
    <row r="1579" spans="1:48" s="45" customFormat="1" ht="12.75" hidden="1" customHeight="1">
      <c r="A1579" s="22" t="s">
        <v>126</v>
      </c>
      <c r="B1579" s="63" t="s">
        <v>129</v>
      </c>
      <c r="C1579" s="24" t="s">
        <v>130</v>
      </c>
      <c r="O1579" s="45" t="s">
        <v>185</v>
      </c>
      <c r="R1579" s="94">
        <v>2.08095543081639</v>
      </c>
      <c r="U1579" s="45" t="s">
        <v>185</v>
      </c>
      <c r="V1579" s="94">
        <v>2.08095543081639</v>
      </c>
      <c r="W1579" s="49"/>
      <c r="X1579" s="49"/>
      <c r="Y1579" s="49"/>
      <c r="Z1579" s="49"/>
      <c r="AE1579" s="45">
        <v>21.7</v>
      </c>
      <c r="AK1579" s="45" t="s">
        <v>185</v>
      </c>
      <c r="AL1579" s="45">
        <f t="shared" si="196"/>
        <v>446.5</v>
      </c>
      <c r="AO1579" s="45">
        <v>0.81</v>
      </c>
      <c r="AS1579" s="45">
        <v>0.06</v>
      </c>
      <c r="AU1579" s="45">
        <v>0.88</v>
      </c>
    </row>
    <row r="1580" spans="1:48" s="45" customFormat="1" ht="12.75" hidden="1" customHeight="1">
      <c r="A1580" s="22" t="s">
        <v>126</v>
      </c>
      <c r="B1580" s="63" t="s">
        <v>129</v>
      </c>
      <c r="C1580" s="24" t="s">
        <v>130</v>
      </c>
      <c r="O1580" s="94">
        <v>3.4908710843455899</v>
      </c>
      <c r="R1580" s="94">
        <v>2.1828699638300502</v>
      </c>
      <c r="U1580" s="94">
        <v>3.4908710843455899</v>
      </c>
      <c r="V1580" s="94">
        <v>2.1828699638300502</v>
      </c>
      <c r="W1580" s="49">
        <f t="shared" ref="W1580:W1627" si="197">0.9539*(4.064-0.314*U1580-V1580)</f>
        <v>0.7488081763123362</v>
      </c>
      <c r="X1580" s="49"/>
      <c r="Y1580" s="49"/>
      <c r="Z1580" s="49"/>
      <c r="AE1580" s="45">
        <v>21.7</v>
      </c>
      <c r="AF1580" s="45">
        <f>AVERAGE(AE1577:AE1580)</f>
        <v>21.7</v>
      </c>
      <c r="AK1580" s="45" t="s">
        <v>185</v>
      </c>
      <c r="AL1580" s="45">
        <f t="shared" si="196"/>
        <v>446.5</v>
      </c>
      <c r="AO1580" s="45">
        <v>0.81</v>
      </c>
      <c r="AS1580" s="45">
        <v>0.06</v>
      </c>
      <c r="AU1580" s="45">
        <v>0.88</v>
      </c>
    </row>
    <row r="1581" spans="1:48" s="45" customFormat="1" ht="12.75" hidden="1" customHeight="1">
      <c r="A1581" s="22" t="s">
        <v>126</v>
      </c>
      <c r="B1581" s="63" t="s">
        <v>129</v>
      </c>
      <c r="C1581" s="24" t="s">
        <v>130</v>
      </c>
      <c r="O1581" s="94">
        <v>3.6234353767316398</v>
      </c>
      <c r="R1581" s="94">
        <v>2.06079720987284</v>
      </c>
      <c r="U1581" s="94">
        <v>3.6234353767316398</v>
      </c>
      <c r="V1581" s="94">
        <v>2.06079720987284</v>
      </c>
      <c r="W1581" s="49">
        <f t="shared" si="197"/>
        <v>0.8255471096609045</v>
      </c>
      <c r="X1581" s="49"/>
      <c r="Y1581" s="49"/>
      <c r="Z1581" s="49"/>
      <c r="AE1581" s="45">
        <v>21.7</v>
      </c>
      <c r="AF1581" s="45">
        <f>AVERAGE(AE1580:AE1581)</f>
        <v>21.7</v>
      </c>
      <c r="AK1581" s="45" t="s">
        <v>185</v>
      </c>
      <c r="AL1581" s="45">
        <f t="shared" si="196"/>
        <v>446.5</v>
      </c>
      <c r="AO1581" s="45">
        <v>0.81</v>
      </c>
      <c r="AS1581" s="45">
        <v>0.06</v>
      </c>
      <c r="AU1581" s="45">
        <v>0.88</v>
      </c>
    </row>
    <row r="1582" spans="1:48" s="45" customFormat="1" ht="12.75" hidden="1" customHeight="1">
      <c r="A1582" s="22" t="s">
        <v>126</v>
      </c>
      <c r="B1582" s="63" t="s">
        <v>129</v>
      </c>
      <c r="C1582" s="24" t="s">
        <v>130</v>
      </c>
      <c r="O1582" s="94">
        <v>3.6665554181206899</v>
      </c>
      <c r="R1582" s="94">
        <v>1.9885354884783</v>
      </c>
      <c r="U1582" s="94">
        <v>3.6665554181206899</v>
      </c>
      <c r="V1582" s="94">
        <v>1.9885354884783</v>
      </c>
      <c r="W1582" s="49">
        <f t="shared" si="197"/>
        <v>0.88156205255011733</v>
      </c>
      <c r="X1582" s="49"/>
      <c r="Y1582" s="49"/>
      <c r="Z1582" s="49"/>
      <c r="AE1582" s="45">
        <v>21.7</v>
      </c>
      <c r="AF1582" s="45">
        <f t="shared" ref="AF1582:AF1627" si="198">AVERAGE(AE1581:AE1582)</f>
        <v>21.7</v>
      </c>
      <c r="AK1582" s="45" t="s">
        <v>185</v>
      </c>
      <c r="AL1582" s="45">
        <f t="shared" si="196"/>
        <v>446.5</v>
      </c>
      <c r="AO1582" s="45">
        <v>0.81</v>
      </c>
      <c r="AS1582" s="45">
        <v>0.06</v>
      </c>
      <c r="AU1582" s="45">
        <v>0.88</v>
      </c>
    </row>
    <row r="1583" spans="1:48" s="45" customFormat="1" ht="12.75" hidden="1" customHeight="1">
      <c r="A1583" s="22" t="s">
        <v>126</v>
      </c>
      <c r="B1583" s="63" t="s">
        <v>129</v>
      </c>
      <c r="C1583" s="24" t="s">
        <v>130</v>
      </c>
      <c r="O1583" s="94">
        <v>3.4908710843455899</v>
      </c>
      <c r="R1583" s="94">
        <v>2.1828699638300502</v>
      </c>
      <c r="U1583" s="94">
        <v>3.4908710843455899</v>
      </c>
      <c r="V1583" s="94">
        <v>2.1828699638300502</v>
      </c>
      <c r="W1583" s="49">
        <f t="shared" si="197"/>
        <v>0.7488081763123362</v>
      </c>
      <c r="X1583" s="49"/>
      <c r="Y1583" s="49"/>
      <c r="Z1583" s="49"/>
      <c r="AE1583" s="45">
        <v>21.7</v>
      </c>
      <c r="AF1583" s="45">
        <f t="shared" si="198"/>
        <v>21.7</v>
      </c>
      <c r="AK1583" s="45" t="s">
        <v>185</v>
      </c>
      <c r="AL1583" s="45">
        <f t="shared" si="196"/>
        <v>446.5</v>
      </c>
      <c r="AO1583" s="45">
        <v>0.81</v>
      </c>
      <c r="AS1583" s="45">
        <v>0.06</v>
      </c>
      <c r="AU1583" s="45">
        <v>0.88</v>
      </c>
    </row>
    <row r="1584" spans="1:48" s="45" customFormat="1" ht="12.75" hidden="1" customHeight="1">
      <c r="A1584" s="22" t="s">
        <v>126</v>
      </c>
      <c r="B1584" s="63" t="s">
        <v>129</v>
      </c>
      <c r="C1584" s="24" t="s">
        <v>130</v>
      </c>
      <c r="O1584" s="94">
        <v>3.6234353767316398</v>
      </c>
      <c r="R1584" s="94">
        <v>2.06079720987284</v>
      </c>
      <c r="U1584" s="94">
        <v>3.6234353767316398</v>
      </c>
      <c r="V1584" s="94">
        <v>2.06079720987284</v>
      </c>
      <c r="W1584" s="49">
        <f t="shared" si="197"/>
        <v>0.8255471096609045</v>
      </c>
      <c r="X1584" s="49"/>
      <c r="Y1584" s="49"/>
      <c r="Z1584" s="49"/>
      <c r="AE1584" s="45">
        <v>21.7</v>
      </c>
      <c r="AF1584" s="45">
        <f t="shared" si="198"/>
        <v>21.7</v>
      </c>
      <c r="AK1584" s="45" t="s">
        <v>185</v>
      </c>
      <c r="AL1584" s="45">
        <f t="shared" si="196"/>
        <v>446.5</v>
      </c>
      <c r="AO1584" s="45">
        <v>0.81</v>
      </c>
      <c r="AS1584" s="45">
        <v>0.06</v>
      </c>
      <c r="AU1584" s="45">
        <v>0.88</v>
      </c>
    </row>
    <row r="1585" spans="1:47" s="45" customFormat="1" ht="12.75" hidden="1" customHeight="1">
      <c r="A1585" s="22" t="s">
        <v>126</v>
      </c>
      <c r="B1585" s="63" t="s">
        <v>129</v>
      </c>
      <c r="C1585" s="24" t="s">
        <v>130</v>
      </c>
      <c r="O1585" s="94">
        <v>3.6665554181206899</v>
      </c>
      <c r="R1585" s="94">
        <v>1.9885354884783</v>
      </c>
      <c r="U1585" s="94">
        <v>3.6665554181206899</v>
      </c>
      <c r="V1585" s="94">
        <v>1.9885354884783</v>
      </c>
      <c r="W1585" s="49">
        <f t="shared" si="197"/>
        <v>0.88156205255011733</v>
      </c>
      <c r="X1585" s="49"/>
      <c r="Y1585" s="49"/>
      <c r="Z1585" s="49"/>
      <c r="AE1585" s="45">
        <v>21.7</v>
      </c>
      <c r="AF1585" s="45">
        <f t="shared" si="198"/>
        <v>21.7</v>
      </c>
      <c r="AK1585" s="45" t="s">
        <v>185</v>
      </c>
      <c r="AL1585" s="45">
        <f>(100+793)/2</f>
        <v>446.5</v>
      </c>
      <c r="AO1585" s="45">
        <v>0.81</v>
      </c>
      <c r="AS1585" s="45">
        <v>0.06</v>
      </c>
      <c r="AU1585" s="45">
        <v>0.88</v>
      </c>
    </row>
    <row r="1586" spans="1:47" s="45" customFormat="1" ht="12.75" hidden="1" customHeight="1">
      <c r="A1586" s="22" t="s">
        <v>126</v>
      </c>
      <c r="B1586" s="63" t="s">
        <v>129</v>
      </c>
      <c r="C1586" s="24" t="s">
        <v>130</v>
      </c>
      <c r="O1586" s="94">
        <v>3.4468787522545301</v>
      </c>
      <c r="R1586" s="94">
        <v>1.9229620712284301</v>
      </c>
      <c r="U1586" s="94">
        <v>3.4468787522545301</v>
      </c>
      <c r="V1586" s="94">
        <v>1.9229620712284301</v>
      </c>
      <c r="W1586" s="49">
        <f t="shared" si="197"/>
        <v>1.0099111007376633</v>
      </c>
      <c r="X1586" s="49"/>
      <c r="Y1586" s="49"/>
      <c r="Z1586" s="49"/>
      <c r="AE1586" s="45">
        <v>14.3</v>
      </c>
      <c r="AF1586" s="45">
        <f t="shared" si="198"/>
        <v>18</v>
      </c>
      <c r="AK1586" s="45" t="s">
        <v>185</v>
      </c>
      <c r="AL1586" s="45">
        <v>761</v>
      </c>
      <c r="AO1586" s="45">
        <v>0.38</v>
      </c>
      <c r="AS1586" s="45">
        <v>0.21</v>
      </c>
      <c r="AU1586" s="45">
        <v>0.15</v>
      </c>
    </row>
    <row r="1587" spans="1:47" s="45" customFormat="1" ht="12.75" hidden="1" customHeight="1">
      <c r="A1587" s="22" t="s">
        <v>126</v>
      </c>
      <c r="B1587" s="63" t="s">
        <v>129</v>
      </c>
      <c r="C1587" s="24" t="s">
        <v>130</v>
      </c>
      <c r="O1587" s="94">
        <v>3.3776704393343202</v>
      </c>
      <c r="R1587" s="94">
        <v>1.8361908147597601</v>
      </c>
      <c r="U1587" s="94">
        <v>3.3776704393343202</v>
      </c>
      <c r="V1587" s="94">
        <v>1.8361908147597601</v>
      </c>
      <c r="W1587" s="49">
        <f t="shared" si="197"/>
        <v>1.1134117945272284</v>
      </c>
      <c r="X1587" s="49"/>
      <c r="Y1587" s="49"/>
      <c r="Z1587" s="49"/>
      <c r="AE1587" s="45">
        <v>14.3</v>
      </c>
      <c r="AF1587" s="45">
        <f t="shared" si="198"/>
        <v>14.3</v>
      </c>
      <c r="AK1587" s="45" t="s">
        <v>185</v>
      </c>
      <c r="AL1587" s="45">
        <v>761</v>
      </c>
      <c r="AO1587" s="45">
        <v>0.38</v>
      </c>
      <c r="AS1587" s="45">
        <v>0.21</v>
      </c>
      <c r="AU1587" s="45">
        <v>0.15</v>
      </c>
    </row>
    <row r="1588" spans="1:47" s="45" customFormat="1" ht="12.75" hidden="1" customHeight="1">
      <c r="A1588" s="22" t="s">
        <v>126</v>
      </c>
      <c r="B1588" s="63" t="s">
        <v>129</v>
      </c>
      <c r="C1588" s="24" t="s">
        <v>130</v>
      </c>
      <c r="O1588" s="94">
        <v>3.2375688701982002</v>
      </c>
      <c r="R1588" s="94">
        <v>1.7305556231819399</v>
      </c>
      <c r="U1588" s="94">
        <v>3.2375688701982002</v>
      </c>
      <c r="V1588" s="94">
        <v>1.7305556231819399</v>
      </c>
      <c r="W1588" s="49">
        <f t="shared" si="197"/>
        <v>1.2561410702281799</v>
      </c>
      <c r="X1588" s="49"/>
      <c r="Y1588" s="49"/>
      <c r="Z1588" s="49"/>
      <c r="AE1588" s="45">
        <v>14.3</v>
      </c>
      <c r="AF1588" s="45">
        <f t="shared" si="198"/>
        <v>14.3</v>
      </c>
      <c r="AK1588" s="45" t="s">
        <v>185</v>
      </c>
      <c r="AL1588" s="45">
        <v>761</v>
      </c>
      <c r="AO1588" s="45">
        <v>0.38</v>
      </c>
      <c r="AS1588" s="45">
        <v>0.21</v>
      </c>
      <c r="AU1588" s="45">
        <v>0.15</v>
      </c>
    </row>
    <row r="1589" spans="1:47" s="45" customFormat="1" ht="12.75" hidden="1" customHeight="1">
      <c r="A1589" s="22" t="s">
        <v>126</v>
      </c>
      <c r="B1589" s="63" t="s">
        <v>129</v>
      </c>
      <c r="C1589" s="24" t="s">
        <v>130</v>
      </c>
      <c r="O1589" s="94">
        <v>3.3613878203126002</v>
      </c>
      <c r="R1589" s="94">
        <v>1.80967782572708</v>
      </c>
      <c r="U1589" s="94">
        <v>3.3613878203126002</v>
      </c>
      <c r="V1589" s="94">
        <v>1.80967782572708</v>
      </c>
      <c r="W1589" s="49">
        <f t="shared" si="197"/>
        <v>1.1435795797149346</v>
      </c>
      <c r="X1589" s="49"/>
      <c r="Y1589" s="49"/>
      <c r="Z1589" s="49"/>
      <c r="AE1589" s="45">
        <v>14</v>
      </c>
      <c r="AF1589" s="45">
        <f t="shared" si="198"/>
        <v>14.15</v>
      </c>
      <c r="AK1589" s="45">
        <v>1703</v>
      </c>
      <c r="AL1589" s="45">
        <v>805</v>
      </c>
      <c r="AO1589" s="45">
        <v>0.36</v>
      </c>
      <c r="AS1589" s="45">
        <v>0.17</v>
      </c>
      <c r="AU1589" s="45">
        <v>0.17</v>
      </c>
    </row>
    <row r="1590" spans="1:47" s="45" customFormat="1" ht="12.75" hidden="1" customHeight="1">
      <c r="A1590" s="22" t="s">
        <v>126</v>
      </c>
      <c r="B1590" s="63" t="s">
        <v>129</v>
      </c>
      <c r="C1590" s="24" t="s">
        <v>130</v>
      </c>
      <c r="O1590" s="94">
        <v>3.3647010495947001</v>
      </c>
      <c r="R1590" s="94">
        <v>1.88226482828871</v>
      </c>
      <c r="U1590" s="94">
        <v>3.3647010495947001</v>
      </c>
      <c r="V1590" s="94">
        <v>1.88226482828871</v>
      </c>
      <c r="W1590" s="49">
        <f t="shared" si="197"/>
        <v>1.0733464442959668</v>
      </c>
      <c r="X1590" s="49"/>
      <c r="Y1590" s="49"/>
      <c r="Z1590" s="49"/>
      <c r="AE1590" s="45">
        <v>14</v>
      </c>
      <c r="AF1590" s="45">
        <f t="shared" si="198"/>
        <v>14</v>
      </c>
      <c r="AK1590" s="45">
        <v>1703</v>
      </c>
      <c r="AL1590" s="45">
        <v>805</v>
      </c>
      <c r="AO1590" s="45">
        <v>0.36</v>
      </c>
      <c r="AS1590" s="45">
        <v>0.17</v>
      </c>
      <c r="AU1590" s="45">
        <v>0.17</v>
      </c>
    </row>
    <row r="1591" spans="1:47" s="45" customFormat="1" ht="12.75" hidden="1" customHeight="1">
      <c r="A1591" s="22" t="s">
        <v>126</v>
      </c>
      <c r="B1591" s="63" t="s">
        <v>129</v>
      </c>
      <c r="C1591" s="24" t="s">
        <v>130</v>
      </c>
      <c r="O1591" s="94">
        <v>3.3427778673872499</v>
      </c>
      <c r="R1591" s="94">
        <v>1.7713037631314701</v>
      </c>
      <c r="U1591" s="94">
        <v>3.3427778673872499</v>
      </c>
      <c r="V1591" s="94">
        <v>1.7713037631314701</v>
      </c>
      <c r="W1591" s="49">
        <f t="shared" si="197"/>
        <v>1.1857587367308715</v>
      </c>
      <c r="X1591" s="49"/>
      <c r="Y1591" s="49"/>
      <c r="Z1591" s="49"/>
      <c r="AE1591" s="45">
        <v>14</v>
      </c>
      <c r="AF1591" s="45">
        <f t="shared" si="198"/>
        <v>14</v>
      </c>
      <c r="AK1591" s="45">
        <v>1703</v>
      </c>
      <c r="AL1591" s="45">
        <v>805</v>
      </c>
      <c r="AO1591" s="45">
        <v>0.36</v>
      </c>
      <c r="AS1591" s="45">
        <v>0.17</v>
      </c>
      <c r="AU1591" s="45">
        <v>0.17</v>
      </c>
    </row>
    <row r="1592" spans="1:47" s="45" customFormat="1" ht="12.75" hidden="1" customHeight="1">
      <c r="A1592" s="22" t="s">
        <v>126</v>
      </c>
      <c r="B1592" s="63" t="s">
        <v>129</v>
      </c>
      <c r="C1592" s="24" t="s">
        <v>130</v>
      </c>
      <c r="O1592" s="94">
        <v>3.5136436923090399</v>
      </c>
      <c r="R1592" s="94">
        <v>2.2400592666058898</v>
      </c>
      <c r="U1592" s="94">
        <v>3.5136436923090399</v>
      </c>
      <c r="V1592" s="94">
        <v>2.2400592666058898</v>
      </c>
      <c r="W1592" s="49">
        <f t="shared" si="197"/>
        <v>0.68743434410325377</v>
      </c>
      <c r="X1592" s="49"/>
      <c r="Y1592" s="49"/>
      <c r="Z1592" s="49"/>
      <c r="AE1592" s="45">
        <v>26.8</v>
      </c>
      <c r="AF1592" s="45">
        <f t="shared" si="198"/>
        <v>20.399999999999999</v>
      </c>
      <c r="AK1592" s="45" t="s">
        <v>185</v>
      </c>
      <c r="AL1592" s="45">
        <v>781</v>
      </c>
      <c r="AO1592" s="45">
        <v>0.77</v>
      </c>
      <c r="AS1592" s="45">
        <v>0.09</v>
      </c>
      <c r="AU1592" s="45">
        <v>0.77</v>
      </c>
    </row>
    <row r="1593" spans="1:47" s="45" customFormat="1" ht="12.75" hidden="1" customHeight="1">
      <c r="A1593" s="22" t="s">
        <v>126</v>
      </c>
      <c r="B1593" s="63" t="s">
        <v>129</v>
      </c>
      <c r="C1593" s="24" t="s">
        <v>130</v>
      </c>
      <c r="O1593" s="94">
        <v>3.1417632302757901</v>
      </c>
      <c r="R1593" s="94">
        <v>2.06160725861143</v>
      </c>
      <c r="U1593" s="94">
        <v>3.1417632302757901</v>
      </c>
      <c r="V1593" s="94">
        <v>2.06160725861143</v>
      </c>
      <c r="W1593" s="49">
        <f t="shared" si="197"/>
        <v>0.96904706116749295</v>
      </c>
      <c r="X1593" s="49"/>
      <c r="Y1593" s="49"/>
      <c r="Z1593" s="49"/>
      <c r="AE1593" s="45">
        <v>26.8</v>
      </c>
      <c r="AF1593" s="45">
        <f t="shared" si="198"/>
        <v>26.8</v>
      </c>
      <c r="AK1593" s="45" t="s">
        <v>185</v>
      </c>
      <c r="AL1593" s="45">
        <v>781</v>
      </c>
      <c r="AO1593" s="45">
        <v>0.77</v>
      </c>
      <c r="AS1593" s="45">
        <v>0.09</v>
      </c>
      <c r="AU1593" s="45">
        <v>0.77</v>
      </c>
    </row>
    <row r="1594" spans="1:47" s="45" customFormat="1" ht="12.75" hidden="1" customHeight="1">
      <c r="A1594" s="22" t="s">
        <v>126</v>
      </c>
      <c r="B1594" s="63" t="s">
        <v>129</v>
      </c>
      <c r="C1594" s="24" t="s">
        <v>130</v>
      </c>
      <c r="O1594" s="94">
        <v>3.3513323996263802</v>
      </c>
      <c r="R1594" s="94">
        <v>2.0850118429012201</v>
      </c>
      <c r="U1594" s="94">
        <v>3.3513323996263802</v>
      </c>
      <c r="V1594" s="94">
        <v>2.0850118429012201</v>
      </c>
      <c r="W1594" s="49">
        <f t="shared" si="197"/>
        <v>0.8839503065913944</v>
      </c>
      <c r="X1594" s="49"/>
      <c r="Y1594" s="49"/>
      <c r="Z1594" s="49"/>
      <c r="AE1594" s="45">
        <v>26.8</v>
      </c>
      <c r="AF1594" s="45">
        <f t="shared" si="198"/>
        <v>26.8</v>
      </c>
      <c r="AK1594" s="45" t="s">
        <v>185</v>
      </c>
      <c r="AL1594" s="45">
        <v>781</v>
      </c>
      <c r="AO1594" s="45">
        <v>0.77</v>
      </c>
      <c r="AS1594" s="45">
        <v>0.09</v>
      </c>
      <c r="AU1594" s="45">
        <v>0.77</v>
      </c>
    </row>
    <row r="1595" spans="1:47" s="45" customFormat="1" ht="12.75" hidden="1" customHeight="1">
      <c r="A1595" s="22" t="s">
        <v>126</v>
      </c>
      <c r="B1595" s="63" t="s">
        <v>129</v>
      </c>
      <c r="C1595" s="24" t="s">
        <v>130</v>
      </c>
      <c r="O1595" s="94">
        <v>3.3563892115442799</v>
      </c>
      <c r="R1595" s="48">
        <v>2.1226174274165999</v>
      </c>
      <c r="U1595" s="94">
        <v>3.3563892115442799</v>
      </c>
      <c r="V1595" s="48">
        <v>2.1226174274165999</v>
      </c>
      <c r="W1595" s="49">
        <f t="shared" si="197"/>
        <v>0.84656369995518954</v>
      </c>
      <c r="X1595" s="49"/>
      <c r="Y1595" s="49"/>
      <c r="Z1595" s="49"/>
      <c r="AE1595" s="45">
        <v>26.8</v>
      </c>
      <c r="AF1595" s="45">
        <f t="shared" si="198"/>
        <v>26.8</v>
      </c>
      <c r="AK1595" s="45" t="s">
        <v>185</v>
      </c>
      <c r="AL1595" s="45">
        <v>781</v>
      </c>
      <c r="AO1595" s="45">
        <v>0.77</v>
      </c>
      <c r="AS1595" s="45">
        <v>0.09</v>
      </c>
      <c r="AU1595" s="45">
        <v>0.77</v>
      </c>
    </row>
    <row r="1596" spans="1:47" s="45" customFormat="1" ht="12.75" hidden="1" customHeight="1">
      <c r="A1596" s="22" t="s">
        <v>126</v>
      </c>
      <c r="B1596" s="63" t="s">
        <v>129</v>
      </c>
      <c r="C1596" s="24" t="s">
        <v>130</v>
      </c>
      <c r="O1596" s="94">
        <v>3.3444905192418899</v>
      </c>
      <c r="R1596" s="48">
        <v>2.1813693293973802</v>
      </c>
      <c r="U1596" s="94">
        <v>3.3444905192418899</v>
      </c>
      <c r="V1596" s="48">
        <v>2.1813693293973802</v>
      </c>
      <c r="W1596" s="49">
        <f t="shared" si="197"/>
        <v>0.79408421170811949</v>
      </c>
      <c r="X1596" s="49"/>
      <c r="Y1596" s="49"/>
      <c r="Z1596" s="49"/>
      <c r="AE1596" s="45">
        <v>26.8</v>
      </c>
      <c r="AF1596" s="45">
        <f t="shared" si="198"/>
        <v>26.8</v>
      </c>
      <c r="AK1596" s="45" t="s">
        <v>185</v>
      </c>
      <c r="AL1596" s="45">
        <v>781</v>
      </c>
      <c r="AO1596" s="45">
        <v>0.77</v>
      </c>
      <c r="AS1596" s="45">
        <v>0.09</v>
      </c>
      <c r="AU1596" s="45">
        <v>0.77</v>
      </c>
    </row>
    <row r="1597" spans="1:47" s="45" customFormat="1" ht="12.75" hidden="1" customHeight="1">
      <c r="A1597" s="22" t="s">
        <v>126</v>
      </c>
      <c r="B1597" s="63" t="s">
        <v>129</v>
      </c>
      <c r="C1597" s="24" t="s">
        <v>130</v>
      </c>
      <c r="O1597" s="94">
        <v>3.2241185111063801</v>
      </c>
      <c r="R1597" s="48">
        <v>2.08910305697353</v>
      </c>
      <c r="U1597" s="94">
        <v>3.2241185111063801</v>
      </c>
      <c r="V1597" s="48">
        <v>2.08910305697353</v>
      </c>
      <c r="W1597" s="49">
        <f t="shared" si="197"/>
        <v>0.91815138656121564</v>
      </c>
      <c r="X1597" s="49"/>
      <c r="Y1597" s="49"/>
      <c r="Z1597" s="49"/>
      <c r="AE1597" s="45">
        <v>26.8</v>
      </c>
      <c r="AF1597" s="45">
        <f t="shared" si="198"/>
        <v>26.8</v>
      </c>
      <c r="AK1597" s="45" t="s">
        <v>185</v>
      </c>
      <c r="AL1597" s="45">
        <f>(581+673)/2</f>
        <v>627</v>
      </c>
      <c r="AO1597" s="45">
        <v>0.83</v>
      </c>
      <c r="AS1597" s="45">
        <v>7.0000000000000007E-2</v>
      </c>
      <c r="AU1597" s="45">
        <v>0.69</v>
      </c>
    </row>
    <row r="1598" spans="1:47" s="45" customFormat="1" ht="12.75" hidden="1" customHeight="1">
      <c r="A1598" s="22" t="s">
        <v>126</v>
      </c>
      <c r="B1598" s="63" t="s">
        <v>129</v>
      </c>
      <c r="C1598" s="24" t="s">
        <v>130</v>
      </c>
      <c r="O1598" s="94">
        <v>3.3563892115442799</v>
      </c>
      <c r="R1598" s="48">
        <v>2.1226174274165999</v>
      </c>
      <c r="U1598" s="94">
        <v>3.3563892115442799</v>
      </c>
      <c r="V1598" s="48">
        <v>2.1226174274165999</v>
      </c>
      <c r="W1598" s="49">
        <f t="shared" si="197"/>
        <v>0.84656369995518954</v>
      </c>
      <c r="X1598" s="49"/>
      <c r="Y1598" s="49"/>
      <c r="Z1598" s="49"/>
      <c r="AE1598" s="45">
        <v>26.8</v>
      </c>
      <c r="AF1598" s="45">
        <f t="shared" si="198"/>
        <v>26.8</v>
      </c>
      <c r="AK1598" s="45" t="s">
        <v>185</v>
      </c>
      <c r="AL1598" s="45">
        <f t="shared" ref="AL1598:AL1600" si="199">(581+673)/2</f>
        <v>627</v>
      </c>
      <c r="AO1598" s="45">
        <v>0.83</v>
      </c>
      <c r="AS1598" s="45">
        <v>7.0000000000000007E-2</v>
      </c>
      <c r="AU1598" s="45">
        <v>0.69</v>
      </c>
    </row>
    <row r="1599" spans="1:47" s="45" customFormat="1" ht="12.75" hidden="1" customHeight="1">
      <c r="A1599" s="22" t="s">
        <v>126</v>
      </c>
      <c r="B1599" s="63" t="s">
        <v>129</v>
      </c>
      <c r="C1599" s="24" t="s">
        <v>130</v>
      </c>
      <c r="O1599" s="94">
        <v>3.3444905192418899</v>
      </c>
      <c r="R1599" s="48">
        <v>2.1813693293973802</v>
      </c>
      <c r="U1599" s="94">
        <v>3.3444905192418899</v>
      </c>
      <c r="V1599" s="48">
        <v>2.1813693293973802</v>
      </c>
      <c r="W1599" s="49">
        <f t="shared" si="197"/>
        <v>0.79408421170811949</v>
      </c>
      <c r="X1599" s="49"/>
      <c r="Y1599" s="49"/>
      <c r="Z1599" s="49"/>
      <c r="AE1599" s="45">
        <v>26.8</v>
      </c>
      <c r="AF1599" s="45">
        <f t="shared" si="198"/>
        <v>26.8</v>
      </c>
      <c r="AK1599" s="45" t="s">
        <v>185</v>
      </c>
      <c r="AL1599" s="45">
        <f t="shared" si="199"/>
        <v>627</v>
      </c>
      <c r="AO1599" s="45">
        <v>0.83</v>
      </c>
      <c r="AS1599" s="45">
        <v>7.0000000000000007E-2</v>
      </c>
      <c r="AU1599" s="45">
        <v>0.69</v>
      </c>
    </row>
    <row r="1600" spans="1:47" s="45" customFormat="1" ht="12.75" hidden="1" customHeight="1">
      <c r="A1600" s="22" t="s">
        <v>126</v>
      </c>
      <c r="B1600" s="63" t="s">
        <v>129</v>
      </c>
      <c r="C1600" s="24" t="s">
        <v>130</v>
      </c>
      <c r="O1600" s="94">
        <v>3.2241185111063801</v>
      </c>
      <c r="R1600" s="48">
        <v>2.08910305697353</v>
      </c>
      <c r="U1600" s="94">
        <v>3.2241185111063801</v>
      </c>
      <c r="V1600" s="48">
        <v>2.08910305697353</v>
      </c>
      <c r="W1600" s="49">
        <f t="shared" si="197"/>
        <v>0.91815138656121564</v>
      </c>
      <c r="X1600" s="49"/>
      <c r="Y1600" s="49"/>
      <c r="Z1600" s="49"/>
      <c r="AE1600" s="45">
        <v>26.8</v>
      </c>
      <c r="AF1600" s="45">
        <f t="shared" si="198"/>
        <v>26.8</v>
      </c>
      <c r="AK1600" s="45" t="s">
        <v>185</v>
      </c>
      <c r="AL1600" s="45">
        <f t="shared" si="199"/>
        <v>627</v>
      </c>
      <c r="AO1600" s="45">
        <v>0.83</v>
      </c>
      <c r="AS1600" s="45">
        <v>7.0000000000000007E-2</v>
      </c>
      <c r="AU1600" s="45">
        <v>0.69</v>
      </c>
    </row>
    <row r="1601" spans="1:47" s="45" customFormat="1" ht="12.75" hidden="1" customHeight="1">
      <c r="A1601" s="22" t="s">
        <v>126</v>
      </c>
      <c r="B1601" s="63" t="s">
        <v>129</v>
      </c>
      <c r="C1601" s="24" t="s">
        <v>130</v>
      </c>
      <c r="O1601" s="94">
        <v>3.3304949423022201</v>
      </c>
      <c r="R1601" s="48">
        <v>1.84699867535369</v>
      </c>
      <c r="U1601" s="94">
        <v>3.3304949423022201</v>
      </c>
      <c r="V1601" s="48">
        <v>1.84699867535369</v>
      </c>
      <c r="W1601" s="49">
        <f t="shared" si="197"/>
        <v>1.1172323981850196</v>
      </c>
      <c r="X1601" s="49"/>
      <c r="Y1601" s="49"/>
      <c r="Z1601" s="49"/>
      <c r="AE1601" s="45">
        <v>14.3</v>
      </c>
      <c r="AF1601" s="45">
        <f t="shared" si="198"/>
        <v>20.55</v>
      </c>
      <c r="AK1601" s="45" t="s">
        <v>185</v>
      </c>
      <c r="AL1601" s="45">
        <v>597</v>
      </c>
      <c r="AO1601" s="45">
        <v>4.71</v>
      </c>
      <c r="AS1601" s="45">
        <v>2.77</v>
      </c>
      <c r="AU1601" s="45">
        <v>0.94</v>
      </c>
    </row>
    <row r="1602" spans="1:47" s="45" customFormat="1" ht="12.75" hidden="1" customHeight="1">
      <c r="A1602" s="22" t="s">
        <v>126</v>
      </c>
      <c r="B1602" s="63" t="s">
        <v>129</v>
      </c>
      <c r="C1602" s="24" t="s">
        <v>130</v>
      </c>
      <c r="O1602" s="94">
        <v>3.3392924027687698</v>
      </c>
      <c r="R1602" s="48">
        <v>1.6865265138102099</v>
      </c>
      <c r="U1602" s="94">
        <v>3.3392924027687698</v>
      </c>
      <c r="V1602" s="48">
        <v>1.6865265138102099</v>
      </c>
      <c r="W1602" s="49">
        <f t="shared" si="197"/>
        <v>1.267671737254086</v>
      </c>
      <c r="X1602" s="49"/>
      <c r="Y1602" s="49"/>
      <c r="Z1602" s="49"/>
      <c r="AE1602" s="45">
        <v>14.3</v>
      </c>
      <c r="AF1602" s="45">
        <f t="shared" si="198"/>
        <v>14.3</v>
      </c>
      <c r="AK1602" s="45" t="s">
        <v>185</v>
      </c>
      <c r="AL1602" s="45">
        <v>597</v>
      </c>
      <c r="AO1602" s="45">
        <v>4.71</v>
      </c>
      <c r="AS1602" s="45">
        <v>2.77</v>
      </c>
      <c r="AU1602" s="45">
        <v>0.94</v>
      </c>
    </row>
    <row r="1603" spans="1:47" s="45" customFormat="1" ht="12.75" hidden="1" customHeight="1">
      <c r="A1603" s="22" t="s">
        <v>126</v>
      </c>
      <c r="B1603" s="63" t="s">
        <v>129</v>
      </c>
      <c r="C1603" s="24" t="s">
        <v>130</v>
      </c>
      <c r="O1603" s="94">
        <v>3.3427778673872499</v>
      </c>
      <c r="R1603" s="48">
        <v>1.60509702805345</v>
      </c>
      <c r="U1603" s="94">
        <v>3.3427778673872499</v>
      </c>
      <c r="V1603" s="48">
        <v>1.60509702805345</v>
      </c>
      <c r="W1603" s="49">
        <f t="shared" si="197"/>
        <v>1.3443033413217949</v>
      </c>
      <c r="X1603" s="49"/>
      <c r="Y1603" s="49"/>
      <c r="Z1603" s="49"/>
      <c r="AE1603" s="45">
        <v>14.3</v>
      </c>
      <c r="AF1603" s="45">
        <f t="shared" si="198"/>
        <v>14.3</v>
      </c>
      <c r="AK1603" s="45" t="s">
        <v>185</v>
      </c>
      <c r="AL1603" s="45">
        <v>597</v>
      </c>
      <c r="AO1603" s="45">
        <v>4.71</v>
      </c>
      <c r="AS1603" s="45">
        <v>2.77</v>
      </c>
      <c r="AU1603" s="45">
        <v>0.94</v>
      </c>
    </row>
    <row r="1604" spans="1:47" s="45" customFormat="1" ht="12.75" hidden="1" customHeight="1">
      <c r="A1604" s="22" t="s">
        <v>126</v>
      </c>
      <c r="B1604" s="63" t="s">
        <v>129</v>
      </c>
      <c r="C1604" s="24" t="s">
        <v>130</v>
      </c>
      <c r="O1604" s="94">
        <v>3.40096947922566</v>
      </c>
      <c r="R1604" s="48">
        <v>1.8358573832793399</v>
      </c>
      <c r="U1604" s="94">
        <v>3.40096947922566</v>
      </c>
      <c r="V1604" s="48">
        <v>1.8358573832793399</v>
      </c>
      <c r="W1604" s="49">
        <f t="shared" si="197"/>
        <v>1.1067512192125639</v>
      </c>
      <c r="X1604" s="49"/>
      <c r="Y1604" s="49"/>
      <c r="Z1604" s="49"/>
      <c r="AE1604" s="45">
        <v>14.5</v>
      </c>
      <c r="AF1604" s="45">
        <f t="shared" si="198"/>
        <v>14.4</v>
      </c>
      <c r="AK1604" s="45" t="s">
        <v>185</v>
      </c>
      <c r="AL1604" s="45">
        <v>750</v>
      </c>
      <c r="AO1604" s="45">
        <v>3.87</v>
      </c>
      <c r="AS1604" s="45">
        <v>2.62</v>
      </c>
      <c r="AU1604" s="45">
        <v>0.94</v>
      </c>
    </row>
    <row r="1605" spans="1:47" s="45" customFormat="1" ht="12.75" hidden="1" customHeight="1">
      <c r="A1605" s="22" t="s">
        <v>126</v>
      </c>
      <c r="B1605" s="63" t="s">
        <v>129</v>
      </c>
      <c r="C1605" s="24" t="s">
        <v>130</v>
      </c>
      <c r="O1605" s="94">
        <v>3.4024849220737599</v>
      </c>
      <c r="R1605" s="48">
        <v>1.78118828710913</v>
      </c>
      <c r="U1605" s="94">
        <v>3.4024849220737599</v>
      </c>
      <c r="V1605" s="48">
        <v>1.78118828710913</v>
      </c>
      <c r="W1605" s="49">
        <f t="shared" si="197"/>
        <v>1.1584461576364269</v>
      </c>
      <c r="X1605" s="49"/>
      <c r="Y1605" s="49"/>
      <c r="Z1605" s="49"/>
      <c r="AE1605" s="45">
        <v>14.5</v>
      </c>
      <c r="AF1605" s="45">
        <f t="shared" si="198"/>
        <v>14.5</v>
      </c>
      <c r="AK1605" s="45" t="s">
        <v>185</v>
      </c>
      <c r="AL1605" s="45">
        <v>750</v>
      </c>
      <c r="AO1605" s="45">
        <v>3.87</v>
      </c>
      <c r="AS1605" s="45">
        <v>2.62</v>
      </c>
      <c r="AU1605" s="45">
        <v>0.94</v>
      </c>
    </row>
    <row r="1606" spans="1:47" s="45" customFormat="1" ht="12.75" hidden="1" customHeight="1">
      <c r="A1606" s="22" t="s">
        <v>126</v>
      </c>
      <c r="B1606" s="63" t="s">
        <v>129</v>
      </c>
      <c r="C1606" s="24" t="s">
        <v>130</v>
      </c>
      <c r="O1606" s="94">
        <v>3.2874882084012902</v>
      </c>
      <c r="R1606" s="48">
        <v>1.56686114879746</v>
      </c>
      <c r="U1606" s="94">
        <v>3.2874882084012902</v>
      </c>
      <c r="V1606" s="48">
        <v>1.56686114879746</v>
      </c>
      <c r="W1606" s="49">
        <f t="shared" si="197"/>
        <v>1.39733715953599</v>
      </c>
      <c r="X1606" s="49"/>
      <c r="Y1606" s="49"/>
      <c r="Z1606" s="49"/>
      <c r="AE1606" s="45">
        <v>14.5</v>
      </c>
      <c r="AF1606" s="45">
        <f t="shared" si="198"/>
        <v>14.5</v>
      </c>
      <c r="AK1606" s="45" t="s">
        <v>185</v>
      </c>
      <c r="AL1606" s="45">
        <v>750</v>
      </c>
      <c r="AO1606" s="45">
        <v>3.87</v>
      </c>
      <c r="AS1606" s="45">
        <v>2.62</v>
      </c>
      <c r="AU1606" s="45">
        <v>0.94</v>
      </c>
    </row>
    <row r="1607" spans="1:47" s="45" customFormat="1" ht="12.75" hidden="1" customHeight="1">
      <c r="A1607" s="22" t="s">
        <v>126</v>
      </c>
      <c r="B1607" s="63" t="s">
        <v>129</v>
      </c>
      <c r="C1607" s="24" t="s">
        <v>130</v>
      </c>
      <c r="O1607" s="94">
        <v>3.0603664443192899</v>
      </c>
      <c r="R1607" s="48">
        <v>1.4989148317247201</v>
      </c>
      <c r="U1607" s="94">
        <v>3.0603664443192899</v>
      </c>
      <c r="V1607" s="48">
        <v>1.4989148317247201</v>
      </c>
      <c r="W1607" s="49">
        <f t="shared" si="197"/>
        <v>1.5301797069296321</v>
      </c>
      <c r="X1607" s="49"/>
      <c r="Y1607" s="49"/>
      <c r="Z1607" s="49"/>
      <c r="AE1607" s="45">
        <v>9</v>
      </c>
      <c r="AF1607" s="45">
        <f t="shared" si="198"/>
        <v>11.75</v>
      </c>
      <c r="AK1607" s="45">
        <v>2399</v>
      </c>
      <c r="AL1607" s="45">
        <v>1036</v>
      </c>
      <c r="AO1607" s="45">
        <v>0.6</v>
      </c>
      <c r="AS1607" s="45">
        <v>0.24</v>
      </c>
      <c r="AU1607" s="45">
        <v>0.06</v>
      </c>
    </row>
    <row r="1608" spans="1:47" s="45" customFormat="1" ht="12.75" hidden="1" customHeight="1">
      <c r="A1608" s="22" t="s">
        <v>126</v>
      </c>
      <c r="B1608" s="63" t="s">
        <v>129</v>
      </c>
      <c r="C1608" s="24" t="s">
        <v>130</v>
      </c>
      <c r="O1608" s="94">
        <v>2.9343212243560202</v>
      </c>
      <c r="R1608" s="48">
        <v>1.43711052342067</v>
      </c>
      <c r="U1608" s="94">
        <v>2.9343212243560202</v>
      </c>
      <c r="V1608" s="48">
        <v>1.43711052342067</v>
      </c>
      <c r="W1608" s="49">
        <f t="shared" si="197"/>
        <v>1.6268884807122759</v>
      </c>
      <c r="X1608" s="49"/>
      <c r="Y1608" s="49"/>
      <c r="Z1608" s="49"/>
      <c r="AE1608" s="45">
        <v>9</v>
      </c>
      <c r="AF1608" s="45">
        <f t="shared" si="198"/>
        <v>9</v>
      </c>
      <c r="AK1608" s="45">
        <v>2399</v>
      </c>
      <c r="AL1608" s="45">
        <v>1036</v>
      </c>
      <c r="AO1608" s="45">
        <v>0.6</v>
      </c>
      <c r="AS1608" s="45">
        <v>0.24</v>
      </c>
      <c r="AU1608" s="45">
        <v>0.06</v>
      </c>
    </row>
    <row r="1609" spans="1:47" s="45" customFormat="1" ht="12.75" hidden="1" customHeight="1">
      <c r="A1609" s="22" t="s">
        <v>126</v>
      </c>
      <c r="B1609" s="63" t="s">
        <v>129</v>
      </c>
      <c r="C1609" s="24" t="s">
        <v>130</v>
      </c>
      <c r="O1609" s="94">
        <v>3.1220720959567001</v>
      </c>
      <c r="R1609" s="48">
        <v>1.51433799922375</v>
      </c>
      <c r="U1609" s="94">
        <v>3.1220720959567001</v>
      </c>
      <c r="V1609" s="48">
        <v>1.51433799922375</v>
      </c>
      <c r="W1609" s="49">
        <f t="shared" si="197"/>
        <v>1.4969851868278725</v>
      </c>
      <c r="X1609" s="49"/>
      <c r="Y1609" s="49"/>
      <c r="Z1609" s="49"/>
      <c r="AE1609" s="45">
        <v>9</v>
      </c>
      <c r="AF1609" s="45">
        <f t="shared" si="198"/>
        <v>9</v>
      </c>
      <c r="AK1609" s="45">
        <v>2399</v>
      </c>
      <c r="AL1609" s="45">
        <v>1036</v>
      </c>
      <c r="AO1609" s="45">
        <v>0.6</v>
      </c>
      <c r="AS1609" s="45">
        <v>0.24</v>
      </c>
      <c r="AU1609" s="45">
        <v>0.06</v>
      </c>
    </row>
    <row r="1610" spans="1:47" s="45" customFormat="1" ht="12.75" hidden="1" customHeight="1">
      <c r="A1610" s="22" t="s">
        <v>126</v>
      </c>
      <c r="B1610" s="63" t="s">
        <v>129</v>
      </c>
      <c r="C1610" s="24" t="s">
        <v>130</v>
      </c>
      <c r="O1610" s="94">
        <v>3.0734289171585298</v>
      </c>
      <c r="R1610" s="48">
        <v>1.55481845667087</v>
      </c>
      <c r="U1610" s="94">
        <v>3.0734289171585298</v>
      </c>
      <c r="V1610" s="48">
        <v>1.55481845667087</v>
      </c>
      <c r="W1610" s="49">
        <f t="shared" si="197"/>
        <v>1.4729407071413154</v>
      </c>
      <c r="X1610" s="49"/>
      <c r="Y1610" s="49"/>
      <c r="Z1610" s="49"/>
      <c r="AE1610" s="45">
        <v>9.6</v>
      </c>
      <c r="AF1610" s="45">
        <f t="shared" si="198"/>
        <v>9.3000000000000007</v>
      </c>
      <c r="AK1610" s="45">
        <v>2353</v>
      </c>
      <c r="AL1610" s="45">
        <v>984</v>
      </c>
      <c r="AO1610" s="45">
        <v>0.36</v>
      </c>
      <c r="AS1610" s="45">
        <v>0.23</v>
      </c>
      <c r="AU1610" s="45">
        <v>0.1</v>
      </c>
    </row>
    <row r="1611" spans="1:47" s="45" customFormat="1" ht="12.75" hidden="1" customHeight="1">
      <c r="A1611" s="22" t="s">
        <v>126</v>
      </c>
      <c r="B1611" s="63" t="s">
        <v>129</v>
      </c>
      <c r="C1611" s="24" t="s">
        <v>130</v>
      </c>
      <c r="O1611" s="94">
        <v>2.8924851553084401</v>
      </c>
      <c r="R1611" s="48">
        <v>1.13482554202638</v>
      </c>
      <c r="U1611" s="94">
        <v>2.8924851553084401</v>
      </c>
      <c r="V1611" s="48">
        <v>1.13482554202638</v>
      </c>
      <c r="W1611" s="49">
        <f t="shared" si="197"/>
        <v>1.9277690563113377</v>
      </c>
      <c r="X1611" s="49"/>
      <c r="Y1611" s="49"/>
      <c r="Z1611" s="49"/>
      <c r="AE1611" s="45">
        <v>9.6</v>
      </c>
      <c r="AF1611" s="45">
        <f t="shared" si="198"/>
        <v>9.6</v>
      </c>
      <c r="AK1611" s="45">
        <v>2353</v>
      </c>
      <c r="AL1611" s="45">
        <v>984</v>
      </c>
      <c r="AO1611" s="45">
        <v>0.36</v>
      </c>
      <c r="AS1611" s="45">
        <v>0.23</v>
      </c>
      <c r="AU1611" s="45">
        <v>0.1</v>
      </c>
    </row>
    <row r="1612" spans="1:47" s="45" customFormat="1" ht="12.75" hidden="1" customHeight="1">
      <c r="A1612" s="22" t="s">
        <v>126</v>
      </c>
      <c r="B1612" s="63" t="s">
        <v>129</v>
      </c>
      <c r="C1612" s="24" t="s">
        <v>130</v>
      </c>
      <c r="O1612" s="94">
        <v>3.0294549793382801</v>
      </c>
      <c r="R1612" s="48">
        <v>1.2700451428295301</v>
      </c>
      <c r="U1612" s="94">
        <v>3.0294549793382801</v>
      </c>
      <c r="V1612" s="48">
        <v>1.2700451428295301</v>
      </c>
      <c r="W1612" s="49">
        <f t="shared" si="197"/>
        <v>1.7577572473506045</v>
      </c>
      <c r="X1612" s="49"/>
      <c r="Y1612" s="49"/>
      <c r="Z1612" s="49"/>
      <c r="AE1612" s="45">
        <v>9.6</v>
      </c>
      <c r="AF1612" s="45">
        <f t="shared" si="198"/>
        <v>9.6</v>
      </c>
      <c r="AK1612" s="45">
        <v>2353</v>
      </c>
      <c r="AL1612" s="45">
        <v>984</v>
      </c>
      <c r="AO1612" s="45">
        <v>0.36</v>
      </c>
      <c r="AS1612" s="45">
        <v>0.23</v>
      </c>
      <c r="AU1612" s="45">
        <v>0.1</v>
      </c>
    </row>
    <row r="1613" spans="1:47" s="45" customFormat="1" ht="12.75" hidden="1" customHeight="1">
      <c r="A1613" s="22" t="s">
        <v>126</v>
      </c>
      <c r="B1613" s="63" t="s">
        <v>129</v>
      </c>
      <c r="C1613" s="24" t="s">
        <v>130</v>
      </c>
      <c r="O1613" s="94">
        <v>3.31416301093526</v>
      </c>
      <c r="R1613" s="48">
        <v>1.55705318952074</v>
      </c>
      <c r="U1613" s="94">
        <v>3.31416301093526</v>
      </c>
      <c r="V1613" s="48">
        <v>1.55705318952074</v>
      </c>
      <c r="W1613" s="49">
        <f t="shared" si="197"/>
        <v>1.3987032123309866</v>
      </c>
      <c r="X1613" s="49"/>
      <c r="Y1613" s="49"/>
      <c r="Z1613" s="49"/>
      <c r="AE1613" s="45">
        <v>17.3</v>
      </c>
      <c r="AF1613" s="45">
        <f t="shared" si="198"/>
        <v>13.45</v>
      </c>
      <c r="AK1613" s="45">
        <v>2613</v>
      </c>
      <c r="AL1613" s="45">
        <v>1453</v>
      </c>
      <c r="AO1613" s="45">
        <v>0.56999999999999995</v>
      </c>
      <c r="AS1613" s="45">
        <v>0.14000000000000001</v>
      </c>
      <c r="AU1613" s="45">
        <v>0.15</v>
      </c>
    </row>
    <row r="1614" spans="1:47" s="45" customFormat="1" ht="12.75" hidden="1" customHeight="1">
      <c r="A1614" s="22" t="s">
        <v>126</v>
      </c>
      <c r="B1614" s="63" t="s">
        <v>129</v>
      </c>
      <c r="C1614" s="24" t="s">
        <v>130</v>
      </c>
      <c r="O1614" s="94">
        <v>3.3597356560018099</v>
      </c>
      <c r="R1614" s="48">
        <v>1.57908126046436</v>
      </c>
      <c r="U1614" s="94">
        <v>3.3597356560018099</v>
      </c>
      <c r="V1614" s="48">
        <v>1.57908126046436</v>
      </c>
      <c r="W1614" s="49">
        <f t="shared" si="197"/>
        <v>1.3640405071733672</v>
      </c>
      <c r="X1614" s="49"/>
      <c r="Y1614" s="49"/>
      <c r="Z1614" s="49"/>
      <c r="AE1614" s="45">
        <v>17.3</v>
      </c>
      <c r="AF1614" s="45">
        <f t="shared" si="198"/>
        <v>17.3</v>
      </c>
      <c r="AK1614" s="45">
        <v>2613</v>
      </c>
      <c r="AL1614" s="45">
        <v>1453</v>
      </c>
      <c r="AO1614" s="45">
        <v>0.56999999999999995</v>
      </c>
      <c r="AS1614" s="45">
        <v>0.14000000000000001</v>
      </c>
      <c r="AU1614" s="45">
        <v>0.15</v>
      </c>
    </row>
    <row r="1615" spans="1:47" s="45" customFormat="1" ht="12.75" hidden="1" customHeight="1">
      <c r="A1615" s="22" t="s">
        <v>126</v>
      </c>
      <c r="B1615" s="63" t="s">
        <v>129</v>
      </c>
      <c r="C1615" s="24" t="s">
        <v>130</v>
      </c>
      <c r="O1615" s="94">
        <v>3.2375613748251202</v>
      </c>
      <c r="R1615" s="48">
        <v>1.3159335361606399</v>
      </c>
      <c r="U1615" s="94">
        <v>3.2375613748251202</v>
      </c>
      <c r="V1615" s="48">
        <v>1.3159335361606399</v>
      </c>
      <c r="W1615" s="49">
        <f t="shared" si="197"/>
        <v>1.6516513240864215</v>
      </c>
      <c r="X1615" s="49"/>
      <c r="Y1615" s="49"/>
      <c r="Z1615" s="49"/>
      <c r="AE1615" s="45">
        <v>17.3</v>
      </c>
      <c r="AF1615" s="45">
        <f t="shared" si="198"/>
        <v>17.3</v>
      </c>
      <c r="AK1615" s="45">
        <v>2613</v>
      </c>
      <c r="AL1615" s="45">
        <v>1453</v>
      </c>
      <c r="AO1615" s="45">
        <v>0.56999999999999995</v>
      </c>
      <c r="AS1615" s="45">
        <v>0.14000000000000001</v>
      </c>
      <c r="AU1615" s="45">
        <v>0.15</v>
      </c>
    </row>
    <row r="1616" spans="1:47" s="45" customFormat="1" ht="12.75" hidden="1" customHeight="1">
      <c r="A1616" s="22" t="s">
        <v>126</v>
      </c>
      <c r="B1616" s="63" t="s">
        <v>129</v>
      </c>
      <c r="C1616" s="24" t="s">
        <v>130</v>
      </c>
      <c r="O1616" s="94">
        <v>3.21725299792721</v>
      </c>
      <c r="R1616" s="48">
        <v>1.28817467497839</v>
      </c>
      <c r="U1616" s="94">
        <v>3.21725299792721</v>
      </c>
      <c r="V1616" s="48">
        <v>1.28817467497839</v>
      </c>
      <c r="W1616" s="49">
        <f t="shared" si="197"/>
        <v>1.6842133602351654</v>
      </c>
      <c r="X1616" s="49"/>
      <c r="Y1616" s="49"/>
      <c r="Z1616" s="49"/>
      <c r="AE1616" s="45">
        <v>17.3</v>
      </c>
      <c r="AF1616" s="45">
        <f t="shared" si="198"/>
        <v>17.3</v>
      </c>
      <c r="AK1616" s="45">
        <v>2635</v>
      </c>
      <c r="AL1616" s="45">
        <f>1382</f>
        <v>1382</v>
      </c>
      <c r="AO1616" s="45">
        <v>0.39</v>
      </c>
      <c r="AS1616" s="45">
        <v>0.14000000000000001</v>
      </c>
      <c r="AU1616" s="45">
        <v>0.16</v>
      </c>
    </row>
    <row r="1617" spans="1:47" s="45" customFormat="1" ht="12.75" hidden="1" customHeight="1">
      <c r="A1617" s="22" t="s">
        <v>126</v>
      </c>
      <c r="B1617" s="63" t="s">
        <v>129</v>
      </c>
      <c r="C1617" s="24" t="s">
        <v>130</v>
      </c>
      <c r="O1617" s="94">
        <v>3.3178434946736299</v>
      </c>
      <c r="R1617" s="48">
        <v>1.43029010605492</v>
      </c>
      <c r="U1617" s="94">
        <v>3.3178434946736299</v>
      </c>
      <c r="V1617" s="48">
        <v>1.43029010605492</v>
      </c>
      <c r="W1617" s="49">
        <f t="shared" si="197"/>
        <v>1.5185201222294906</v>
      </c>
      <c r="X1617" s="49"/>
      <c r="Y1617" s="49"/>
      <c r="Z1617" s="49"/>
      <c r="AE1617" s="45">
        <v>17.3</v>
      </c>
      <c r="AF1617" s="45">
        <f t="shared" si="198"/>
        <v>17.3</v>
      </c>
      <c r="AK1617" s="45">
        <v>2635</v>
      </c>
      <c r="AL1617" s="45">
        <f>1382</f>
        <v>1382</v>
      </c>
      <c r="AO1617" s="45">
        <v>0.39</v>
      </c>
      <c r="AS1617" s="45">
        <v>0.14000000000000001</v>
      </c>
      <c r="AU1617" s="45">
        <v>0.16</v>
      </c>
    </row>
    <row r="1618" spans="1:47" s="45" customFormat="1" ht="12.75" hidden="1" customHeight="1">
      <c r="A1618" s="22" t="s">
        <v>126</v>
      </c>
      <c r="B1618" s="63" t="s">
        <v>129</v>
      </c>
      <c r="C1618" s="24" t="s">
        <v>130</v>
      </c>
      <c r="O1618" s="94">
        <v>3.2286524576712998</v>
      </c>
      <c r="R1618" s="48">
        <v>1.41462155007236</v>
      </c>
      <c r="U1618" s="94">
        <v>3.2286524576712998</v>
      </c>
      <c r="V1618" s="48">
        <v>1.41462155007236</v>
      </c>
      <c r="W1618" s="49">
        <f t="shared" si="197"/>
        <v>1.5601812674629629</v>
      </c>
      <c r="X1618" s="49"/>
      <c r="Y1618" s="49"/>
      <c r="Z1618" s="49"/>
      <c r="AE1618" s="45">
        <v>17.3</v>
      </c>
      <c r="AF1618" s="45">
        <f t="shared" si="198"/>
        <v>17.3</v>
      </c>
      <c r="AK1618" s="45">
        <v>2635</v>
      </c>
      <c r="AL1618" s="45">
        <f>1382</f>
        <v>1382</v>
      </c>
      <c r="AO1618" s="45">
        <v>0.39</v>
      </c>
      <c r="AS1618" s="45">
        <v>0.14000000000000001</v>
      </c>
      <c r="AU1618" s="45">
        <v>0.16</v>
      </c>
    </row>
    <row r="1619" spans="1:47" s="45" customFormat="1" ht="12.75" hidden="1" customHeight="1">
      <c r="A1619" s="22" t="s">
        <v>126</v>
      </c>
      <c r="B1619" s="63" t="s">
        <v>129</v>
      </c>
      <c r="C1619" s="24" t="s">
        <v>130</v>
      </c>
      <c r="O1619" s="94">
        <v>3.21725299792721</v>
      </c>
      <c r="R1619" s="48">
        <v>1.28817467497839</v>
      </c>
      <c r="U1619" s="94">
        <v>3.21725299792721</v>
      </c>
      <c r="V1619" s="48">
        <v>1.28817467497839</v>
      </c>
      <c r="W1619" s="49">
        <f t="shared" si="197"/>
        <v>1.6842133602351654</v>
      </c>
      <c r="X1619" s="49"/>
      <c r="Y1619" s="49"/>
      <c r="Z1619" s="49"/>
      <c r="AE1619" s="45">
        <v>17.3</v>
      </c>
      <c r="AF1619" s="45">
        <f t="shared" si="198"/>
        <v>17.3</v>
      </c>
      <c r="AK1619" s="45">
        <v>784</v>
      </c>
      <c r="AL1619" s="45">
        <f>345</f>
        <v>345</v>
      </c>
      <c r="AO1619" s="45">
        <v>0.39</v>
      </c>
      <c r="AS1619" s="45">
        <v>0.14000000000000001</v>
      </c>
      <c r="AU1619" s="45">
        <v>0.16</v>
      </c>
    </row>
    <row r="1620" spans="1:47" s="45" customFormat="1" ht="12.75" hidden="1" customHeight="1">
      <c r="A1620" s="22" t="s">
        <v>126</v>
      </c>
      <c r="B1620" s="63" t="s">
        <v>129</v>
      </c>
      <c r="C1620" s="24" t="s">
        <v>130</v>
      </c>
      <c r="O1620" s="94">
        <v>3.3178434946736299</v>
      </c>
      <c r="R1620" s="48">
        <v>1.43029010605492</v>
      </c>
      <c r="U1620" s="94">
        <v>3.3178434946736299</v>
      </c>
      <c r="V1620" s="48">
        <v>1.43029010605492</v>
      </c>
      <c r="W1620" s="49">
        <f t="shared" si="197"/>
        <v>1.5185201222294906</v>
      </c>
      <c r="X1620" s="49"/>
      <c r="Y1620" s="49"/>
      <c r="Z1620" s="49"/>
      <c r="AE1620" s="45">
        <v>17.3</v>
      </c>
      <c r="AF1620" s="45">
        <f t="shared" si="198"/>
        <v>17.3</v>
      </c>
      <c r="AK1620" s="45">
        <v>784</v>
      </c>
      <c r="AL1620" s="45">
        <f>345</f>
        <v>345</v>
      </c>
      <c r="AO1620" s="45">
        <v>0.39</v>
      </c>
      <c r="AS1620" s="45">
        <v>0.14000000000000001</v>
      </c>
      <c r="AU1620" s="45">
        <v>0.16</v>
      </c>
    </row>
    <row r="1621" spans="1:47" s="45" customFormat="1" ht="12.75" hidden="1" customHeight="1">
      <c r="A1621" s="22" t="s">
        <v>126</v>
      </c>
      <c r="B1621" s="63" t="s">
        <v>129</v>
      </c>
      <c r="C1621" s="24" t="s">
        <v>130</v>
      </c>
      <c r="O1621" s="94">
        <v>3.2286524576712998</v>
      </c>
      <c r="R1621" s="48">
        <v>1.41462155007236</v>
      </c>
      <c r="U1621" s="94">
        <v>3.2286524576712998</v>
      </c>
      <c r="V1621" s="48">
        <v>1.41462155007236</v>
      </c>
      <c r="W1621" s="49">
        <f t="shared" si="197"/>
        <v>1.5601812674629629</v>
      </c>
      <c r="X1621" s="49"/>
      <c r="Y1621" s="49"/>
      <c r="Z1621" s="49"/>
      <c r="AE1621" s="45">
        <v>17.3</v>
      </c>
      <c r="AF1621" s="45">
        <f t="shared" si="198"/>
        <v>17.3</v>
      </c>
      <c r="AK1621" s="45">
        <v>784</v>
      </c>
      <c r="AL1621" s="45">
        <f>345</f>
        <v>345</v>
      </c>
      <c r="AO1621" s="45">
        <v>0.39</v>
      </c>
      <c r="AS1621" s="45">
        <v>0.14000000000000001</v>
      </c>
      <c r="AU1621" s="45">
        <v>0.16</v>
      </c>
    </row>
    <row r="1622" spans="1:47" s="45" customFormat="1" ht="12.75" hidden="1" customHeight="1">
      <c r="A1622" s="22" t="s">
        <v>126</v>
      </c>
      <c r="B1622" s="63" t="s">
        <v>129</v>
      </c>
      <c r="C1622" s="24" t="s">
        <v>130</v>
      </c>
      <c r="O1622" s="94">
        <v>3.08610994891762</v>
      </c>
      <c r="R1622" s="48">
        <v>1.5654128094973701</v>
      </c>
      <c r="U1622" s="94">
        <v>3.08610994891762</v>
      </c>
      <c r="V1622" s="48">
        <v>1.5654128094973701</v>
      </c>
      <c r="W1622" s="49">
        <f t="shared" si="197"/>
        <v>1.4590364730148884</v>
      </c>
      <c r="X1622" s="49"/>
      <c r="Y1622" s="49"/>
      <c r="Z1622" s="49"/>
      <c r="AE1622" s="45">
        <v>24.8</v>
      </c>
      <c r="AF1622" s="45">
        <f t="shared" si="198"/>
        <v>21.05</v>
      </c>
      <c r="AK1622" s="45">
        <v>2390</v>
      </c>
      <c r="AL1622" s="45">
        <v>928</v>
      </c>
      <c r="AO1622" s="45">
        <v>0.41</v>
      </c>
      <c r="AS1622" s="45">
        <v>0.12</v>
      </c>
      <c r="AU1622" s="45">
        <v>0.23</v>
      </c>
    </row>
    <row r="1623" spans="1:47" s="45" customFormat="1" ht="12.75" hidden="1" customHeight="1">
      <c r="A1623" s="22" t="s">
        <v>126</v>
      </c>
      <c r="B1623" s="63" t="s">
        <v>129</v>
      </c>
      <c r="C1623" s="24" t="s">
        <v>130</v>
      </c>
      <c r="O1623" s="94">
        <v>3.0570385009703598</v>
      </c>
      <c r="R1623" s="48">
        <v>1.52422525438243</v>
      </c>
      <c r="U1623" s="94">
        <v>3.0570385009703598</v>
      </c>
      <c r="V1623" s="48">
        <v>1.52422525438243</v>
      </c>
      <c r="W1623" s="49">
        <f t="shared" si="197"/>
        <v>1.5070328956568533</v>
      </c>
      <c r="X1623" s="49"/>
      <c r="Y1623" s="49"/>
      <c r="Z1623" s="49"/>
      <c r="AE1623" s="45">
        <v>24.8</v>
      </c>
      <c r="AF1623" s="45">
        <f t="shared" si="198"/>
        <v>24.8</v>
      </c>
      <c r="AK1623" s="45">
        <v>2390</v>
      </c>
      <c r="AL1623" s="45">
        <v>928</v>
      </c>
      <c r="AO1623" s="45">
        <v>0.41</v>
      </c>
      <c r="AS1623" s="45">
        <v>0.12</v>
      </c>
      <c r="AU1623" s="45">
        <v>0.23</v>
      </c>
    </row>
    <row r="1624" spans="1:47" s="45" customFormat="1" ht="12.75" hidden="1" customHeight="1">
      <c r="A1624" s="22" t="s">
        <v>126</v>
      </c>
      <c r="B1624" s="63" t="s">
        <v>129</v>
      </c>
      <c r="C1624" s="24" t="s">
        <v>130</v>
      </c>
      <c r="O1624" s="94">
        <v>3.0829742350647602</v>
      </c>
      <c r="R1624" s="48">
        <v>1.6051254000240101</v>
      </c>
      <c r="U1624" s="94">
        <v>3.0829742350647602</v>
      </c>
      <c r="V1624" s="48">
        <v>1.6051254000240101</v>
      </c>
      <c r="W1624" s="49">
        <f t="shared" si="197"/>
        <v>1.4220938563490184</v>
      </c>
      <c r="X1624" s="49"/>
      <c r="Y1624" s="49"/>
      <c r="Z1624" s="49"/>
      <c r="AE1624" s="45">
        <v>24.8</v>
      </c>
      <c r="AF1624" s="45">
        <f t="shared" si="198"/>
        <v>24.8</v>
      </c>
      <c r="AK1624" s="45">
        <v>2390</v>
      </c>
      <c r="AL1624" s="45">
        <v>928</v>
      </c>
      <c r="AO1624" s="45">
        <v>0.41</v>
      </c>
      <c r="AS1624" s="45">
        <v>0.12</v>
      </c>
      <c r="AU1624" s="45">
        <v>0.23</v>
      </c>
    </row>
    <row r="1625" spans="1:47" s="45" customFormat="1" ht="12.75" hidden="1" customHeight="1">
      <c r="A1625" s="22" t="s">
        <v>126</v>
      </c>
      <c r="B1625" s="63" t="s">
        <v>129</v>
      </c>
      <c r="C1625" s="24" t="s">
        <v>130</v>
      </c>
      <c r="O1625" s="94">
        <v>3.07981571581993</v>
      </c>
      <c r="R1625" s="48">
        <v>1.64662725699173</v>
      </c>
      <c r="U1625" s="94">
        <v>3.07981571581993</v>
      </c>
      <c r="V1625" s="48">
        <v>1.64662725699173</v>
      </c>
      <c r="W1625" s="49">
        <f t="shared" si="197"/>
        <v>1.3834512892009108</v>
      </c>
      <c r="X1625" s="49"/>
      <c r="Y1625" s="49"/>
      <c r="Z1625" s="49"/>
      <c r="AE1625" s="45">
        <v>25.6</v>
      </c>
      <c r="AF1625" s="45">
        <f t="shared" si="198"/>
        <v>25.200000000000003</v>
      </c>
      <c r="AK1625" s="45">
        <v>2450</v>
      </c>
      <c r="AL1625" s="45">
        <v>1012</v>
      </c>
      <c r="AO1625" s="45">
        <v>0.42</v>
      </c>
      <c r="AS1625" s="45">
        <v>0.06</v>
      </c>
      <c r="AU1625" s="45">
        <v>0.24</v>
      </c>
    </row>
    <row r="1626" spans="1:47" s="45" customFormat="1" ht="12.75" hidden="1" customHeight="1">
      <c r="A1626" s="22" t="s">
        <v>126</v>
      </c>
      <c r="B1626" s="63" t="s">
        <v>129</v>
      </c>
      <c r="C1626" s="24" t="s">
        <v>130</v>
      </c>
      <c r="O1626" s="94">
        <v>3.1552827530674898</v>
      </c>
      <c r="R1626" s="48">
        <v>1.5611223150167199</v>
      </c>
      <c r="U1626" s="94">
        <v>3.1552827530674898</v>
      </c>
      <c r="V1626" s="48">
        <v>1.5611223150167199</v>
      </c>
      <c r="W1626" s="49">
        <f t="shared" si="197"/>
        <v>1.4424102192061121</v>
      </c>
      <c r="X1626" s="49"/>
      <c r="Y1626" s="49"/>
      <c r="Z1626" s="49"/>
      <c r="AE1626" s="45">
        <v>25.6</v>
      </c>
      <c r="AF1626" s="45">
        <f t="shared" si="198"/>
        <v>25.6</v>
      </c>
      <c r="AK1626" s="45">
        <v>2450</v>
      </c>
      <c r="AL1626" s="45">
        <v>1012</v>
      </c>
      <c r="AO1626" s="45">
        <v>0.42</v>
      </c>
      <c r="AS1626" s="45">
        <v>0.06</v>
      </c>
      <c r="AU1626" s="45">
        <v>0.24</v>
      </c>
    </row>
    <row r="1627" spans="1:47" s="45" customFormat="1" ht="12.75" hidden="1" customHeight="1">
      <c r="A1627" s="22" t="s">
        <v>126</v>
      </c>
      <c r="B1627" s="63" t="s">
        <v>129</v>
      </c>
      <c r="C1627" s="24" t="s">
        <v>130</v>
      </c>
      <c r="O1627" s="94">
        <v>3.09538349304658</v>
      </c>
      <c r="R1627" s="48">
        <v>1.4368598162306701</v>
      </c>
      <c r="U1627" s="94">
        <v>3.09538349304658</v>
      </c>
      <c r="V1627" s="48">
        <v>1.4368598162306701</v>
      </c>
      <c r="W1627" s="49">
        <f t="shared" si="197"/>
        <v>1.5788855186961841</v>
      </c>
      <c r="X1627" s="49"/>
      <c r="Y1627" s="49"/>
      <c r="Z1627" s="49"/>
      <c r="AE1627" s="45">
        <v>25.6</v>
      </c>
      <c r="AF1627" s="45">
        <f t="shared" si="198"/>
        <v>25.6</v>
      </c>
      <c r="AK1627" s="45">
        <v>2450</v>
      </c>
      <c r="AL1627" s="45">
        <v>1012</v>
      </c>
      <c r="AO1627" s="45">
        <v>0.42</v>
      </c>
      <c r="AS1627" s="45">
        <v>0.06</v>
      </c>
      <c r="AU1627" s="45">
        <v>0.24</v>
      </c>
    </row>
    <row r="1628" spans="1:47" s="45" customFormat="1" ht="15" hidden="1">
      <c r="A1628" s="44" t="s">
        <v>150</v>
      </c>
      <c r="B1628" s="45" t="s">
        <v>203</v>
      </c>
      <c r="C1628" s="23" t="s">
        <v>204</v>
      </c>
      <c r="D1628" s="45">
        <v>2004</v>
      </c>
      <c r="E1628" s="45">
        <v>4</v>
      </c>
      <c r="G1628" s="34">
        <f t="shared" ref="G1628:G1638" si="200">30.47*(E1628-1)+15</f>
        <v>106.41</v>
      </c>
      <c r="H1628" s="45">
        <v>290</v>
      </c>
      <c r="I1628" s="45">
        <f>290+14</f>
        <v>304</v>
      </c>
      <c r="J1628" s="46">
        <f t="shared" ref="J1628:J1630" si="201">H1628+3*(I1628-H1628)</f>
        <v>332</v>
      </c>
      <c r="K1628" s="45">
        <v>143</v>
      </c>
      <c r="L1628" s="45">
        <f>143+14.1</f>
        <v>157.1</v>
      </c>
      <c r="M1628" s="46">
        <f t="shared" ref="M1628:M1630" si="202">L1628+3*(L1628-K1628)</f>
        <v>199.39999999999998</v>
      </c>
      <c r="O1628" s="94">
        <f>LOG10(H1628)</f>
        <v>2.4623979978989561</v>
      </c>
      <c r="P1628" s="94">
        <f t="shared" ref="P1628:T1630" si="203">LOG10(I1628)</f>
        <v>2.4828735836087539</v>
      </c>
      <c r="Q1628" s="94">
        <f t="shared" si="203"/>
        <v>2.5211380837040362</v>
      </c>
      <c r="R1628" s="94">
        <f t="shared" si="203"/>
        <v>2.1553360374650619</v>
      </c>
      <c r="S1628" s="94">
        <f t="shared" si="203"/>
        <v>2.1961761850399735</v>
      </c>
      <c r="T1628" s="94">
        <f t="shared" si="203"/>
        <v>2.2997251539756367</v>
      </c>
      <c r="U1628" s="94">
        <v>2.5211380837040362</v>
      </c>
      <c r="V1628" s="94">
        <v>2.2997251539756367</v>
      </c>
      <c r="W1628" s="49">
        <f t="shared" ref="W1628:W1691" si="204">0.9539*(4.064-0.314*U1628-V1628)</f>
        <v>0.92779889955642225</v>
      </c>
      <c r="X1628" s="49"/>
      <c r="Y1628" s="49"/>
      <c r="Z1628" s="49"/>
      <c r="AA1628" s="94"/>
      <c r="AB1628" s="94"/>
      <c r="AC1628" s="94"/>
      <c r="AD1628" s="94"/>
    </row>
    <row r="1629" spans="1:47" s="45" customFormat="1" ht="15" hidden="1">
      <c r="A1629" s="44" t="s">
        <v>150</v>
      </c>
      <c r="B1629" s="45" t="s">
        <v>203</v>
      </c>
      <c r="C1629" s="23" t="s">
        <v>204</v>
      </c>
      <c r="D1629" s="45">
        <v>2004</v>
      </c>
      <c r="E1629" s="45">
        <v>6</v>
      </c>
      <c r="G1629" s="34">
        <f t="shared" si="200"/>
        <v>167.35</v>
      </c>
      <c r="H1629" s="45">
        <v>353</v>
      </c>
      <c r="I1629" s="45">
        <f>353+39</f>
        <v>392</v>
      </c>
      <c r="J1629" s="46">
        <f t="shared" si="201"/>
        <v>470</v>
      </c>
      <c r="K1629" s="45">
        <v>130</v>
      </c>
      <c r="L1629" s="45">
        <f>130+13.9</f>
        <v>143.9</v>
      </c>
      <c r="M1629" s="46">
        <f t="shared" si="202"/>
        <v>185.60000000000002</v>
      </c>
      <c r="O1629" s="94">
        <f t="shared" ref="O1629:O1630" si="205">LOG10(H1629)</f>
        <v>2.5477747053878224</v>
      </c>
      <c r="P1629" s="94">
        <f t="shared" si="203"/>
        <v>2.5932860670204572</v>
      </c>
      <c r="Q1629" s="94">
        <f t="shared" si="203"/>
        <v>2.6720978579357175</v>
      </c>
      <c r="R1629" s="94">
        <f t="shared" si="203"/>
        <v>2.1139433523068369</v>
      </c>
      <c r="S1629" s="94">
        <f t="shared" si="203"/>
        <v>2.1580607939366052</v>
      </c>
      <c r="T1629" s="94">
        <f t="shared" si="203"/>
        <v>2.2685779718828432</v>
      </c>
      <c r="U1629" s="94">
        <v>2.6720978579357175</v>
      </c>
      <c r="V1629" s="94">
        <v>2.2685779718828432</v>
      </c>
      <c r="W1629" s="49">
        <f t="shared" si="204"/>
        <v>0.91229403056190339</v>
      </c>
      <c r="X1629" s="49"/>
      <c r="Y1629" s="49"/>
      <c r="Z1629" s="49"/>
      <c r="AA1629" s="94"/>
      <c r="AB1629" s="94"/>
      <c r="AC1629" s="94"/>
      <c r="AD1629" s="94"/>
    </row>
    <row r="1630" spans="1:47" s="45" customFormat="1" ht="15" hidden="1">
      <c r="A1630" s="44" t="s">
        <v>150</v>
      </c>
      <c r="B1630" s="45" t="s">
        <v>203</v>
      </c>
      <c r="C1630" s="23" t="s">
        <v>204</v>
      </c>
      <c r="D1630" s="45">
        <v>2004</v>
      </c>
      <c r="E1630" s="45">
        <v>8</v>
      </c>
      <c r="G1630" s="34">
        <f t="shared" si="200"/>
        <v>228.29</v>
      </c>
      <c r="H1630" s="45">
        <v>69</v>
      </c>
      <c r="I1630" s="45">
        <f>69+7</f>
        <v>76</v>
      </c>
      <c r="J1630" s="46">
        <f t="shared" si="201"/>
        <v>90</v>
      </c>
      <c r="K1630" s="45">
        <v>85</v>
      </c>
      <c r="L1630" s="45">
        <f>85+9.5</f>
        <v>94.5</v>
      </c>
      <c r="M1630" s="46">
        <f t="shared" si="202"/>
        <v>123</v>
      </c>
      <c r="O1630" s="94">
        <f t="shared" si="205"/>
        <v>1.8388490907372552</v>
      </c>
      <c r="P1630" s="94">
        <f t="shared" si="203"/>
        <v>1.8808135922807914</v>
      </c>
      <c r="Q1630" s="94">
        <f t="shared" si="203"/>
        <v>1.954242509439325</v>
      </c>
      <c r="R1630" s="94">
        <f t="shared" si="203"/>
        <v>1.9294189257142926</v>
      </c>
      <c r="S1630" s="94">
        <f t="shared" si="203"/>
        <v>1.975431808509263</v>
      </c>
      <c r="T1630" s="94">
        <f t="shared" si="203"/>
        <v>2.0899051114393981</v>
      </c>
      <c r="U1630" s="94">
        <v>1.954242509439325</v>
      </c>
      <c r="V1630" s="94">
        <v>2.0899051114393981</v>
      </c>
      <c r="W1630" s="49">
        <f t="shared" si="204"/>
        <v>1.2977454082551481</v>
      </c>
      <c r="X1630" s="49"/>
      <c r="Y1630" s="49"/>
      <c r="Z1630" s="49"/>
      <c r="AA1630" s="94"/>
      <c r="AB1630" s="94"/>
      <c r="AC1630" s="94"/>
      <c r="AD1630" s="94"/>
    </row>
    <row r="1631" spans="1:47" s="45" customFormat="1" ht="15" hidden="1" customHeight="1">
      <c r="A1631" s="44" t="s">
        <v>152</v>
      </c>
      <c r="B1631" s="45" t="s">
        <v>203</v>
      </c>
      <c r="C1631" s="23" t="s">
        <v>206</v>
      </c>
      <c r="D1631" s="45">
        <v>2004</v>
      </c>
      <c r="E1631" s="45">
        <v>6</v>
      </c>
      <c r="G1631" s="34">
        <f>30.47*(E1631-1)+15</f>
        <v>167.35</v>
      </c>
      <c r="H1631" s="45">
        <v>8388</v>
      </c>
      <c r="I1631" s="45">
        <f>H1631+329</f>
        <v>8717</v>
      </c>
      <c r="J1631" s="46">
        <f>H1631+3*(I1631-H1631)</f>
        <v>9375</v>
      </c>
      <c r="K1631" s="45">
        <v>73</v>
      </c>
      <c r="L1631" s="45">
        <f>K1631+11.6</f>
        <v>84.6</v>
      </c>
      <c r="M1631" s="46">
        <f>L1631+3*(L1631-K1631)</f>
        <v>119.39999999999998</v>
      </c>
      <c r="O1631" s="94">
        <f t="shared" ref="O1631:T1631" si="206">LOG10(H1631)</f>
        <v>3.9236584217933062</v>
      </c>
      <c r="P1631" s="94">
        <f t="shared" si="206"/>
        <v>3.9403670459856652</v>
      </c>
      <c r="Q1631" s="94">
        <f t="shared" si="206"/>
        <v>3.9719712763997563</v>
      </c>
      <c r="R1631" s="48">
        <f t="shared" si="206"/>
        <v>1.8633228601204559</v>
      </c>
      <c r="S1631" s="94">
        <f t="shared" si="206"/>
        <v>1.9273703630390235</v>
      </c>
      <c r="T1631" s="94">
        <f t="shared" si="206"/>
        <v>2.0770043267933502</v>
      </c>
      <c r="U1631" s="94">
        <v>3.9719712763997563</v>
      </c>
      <c r="V1631" s="94">
        <v>2.0770043267933502</v>
      </c>
      <c r="W1631" s="49">
        <f>0.9539*(4.064-0.314*U1631-V1631)</f>
        <v>0.70569206489669689</v>
      </c>
      <c r="X1631" s="49"/>
      <c r="Y1631" s="49"/>
      <c r="Z1631" s="49"/>
      <c r="AA1631" s="94"/>
      <c r="AB1631" s="94"/>
      <c r="AC1631" s="94"/>
      <c r="AD1631" s="94"/>
    </row>
    <row r="1632" spans="1:47" s="45" customFormat="1" ht="15" hidden="1" customHeight="1">
      <c r="A1632" s="44" t="s">
        <v>152</v>
      </c>
      <c r="B1632" s="45" t="s">
        <v>203</v>
      </c>
      <c r="C1632" s="23" t="s">
        <v>206</v>
      </c>
      <c r="D1632" s="45">
        <v>2004</v>
      </c>
      <c r="E1632" s="45">
        <v>7</v>
      </c>
      <c r="G1632" s="34">
        <f>30.47*(E1632-1)+15</f>
        <v>197.82</v>
      </c>
      <c r="H1632" s="45">
        <v>7792</v>
      </c>
      <c r="I1632" s="45">
        <f>H1632+875</f>
        <v>8667</v>
      </c>
      <c r="J1632" s="46">
        <f t="shared" ref="J1632" si="207">H1632+3*(I1632-H1632)</f>
        <v>10417</v>
      </c>
      <c r="K1632" s="45">
        <v>84</v>
      </c>
      <c r="L1632" s="45">
        <f>K1632+10.8</f>
        <v>94.8</v>
      </c>
      <c r="M1632" s="46">
        <f t="shared" ref="M1632" si="208">L1632+3*(L1632-K1632)</f>
        <v>127.19999999999999</v>
      </c>
      <c r="O1632" s="94">
        <f>LOG10(H1632)</f>
        <v>3.891648943870559</v>
      </c>
      <c r="P1632" s="94">
        <f t="shared" ref="P1632" si="209">LOG10(I1632)</f>
        <v>3.9378687965638592</v>
      </c>
      <c r="Q1632" s="94">
        <f t="shared" ref="Q1632" si="210">LOG10(J1632)</f>
        <v>4.0177426641614984</v>
      </c>
      <c r="R1632" s="94">
        <f>LOG10(K1632)</f>
        <v>1.9242792860618816</v>
      </c>
      <c r="S1632" s="94">
        <f t="shared" ref="S1632" si="211">LOG10(L1632)</f>
        <v>1.9768083373380663</v>
      </c>
      <c r="T1632" s="94">
        <f t="shared" ref="T1632" si="212">LOG10(M1632)</f>
        <v>2.1044871113123951</v>
      </c>
      <c r="U1632" s="94">
        <v>4.0177426641614984</v>
      </c>
      <c r="V1632" s="94">
        <v>2.1044871113123951</v>
      </c>
      <c r="W1632" s="49">
        <f>0.9539*(4.064-0.314*U1632-V1632)</f>
        <v>0.66576658013319923</v>
      </c>
      <c r="X1632" s="49"/>
      <c r="Y1632" s="49"/>
      <c r="Z1632" s="49"/>
      <c r="AA1632" s="94"/>
      <c r="AB1632" s="94"/>
      <c r="AC1632" s="94"/>
      <c r="AD1632" s="94"/>
    </row>
    <row r="1633" spans="1:33" s="45" customFormat="1" ht="15" hidden="1" customHeight="1">
      <c r="A1633" s="44" t="s">
        <v>152</v>
      </c>
      <c r="B1633" s="45" t="s">
        <v>203</v>
      </c>
      <c r="C1633" s="23" t="s">
        <v>206</v>
      </c>
      <c r="D1633" s="45">
        <v>2004</v>
      </c>
      <c r="E1633" s="45">
        <v>7</v>
      </c>
      <c r="G1633" s="34">
        <f>30.47*(E1633-1)+15</f>
        <v>197.82</v>
      </c>
      <c r="H1633" s="45">
        <v>5777</v>
      </c>
      <c r="I1633" s="45">
        <f>H1633+388</f>
        <v>6165</v>
      </c>
      <c r="J1633" s="46">
        <f>H1633+3*(I1633-H1633)</f>
        <v>6941</v>
      </c>
      <c r="K1633" s="45">
        <v>69</v>
      </c>
      <c r="L1633" s="45">
        <f>K1633+21</f>
        <v>90</v>
      </c>
      <c r="M1633" s="46">
        <f>L1633+3*(L1633-K1633)</f>
        <v>153</v>
      </c>
      <c r="O1633" s="94">
        <f t="shared" ref="O1633" si="213">LOG10(H1633)</f>
        <v>3.7617023675414125</v>
      </c>
      <c r="P1633" s="94">
        <f t="shared" ref="P1633" si="214">LOG10(I1633)</f>
        <v>3.7899330809317506</v>
      </c>
      <c r="Q1633" s="94">
        <f t="shared" ref="Q1633" si="215">LOG10(J1633)</f>
        <v>3.8414220444023592</v>
      </c>
      <c r="R1633" s="48">
        <f t="shared" ref="R1633" si="216">LOG10(K1633)</f>
        <v>1.8388490907372552</v>
      </c>
      <c r="S1633" s="94">
        <f t="shared" ref="S1633" si="217">LOG10(L1633)</f>
        <v>1.954242509439325</v>
      </c>
      <c r="T1633" s="94">
        <f t="shared" ref="T1633" si="218">LOG10(M1633)</f>
        <v>2.1846914308175989</v>
      </c>
      <c r="U1633" s="94">
        <v>3.8414220444023592</v>
      </c>
      <c r="V1633" s="94">
        <v>2.1846914308175989</v>
      </c>
      <c r="W1633" s="49">
        <f>0.9539*(4.064-0.314*U1633-V1633)</f>
        <v>0.64207204286229358</v>
      </c>
      <c r="X1633" s="49"/>
      <c r="Y1633" s="49"/>
      <c r="Z1633" s="49"/>
      <c r="AA1633" s="94"/>
      <c r="AB1633" s="94"/>
      <c r="AC1633" s="94"/>
      <c r="AD1633" s="94"/>
    </row>
    <row r="1634" spans="1:33" s="45" customFormat="1" ht="15" hidden="1" customHeight="1">
      <c r="A1634" s="44" t="s">
        <v>152</v>
      </c>
      <c r="B1634" s="45" t="s">
        <v>203</v>
      </c>
      <c r="C1634" s="23" t="s">
        <v>205</v>
      </c>
      <c r="D1634" s="45">
        <v>2004</v>
      </c>
      <c r="E1634" s="45">
        <v>8</v>
      </c>
      <c r="G1634" s="34">
        <f t="shared" si="200"/>
        <v>228.29</v>
      </c>
      <c r="H1634" s="45">
        <v>7360</v>
      </c>
      <c r="I1634" s="45">
        <f>H1634+904</f>
        <v>8264</v>
      </c>
      <c r="J1634" s="46">
        <f t="shared" ref="J1634:J1636" si="219">H1634+3*(I1634-H1634)</f>
        <v>10072</v>
      </c>
      <c r="K1634" s="45">
        <v>87</v>
      </c>
      <c r="L1634" s="45">
        <f>K1634+7.3</f>
        <v>94.3</v>
      </c>
      <c r="M1634" s="46">
        <f t="shared" ref="M1634:M1636" si="220">L1634+3*(L1634-K1634)</f>
        <v>116.19999999999999</v>
      </c>
      <c r="O1634" s="94">
        <f t="shared" ref="O1634:O1636" si="221">LOG10(H1634)</f>
        <v>3.8668778143374989</v>
      </c>
      <c r="P1634" s="94">
        <f t="shared" ref="P1634:P1636" si="222">LOG10(I1634)</f>
        <v>3.917190308511564</v>
      </c>
      <c r="Q1634" s="94">
        <f t="shared" ref="Q1634:Q1636" si="223">LOG10(J1634)</f>
        <v>4.0031157170998064</v>
      </c>
      <c r="R1634" s="94">
        <f t="shared" ref="R1634:R1636" si="224">LOG10(K1634)</f>
        <v>1.9395192526186185</v>
      </c>
      <c r="S1634" s="94">
        <f t="shared" ref="S1634:S1636" si="225">LOG10(L1634)</f>
        <v>1.9745116927373283</v>
      </c>
      <c r="T1634" s="94">
        <f t="shared" ref="T1634:T1636" si="226">LOG10(M1634)</f>
        <v>2.0652061280543119</v>
      </c>
      <c r="U1634" s="94">
        <v>4.0031157170998064</v>
      </c>
      <c r="V1634" s="94">
        <v>2.0652061280543119</v>
      </c>
      <c r="W1634" s="49">
        <f t="shared" si="204"/>
        <v>0.70761784053095889</v>
      </c>
      <c r="X1634" s="49"/>
      <c r="Y1634" s="49"/>
      <c r="Z1634" s="49"/>
      <c r="AA1634" s="94"/>
      <c r="AB1634" s="94"/>
      <c r="AC1634" s="94"/>
      <c r="AD1634" s="94"/>
    </row>
    <row r="1635" spans="1:33" s="45" customFormat="1" ht="15" hidden="1" customHeight="1">
      <c r="A1635" s="44" t="s">
        <v>152</v>
      </c>
      <c r="B1635" s="45" t="s">
        <v>203</v>
      </c>
      <c r="C1635" s="23" t="s">
        <v>205</v>
      </c>
      <c r="D1635" s="45">
        <v>2004</v>
      </c>
      <c r="E1635" s="45">
        <v>9</v>
      </c>
      <c r="G1635" s="34">
        <f>30.47*(E1635-1)+15</f>
        <v>258.76</v>
      </c>
      <c r="H1635" s="45">
        <v>8264</v>
      </c>
      <c r="I1635" s="45">
        <f>H1635+1496</f>
        <v>9760</v>
      </c>
      <c r="J1635" s="46">
        <f>H1635+3*(I1635-H1635)</f>
        <v>12752</v>
      </c>
      <c r="K1635" s="45">
        <v>115</v>
      </c>
      <c r="L1635" s="45">
        <f>K1635+46.3</f>
        <v>161.30000000000001</v>
      </c>
      <c r="M1635" s="46">
        <f>L1635+3*(L1635-K1635)</f>
        <v>300.20000000000005</v>
      </c>
      <c r="O1635" s="94">
        <f t="shared" ref="O1635" si="227">LOG10(H1635)</f>
        <v>3.917190308511564</v>
      </c>
      <c r="P1635" s="94">
        <f t="shared" ref="P1635" si="228">LOG10(I1635)</f>
        <v>3.9894498176666917</v>
      </c>
      <c r="Q1635" s="94">
        <f t="shared" ref="Q1635" si="229">LOG10(J1635)</f>
        <v>4.1055783040520373</v>
      </c>
      <c r="R1635" s="94">
        <f t="shared" ref="R1635" si="230">LOG10(K1635)</f>
        <v>2.0606978403536118</v>
      </c>
      <c r="S1635" s="94">
        <f t="shared" ref="S1635" si="231">LOG10(L1635)</f>
        <v>2.2076343673889616</v>
      </c>
      <c r="T1635" s="94">
        <f t="shared" ref="T1635" si="232">LOG10(M1635)</f>
        <v>2.4774106879072515</v>
      </c>
      <c r="U1635" s="94">
        <v>4.1055783040520373</v>
      </c>
      <c r="V1635" s="94">
        <v>2.4774106879072515</v>
      </c>
      <c r="W1635" s="49">
        <f>0.9539*(4.064-0.314*U1635-V1635)</f>
        <v>0.28372584551540808</v>
      </c>
      <c r="X1635" s="49"/>
      <c r="Y1635" s="49"/>
      <c r="Z1635" s="49"/>
      <c r="AA1635" s="94"/>
      <c r="AB1635" s="94"/>
      <c r="AC1635" s="94"/>
      <c r="AD1635" s="94"/>
    </row>
    <row r="1636" spans="1:33" s="45" customFormat="1" ht="15" hidden="1" customHeight="1">
      <c r="A1636" s="44" t="s">
        <v>152</v>
      </c>
      <c r="B1636" s="45" t="s">
        <v>203</v>
      </c>
      <c r="C1636" s="23" t="s">
        <v>205</v>
      </c>
      <c r="D1636" s="45">
        <v>2004</v>
      </c>
      <c r="E1636" s="45">
        <v>8</v>
      </c>
      <c r="G1636" s="34">
        <f t="shared" si="200"/>
        <v>228.29</v>
      </c>
      <c r="H1636" s="45">
        <v>3803</v>
      </c>
      <c r="I1636" s="45">
        <f>H1636+1281</f>
        <v>5084</v>
      </c>
      <c r="J1636" s="46">
        <f t="shared" si="219"/>
        <v>7646</v>
      </c>
      <c r="K1636" s="45">
        <v>57</v>
      </c>
      <c r="L1636" s="45">
        <f>K1636+19.6</f>
        <v>76.599999999999994</v>
      </c>
      <c r="M1636" s="46">
        <f t="shared" si="220"/>
        <v>135.39999999999998</v>
      </c>
      <c r="O1636" s="94">
        <f t="shared" si="221"/>
        <v>3.5801263254115825</v>
      </c>
      <c r="P1636" s="94">
        <f t="shared" si="222"/>
        <v>3.7062055418819706</v>
      </c>
      <c r="Q1636" s="94">
        <f t="shared" si="223"/>
        <v>3.8834342936830093</v>
      </c>
      <c r="R1636" s="94">
        <f t="shared" si="224"/>
        <v>1.7558748556724915</v>
      </c>
      <c r="S1636" s="94">
        <f t="shared" si="225"/>
        <v>1.8842287696326039</v>
      </c>
      <c r="T1636" s="94">
        <f t="shared" si="226"/>
        <v>2.1316186643491255</v>
      </c>
      <c r="U1636" s="94">
        <v>3.8834342936830093</v>
      </c>
      <c r="V1636" s="94">
        <v>2.1316186643491255</v>
      </c>
      <c r="W1636" s="49">
        <f t="shared" si="204"/>
        <v>0.68011445263568338</v>
      </c>
      <c r="X1636" s="49"/>
      <c r="Y1636" s="49"/>
      <c r="Z1636" s="49"/>
      <c r="AA1636" s="94"/>
      <c r="AB1636" s="94"/>
      <c r="AC1636" s="94"/>
      <c r="AD1636" s="94"/>
    </row>
    <row r="1637" spans="1:33" s="45" customFormat="1" ht="12.75" hidden="1" customHeight="1">
      <c r="A1637" s="22" t="s">
        <v>126</v>
      </c>
      <c r="B1637" s="45" t="s">
        <v>209</v>
      </c>
      <c r="C1637" s="23" t="s">
        <v>193</v>
      </c>
      <c r="D1637" s="45">
        <v>2001</v>
      </c>
      <c r="E1637" s="45">
        <v>7</v>
      </c>
      <c r="G1637" s="34">
        <f t="shared" si="200"/>
        <v>197.82</v>
      </c>
      <c r="O1637" s="94">
        <v>3.7335192733050602</v>
      </c>
      <c r="R1637" s="48">
        <v>2.1364209596823698</v>
      </c>
      <c r="U1637" s="94">
        <v>3.7335192733050602</v>
      </c>
      <c r="V1637" s="94">
        <v>2.1364209596823698</v>
      </c>
      <c r="W1637" s="49">
        <f t="shared" si="204"/>
        <v>0.72043677962999852</v>
      </c>
      <c r="X1637" s="49"/>
      <c r="Y1637" s="49"/>
      <c r="Z1637" s="49"/>
      <c r="AG1637" s="45">
        <v>31.2</v>
      </c>
    </row>
    <row r="1638" spans="1:33" s="45" customFormat="1" ht="12.75" hidden="1" customHeight="1">
      <c r="A1638" s="22" t="s">
        <v>126</v>
      </c>
      <c r="B1638" s="45" t="s">
        <v>209</v>
      </c>
      <c r="C1638" s="23" t="s">
        <v>193</v>
      </c>
      <c r="D1638" s="45">
        <v>2001</v>
      </c>
      <c r="E1638" s="45">
        <v>11</v>
      </c>
      <c r="G1638" s="34">
        <f t="shared" si="200"/>
        <v>319.7</v>
      </c>
      <c r="O1638" s="94">
        <v>3.2891905319817001</v>
      </c>
      <c r="R1638" s="48">
        <v>1.84745170806688</v>
      </c>
      <c r="U1638" s="94">
        <v>3.2891905319817001</v>
      </c>
      <c r="V1638" s="94">
        <v>1.84745170806688</v>
      </c>
      <c r="W1638" s="49">
        <f t="shared" si="204"/>
        <v>1.1291719372593971</v>
      </c>
      <c r="X1638" s="49"/>
      <c r="Y1638" s="49"/>
      <c r="Z1638" s="49"/>
      <c r="AG1638" s="45">
        <v>26</v>
      </c>
    </row>
    <row r="1639" spans="1:33" s="45" customFormat="1" ht="12.75" hidden="1" customHeight="1">
      <c r="A1639" s="22" t="s">
        <v>126</v>
      </c>
      <c r="B1639" s="45" t="s">
        <v>209</v>
      </c>
      <c r="C1639" s="23" t="s">
        <v>193</v>
      </c>
      <c r="D1639" s="45">
        <v>2002</v>
      </c>
      <c r="E1639" s="45">
        <v>2</v>
      </c>
      <c r="G1639" s="34">
        <f>365+30.47*(E1639-1)+15</f>
        <v>410.47</v>
      </c>
      <c r="O1639" s="94">
        <v>3.6170137042336199</v>
      </c>
      <c r="R1639" s="48">
        <v>1.70239882392124</v>
      </c>
      <c r="U1639" s="94">
        <v>3.6170137042336199</v>
      </c>
      <c r="V1639" s="94">
        <v>1.70239882392124</v>
      </c>
      <c r="W1639" s="49">
        <f t="shared" si="204"/>
        <v>1.1693467789064358</v>
      </c>
      <c r="X1639" s="49"/>
      <c r="Y1639" s="49"/>
      <c r="Z1639" s="49"/>
      <c r="AG1639" s="45">
        <v>23.4</v>
      </c>
    </row>
    <row r="1640" spans="1:33" s="45" customFormat="1" ht="12.75" hidden="1" customHeight="1">
      <c r="A1640" s="22" t="s">
        <v>126</v>
      </c>
      <c r="B1640" s="45" t="s">
        <v>209</v>
      </c>
      <c r="C1640" s="23" t="s">
        <v>193</v>
      </c>
      <c r="D1640" s="45">
        <v>2002</v>
      </c>
      <c r="E1640" s="45">
        <v>5</v>
      </c>
      <c r="G1640" s="34">
        <f>365+30.47*(E1640-1)+15</f>
        <v>501.88</v>
      </c>
      <c r="O1640" s="94">
        <v>3.5054764216926602</v>
      </c>
      <c r="R1640" s="48">
        <v>2.04611003880611</v>
      </c>
      <c r="U1640" s="94">
        <v>3.5054764216926602</v>
      </c>
      <c r="V1640" s="94">
        <v>2.04611003880611</v>
      </c>
      <c r="W1640" s="49">
        <f t="shared" si="204"/>
        <v>0.87488881096592652</v>
      </c>
      <c r="X1640" s="49"/>
      <c r="Y1640" s="49"/>
      <c r="Z1640" s="49"/>
      <c r="AG1640" s="45">
        <v>34.799999999999997</v>
      </c>
    </row>
    <row r="1641" spans="1:33" s="45" customFormat="1" ht="12.75" hidden="1" customHeight="1">
      <c r="A1641" s="22" t="s">
        <v>126</v>
      </c>
      <c r="B1641" s="45" t="s">
        <v>209</v>
      </c>
      <c r="C1641" s="23" t="s">
        <v>194</v>
      </c>
      <c r="D1641" s="45">
        <v>2001</v>
      </c>
      <c r="E1641" s="45">
        <v>7</v>
      </c>
      <c r="G1641" s="34">
        <f t="shared" ref="G1641:G1642" si="233">30.47*(E1641-1)+15</f>
        <v>197.82</v>
      </c>
      <c r="O1641" s="94">
        <v>3.8065064173566401</v>
      </c>
      <c r="R1641" s="48">
        <v>2.4707324506484998</v>
      </c>
      <c r="U1641" s="94">
        <v>3.8065064173566401</v>
      </c>
      <c r="V1641" s="94">
        <v>2.4707324506484998</v>
      </c>
      <c r="W1641" s="49">
        <f t="shared" si="204"/>
        <v>0.37967560327021554</v>
      </c>
      <c r="X1641" s="49"/>
      <c r="Y1641" s="49"/>
      <c r="Z1641" s="49"/>
      <c r="AG1641" s="45">
        <v>36.700000000000003</v>
      </c>
    </row>
    <row r="1642" spans="1:33" s="45" customFormat="1" ht="12.75" hidden="1" customHeight="1">
      <c r="A1642" s="22" t="s">
        <v>126</v>
      </c>
      <c r="B1642" s="45" t="s">
        <v>209</v>
      </c>
      <c r="C1642" s="23" t="s">
        <v>194</v>
      </c>
      <c r="D1642" s="45">
        <v>2001</v>
      </c>
      <c r="E1642" s="45">
        <v>11</v>
      </c>
      <c r="G1642" s="34">
        <f t="shared" si="233"/>
        <v>319.7</v>
      </c>
      <c r="O1642" s="94">
        <v>3.51261566983302</v>
      </c>
      <c r="R1642" s="48">
        <v>2.3037263437076398</v>
      </c>
      <c r="U1642" s="94">
        <v>3.51261566983302</v>
      </c>
      <c r="V1642" s="94">
        <v>2.3037263437076398</v>
      </c>
      <c r="W1642" s="49">
        <f t="shared" si="204"/>
        <v>0.62701023727681471</v>
      </c>
      <c r="X1642" s="49"/>
      <c r="Y1642" s="49"/>
      <c r="Z1642" s="49"/>
      <c r="AG1642" s="45">
        <v>34.4</v>
      </c>
    </row>
    <row r="1643" spans="1:33" s="45" customFormat="1" ht="12.75" hidden="1" customHeight="1">
      <c r="A1643" s="22" t="s">
        <v>126</v>
      </c>
      <c r="B1643" s="45" t="s">
        <v>209</v>
      </c>
      <c r="C1643" s="23" t="s">
        <v>194</v>
      </c>
      <c r="D1643" s="45">
        <v>2002</v>
      </c>
      <c r="E1643" s="45">
        <v>2</v>
      </c>
      <c r="G1643" s="34">
        <f>365+30.47*(E1643-1)+15</f>
        <v>410.47</v>
      </c>
      <c r="O1643" s="94">
        <v>3.2852243447640999</v>
      </c>
      <c r="R1643" s="48">
        <v>1.91092372869699</v>
      </c>
      <c r="U1643" s="94">
        <v>3.2852243447640999</v>
      </c>
      <c r="V1643" s="94">
        <v>1.91092372869699</v>
      </c>
      <c r="W1643" s="49">
        <f t="shared" si="204"/>
        <v>1.0698139474202122</v>
      </c>
      <c r="X1643" s="49"/>
      <c r="Y1643" s="49"/>
      <c r="Z1643" s="49"/>
      <c r="AG1643" s="45">
        <v>31.9</v>
      </c>
    </row>
    <row r="1644" spans="1:33" s="45" customFormat="1" ht="12.75" hidden="1" customHeight="1">
      <c r="A1644" s="22" t="s">
        <v>126</v>
      </c>
      <c r="B1644" s="45" t="s">
        <v>209</v>
      </c>
      <c r="C1644" s="23" t="s">
        <v>194</v>
      </c>
      <c r="D1644" s="45">
        <v>2002</v>
      </c>
      <c r="E1644" s="45">
        <v>5</v>
      </c>
      <c r="G1644" s="34">
        <f>365+30.47*(E1644-1)+15</f>
        <v>501.88</v>
      </c>
      <c r="O1644" s="94">
        <v>3.94936583187941</v>
      </c>
      <c r="R1644" s="48">
        <v>2.5260734609052098</v>
      </c>
      <c r="U1644" s="94">
        <v>3.94936583187941</v>
      </c>
      <c r="V1644" s="94">
        <v>2.5260734609052098</v>
      </c>
      <c r="W1644" s="49">
        <f t="shared" si="204"/>
        <v>0.28409590459517298</v>
      </c>
      <c r="X1644" s="49"/>
      <c r="Y1644" s="49"/>
      <c r="Z1644" s="49"/>
      <c r="AG1644" s="45">
        <v>35.799999999999997</v>
      </c>
    </row>
    <row r="1645" spans="1:33" s="45" customFormat="1" ht="12.75" hidden="1" customHeight="1">
      <c r="A1645" s="22" t="s">
        <v>126</v>
      </c>
      <c r="B1645" s="45" t="s">
        <v>209</v>
      </c>
      <c r="C1645" s="23" t="s">
        <v>210</v>
      </c>
      <c r="D1645" s="45">
        <v>2001</v>
      </c>
      <c r="E1645" s="45">
        <v>7</v>
      </c>
      <c r="G1645" s="34">
        <f t="shared" ref="G1645:G1646" si="234">30.47*(E1645-1)+15</f>
        <v>197.82</v>
      </c>
      <c r="O1645" s="94">
        <v>3.7906232737826602</v>
      </c>
      <c r="R1645" s="48">
        <v>2.4001595868885199</v>
      </c>
      <c r="U1645" s="94">
        <v>3.7906232737826602</v>
      </c>
      <c r="V1645" s="94">
        <v>2.4001595868885199</v>
      </c>
      <c r="W1645" s="49">
        <f t="shared" si="204"/>
        <v>0.45175245023659921</v>
      </c>
      <c r="X1645" s="49"/>
      <c r="Y1645" s="49"/>
      <c r="Z1645" s="49"/>
      <c r="AG1645" s="45">
        <v>38.5</v>
      </c>
    </row>
    <row r="1646" spans="1:33" s="45" customFormat="1" ht="12.75" hidden="1" customHeight="1">
      <c r="A1646" s="22" t="s">
        <v>126</v>
      </c>
      <c r="B1646" s="45" t="s">
        <v>209</v>
      </c>
      <c r="C1646" s="23" t="s">
        <v>210</v>
      </c>
      <c r="D1646" s="45">
        <v>2001</v>
      </c>
      <c r="E1646" s="45">
        <v>11</v>
      </c>
      <c r="G1646" s="34">
        <f t="shared" si="234"/>
        <v>319.7</v>
      </c>
      <c r="O1646" s="94">
        <v>3.4464549337779</v>
      </c>
      <c r="R1646" s="48">
        <v>2.1339443841711399</v>
      </c>
      <c r="U1646" s="94">
        <v>3.4464549337779</v>
      </c>
      <c r="V1646" s="94">
        <v>2.1339443841711399</v>
      </c>
      <c r="W1646" s="49">
        <f t="shared" si="204"/>
        <v>0.80878201648129777</v>
      </c>
      <c r="X1646" s="49"/>
      <c r="Y1646" s="49"/>
      <c r="Z1646" s="49"/>
      <c r="AG1646" s="45">
        <v>34</v>
      </c>
    </row>
    <row r="1647" spans="1:33" s="45" customFormat="1" ht="12.75" hidden="1" customHeight="1">
      <c r="A1647" s="22" t="s">
        <v>126</v>
      </c>
      <c r="B1647" s="45" t="s">
        <v>209</v>
      </c>
      <c r="C1647" s="23" t="s">
        <v>210</v>
      </c>
      <c r="D1647" s="45">
        <v>2002</v>
      </c>
      <c r="E1647" s="45">
        <v>2</v>
      </c>
      <c r="G1647" s="34">
        <f>365+30.47*(E1647-1)+15</f>
        <v>410.47</v>
      </c>
      <c r="O1647" s="94">
        <v>3.5941508212741198</v>
      </c>
      <c r="R1647" s="48">
        <v>1.96596725221479</v>
      </c>
      <c r="U1647" s="94">
        <v>3.5941508212741198</v>
      </c>
      <c r="V1647" s="94">
        <v>1.96596725221479</v>
      </c>
      <c r="W1647" s="49">
        <f t="shared" si="204"/>
        <v>0.92477685103050955</v>
      </c>
      <c r="X1647" s="49"/>
      <c r="Y1647" s="49"/>
      <c r="Z1647" s="49"/>
      <c r="AG1647" s="45">
        <v>35.1</v>
      </c>
    </row>
    <row r="1648" spans="1:33" s="45" customFormat="1" ht="12.75" hidden="1" customHeight="1">
      <c r="A1648" s="22" t="s">
        <v>126</v>
      </c>
      <c r="B1648" s="45" t="s">
        <v>209</v>
      </c>
      <c r="C1648" s="23" t="s">
        <v>210</v>
      </c>
      <c r="D1648" s="45">
        <v>2002</v>
      </c>
      <c r="E1648" s="45">
        <v>5</v>
      </c>
      <c r="G1648" s="34">
        <f>365+30.47*(E1648-1)+15</f>
        <v>501.88</v>
      </c>
      <c r="O1648" s="94">
        <v>3.5941508212741198</v>
      </c>
      <c r="R1648" s="48">
        <v>2.2333725036678702</v>
      </c>
      <c r="U1648" s="94">
        <v>3.5941508212741198</v>
      </c>
      <c r="V1648" s="94">
        <v>2.2333725036678702</v>
      </c>
      <c r="W1648" s="49">
        <f t="shared" si="204"/>
        <v>0.66969898166941622</v>
      </c>
      <c r="X1648" s="49"/>
      <c r="Y1648" s="49"/>
      <c r="Z1648" s="49"/>
      <c r="AG1648" s="45">
        <v>35.299999999999997</v>
      </c>
    </row>
    <row r="1649" spans="1:33" s="45" customFormat="1" ht="12.75" hidden="1" customHeight="1">
      <c r="A1649" s="22" t="s">
        <v>126</v>
      </c>
      <c r="B1649" s="45" t="s">
        <v>209</v>
      </c>
      <c r="C1649" s="23" t="s">
        <v>211</v>
      </c>
      <c r="D1649" s="45">
        <v>2001</v>
      </c>
      <c r="E1649" s="45">
        <v>7</v>
      </c>
      <c r="G1649" s="34">
        <f t="shared" ref="G1649:G1650" si="235">30.47*(E1649-1)+15</f>
        <v>197.82</v>
      </c>
      <c r="O1649" s="94">
        <v>4.1140851859076699</v>
      </c>
      <c r="R1649" s="48">
        <v>2.12916752274415</v>
      </c>
      <c r="U1649" s="94">
        <v>4.1140851859076699</v>
      </c>
      <c r="V1649" s="94">
        <v>2.12916752274415</v>
      </c>
      <c r="W1649" s="49">
        <f t="shared" si="204"/>
        <v>0.61336698037943482</v>
      </c>
      <c r="X1649" s="49"/>
      <c r="Y1649" s="49"/>
      <c r="Z1649" s="49"/>
      <c r="AG1649" s="45">
        <v>35.299999999999997</v>
      </c>
    </row>
    <row r="1650" spans="1:33" s="45" customFormat="1" ht="12.75" hidden="1" customHeight="1">
      <c r="A1650" s="22" t="s">
        <v>126</v>
      </c>
      <c r="B1650" s="45" t="s">
        <v>209</v>
      </c>
      <c r="C1650" s="23" t="s">
        <v>211</v>
      </c>
      <c r="D1650" s="45">
        <v>2001</v>
      </c>
      <c r="E1650" s="45">
        <v>11</v>
      </c>
      <c r="G1650" s="34">
        <f t="shared" si="235"/>
        <v>319.7</v>
      </c>
      <c r="O1650" s="94">
        <v>3.66940177369331</v>
      </c>
      <c r="R1650" s="48">
        <v>2.2449700896059599</v>
      </c>
      <c r="U1650" s="94">
        <v>3.66940177369331</v>
      </c>
      <c r="V1650" s="94">
        <v>2.2449700896059599</v>
      </c>
      <c r="W1650" s="49">
        <f t="shared" si="204"/>
        <v>0.63609653302009572</v>
      </c>
      <c r="X1650" s="49"/>
      <c r="Y1650" s="49"/>
      <c r="Z1650" s="49"/>
      <c r="AG1650" s="45">
        <v>35.5</v>
      </c>
    </row>
    <row r="1651" spans="1:33" s="45" customFormat="1" ht="12.75" hidden="1" customHeight="1">
      <c r="A1651" s="22" t="s">
        <v>126</v>
      </c>
      <c r="B1651" s="45" t="s">
        <v>209</v>
      </c>
      <c r="C1651" s="23" t="s">
        <v>211</v>
      </c>
      <c r="D1651" s="45">
        <v>2002</v>
      </c>
      <c r="E1651" s="45">
        <v>2</v>
      </c>
      <c r="G1651" s="34">
        <f>365+30.47*(E1651-1)+15</f>
        <v>410.47</v>
      </c>
      <c r="O1651" s="94">
        <v>3.75968120780235</v>
      </c>
      <c r="R1651" s="48">
        <v>2.1051182793515801</v>
      </c>
      <c r="U1651" s="94">
        <v>3.75968120780235</v>
      </c>
      <c r="V1651" s="94">
        <v>2.1051182793515801</v>
      </c>
      <c r="W1651" s="49">
        <f t="shared" si="204"/>
        <v>0.74246026343201177</v>
      </c>
      <c r="X1651" s="49"/>
      <c r="Y1651" s="49"/>
      <c r="Z1651" s="49"/>
      <c r="AG1651" s="45">
        <v>35.6</v>
      </c>
    </row>
    <row r="1652" spans="1:33" s="45" customFormat="1" ht="12.75" hidden="1" customHeight="1">
      <c r="A1652" s="22" t="s">
        <v>126</v>
      </c>
      <c r="B1652" s="45" t="s">
        <v>209</v>
      </c>
      <c r="C1652" s="23" t="s">
        <v>211</v>
      </c>
      <c r="D1652" s="45">
        <v>2002</v>
      </c>
      <c r="E1652" s="45">
        <v>5</v>
      </c>
      <c r="G1652" s="34">
        <f>365+30.47*(E1652-1)+15</f>
        <v>501.88</v>
      </c>
      <c r="O1652" s="94">
        <v>3.7071903345827102</v>
      </c>
      <c r="R1652" s="48">
        <v>1.9142503038716501</v>
      </c>
      <c r="U1652" s="94">
        <v>3.7071903345827102</v>
      </c>
      <c r="V1652" s="94">
        <v>1.9142503038716501</v>
      </c>
      <c r="W1652" s="49">
        <f t="shared" si="204"/>
        <v>0.94025153304708065</v>
      </c>
      <c r="X1652" s="49"/>
      <c r="Y1652" s="49"/>
      <c r="Z1652" s="49"/>
      <c r="AG1652" s="45">
        <v>35.200000000000003</v>
      </c>
    </row>
    <row r="1653" spans="1:33" s="45" customFormat="1" ht="12.75" hidden="1" customHeight="1">
      <c r="A1653" s="28" t="s">
        <v>152</v>
      </c>
      <c r="B1653" s="45" t="s">
        <v>203</v>
      </c>
      <c r="C1653" s="28" t="s">
        <v>226</v>
      </c>
      <c r="D1653" s="70">
        <v>2004</v>
      </c>
      <c r="E1653" s="70">
        <v>1</v>
      </c>
      <c r="F1653" s="70">
        <v>21</v>
      </c>
      <c r="G1653" s="34">
        <f>30.47*(E1653-1)+F1653</f>
        <v>21</v>
      </c>
      <c r="H1653" s="60">
        <v>2720.4453900799999</v>
      </c>
      <c r="I1653" s="60">
        <v>3016.1185607699999</v>
      </c>
      <c r="J1653" s="46">
        <f t="shared" ref="J1653:J1716" si="236">H1653+3*(I1653-H1653)</f>
        <v>3607.4649021499999</v>
      </c>
      <c r="K1653" s="60">
        <v>8.1973461600000004</v>
      </c>
      <c r="L1653" s="60">
        <v>12.637571380000001</v>
      </c>
      <c r="M1653" s="46">
        <f t="shared" ref="M1653:M1716" si="237">L1653+3*(L1653-K1653)</f>
        <v>25.958247040000003</v>
      </c>
      <c r="O1653" s="94">
        <f t="shared" ref="O1653:O1716" si="238">LOG10(H1653)</f>
        <v>3.434640012350008</v>
      </c>
      <c r="P1653" s="94">
        <f t="shared" ref="P1653:P1716" si="239">LOG10(I1653)</f>
        <v>3.4794484092389006</v>
      </c>
      <c r="Q1653" s="94">
        <f t="shared" ref="Q1653:Q1716" si="240">LOG10(J1653)</f>
        <v>3.5572021144358765</v>
      </c>
      <c r="R1653" s="48">
        <f t="shared" ref="R1653:R1716" si="241">LOG10(K1653)</f>
        <v>0.91367327499190332</v>
      </c>
      <c r="S1653" s="94">
        <f t="shared" ref="S1653:S1716" si="242">LOG10(L1653)</f>
        <v>1.1016636216042066</v>
      </c>
      <c r="T1653" s="94">
        <f t="shared" ref="T1653:T1716" si="243">LOG10(M1653)</f>
        <v>1.4142753612192509</v>
      </c>
      <c r="U1653" s="94">
        <v>3.5572021144358765</v>
      </c>
      <c r="V1653" s="94">
        <v>1.4142753612192509</v>
      </c>
      <c r="W1653" s="49">
        <f t="shared" si="204"/>
        <v>1.4621027924873964</v>
      </c>
      <c r="X1653" s="90">
        <v>8.0769238399999992</v>
      </c>
      <c r="Y1653" s="90">
        <v>8.3554382900000004</v>
      </c>
      <c r="AA1653" s="28"/>
    </row>
    <row r="1654" spans="1:33" s="45" customFormat="1" ht="12.75" hidden="1" customHeight="1">
      <c r="A1654" s="28" t="s">
        <v>152</v>
      </c>
      <c r="B1654" s="45" t="s">
        <v>203</v>
      </c>
      <c r="C1654" s="28" t="s">
        <v>226</v>
      </c>
      <c r="D1654" s="70">
        <v>2004</v>
      </c>
      <c r="E1654" s="70">
        <v>3</v>
      </c>
      <c r="F1654" s="70">
        <v>23</v>
      </c>
      <c r="G1654" s="34">
        <f t="shared" ref="G1654:G1712" si="244">30.47*(E1654-1)+F1654</f>
        <v>83.94</v>
      </c>
      <c r="H1654" s="60">
        <v>4334.1354258399997</v>
      </c>
      <c r="I1654" s="60">
        <v>4925.8818833900004</v>
      </c>
      <c r="J1654" s="46">
        <f t="shared" si="236"/>
        <v>6109.3747984900019</v>
      </c>
      <c r="K1654" s="60">
        <v>40.303607560000003</v>
      </c>
      <c r="L1654" s="60">
        <v>46.793164590000003</v>
      </c>
      <c r="M1654" s="46">
        <f t="shared" si="237"/>
        <v>66.261835680000004</v>
      </c>
      <c r="O1654" s="94">
        <f t="shared" si="238"/>
        <v>3.6369024773059353</v>
      </c>
      <c r="P1654" s="94">
        <f t="shared" si="239"/>
        <v>3.692483993778569</v>
      </c>
      <c r="Q1654" s="94">
        <f t="shared" si="240"/>
        <v>3.7859967690873257</v>
      </c>
      <c r="R1654" s="48">
        <f t="shared" si="241"/>
        <v>1.6053439214085972</v>
      </c>
      <c r="S1654" s="94">
        <f t="shared" si="242"/>
        <v>1.6701824172267985</v>
      </c>
      <c r="T1654" s="94">
        <f t="shared" si="243"/>
        <v>1.8212634631585505</v>
      </c>
      <c r="U1654" s="94">
        <v>3.7859967690873257</v>
      </c>
      <c r="V1654" s="94">
        <v>1.8212634631585505</v>
      </c>
      <c r="W1654" s="49">
        <f t="shared" si="204"/>
        <v>1.0053472146308853</v>
      </c>
      <c r="X1654" s="90">
        <v>10.782494829999999</v>
      </c>
      <c r="Y1654" s="90">
        <v>11.379310500000001</v>
      </c>
      <c r="AA1654" s="28"/>
    </row>
    <row r="1655" spans="1:33" s="45" customFormat="1" ht="12.75" hidden="1" customHeight="1">
      <c r="A1655" s="28" t="s">
        <v>152</v>
      </c>
      <c r="B1655" s="45" t="s">
        <v>203</v>
      </c>
      <c r="C1655" s="28" t="s">
        <v>226</v>
      </c>
      <c r="D1655" s="70">
        <v>2004</v>
      </c>
      <c r="E1655" s="70">
        <v>4</v>
      </c>
      <c r="F1655" s="70">
        <v>30</v>
      </c>
      <c r="G1655" s="34">
        <f t="shared" si="244"/>
        <v>121.41</v>
      </c>
      <c r="H1655" s="60">
        <v>4450.25951093</v>
      </c>
      <c r="I1655" s="60">
        <v>5002.6509251500001</v>
      </c>
      <c r="J1655" s="46">
        <f t="shared" si="236"/>
        <v>6107.4337535900004</v>
      </c>
      <c r="K1655" s="60">
        <v>62.84629529</v>
      </c>
      <c r="L1655" s="60">
        <v>70.018975549999993</v>
      </c>
      <c r="M1655" s="46">
        <f t="shared" si="237"/>
        <v>91.537016329999972</v>
      </c>
      <c r="O1655" s="94">
        <f t="shared" si="238"/>
        <v>3.6483853370210961</v>
      </c>
      <c r="P1655" s="94">
        <f t="shared" si="239"/>
        <v>3.6992001997512447</v>
      </c>
      <c r="Q1655" s="94">
        <f t="shared" si="240"/>
        <v>3.7858587649444768</v>
      </c>
      <c r="R1655" s="48">
        <f t="shared" si="241"/>
        <v>1.7982796816634805</v>
      </c>
      <c r="S1655" s="94">
        <f t="shared" si="242"/>
        <v>1.8452157522982406</v>
      </c>
      <c r="T1655" s="94">
        <f t="shared" si="243"/>
        <v>1.9615967523939362</v>
      </c>
      <c r="U1655" s="94">
        <v>3.7858587649444768</v>
      </c>
      <c r="V1655" s="94">
        <v>1.9615967523939362</v>
      </c>
      <c r="W1655" s="49">
        <f t="shared" si="204"/>
        <v>0.87152462566493571</v>
      </c>
      <c r="X1655" s="90">
        <v>17.506630810000001</v>
      </c>
      <c r="Y1655" s="90">
        <v>18.381963290000002</v>
      </c>
      <c r="AA1655" s="28"/>
    </row>
    <row r="1656" spans="1:33" s="45" customFormat="1" ht="12.75" hidden="1" customHeight="1">
      <c r="A1656" s="28" t="s">
        <v>152</v>
      </c>
      <c r="B1656" s="45" t="s">
        <v>203</v>
      </c>
      <c r="C1656" s="28" t="s">
        <v>226</v>
      </c>
      <c r="D1656" s="70">
        <v>2004</v>
      </c>
      <c r="E1656" s="70">
        <v>6</v>
      </c>
      <c r="F1656" s="70">
        <v>3</v>
      </c>
      <c r="G1656" s="34">
        <f t="shared" si="244"/>
        <v>155.35</v>
      </c>
      <c r="H1656" s="60">
        <v>5809.2339852499999</v>
      </c>
      <c r="I1656" s="60">
        <v>6105.0920675300003</v>
      </c>
      <c r="J1656" s="46">
        <f t="shared" si="236"/>
        <v>6696.8082320900012</v>
      </c>
      <c r="K1656" s="60">
        <v>58.064517930000001</v>
      </c>
      <c r="L1656" s="60">
        <v>63.187856910000001</v>
      </c>
      <c r="M1656" s="46">
        <f t="shared" si="237"/>
        <v>78.557873849999993</v>
      </c>
      <c r="O1656" s="94">
        <f t="shared" si="238"/>
        <v>3.7641188694107082</v>
      </c>
      <c r="P1656" s="94">
        <f t="shared" si="239"/>
        <v>3.7856922176861016</v>
      </c>
      <c r="Q1656" s="94">
        <f t="shared" si="240"/>
        <v>3.8258678627800569</v>
      </c>
      <c r="R1656" s="48">
        <f t="shared" si="241"/>
        <v>1.7639108247394004</v>
      </c>
      <c r="S1656" s="94">
        <f t="shared" si="242"/>
        <v>1.8006336260089559</v>
      </c>
      <c r="T1656" s="94">
        <f t="shared" si="243"/>
        <v>1.8951897208620392</v>
      </c>
      <c r="U1656" s="94">
        <v>3.8258678627800569</v>
      </c>
      <c r="V1656" s="94">
        <v>1.8951897208620392</v>
      </c>
      <c r="W1656" s="49">
        <f t="shared" si="204"/>
        <v>0.92288658401764945</v>
      </c>
      <c r="X1656" s="90">
        <v>15.6763923</v>
      </c>
      <c r="Y1656" s="90">
        <v>17.267904300000001</v>
      </c>
      <c r="AA1656" s="28"/>
    </row>
    <row r="1657" spans="1:33" s="45" customFormat="1" ht="12.75" hidden="1" customHeight="1">
      <c r="A1657" s="28" t="s">
        <v>152</v>
      </c>
      <c r="B1657" s="45" t="s">
        <v>203</v>
      </c>
      <c r="C1657" s="28" t="s">
        <v>226</v>
      </c>
      <c r="D1657" s="70">
        <v>2004</v>
      </c>
      <c r="E1657" s="70">
        <v>7</v>
      </c>
      <c r="F1657" s="70">
        <v>5</v>
      </c>
      <c r="G1657" s="34">
        <f t="shared" si="244"/>
        <v>187.82</v>
      </c>
      <c r="H1657" s="60">
        <v>7917.8076020500002</v>
      </c>
      <c r="I1657" s="60">
        <v>8075.5675676600003</v>
      </c>
      <c r="J1657" s="46">
        <f t="shared" si="236"/>
        <v>8391.0874988800006</v>
      </c>
      <c r="K1657" s="60">
        <v>44.402280640000001</v>
      </c>
      <c r="L1657" s="60">
        <v>47.817839960000001</v>
      </c>
      <c r="M1657" s="46">
        <f t="shared" si="237"/>
        <v>58.06451792</v>
      </c>
      <c r="O1657" s="94">
        <f t="shared" si="238"/>
        <v>3.8986049444503861</v>
      </c>
      <c r="P1657" s="94">
        <f t="shared" si="239"/>
        <v>3.9071730551939363</v>
      </c>
      <c r="Q1657" s="94">
        <f t="shared" si="240"/>
        <v>3.9238182497626983</v>
      </c>
      <c r="R1657" s="48">
        <f t="shared" si="241"/>
        <v>1.6474052774103398</v>
      </c>
      <c r="S1657" s="94">
        <f t="shared" si="242"/>
        <v>1.6795899541586712</v>
      </c>
      <c r="T1657" s="94">
        <f t="shared" si="243"/>
        <v>1.7639108246646051</v>
      </c>
      <c r="U1657" s="94">
        <v>3.9238182497626983</v>
      </c>
      <c r="V1657" s="94">
        <v>1.7639108246646051</v>
      </c>
      <c r="W1657" s="49">
        <f t="shared" si="204"/>
        <v>1.0187749726195607</v>
      </c>
      <c r="X1657" s="90">
        <v>12.77188276</v>
      </c>
      <c r="Y1657" s="90">
        <v>13.527851399999999</v>
      </c>
      <c r="AA1657" s="28"/>
    </row>
    <row r="1658" spans="1:33" s="45" customFormat="1" ht="12.75" hidden="1" customHeight="1">
      <c r="A1658" s="28" t="s">
        <v>152</v>
      </c>
      <c r="B1658" s="45" t="s">
        <v>203</v>
      </c>
      <c r="C1658" s="28" t="s">
        <v>226</v>
      </c>
      <c r="D1658" s="70">
        <v>2004</v>
      </c>
      <c r="E1658" s="70">
        <v>8</v>
      </c>
      <c r="F1658" s="70">
        <v>9</v>
      </c>
      <c r="G1658" s="34">
        <f t="shared" si="244"/>
        <v>222.29</v>
      </c>
      <c r="H1658" s="60">
        <v>7757.8284343799996</v>
      </c>
      <c r="I1658" s="60">
        <v>8290.3728247500003</v>
      </c>
      <c r="J1658" s="46">
        <f t="shared" si="236"/>
        <v>9355.4616054900016</v>
      </c>
      <c r="K1658" s="60">
        <v>83.339660690000002</v>
      </c>
      <c r="L1658" s="60">
        <v>103.14990285</v>
      </c>
      <c r="M1658" s="46">
        <f t="shared" si="237"/>
        <v>162.58062933000002</v>
      </c>
      <c r="O1658" s="94">
        <f t="shared" si="238"/>
        <v>3.8897401708781207</v>
      </c>
      <c r="P1658" s="94">
        <f t="shared" si="239"/>
        <v>3.9185740615624383</v>
      </c>
      <c r="Q1658" s="94">
        <f t="shared" si="240"/>
        <v>3.9710652207800488</v>
      </c>
      <c r="R1658" s="48">
        <f t="shared" si="241"/>
        <v>1.9208517279335866</v>
      </c>
      <c r="S1658" s="94">
        <f t="shared" si="242"/>
        <v>2.0134688232764142</v>
      </c>
      <c r="T1658" s="94">
        <f t="shared" si="243"/>
        <v>2.2110688003218253</v>
      </c>
      <c r="U1658" s="94">
        <v>3.9710652207800488</v>
      </c>
      <c r="V1658" s="94">
        <v>2.2110688003218253</v>
      </c>
      <c r="W1658" s="49">
        <f t="shared" si="204"/>
        <v>0.57807934954495488</v>
      </c>
      <c r="X1658" s="90">
        <v>16.43236095</v>
      </c>
      <c r="Y1658" s="90">
        <v>17.06896575</v>
      </c>
      <c r="AA1658" s="28"/>
    </row>
    <row r="1659" spans="1:33" s="45" customFormat="1" ht="12.75" hidden="1" customHeight="1">
      <c r="A1659" s="28" t="s">
        <v>152</v>
      </c>
      <c r="B1659" s="45" t="s">
        <v>203</v>
      </c>
      <c r="C1659" s="28" t="s">
        <v>226</v>
      </c>
      <c r="D1659" s="70">
        <v>2004</v>
      </c>
      <c r="E1659" s="70">
        <v>9</v>
      </c>
      <c r="F1659" s="70">
        <v>8</v>
      </c>
      <c r="G1659" s="34">
        <f t="shared" si="244"/>
        <v>251.76</v>
      </c>
      <c r="H1659" s="60">
        <v>7401.0730008999999</v>
      </c>
      <c r="I1659" s="60">
        <v>8209.7517240899997</v>
      </c>
      <c r="J1659" s="46">
        <f t="shared" si="236"/>
        <v>9827.1091704699993</v>
      </c>
      <c r="K1659" s="60">
        <v>58.064517930000001</v>
      </c>
      <c r="L1659" s="60">
        <v>71.385203070000003</v>
      </c>
      <c r="M1659" s="46">
        <f t="shared" si="237"/>
        <v>111.34725849</v>
      </c>
      <c r="O1659" s="94">
        <f t="shared" si="238"/>
        <v>3.8692946879185848</v>
      </c>
      <c r="P1659" s="94">
        <f t="shared" si="239"/>
        <v>3.9143300235642542</v>
      </c>
      <c r="Q1659" s="94">
        <f t="shared" si="240"/>
        <v>3.9924257807054642</v>
      </c>
      <c r="R1659" s="48">
        <f t="shared" si="241"/>
        <v>1.7639108247394004</v>
      </c>
      <c r="S1659" s="94">
        <f t="shared" si="242"/>
        <v>1.8536081992968285</v>
      </c>
      <c r="T1659" s="94">
        <f t="shared" si="243"/>
        <v>2.0466795286235615</v>
      </c>
      <c r="U1659" s="94">
        <v>3.9924257807054642</v>
      </c>
      <c r="V1659" s="94">
        <v>2.0466795286235615</v>
      </c>
      <c r="W1659" s="49">
        <f t="shared" si="204"/>
        <v>0.72849226265049283</v>
      </c>
      <c r="X1659" s="90">
        <v>14.5623345</v>
      </c>
      <c r="Y1659" s="90">
        <v>15.63660436</v>
      </c>
      <c r="AA1659" s="28"/>
    </row>
    <row r="1660" spans="1:33" s="45" customFormat="1" ht="12.75" hidden="1" customHeight="1">
      <c r="A1660" s="28" t="s">
        <v>152</v>
      </c>
      <c r="B1660" s="45" t="s">
        <v>203</v>
      </c>
      <c r="C1660" s="28" t="s">
        <v>226</v>
      </c>
      <c r="D1660" s="70">
        <v>2004</v>
      </c>
      <c r="E1660" s="70">
        <v>10</v>
      </c>
      <c r="F1660" s="70">
        <v>14</v>
      </c>
      <c r="G1660" s="34">
        <f t="shared" si="244"/>
        <v>288.23</v>
      </c>
      <c r="H1660" s="60">
        <v>4065.61314266</v>
      </c>
      <c r="I1660" s="60">
        <v>4440.4283862299999</v>
      </c>
      <c r="J1660" s="46">
        <f t="shared" si="236"/>
        <v>5190.0588733699997</v>
      </c>
      <c r="K1660" s="60">
        <v>26.982922420000001</v>
      </c>
      <c r="L1660" s="60">
        <v>42.011387220000003</v>
      </c>
      <c r="M1660" s="46">
        <f t="shared" si="237"/>
        <v>87.096781620000002</v>
      </c>
      <c r="O1660" s="94">
        <f t="shared" si="238"/>
        <v>3.6091260516258852</v>
      </c>
      <c r="P1660" s="94">
        <f t="shared" si="239"/>
        <v>3.6474248702950764</v>
      </c>
      <c r="Q1660" s="94">
        <f t="shared" si="240"/>
        <v>3.7151722842905972</v>
      </c>
      <c r="R1660" s="48">
        <f t="shared" si="241"/>
        <v>1.4310889847038117</v>
      </c>
      <c r="S1660" s="94">
        <f t="shared" si="242"/>
        <v>1.6233670222198393</v>
      </c>
      <c r="T1660" s="94">
        <f t="shared" si="243"/>
        <v>1.9400021073555558</v>
      </c>
      <c r="U1660" s="94">
        <v>3.7151722842905972</v>
      </c>
      <c r="V1660" s="94">
        <v>1.9400021073555558</v>
      </c>
      <c r="W1660" s="49">
        <f t="shared" si="204"/>
        <v>0.91329609741030771</v>
      </c>
      <c r="X1660" s="90">
        <v>8.2758623999999994</v>
      </c>
      <c r="Y1660" s="90">
        <v>9.5092852299999997</v>
      </c>
      <c r="AA1660" s="28"/>
    </row>
    <row r="1661" spans="1:33" s="45" customFormat="1" ht="12.75" hidden="1" customHeight="1">
      <c r="A1661" s="28" t="s">
        <v>152</v>
      </c>
      <c r="B1661" s="45" t="s">
        <v>203</v>
      </c>
      <c r="C1661" s="28" t="s">
        <v>226</v>
      </c>
      <c r="D1661" s="70">
        <v>2004</v>
      </c>
      <c r="E1661" s="70">
        <v>11</v>
      </c>
      <c r="F1661" s="70">
        <v>18</v>
      </c>
      <c r="G1661" s="34">
        <f t="shared" si="244"/>
        <v>322.7</v>
      </c>
      <c r="H1661" s="60">
        <v>2998.5827920299998</v>
      </c>
      <c r="I1661" s="60">
        <v>3412.7530781</v>
      </c>
      <c r="J1661" s="46">
        <f t="shared" si="236"/>
        <v>4241.09365024</v>
      </c>
      <c r="K1661" s="60">
        <v>13.320694619999999</v>
      </c>
      <c r="L1661" s="60">
        <v>17.077796599999999</v>
      </c>
      <c r="M1661" s="46">
        <f t="shared" si="237"/>
        <v>28.349102539999997</v>
      </c>
      <c r="O1661" s="94">
        <f t="shared" si="238"/>
        <v>3.4769160443778633</v>
      </c>
      <c r="P1661" s="94">
        <f t="shared" si="239"/>
        <v>3.5331048670369234</v>
      </c>
      <c r="Q1661" s="94">
        <f t="shared" si="240"/>
        <v>3.6274778624935244</v>
      </c>
      <c r="R1661" s="48">
        <f t="shared" si="241"/>
        <v>1.1245268721141217</v>
      </c>
      <c r="S1661" s="94">
        <f t="shared" si="242"/>
        <v>1.2324318367165341</v>
      </c>
      <c r="T1661" s="94">
        <f t="shared" si="243"/>
        <v>1.4525393147952359</v>
      </c>
      <c r="U1661" s="94">
        <v>3.6274778624935244</v>
      </c>
      <c r="V1661" s="94">
        <v>1.4525393147952359</v>
      </c>
      <c r="W1661" s="49">
        <f t="shared" si="204"/>
        <v>1.4045534918445965</v>
      </c>
      <c r="X1661" s="90">
        <v>11.89655145</v>
      </c>
      <c r="Y1661" s="90">
        <v>12.13527796</v>
      </c>
      <c r="AA1661" s="28"/>
    </row>
    <row r="1662" spans="1:33" s="45" customFormat="1" ht="12.75" hidden="1" customHeight="1">
      <c r="A1662" s="28" t="s">
        <v>152</v>
      </c>
      <c r="B1662" s="45" t="s">
        <v>203</v>
      </c>
      <c r="C1662" s="28" t="s">
        <v>226</v>
      </c>
      <c r="D1662" s="70">
        <v>2004</v>
      </c>
      <c r="E1662" s="70">
        <v>12</v>
      </c>
      <c r="F1662" s="70">
        <v>31</v>
      </c>
      <c r="G1662" s="34">
        <f t="shared" si="244"/>
        <v>366.16999999999996</v>
      </c>
      <c r="H1662" s="60">
        <v>1851.70206721</v>
      </c>
      <c r="I1662" s="60">
        <v>2364.6762746600002</v>
      </c>
      <c r="J1662" s="46">
        <f t="shared" si="236"/>
        <v>3390.6246895600007</v>
      </c>
      <c r="K1662" s="60">
        <v>6.4895570200000003</v>
      </c>
      <c r="L1662" s="60">
        <v>11.27134386</v>
      </c>
      <c r="M1662" s="46">
        <f t="shared" si="237"/>
        <v>25.616704380000002</v>
      </c>
      <c r="O1662" s="94">
        <f t="shared" si="238"/>
        <v>3.2675711114088877</v>
      </c>
      <c r="P1662" s="94">
        <f t="shared" si="239"/>
        <v>3.3737716940159275</v>
      </c>
      <c r="Q1662" s="94">
        <f t="shared" si="240"/>
        <v>3.5302797201013583</v>
      </c>
      <c r="R1662" s="48">
        <f t="shared" si="241"/>
        <v>0.81221505268087091</v>
      </c>
      <c r="S1662" s="94">
        <f t="shared" si="242"/>
        <v>1.0519756992039135</v>
      </c>
      <c r="T1662" s="94">
        <f t="shared" si="243"/>
        <v>1.4085232564920482</v>
      </c>
      <c r="U1662" s="94">
        <v>3.5302797201013583</v>
      </c>
      <c r="V1662" s="94">
        <v>1.4085232564920482</v>
      </c>
      <c r="W1662" s="49">
        <f t="shared" si="204"/>
        <v>1.475653644580764</v>
      </c>
      <c r="X1662" s="90">
        <v>8.7135286399999998</v>
      </c>
      <c r="Y1662" s="90">
        <v>9.8275864500000001</v>
      </c>
      <c r="AA1662" s="28"/>
    </row>
    <row r="1663" spans="1:33" s="45" customFormat="1" ht="12.75" hidden="1" customHeight="1">
      <c r="A1663" s="28" t="s">
        <v>152</v>
      </c>
      <c r="B1663" s="45" t="s">
        <v>203</v>
      </c>
      <c r="C1663" s="28" t="s">
        <v>227</v>
      </c>
      <c r="D1663" s="70">
        <v>2004</v>
      </c>
      <c r="E1663" s="70">
        <v>1</v>
      </c>
      <c r="F1663" s="70">
        <v>21</v>
      </c>
      <c r="G1663" s="34">
        <f t="shared" si="244"/>
        <v>21</v>
      </c>
      <c r="H1663" s="60">
        <v>3095.1681772299999</v>
      </c>
      <c r="I1663" s="60">
        <v>3529.0624760800001</v>
      </c>
      <c r="J1663" s="46">
        <f t="shared" si="236"/>
        <v>4396.8510737800007</v>
      </c>
      <c r="K1663" s="60">
        <v>7.8557845400000001</v>
      </c>
      <c r="L1663" s="60">
        <v>11.61290548</v>
      </c>
      <c r="M1663" s="46">
        <f t="shared" si="237"/>
        <v>22.884268300000002</v>
      </c>
      <c r="O1663" s="94">
        <f t="shared" si="238"/>
        <v>3.4906842515657162</v>
      </c>
      <c r="P1663" s="94">
        <f t="shared" si="239"/>
        <v>3.5476593468770057</v>
      </c>
      <c r="Q1663" s="94">
        <f t="shared" si="240"/>
        <v>3.6431417558332839</v>
      </c>
      <c r="R1663" s="48">
        <f t="shared" si="241"/>
        <v>0.89518956358079371</v>
      </c>
      <c r="S1663" s="94">
        <f t="shared" si="242"/>
        <v>1.064940891234391</v>
      </c>
      <c r="T1663" s="94">
        <f t="shared" si="243"/>
        <v>1.3595370308838084</v>
      </c>
      <c r="U1663" s="94">
        <v>3.6431417558332839</v>
      </c>
      <c r="V1663" s="94">
        <v>1.3595370308838084</v>
      </c>
      <c r="W1663" s="49">
        <f t="shared" si="204"/>
        <v>1.4885766490806729</v>
      </c>
      <c r="X1663" s="90">
        <v>6.9628660299999998</v>
      </c>
      <c r="Y1663" s="90">
        <v>7.5198949400000004</v>
      </c>
      <c r="AA1663" s="28"/>
    </row>
    <row r="1664" spans="1:33" s="45" customFormat="1" ht="12.75" hidden="1" customHeight="1">
      <c r="A1664" s="28" t="s">
        <v>152</v>
      </c>
      <c r="B1664" s="45" t="s">
        <v>203</v>
      </c>
      <c r="C1664" s="28" t="s">
        <v>227</v>
      </c>
      <c r="D1664" s="70">
        <v>2004</v>
      </c>
      <c r="E1664" s="70">
        <v>3</v>
      </c>
      <c r="F1664" s="70">
        <v>23</v>
      </c>
      <c r="G1664" s="34">
        <f t="shared" si="244"/>
        <v>83.94</v>
      </c>
      <c r="H1664" s="60">
        <v>2282.8842068499998</v>
      </c>
      <c r="I1664" s="60">
        <v>2953.4645504499999</v>
      </c>
      <c r="J1664" s="46">
        <f t="shared" si="236"/>
        <v>4294.6252376499997</v>
      </c>
      <c r="K1664" s="60">
        <v>5.4648911199999999</v>
      </c>
      <c r="L1664" s="60">
        <v>10.58823958</v>
      </c>
      <c r="M1664" s="46">
        <f t="shared" si="237"/>
        <v>25.95828496</v>
      </c>
      <c r="O1664" s="94">
        <f t="shared" si="238"/>
        <v>3.3584838836315249</v>
      </c>
      <c r="P1664" s="94">
        <f t="shared" si="239"/>
        <v>3.4703317625185517</v>
      </c>
      <c r="Q1664" s="94">
        <f t="shared" si="240"/>
        <v>3.632925271934019</v>
      </c>
      <c r="R1664" s="48">
        <f t="shared" si="241"/>
        <v>0.73758151368659286</v>
      </c>
      <c r="S1664" s="94">
        <f t="shared" si="242"/>
        <v>1.0248237595177518</v>
      </c>
      <c r="T1664" s="94">
        <f t="shared" si="243"/>
        <v>1.4142759956393911</v>
      </c>
      <c r="U1664" s="94">
        <v>3.632925271934019</v>
      </c>
      <c r="V1664" s="94">
        <v>1.4142759956393911</v>
      </c>
      <c r="W1664" s="49">
        <f t="shared" si="204"/>
        <v>1.4394212388536567</v>
      </c>
      <c r="X1664" s="90">
        <v>6.9628660299999998</v>
      </c>
      <c r="Y1664" s="90">
        <v>7.6392575999999996</v>
      </c>
      <c r="AA1664" s="28"/>
    </row>
    <row r="1665" spans="1:27" s="45" customFormat="1" ht="12.75" hidden="1" customHeight="1">
      <c r="A1665" s="28" t="s">
        <v>152</v>
      </c>
      <c r="B1665" s="45" t="s">
        <v>203</v>
      </c>
      <c r="C1665" s="28" t="s">
        <v>227</v>
      </c>
      <c r="D1665" s="70">
        <v>2004</v>
      </c>
      <c r="E1665" s="70">
        <v>4</v>
      </c>
      <c r="F1665" s="70">
        <v>30</v>
      </c>
      <c r="G1665" s="34">
        <f t="shared" si="244"/>
        <v>121.41</v>
      </c>
      <c r="H1665" s="60">
        <v>3819.1266662399998</v>
      </c>
      <c r="I1665" s="60">
        <v>3917.83865788</v>
      </c>
      <c r="J1665" s="46">
        <f t="shared" si="236"/>
        <v>4115.2626411600004</v>
      </c>
      <c r="K1665" s="60">
        <v>24.592038479999999</v>
      </c>
      <c r="L1665" s="60">
        <v>28.00758832</v>
      </c>
      <c r="M1665" s="46">
        <f t="shared" si="237"/>
        <v>38.254237840000002</v>
      </c>
      <c r="O1665" s="94">
        <f t="shared" si="238"/>
        <v>3.5819640625463522</v>
      </c>
      <c r="P1665" s="94">
        <f t="shared" si="239"/>
        <v>3.5930465471678588</v>
      </c>
      <c r="Q1665" s="94">
        <f t="shared" si="240"/>
        <v>3.6143975576446654</v>
      </c>
      <c r="R1665" s="48">
        <f t="shared" si="241"/>
        <v>1.3907945297115656</v>
      </c>
      <c r="S1665" s="94">
        <f t="shared" si="242"/>
        <v>1.4472757141642059</v>
      </c>
      <c r="T1665" s="94">
        <f t="shared" si="243"/>
        <v>1.5826795537008498</v>
      </c>
      <c r="U1665" s="94">
        <v>3.6143975576446654</v>
      </c>
      <c r="V1665" s="94">
        <v>1.5826795537008498</v>
      </c>
      <c r="W1665" s="49">
        <f t="shared" si="204"/>
        <v>1.2843305910302638</v>
      </c>
      <c r="X1665" s="90">
        <v>13.806365850000001</v>
      </c>
      <c r="Y1665" s="90">
        <v>14.920424840000001</v>
      </c>
      <c r="AA1665" s="28"/>
    </row>
    <row r="1666" spans="1:27" s="45" customFormat="1" ht="12.75" hidden="1" customHeight="1">
      <c r="A1666" s="28" t="s">
        <v>152</v>
      </c>
      <c r="B1666" s="45" t="s">
        <v>203</v>
      </c>
      <c r="C1666" s="28" t="s">
        <v>227</v>
      </c>
      <c r="D1666" s="70">
        <v>2004</v>
      </c>
      <c r="E1666" s="70">
        <v>6</v>
      </c>
      <c r="F1666" s="70">
        <v>3</v>
      </c>
      <c r="G1666" s="34">
        <f t="shared" si="244"/>
        <v>155.35</v>
      </c>
      <c r="H1666" s="60">
        <v>2397.0050844299999</v>
      </c>
      <c r="I1666" s="60">
        <v>2574.5196182999998</v>
      </c>
      <c r="J1666" s="46">
        <f t="shared" si="236"/>
        <v>2929.5486860399997</v>
      </c>
      <c r="K1666" s="60">
        <v>17.76091984</v>
      </c>
      <c r="L1666" s="60">
        <v>22.542706679999998</v>
      </c>
      <c r="M1666" s="46">
        <f t="shared" si="237"/>
        <v>36.888067199999995</v>
      </c>
      <c r="O1666" s="94">
        <f t="shared" si="238"/>
        <v>3.3796689552424777</v>
      </c>
      <c r="P1666" s="94">
        <f t="shared" si="239"/>
        <v>3.4106962055774979</v>
      </c>
      <c r="Q1666" s="94">
        <f t="shared" si="240"/>
        <v>3.4668007199242901</v>
      </c>
      <c r="R1666" s="48">
        <f t="shared" si="241"/>
        <v>1.2494654541842185</v>
      </c>
      <c r="S1666" s="94">
        <f t="shared" si="242"/>
        <v>1.3530060601402178</v>
      </c>
      <c r="T1666" s="94">
        <f t="shared" si="243"/>
        <v>1.5668859003781967</v>
      </c>
      <c r="U1666" s="94">
        <v>3.4668007199242901</v>
      </c>
      <c r="V1666" s="94">
        <v>1.5668859003781967</v>
      </c>
      <c r="W1666" s="49">
        <f t="shared" si="204"/>
        <v>1.3436050407142031</v>
      </c>
      <c r="X1666" s="90">
        <v>13.328912839999999</v>
      </c>
      <c r="Y1666" s="90">
        <v>14.04509236</v>
      </c>
      <c r="AA1666" s="28"/>
    </row>
    <row r="1667" spans="1:27" s="45" customFormat="1" ht="12.75" hidden="1" customHeight="1">
      <c r="A1667" s="28" t="s">
        <v>152</v>
      </c>
      <c r="B1667" s="45" t="s">
        <v>203</v>
      </c>
      <c r="C1667" s="28" t="s">
        <v>227</v>
      </c>
      <c r="D1667" s="70">
        <v>2004</v>
      </c>
      <c r="E1667" s="70">
        <v>7</v>
      </c>
      <c r="F1667" s="70">
        <v>5</v>
      </c>
      <c r="G1667" s="34">
        <f t="shared" si="244"/>
        <v>187.82</v>
      </c>
      <c r="H1667" s="60">
        <v>4683.0321233300001</v>
      </c>
      <c r="I1667" s="60">
        <v>5057.7852034500002</v>
      </c>
      <c r="J1667" s="46">
        <f t="shared" si="236"/>
        <v>5807.2913636900003</v>
      </c>
      <c r="K1667" s="60">
        <v>50.550285520000003</v>
      </c>
      <c r="L1667" s="60">
        <v>53.282731089999999</v>
      </c>
      <c r="M1667" s="46">
        <f t="shared" si="237"/>
        <v>61.480067799999986</v>
      </c>
      <c r="O1667" s="94">
        <f t="shared" si="238"/>
        <v>3.6705271368418941</v>
      </c>
      <c r="P1667" s="94">
        <f t="shared" si="239"/>
        <v>3.7039603815648894</v>
      </c>
      <c r="Q1667" s="94">
        <f t="shared" si="240"/>
        <v>3.7639736160227191</v>
      </c>
      <c r="R1667" s="48">
        <f t="shared" si="241"/>
        <v>1.7037236129321689</v>
      </c>
      <c r="S1667" s="94">
        <f t="shared" si="242"/>
        <v>1.7265864771779809</v>
      </c>
      <c r="T1667" s="94">
        <f t="shared" si="243"/>
        <v>1.7887343377663807</v>
      </c>
      <c r="U1667" s="94">
        <v>3.7639736160227191</v>
      </c>
      <c r="V1667" s="94">
        <v>1.7887343377663807</v>
      </c>
      <c r="W1667" s="49">
        <f t="shared" si="204"/>
        <v>1.0429732234548912</v>
      </c>
      <c r="X1667" s="90">
        <v>18.740053639999999</v>
      </c>
      <c r="Y1667" s="90">
        <v>19.93368735</v>
      </c>
      <c r="AA1667" s="28"/>
    </row>
    <row r="1668" spans="1:27" s="45" customFormat="1" ht="12.75" hidden="1" customHeight="1">
      <c r="A1668" s="28" t="s">
        <v>152</v>
      </c>
      <c r="B1668" s="45" t="s">
        <v>203</v>
      </c>
      <c r="C1668" s="28" t="s">
        <v>227</v>
      </c>
      <c r="D1668" s="70">
        <v>2004</v>
      </c>
      <c r="E1668" s="70">
        <v>8</v>
      </c>
      <c r="F1668" s="70">
        <v>9</v>
      </c>
      <c r="G1668" s="34">
        <f t="shared" si="244"/>
        <v>222.29</v>
      </c>
      <c r="H1668" s="60">
        <v>7619.76139943</v>
      </c>
      <c r="I1668" s="60">
        <v>8329.8205865799991</v>
      </c>
      <c r="J1668" s="46">
        <f t="shared" si="236"/>
        <v>9749.9389608799975</v>
      </c>
      <c r="K1668" s="60">
        <v>80.265653510000007</v>
      </c>
      <c r="L1668" s="60">
        <v>90.512331470000007</v>
      </c>
      <c r="M1668" s="46">
        <f t="shared" si="237"/>
        <v>121.25236535000001</v>
      </c>
      <c r="O1668" s="94">
        <f t="shared" si="238"/>
        <v>3.8819413723194818</v>
      </c>
      <c r="P1668" s="94">
        <f t="shared" si="239"/>
        <v>3.9206356473734854</v>
      </c>
      <c r="Q1668" s="94">
        <f t="shared" si="240"/>
        <v>3.9890018968230523</v>
      </c>
      <c r="R1668" s="48">
        <f t="shared" si="241"/>
        <v>1.9045297459999289</v>
      </c>
      <c r="S1668" s="94">
        <f t="shared" si="242"/>
        <v>1.9567077518520561</v>
      </c>
      <c r="T1668" s="94">
        <f t="shared" si="243"/>
        <v>2.0836902194263258</v>
      </c>
      <c r="U1668" s="94">
        <v>3.9890018968230523</v>
      </c>
      <c r="V1668" s="94">
        <v>2.0836902194263258</v>
      </c>
      <c r="W1668" s="49">
        <f t="shared" si="204"/>
        <v>0.69421330214406207</v>
      </c>
      <c r="X1668" s="90">
        <v>20.172413850000002</v>
      </c>
      <c r="Y1668" s="90">
        <v>22.281166800000001</v>
      </c>
      <c r="AA1668" s="28"/>
    </row>
    <row r="1669" spans="1:27" s="45" customFormat="1" ht="12.75" hidden="1" customHeight="1">
      <c r="A1669" s="28" t="s">
        <v>152</v>
      </c>
      <c r="B1669" s="45" t="s">
        <v>203</v>
      </c>
      <c r="C1669" s="28" t="s">
        <v>227</v>
      </c>
      <c r="D1669" s="70">
        <v>2004</v>
      </c>
      <c r="E1669" s="70">
        <v>9</v>
      </c>
      <c r="F1669" s="70">
        <v>8</v>
      </c>
      <c r="G1669" s="34">
        <f t="shared" si="244"/>
        <v>251.76</v>
      </c>
      <c r="H1669" s="60">
        <v>7243.3438540899997</v>
      </c>
      <c r="I1669" s="60">
        <v>8150.6724063000001</v>
      </c>
      <c r="J1669" s="46">
        <f t="shared" si="236"/>
        <v>9965.3295107200011</v>
      </c>
      <c r="K1669" s="60">
        <v>84.364326590000005</v>
      </c>
      <c r="L1669" s="60">
        <v>121.59392697</v>
      </c>
      <c r="M1669" s="46">
        <f t="shared" si="237"/>
        <v>233.28272810999999</v>
      </c>
      <c r="O1669" s="94">
        <f t="shared" si="238"/>
        <v>3.8599391024020466</v>
      </c>
      <c r="P1669" s="94">
        <f t="shared" si="239"/>
        <v>3.9111934382246227</v>
      </c>
      <c r="Q1669" s="94">
        <f t="shared" si="240"/>
        <v>3.9984916635303818</v>
      </c>
      <c r="R1669" s="48">
        <f t="shared" si="241"/>
        <v>1.9261588442535489</v>
      </c>
      <c r="S1669" s="94">
        <f t="shared" si="242"/>
        <v>2.0849118845643386</v>
      </c>
      <c r="T1669" s="94">
        <f t="shared" si="243"/>
        <v>2.3678825854967247</v>
      </c>
      <c r="U1669" s="94">
        <v>3.9984916635303818</v>
      </c>
      <c r="V1669" s="94">
        <v>2.3678825854967247</v>
      </c>
      <c r="W1669" s="49">
        <f t="shared" si="204"/>
        <v>0.42027978557240198</v>
      </c>
      <c r="X1669" s="90">
        <v>23.355437850000001</v>
      </c>
      <c r="Y1669" s="90">
        <v>29.721485399999999</v>
      </c>
      <c r="AA1669" s="28"/>
    </row>
    <row r="1670" spans="1:27" s="45" customFormat="1" ht="12.75" hidden="1" customHeight="1">
      <c r="A1670" s="28" t="s">
        <v>152</v>
      </c>
      <c r="B1670" s="45" t="s">
        <v>203</v>
      </c>
      <c r="C1670" s="28" t="s">
        <v>227</v>
      </c>
      <c r="D1670" s="70">
        <v>2004</v>
      </c>
      <c r="E1670" s="70">
        <v>10</v>
      </c>
      <c r="F1670" s="70">
        <v>14</v>
      </c>
      <c r="G1670" s="34">
        <f t="shared" si="244"/>
        <v>288.23</v>
      </c>
      <c r="H1670" s="60">
        <v>8247.1651966999998</v>
      </c>
      <c r="I1670" s="60">
        <v>9746.0866399000006</v>
      </c>
      <c r="J1670" s="46">
        <f t="shared" si="236"/>
        <v>12743.929526300002</v>
      </c>
      <c r="K1670" s="60">
        <v>115.10436521</v>
      </c>
      <c r="L1670" s="60">
        <v>161.55597766</v>
      </c>
      <c r="M1670" s="46">
        <f t="shared" si="237"/>
        <v>300.91081500999996</v>
      </c>
      <c r="O1670" s="94">
        <f t="shared" si="238"/>
        <v>3.9163046938836947</v>
      </c>
      <c r="P1670" s="94">
        <f t="shared" si="239"/>
        <v>3.9888302678151542</v>
      </c>
      <c r="Q1670" s="94">
        <f t="shared" si="240"/>
        <v>4.1053033611590788</v>
      </c>
      <c r="R1670" s="48">
        <f t="shared" si="241"/>
        <v>2.0610917940960563</v>
      </c>
      <c r="S1670" s="94">
        <f t="shared" si="242"/>
        <v>2.2083230317855675</v>
      </c>
      <c r="T1670" s="94">
        <f t="shared" si="243"/>
        <v>2.47843779696161</v>
      </c>
      <c r="U1670" s="94">
        <v>4.1053033611590788</v>
      </c>
      <c r="V1670" s="94">
        <v>2.47843779696161</v>
      </c>
      <c r="W1670" s="49">
        <f t="shared" si="204"/>
        <v>0.28282843834849158</v>
      </c>
      <c r="X1670" s="90">
        <v>20.212201799999999</v>
      </c>
      <c r="Y1670" s="90">
        <v>25.941644400000001</v>
      </c>
      <c r="AA1670" s="28"/>
    </row>
    <row r="1671" spans="1:27" s="45" customFormat="1" ht="12.75" hidden="1" customHeight="1">
      <c r="A1671" s="28" t="s">
        <v>152</v>
      </c>
      <c r="B1671" s="45" t="s">
        <v>203</v>
      </c>
      <c r="C1671" s="28" t="s">
        <v>227</v>
      </c>
      <c r="D1671" s="70">
        <v>2004</v>
      </c>
      <c r="E1671" s="70">
        <v>11</v>
      </c>
      <c r="F1671" s="70">
        <v>18</v>
      </c>
      <c r="G1671" s="34">
        <f t="shared" si="244"/>
        <v>322.7</v>
      </c>
      <c r="H1671" s="60">
        <v>2170.2427441</v>
      </c>
      <c r="I1671" s="60">
        <v>2327.9413366600002</v>
      </c>
      <c r="J1671" s="46">
        <f t="shared" si="236"/>
        <v>2643.3385217800005</v>
      </c>
      <c r="K1671" s="60">
        <v>9.9051163399999993</v>
      </c>
      <c r="L1671" s="60">
        <v>14.68690318</v>
      </c>
      <c r="M1671" s="46">
        <f t="shared" si="237"/>
        <v>29.032263700000001</v>
      </c>
      <c r="O1671" s="94">
        <f t="shared" si="238"/>
        <v>3.3365083128932835</v>
      </c>
      <c r="P1671" s="94">
        <f t="shared" si="239"/>
        <v>3.3669720320406271</v>
      </c>
      <c r="Q1671" s="94">
        <f t="shared" si="240"/>
        <v>3.4221527850487155</v>
      </c>
      <c r="R1671" s="48">
        <f t="shared" si="241"/>
        <v>0.99585958088650928</v>
      </c>
      <c r="S1671" s="94">
        <f t="shared" si="242"/>
        <v>1.1669302318950299</v>
      </c>
      <c r="T1671" s="94">
        <f t="shared" si="243"/>
        <v>1.4628808999064284</v>
      </c>
      <c r="U1671" s="94">
        <v>3.4221527850487155</v>
      </c>
      <c r="V1671" s="94">
        <v>1.4628808999064284</v>
      </c>
      <c r="W1671" s="49">
        <f t="shared" si="204"/>
        <v>1.4561885654986555</v>
      </c>
      <c r="X1671" s="90">
        <v>9.8673732100000002</v>
      </c>
      <c r="Y1671" s="90">
        <v>13.806365850000001</v>
      </c>
      <c r="AA1671" s="28"/>
    </row>
    <row r="1672" spans="1:27" s="45" customFormat="1" ht="12.75" hidden="1" customHeight="1">
      <c r="A1672" s="28" t="s">
        <v>152</v>
      </c>
      <c r="B1672" s="45" t="s">
        <v>203</v>
      </c>
      <c r="C1672" s="28" t="s">
        <v>227</v>
      </c>
      <c r="D1672" s="70">
        <v>2004</v>
      </c>
      <c r="E1672" s="70">
        <v>12</v>
      </c>
      <c r="F1672" s="70">
        <v>31</v>
      </c>
      <c r="G1672" s="34">
        <f t="shared" si="244"/>
        <v>366.16999999999996</v>
      </c>
      <c r="H1672" s="60">
        <v>2226.5784208999999</v>
      </c>
      <c r="I1672" s="60">
        <v>2482.8343860599998</v>
      </c>
      <c r="J1672" s="46">
        <f t="shared" si="236"/>
        <v>2995.3463163799997</v>
      </c>
      <c r="K1672" s="60">
        <v>4.4402252200000003</v>
      </c>
      <c r="L1672" s="60">
        <v>10.24667796</v>
      </c>
      <c r="M1672" s="46">
        <f t="shared" si="237"/>
        <v>27.666036179999999</v>
      </c>
      <c r="O1672" s="94">
        <f t="shared" si="238"/>
        <v>3.34763799574587</v>
      </c>
      <c r="P1672" s="94">
        <f t="shared" si="239"/>
        <v>3.3949477515243389</v>
      </c>
      <c r="Q1672" s="94">
        <f t="shared" si="240"/>
        <v>3.4764470419499767</v>
      </c>
      <c r="R1672" s="48">
        <f t="shared" si="241"/>
        <v>0.647404999241317</v>
      </c>
      <c r="S1672" s="94">
        <f t="shared" si="242"/>
        <v>1.0105830871001777</v>
      </c>
      <c r="T1672" s="94">
        <f t="shared" si="243"/>
        <v>1.4419469405479683</v>
      </c>
      <c r="U1672" s="94">
        <v>3.4764470419499767</v>
      </c>
      <c r="V1672" s="94">
        <v>1.4419469405479683</v>
      </c>
      <c r="W1672" s="49">
        <f t="shared" si="204"/>
        <v>1.4598950037500431</v>
      </c>
      <c r="X1672" s="90">
        <v>6.7639251099999997</v>
      </c>
      <c r="Y1672" s="90">
        <v>9.9071623399999993</v>
      </c>
      <c r="AA1672" s="28"/>
    </row>
    <row r="1673" spans="1:27" s="45" customFormat="1" ht="12.75" hidden="1" customHeight="1">
      <c r="A1673" s="28" t="s">
        <v>152</v>
      </c>
      <c r="B1673" s="45" t="s">
        <v>203</v>
      </c>
      <c r="C1673" s="28" t="s">
        <v>228</v>
      </c>
      <c r="D1673" s="70">
        <v>2004</v>
      </c>
      <c r="E1673" s="70">
        <v>1</v>
      </c>
      <c r="F1673" s="70">
        <v>21</v>
      </c>
      <c r="G1673" s="34">
        <f t="shared" si="244"/>
        <v>21</v>
      </c>
      <c r="H1673" s="60">
        <v>389.23744508999999</v>
      </c>
      <c r="I1673" s="60">
        <v>740.11018364999995</v>
      </c>
      <c r="J1673" s="46">
        <f t="shared" si="236"/>
        <v>1441.8556607699998</v>
      </c>
      <c r="K1673" s="60">
        <v>9.2220120600000008</v>
      </c>
      <c r="L1673" s="60">
        <v>11.9544671</v>
      </c>
      <c r="M1673" s="46">
        <f t="shared" si="237"/>
        <v>20.151832219999999</v>
      </c>
      <c r="O1673" s="94">
        <f t="shared" si="238"/>
        <v>2.5902146132348429</v>
      </c>
      <c r="P1673" s="94">
        <f t="shared" si="239"/>
        <v>2.8692963799864191</v>
      </c>
      <c r="Q1673" s="94">
        <f t="shared" si="240"/>
        <v>3.1589217868267991</v>
      </c>
      <c r="R1673" s="48">
        <f t="shared" si="241"/>
        <v>0.96482568582830608</v>
      </c>
      <c r="S1673" s="94">
        <f t="shared" si="242"/>
        <v>1.0775302211303603</v>
      </c>
      <c r="T1673" s="94">
        <f t="shared" si="243"/>
        <v>1.3043145386587989</v>
      </c>
      <c r="U1673" s="94">
        <v>3.1589217868267991</v>
      </c>
      <c r="V1673" s="94">
        <v>1.3043145386587989</v>
      </c>
      <c r="W1673" s="49">
        <f t="shared" si="204"/>
        <v>1.6862891769427895</v>
      </c>
      <c r="X1673" s="90">
        <v>5.7692299599999997</v>
      </c>
      <c r="Y1673" s="90">
        <v>7.8779852799999999</v>
      </c>
      <c r="AA1673" s="28"/>
    </row>
    <row r="1674" spans="1:27" s="45" customFormat="1" ht="12.75" hidden="1" customHeight="1">
      <c r="A1674" s="28" t="s">
        <v>152</v>
      </c>
      <c r="B1674" s="45" t="s">
        <v>203</v>
      </c>
      <c r="C1674" s="28" t="s">
        <v>228</v>
      </c>
      <c r="D1674" s="70">
        <v>2004</v>
      </c>
      <c r="E1674" s="70">
        <v>3</v>
      </c>
      <c r="F1674" s="70">
        <v>23</v>
      </c>
      <c r="G1674" s="34">
        <f t="shared" si="244"/>
        <v>83.94</v>
      </c>
      <c r="H1674" s="60">
        <v>1290.5385925999999</v>
      </c>
      <c r="I1674" s="60">
        <v>1548.8898553199999</v>
      </c>
      <c r="J1674" s="46">
        <f t="shared" si="236"/>
        <v>2065.5923807600002</v>
      </c>
      <c r="K1674" s="60">
        <v>5.8064527400000001</v>
      </c>
      <c r="L1674" s="60">
        <v>9.9051163399999993</v>
      </c>
      <c r="M1674" s="46">
        <f t="shared" si="237"/>
        <v>22.201107139999998</v>
      </c>
      <c r="O1674" s="94">
        <f t="shared" si="238"/>
        <v>3.1107709963286392</v>
      </c>
      <c r="P1674" s="94">
        <f t="shared" si="239"/>
        <v>3.1900205353011528</v>
      </c>
      <c r="Q1674" s="94">
        <f t="shared" si="240"/>
        <v>3.3150446229665014</v>
      </c>
      <c r="R1674" s="48">
        <f t="shared" si="241"/>
        <v>0.7639108955704097</v>
      </c>
      <c r="S1674" s="94">
        <f t="shared" si="242"/>
        <v>0.99585958088650928</v>
      </c>
      <c r="T1674" s="94">
        <f t="shared" si="243"/>
        <v>1.3463746326850281</v>
      </c>
      <c r="U1674" s="94">
        <v>3.3150446229665014</v>
      </c>
      <c r="V1674" s="94">
        <v>1.3463746326850281</v>
      </c>
      <c r="W1674" s="49">
        <f t="shared" si="204"/>
        <v>1.5994054232055595</v>
      </c>
      <c r="X1674" s="90">
        <v>9.7877996799999991</v>
      </c>
      <c r="Y1674" s="90">
        <v>9.9469491100000003</v>
      </c>
      <c r="AA1674" s="28"/>
    </row>
    <row r="1675" spans="1:27" s="45" customFormat="1" ht="12.75" hidden="1" customHeight="1">
      <c r="A1675" s="28" t="s">
        <v>152</v>
      </c>
      <c r="B1675" s="45" t="s">
        <v>203</v>
      </c>
      <c r="C1675" s="28" t="s">
        <v>228</v>
      </c>
      <c r="D1675" s="70">
        <v>2004</v>
      </c>
      <c r="E1675" s="70">
        <v>4</v>
      </c>
      <c r="F1675" s="70">
        <v>30</v>
      </c>
      <c r="G1675" s="34">
        <f t="shared" si="244"/>
        <v>121.41</v>
      </c>
      <c r="H1675" s="60">
        <v>2193.0225885899999</v>
      </c>
      <c r="I1675" s="60">
        <v>2432.9962865000002</v>
      </c>
      <c r="J1675" s="46">
        <f t="shared" si="236"/>
        <v>2912.9436823200008</v>
      </c>
      <c r="K1675" s="60">
        <v>18.444024120000002</v>
      </c>
      <c r="L1675" s="60">
        <v>26.29980866</v>
      </c>
      <c r="M1675" s="46">
        <f t="shared" si="237"/>
        <v>49.867162279999995</v>
      </c>
      <c r="O1675" s="94">
        <f t="shared" si="238"/>
        <v>3.3410431050242932</v>
      </c>
      <c r="P1675" s="94">
        <f t="shared" si="239"/>
        <v>3.3861414460644852</v>
      </c>
      <c r="Q1675" s="94">
        <f t="shared" si="240"/>
        <v>3.4643320882342272</v>
      </c>
      <c r="R1675" s="48">
        <f t="shared" si="241"/>
        <v>1.2658556814922872</v>
      </c>
      <c r="S1675" s="94">
        <f t="shared" si="242"/>
        <v>1.4199525888620601</v>
      </c>
      <c r="T1675" s="94">
        <f t="shared" si="243"/>
        <v>1.6978146551403217</v>
      </c>
      <c r="U1675" s="94">
        <v>3.4643320882342272</v>
      </c>
      <c r="V1675" s="94">
        <v>1.6978146551403217</v>
      </c>
      <c r="W1675" s="49">
        <f t="shared" si="204"/>
        <v>1.2194515174661256</v>
      </c>
      <c r="X1675" s="90">
        <v>12.970822500000001</v>
      </c>
      <c r="Y1675" s="90">
        <v>14.36339476</v>
      </c>
      <c r="AA1675" s="28"/>
    </row>
    <row r="1676" spans="1:27" s="45" customFormat="1" ht="12.75" hidden="1" customHeight="1">
      <c r="A1676" s="28" t="s">
        <v>152</v>
      </c>
      <c r="B1676" s="45" t="s">
        <v>203</v>
      </c>
      <c r="C1676" s="28" t="s">
        <v>228</v>
      </c>
      <c r="D1676" s="70">
        <v>2004</v>
      </c>
      <c r="E1676" s="70">
        <v>6</v>
      </c>
      <c r="F1676" s="70">
        <v>3</v>
      </c>
      <c r="G1676" s="34">
        <f t="shared" si="244"/>
        <v>155.35</v>
      </c>
      <c r="H1676" s="60">
        <v>2818.7200566199999</v>
      </c>
      <c r="I1676" s="60">
        <v>2837.1841720699999</v>
      </c>
      <c r="J1676" s="46">
        <f t="shared" si="236"/>
        <v>2874.1124029699999</v>
      </c>
      <c r="K1676" s="60">
        <v>14.0037989</v>
      </c>
      <c r="L1676" s="60">
        <v>17.419358219999999</v>
      </c>
      <c r="M1676" s="46">
        <f t="shared" si="237"/>
        <v>27.666036179999999</v>
      </c>
      <c r="O1676" s="94">
        <f t="shared" si="238"/>
        <v>3.4500519457182572</v>
      </c>
      <c r="P1676" s="94">
        <f t="shared" si="239"/>
        <v>3.452887528364625</v>
      </c>
      <c r="Q1676" s="94">
        <f t="shared" si="240"/>
        <v>3.4585037488486736</v>
      </c>
      <c r="R1676" s="48">
        <f t="shared" si="241"/>
        <v>1.1462458655000642</v>
      </c>
      <c r="S1676" s="94">
        <f t="shared" si="242"/>
        <v>1.2410321502900721</v>
      </c>
      <c r="T1676" s="94">
        <f t="shared" si="243"/>
        <v>1.4419469405479683</v>
      </c>
      <c r="U1676" s="94">
        <v>3.4585037488486736</v>
      </c>
      <c r="V1676" s="94">
        <v>1.4419469405479683</v>
      </c>
      <c r="W1676" s="49">
        <f t="shared" si="204"/>
        <v>1.4652694614388935</v>
      </c>
      <c r="X1676" s="90">
        <v>10.305039450000001</v>
      </c>
      <c r="Y1676" s="90">
        <v>10.981433389999999</v>
      </c>
      <c r="AA1676" s="28"/>
    </row>
    <row r="1677" spans="1:27" s="45" customFormat="1" ht="12.75" hidden="1" customHeight="1">
      <c r="A1677" s="28" t="s">
        <v>152</v>
      </c>
      <c r="B1677" s="45" t="s">
        <v>203</v>
      </c>
      <c r="C1677" s="28" t="s">
        <v>228</v>
      </c>
      <c r="D1677" s="70">
        <v>2004</v>
      </c>
      <c r="E1677" s="70">
        <v>7</v>
      </c>
      <c r="F1677" s="70">
        <v>5</v>
      </c>
      <c r="G1677" s="34">
        <f t="shared" si="244"/>
        <v>187.82</v>
      </c>
      <c r="H1677" s="60">
        <v>8392.9635034000003</v>
      </c>
      <c r="I1677" s="60">
        <v>8706.8222495800001</v>
      </c>
      <c r="J1677" s="46">
        <f t="shared" si="236"/>
        <v>9334.5397419399997</v>
      </c>
      <c r="K1677" s="60">
        <v>72.068307349999998</v>
      </c>
      <c r="L1677" s="60">
        <v>84.364326590000005</v>
      </c>
      <c r="M1677" s="46">
        <f t="shared" si="237"/>
        <v>121.25238431000002</v>
      </c>
      <c r="O1677" s="94">
        <f t="shared" si="238"/>
        <v>3.923915334598099</v>
      </c>
      <c r="P1677" s="94">
        <f t="shared" si="239"/>
        <v>3.9398596783960507</v>
      </c>
      <c r="Q1677" s="94">
        <f t="shared" si="240"/>
        <v>3.970092909059221</v>
      </c>
      <c r="R1677" s="48">
        <f t="shared" si="241"/>
        <v>1.8577443220152161</v>
      </c>
      <c r="S1677" s="94">
        <f t="shared" si="242"/>
        <v>1.9261588442535489</v>
      </c>
      <c r="T1677" s="94">
        <f t="shared" si="243"/>
        <v>2.0836902873361165</v>
      </c>
      <c r="U1677" s="94">
        <v>3.970092909059221</v>
      </c>
      <c r="V1677" s="94">
        <v>2.0836902873361165</v>
      </c>
      <c r="W1677" s="49">
        <f t="shared" si="204"/>
        <v>0.6998769443612789</v>
      </c>
      <c r="X1677" s="90">
        <v>16.79045129</v>
      </c>
      <c r="Y1677" s="90">
        <v>17.625994649999999</v>
      </c>
      <c r="AA1677" s="28"/>
    </row>
    <row r="1678" spans="1:27" s="45" customFormat="1" ht="12.75" hidden="1" customHeight="1">
      <c r="A1678" s="28" t="s">
        <v>152</v>
      </c>
      <c r="B1678" s="45" t="s">
        <v>203</v>
      </c>
      <c r="C1678" s="28" t="s">
        <v>228</v>
      </c>
      <c r="D1678" s="70">
        <v>2004</v>
      </c>
      <c r="E1678" s="70">
        <v>8</v>
      </c>
      <c r="F1678" s="70">
        <v>9</v>
      </c>
      <c r="G1678" s="34">
        <f t="shared" si="244"/>
        <v>222.29</v>
      </c>
      <c r="H1678" s="60">
        <v>6045.8760233399998</v>
      </c>
      <c r="I1678" s="60">
        <v>6230.54445055</v>
      </c>
      <c r="J1678" s="46">
        <f t="shared" si="236"/>
        <v>6599.8813049700002</v>
      </c>
      <c r="K1678" s="60">
        <v>70.018975549999993</v>
      </c>
      <c r="L1678" s="60">
        <v>74.800762390000003</v>
      </c>
      <c r="M1678" s="46">
        <f t="shared" si="237"/>
        <v>89.146122910000031</v>
      </c>
      <c r="O1678" s="94">
        <f t="shared" si="238"/>
        <v>3.7814592372957572</v>
      </c>
      <c r="P1678" s="94">
        <f t="shared" si="239"/>
        <v>3.7945259987519733</v>
      </c>
      <c r="Q1678" s="94">
        <f t="shared" si="240"/>
        <v>3.8195361250782183</v>
      </c>
      <c r="R1678" s="48">
        <f t="shared" si="241"/>
        <v>1.8452157522982406</v>
      </c>
      <c r="S1678" s="94">
        <f t="shared" si="242"/>
        <v>1.8739060243361554</v>
      </c>
      <c r="T1678" s="94">
        <f t="shared" si="243"/>
        <v>1.9501024598455552</v>
      </c>
      <c r="U1678" s="94">
        <v>3.8195361250782183</v>
      </c>
      <c r="V1678" s="94">
        <v>1.9501024598455552</v>
      </c>
      <c r="W1678" s="49">
        <f t="shared" si="204"/>
        <v>0.87240183350372191</v>
      </c>
      <c r="X1678" s="90">
        <v>17.984085</v>
      </c>
      <c r="Y1678" s="90">
        <v>19.69496084</v>
      </c>
      <c r="AA1678" s="28"/>
    </row>
    <row r="1679" spans="1:27" s="45" customFormat="1" ht="12.75" hidden="1" customHeight="1">
      <c r="A1679" s="28" t="s">
        <v>152</v>
      </c>
      <c r="B1679" s="45" t="s">
        <v>203</v>
      </c>
      <c r="C1679" s="28" t="s">
        <v>228</v>
      </c>
      <c r="D1679" s="70">
        <v>2004</v>
      </c>
      <c r="E1679" s="70">
        <v>9</v>
      </c>
      <c r="F1679" s="70">
        <v>8</v>
      </c>
      <c r="G1679" s="34">
        <f t="shared" si="244"/>
        <v>251.76</v>
      </c>
      <c r="H1679" s="60">
        <v>5656.4300786200001</v>
      </c>
      <c r="I1679" s="60">
        <v>6099.7964944799996</v>
      </c>
      <c r="J1679" s="46">
        <f t="shared" si="236"/>
        <v>6986.5293261999986</v>
      </c>
      <c r="K1679" s="60">
        <v>40.645159700000001</v>
      </c>
      <c r="L1679" s="60">
        <v>46.793164590000003</v>
      </c>
      <c r="M1679" s="46">
        <f t="shared" si="237"/>
        <v>65.237179260000005</v>
      </c>
      <c r="O1679" s="94">
        <f t="shared" si="238"/>
        <v>3.7525424230078079</v>
      </c>
      <c r="P1679" s="94">
        <f t="shared" si="239"/>
        <v>3.7853153460273776</v>
      </c>
      <c r="Q1679" s="94">
        <f t="shared" si="240"/>
        <v>3.8442614863601938</v>
      </c>
      <c r="R1679" s="48">
        <f t="shared" si="241"/>
        <v>1.6090088342906566</v>
      </c>
      <c r="S1679" s="94">
        <f t="shared" si="242"/>
        <v>1.6701824172267985</v>
      </c>
      <c r="T1679" s="94">
        <f t="shared" si="243"/>
        <v>1.8144951746505711</v>
      </c>
      <c r="U1679" s="94">
        <v>3.8442614863601938</v>
      </c>
      <c r="V1679" s="94">
        <v>1.8144951746505711</v>
      </c>
      <c r="W1679" s="49">
        <f t="shared" si="204"/>
        <v>0.99435176890337751</v>
      </c>
      <c r="X1679" s="90">
        <v>13.209549000000001</v>
      </c>
      <c r="Y1679" s="90">
        <v>13.96551764</v>
      </c>
      <c r="AA1679" s="28"/>
    </row>
    <row r="1680" spans="1:27" s="45" customFormat="1" ht="12.75" hidden="1" customHeight="1">
      <c r="A1680" s="28" t="s">
        <v>152</v>
      </c>
      <c r="B1680" s="45" t="s">
        <v>203</v>
      </c>
      <c r="C1680" s="28" t="s">
        <v>228</v>
      </c>
      <c r="D1680" s="70">
        <v>2004</v>
      </c>
      <c r="E1680" s="70">
        <v>10</v>
      </c>
      <c r="F1680" s="70">
        <v>14</v>
      </c>
      <c r="G1680" s="34">
        <f t="shared" si="244"/>
        <v>288.23</v>
      </c>
      <c r="H1680" s="60">
        <v>133.65485455999999</v>
      </c>
      <c r="I1680" s="60">
        <v>687.63181182000005</v>
      </c>
      <c r="J1680" s="46">
        <f t="shared" si="236"/>
        <v>1795.5857263400003</v>
      </c>
      <c r="K1680" s="60">
        <v>0.34156162000000001</v>
      </c>
      <c r="L1680" s="60">
        <v>10.58823958</v>
      </c>
      <c r="M1680" s="46">
        <f t="shared" si="237"/>
        <v>41.328273459999998</v>
      </c>
      <c r="O1680" s="94">
        <f t="shared" si="238"/>
        <v>2.1259847376554517</v>
      </c>
      <c r="P1680" s="94">
        <f t="shared" si="239"/>
        <v>2.8373559601882312</v>
      </c>
      <c r="Q1680" s="94">
        <f t="shared" si="240"/>
        <v>3.2542061444037</v>
      </c>
      <c r="R1680" s="48">
        <f t="shared" si="241"/>
        <v>-0.46653093528588158</v>
      </c>
      <c r="S1680" s="94">
        <f t="shared" si="242"/>
        <v>1.0248237595177518</v>
      </c>
      <c r="T1680" s="94">
        <f t="shared" si="243"/>
        <v>1.6162472624688109</v>
      </c>
      <c r="U1680" s="94">
        <v>3.2542061444037</v>
      </c>
      <c r="V1680" s="94">
        <v>1.6162472624688109</v>
      </c>
      <c r="W1680" s="49">
        <f t="shared" si="204"/>
        <v>1.3601965426109406</v>
      </c>
      <c r="X1680" s="90">
        <v>7.5596816999999996</v>
      </c>
      <c r="Y1680" s="90">
        <v>9.5888587600000008</v>
      </c>
      <c r="AA1680" s="28"/>
    </row>
    <row r="1681" spans="1:27" s="45" customFormat="1" ht="12.75" hidden="1" customHeight="1">
      <c r="A1681" s="28" t="s">
        <v>152</v>
      </c>
      <c r="B1681" s="45" t="s">
        <v>203</v>
      </c>
      <c r="C1681" s="28" t="s">
        <v>228</v>
      </c>
      <c r="D1681" s="70">
        <v>2004</v>
      </c>
      <c r="E1681" s="70">
        <v>11</v>
      </c>
      <c r="F1681" s="70">
        <v>18</v>
      </c>
      <c r="G1681" s="34">
        <f t="shared" si="244"/>
        <v>322.7</v>
      </c>
      <c r="H1681" s="60">
        <v>667.11934600999996</v>
      </c>
      <c r="I1681" s="60">
        <v>888.68767974000002</v>
      </c>
      <c r="J1681" s="46">
        <f t="shared" si="236"/>
        <v>1331.8243472000001</v>
      </c>
      <c r="K1681" s="60">
        <v>2.7324550400000001</v>
      </c>
      <c r="L1681" s="60">
        <v>3.0739977000000001</v>
      </c>
      <c r="M1681" s="46">
        <f t="shared" si="237"/>
        <v>4.0986256799999996</v>
      </c>
      <c r="O1681" s="94">
        <f t="shared" si="238"/>
        <v>2.8242035350815509</v>
      </c>
      <c r="P1681" s="94">
        <f t="shared" si="239"/>
        <v>2.9487491593985808</v>
      </c>
      <c r="Q1681" s="94">
        <f t="shared" si="240"/>
        <v>3.1244469500053609</v>
      </c>
      <c r="R1681" s="48">
        <f t="shared" si="241"/>
        <v>0.43655302476975666</v>
      </c>
      <c r="S1681" s="94">
        <f t="shared" si="242"/>
        <v>0.48770353821978291</v>
      </c>
      <c r="T1681" s="94">
        <f t="shared" si="243"/>
        <v>0.61263825680549233</v>
      </c>
      <c r="U1681" s="94">
        <v>3.1244469500053609</v>
      </c>
      <c r="V1681" s="94">
        <v>0.61263825680549233</v>
      </c>
      <c r="W1681" s="49">
        <f t="shared" si="204"/>
        <v>2.3564052439116652</v>
      </c>
      <c r="X1681" s="90">
        <v>6.8435009999999998</v>
      </c>
      <c r="Y1681" s="90">
        <v>7.7188334899999997</v>
      </c>
      <c r="AA1681" s="28"/>
    </row>
    <row r="1682" spans="1:27" s="45" customFormat="1" ht="12.75" hidden="1" customHeight="1">
      <c r="A1682" s="28" t="s">
        <v>152</v>
      </c>
      <c r="B1682" s="45" t="s">
        <v>203</v>
      </c>
      <c r="C1682" s="28" t="s">
        <v>228</v>
      </c>
      <c r="D1682" s="70">
        <v>2004</v>
      </c>
      <c r="E1682" s="70">
        <v>12</v>
      </c>
      <c r="F1682" s="70">
        <v>31</v>
      </c>
      <c r="G1682" s="34">
        <f t="shared" si="244"/>
        <v>366.16999999999996</v>
      </c>
      <c r="H1682" s="60">
        <v>1181.1965233999999</v>
      </c>
      <c r="I1682" s="60">
        <v>1458.2138522400001</v>
      </c>
      <c r="J1682" s="46">
        <f t="shared" si="236"/>
        <v>2012.2485099200003</v>
      </c>
      <c r="K1682" s="60">
        <v>5.4648911199999999</v>
      </c>
      <c r="L1682" s="60">
        <v>8.1973461600000004</v>
      </c>
      <c r="M1682" s="46">
        <f t="shared" si="237"/>
        <v>16.394711280000003</v>
      </c>
      <c r="O1682" s="94">
        <f t="shared" si="238"/>
        <v>3.0723221600417561</v>
      </c>
      <c r="P1682" s="94">
        <f t="shared" si="239"/>
        <v>3.1638212194807407</v>
      </c>
      <c r="Q1682" s="94">
        <f t="shared" si="240"/>
        <v>3.3036816144665409</v>
      </c>
      <c r="R1682" s="48">
        <f t="shared" si="241"/>
        <v>0.73758151368659286</v>
      </c>
      <c r="S1682" s="94">
        <f t="shared" si="242"/>
        <v>0.91367327499190332</v>
      </c>
      <c r="T1682" s="94">
        <f t="shared" si="243"/>
        <v>1.2147037729049328</v>
      </c>
      <c r="U1682" s="94">
        <v>3.3036816144665409</v>
      </c>
      <c r="V1682" s="94">
        <v>1.2147037729049328</v>
      </c>
      <c r="W1682" s="49">
        <f t="shared" si="204"/>
        <v>1.7284097569255401</v>
      </c>
      <c r="X1682" s="90">
        <v>9.5092852299999997</v>
      </c>
      <c r="Y1682" s="90">
        <v>10.22546356</v>
      </c>
      <c r="AA1682" s="28"/>
    </row>
    <row r="1683" spans="1:27" s="45" customFormat="1" ht="12.75" hidden="1" customHeight="1">
      <c r="A1683" s="28" t="s">
        <v>152</v>
      </c>
      <c r="B1683" s="45" t="s">
        <v>203</v>
      </c>
      <c r="C1683" s="28" t="s">
        <v>229</v>
      </c>
      <c r="D1683" s="70">
        <v>2004</v>
      </c>
      <c r="E1683" s="70">
        <v>1</v>
      </c>
      <c r="F1683" s="70">
        <v>21</v>
      </c>
      <c r="G1683" s="34">
        <f t="shared" si="244"/>
        <v>21</v>
      </c>
      <c r="H1683" s="60">
        <v>262.04338338999997</v>
      </c>
      <c r="I1683" s="60">
        <v>555.52778042</v>
      </c>
      <c r="J1683" s="46">
        <f t="shared" si="236"/>
        <v>1142.4965744799999</v>
      </c>
      <c r="K1683" s="60">
        <v>1.70778914</v>
      </c>
      <c r="L1683" s="60">
        <v>2.0493318</v>
      </c>
      <c r="M1683" s="46">
        <f t="shared" si="237"/>
        <v>3.07395978</v>
      </c>
      <c r="O1683" s="94">
        <f t="shared" si="238"/>
        <v>2.4183731982172407</v>
      </c>
      <c r="P1683" s="94">
        <f t="shared" si="239"/>
        <v>2.7447057816953202</v>
      </c>
      <c r="Q1683" s="94">
        <f t="shared" si="240"/>
        <v>3.0578549066091405</v>
      </c>
      <c r="R1683" s="48">
        <f t="shared" si="241"/>
        <v>0.2324342475077841</v>
      </c>
      <c r="S1683" s="94">
        <f t="shared" si="242"/>
        <v>0.31161227916410167</v>
      </c>
      <c r="T1683" s="94">
        <f t="shared" si="243"/>
        <v>0.48769818084806799</v>
      </c>
      <c r="U1683" s="94">
        <v>3.0578549066091405</v>
      </c>
      <c r="V1683" s="94">
        <v>0.48769818084806799</v>
      </c>
      <c r="W1683" s="49">
        <f t="shared" si="204"/>
        <v>2.4955315375288878</v>
      </c>
      <c r="X1683" s="90">
        <v>5.6896564300000003</v>
      </c>
      <c r="Y1683" s="90">
        <v>6.04774441</v>
      </c>
      <c r="AA1683" s="28"/>
    </row>
    <row r="1684" spans="1:27" s="45" customFormat="1" ht="12.75" hidden="1" customHeight="1">
      <c r="A1684" s="28" t="s">
        <v>152</v>
      </c>
      <c r="B1684" s="45" t="s">
        <v>203</v>
      </c>
      <c r="C1684" s="28" t="s">
        <v>229</v>
      </c>
      <c r="D1684" s="70">
        <v>2004</v>
      </c>
      <c r="E1684" s="70">
        <v>3</v>
      </c>
      <c r="F1684" s="70">
        <v>23</v>
      </c>
      <c r="G1684" s="34">
        <f t="shared" si="244"/>
        <v>83.94</v>
      </c>
      <c r="H1684" s="60">
        <v>1462.3109668500001</v>
      </c>
      <c r="I1684" s="60">
        <v>1659.7023465699999</v>
      </c>
      <c r="J1684" s="46">
        <f t="shared" si="236"/>
        <v>2054.4851060099995</v>
      </c>
      <c r="K1684" s="60">
        <v>3.7571209400000001</v>
      </c>
      <c r="L1684" s="60">
        <v>6.8311186399999997</v>
      </c>
      <c r="M1684" s="46">
        <f t="shared" si="237"/>
        <v>16.053111739999999</v>
      </c>
      <c r="O1684" s="94">
        <f t="shared" si="238"/>
        <v>3.1650397370721683</v>
      </c>
      <c r="P1684" s="94">
        <f t="shared" si="239"/>
        <v>3.2200302080200895</v>
      </c>
      <c r="Q1684" s="94">
        <f t="shared" si="240"/>
        <v>3.3127029971914084</v>
      </c>
      <c r="R1684" s="48">
        <f t="shared" si="241"/>
        <v>0.57485517502859018</v>
      </c>
      <c r="S1684" s="94">
        <f t="shared" si="242"/>
        <v>0.8344918280444964</v>
      </c>
      <c r="T1684" s="94">
        <f t="shared" si="243"/>
        <v>1.2055592286738284</v>
      </c>
      <c r="U1684" s="94">
        <v>3.3127029971914084</v>
      </c>
      <c r="V1684" s="94">
        <v>1.2055592286738284</v>
      </c>
      <c r="W1684" s="49">
        <f t="shared" si="204"/>
        <v>1.7344306116154771</v>
      </c>
      <c r="X1684" s="90">
        <v>9.5092852299999997</v>
      </c>
      <c r="Y1684" s="90">
        <v>9.7480105500000001</v>
      </c>
      <c r="AA1684" s="28"/>
    </row>
    <row r="1685" spans="1:27" s="45" customFormat="1" ht="12.75" hidden="1" customHeight="1">
      <c r="A1685" s="28" t="s">
        <v>152</v>
      </c>
      <c r="B1685" s="45" t="s">
        <v>203</v>
      </c>
      <c r="C1685" s="28" t="s">
        <v>229</v>
      </c>
      <c r="D1685" s="70">
        <v>2004</v>
      </c>
      <c r="E1685" s="70">
        <v>4</v>
      </c>
      <c r="F1685" s="70">
        <v>30</v>
      </c>
      <c r="G1685" s="34">
        <f t="shared" si="244"/>
        <v>121.41</v>
      </c>
      <c r="H1685" s="60">
        <v>2039.76676344</v>
      </c>
      <c r="I1685" s="60">
        <v>2432.9385860699999</v>
      </c>
      <c r="J1685" s="46">
        <f t="shared" si="236"/>
        <v>3219.2822313299998</v>
      </c>
      <c r="K1685" s="60">
        <v>8.5389077800000006</v>
      </c>
      <c r="L1685" s="60">
        <v>10.9298012</v>
      </c>
      <c r="M1685" s="46">
        <f t="shared" si="237"/>
        <v>18.10248146</v>
      </c>
      <c r="O1685" s="94">
        <f t="shared" si="238"/>
        <v>3.3095805109837686</v>
      </c>
      <c r="P1685" s="94">
        <f t="shared" si="239"/>
        <v>3.3861311463054418</v>
      </c>
      <c r="Q1685" s="94">
        <f t="shared" si="240"/>
        <v>3.5077590525278688</v>
      </c>
      <c r="R1685" s="48">
        <f t="shared" si="241"/>
        <v>0.93140232321187355</v>
      </c>
      <c r="S1685" s="94">
        <f t="shared" si="242"/>
        <v>1.0386122627248</v>
      </c>
      <c r="T1685" s="94">
        <f t="shared" si="243"/>
        <v>1.2577381113618937</v>
      </c>
      <c r="U1685" s="94">
        <v>3.5077590525278688</v>
      </c>
      <c r="V1685" s="94">
        <v>1.2577381113618937</v>
      </c>
      <c r="W1685" s="49">
        <f t="shared" si="204"/>
        <v>1.6262330884671008</v>
      </c>
      <c r="X1685" s="90">
        <v>11.618038179999999</v>
      </c>
      <c r="Y1685" s="90">
        <v>11.816975559999999</v>
      </c>
      <c r="AA1685" s="28"/>
    </row>
    <row r="1686" spans="1:27" s="45" customFormat="1" ht="12.75" hidden="1" customHeight="1">
      <c r="A1686" s="28" t="s">
        <v>152</v>
      </c>
      <c r="B1686" s="45" t="s">
        <v>203</v>
      </c>
      <c r="C1686" s="28" t="s">
        <v>229</v>
      </c>
      <c r="D1686" s="70">
        <v>2004</v>
      </c>
      <c r="E1686" s="70">
        <v>6</v>
      </c>
      <c r="F1686" s="70">
        <v>3</v>
      </c>
      <c r="G1686" s="34">
        <f t="shared" si="244"/>
        <v>155.35</v>
      </c>
      <c r="H1686" s="60">
        <v>3821.32197421</v>
      </c>
      <c r="I1686" s="60">
        <v>4258.8806431599996</v>
      </c>
      <c r="J1686" s="46">
        <f t="shared" si="236"/>
        <v>5133.9979810599989</v>
      </c>
      <c r="K1686" s="60">
        <v>25.275142760000001</v>
      </c>
      <c r="L1686" s="60">
        <v>31.081595499999999</v>
      </c>
      <c r="M1686" s="46">
        <f t="shared" si="237"/>
        <v>48.500953719999991</v>
      </c>
      <c r="O1686" s="94">
        <f t="shared" si="238"/>
        <v>3.5822136317034929</v>
      </c>
      <c r="P1686" s="94">
        <f t="shared" si="239"/>
        <v>3.62929546896707</v>
      </c>
      <c r="Q1686" s="94">
        <f t="shared" si="240"/>
        <v>3.7104556935495512</v>
      </c>
      <c r="R1686" s="48">
        <f t="shared" si="241"/>
        <v>1.4026936172681876</v>
      </c>
      <c r="S1686" s="94">
        <f t="shared" si="242"/>
        <v>1.4925033041784568</v>
      </c>
      <c r="T1686" s="94">
        <f t="shared" si="243"/>
        <v>1.6857502786282614</v>
      </c>
      <c r="U1686" s="94">
        <v>3.7104556935495512</v>
      </c>
      <c r="V1686" s="94">
        <v>1.6857502786282614</v>
      </c>
      <c r="W1686" s="49">
        <f t="shared" si="204"/>
        <v>1.1572396517883494</v>
      </c>
      <c r="X1686" s="90">
        <v>13.527851399999999</v>
      </c>
      <c r="Y1686" s="90">
        <v>13.806365850000001</v>
      </c>
      <c r="AA1686" s="28"/>
    </row>
    <row r="1687" spans="1:27" s="45" customFormat="1" ht="12.75" hidden="1" customHeight="1">
      <c r="A1687" s="28" t="s">
        <v>152</v>
      </c>
      <c r="B1687" s="45" t="s">
        <v>203</v>
      </c>
      <c r="C1687" s="28" t="s">
        <v>229</v>
      </c>
      <c r="D1687" s="70">
        <v>2004</v>
      </c>
      <c r="E1687" s="70">
        <v>7</v>
      </c>
      <c r="F1687" s="70">
        <v>5</v>
      </c>
      <c r="G1687" s="34">
        <f t="shared" si="244"/>
        <v>187.82</v>
      </c>
      <c r="H1687" s="60">
        <v>3083.6956643600001</v>
      </c>
      <c r="I1687" s="60">
        <v>3629.1730283400002</v>
      </c>
      <c r="J1687" s="46">
        <f t="shared" si="236"/>
        <v>4720.1277563000003</v>
      </c>
      <c r="K1687" s="60">
        <v>24.592038479999999</v>
      </c>
      <c r="L1687" s="60">
        <v>29.71536798</v>
      </c>
      <c r="M1687" s="46">
        <f t="shared" si="237"/>
        <v>45.085356480000002</v>
      </c>
      <c r="O1687" s="94">
        <f t="shared" si="238"/>
        <v>3.4890715101665335</v>
      </c>
      <c r="P1687" s="94">
        <f t="shared" si="239"/>
        <v>3.5598076745830016</v>
      </c>
      <c r="Q1687" s="94">
        <f t="shared" si="240"/>
        <v>3.6739537535292661</v>
      </c>
      <c r="R1687" s="48">
        <f t="shared" si="241"/>
        <v>1.3907945297115656</v>
      </c>
      <c r="S1687" s="94">
        <f t="shared" si="242"/>
        <v>1.4729811127094541</v>
      </c>
      <c r="T1687" s="94">
        <f t="shared" si="243"/>
        <v>1.6540355078955991</v>
      </c>
      <c r="U1687" s="94">
        <v>3.6739537535292661</v>
      </c>
      <c r="V1687" s="94">
        <v>1.6540355078955991</v>
      </c>
      <c r="W1687" s="49">
        <f t="shared" si="204"/>
        <v>1.1984256005740359</v>
      </c>
      <c r="X1687" s="90">
        <v>18.978780149999999</v>
      </c>
      <c r="Y1687" s="90">
        <v>19.77453555</v>
      </c>
      <c r="AA1687" s="28"/>
    </row>
    <row r="1688" spans="1:27" s="45" customFormat="1" ht="12.75" hidden="1" customHeight="1">
      <c r="A1688" s="28" t="s">
        <v>152</v>
      </c>
      <c r="B1688" s="45" t="s">
        <v>203</v>
      </c>
      <c r="C1688" s="28" t="s">
        <v>229</v>
      </c>
      <c r="D1688" s="70">
        <v>2004</v>
      </c>
      <c r="E1688" s="70">
        <v>8</v>
      </c>
      <c r="F1688" s="70">
        <v>9</v>
      </c>
      <c r="G1688" s="34">
        <f t="shared" si="244"/>
        <v>222.29</v>
      </c>
      <c r="H1688" s="60">
        <v>7027.6198372400004</v>
      </c>
      <c r="I1688" s="60">
        <v>7947.6644025899996</v>
      </c>
      <c r="J1688" s="46">
        <f t="shared" si="236"/>
        <v>9787.753533289997</v>
      </c>
      <c r="K1688" s="60">
        <v>73.434534869999993</v>
      </c>
      <c r="L1688" s="60">
        <v>74.117648630000005</v>
      </c>
      <c r="M1688" s="46">
        <f t="shared" si="237"/>
        <v>76.166989910000041</v>
      </c>
      <c r="O1688" s="94">
        <f t="shared" si="238"/>
        <v>3.8468082600721947</v>
      </c>
      <c r="P1688" s="94">
        <f t="shared" si="239"/>
        <v>3.9002395203426046</v>
      </c>
      <c r="Q1688" s="94">
        <f t="shared" si="240"/>
        <v>3.9906830247909286</v>
      </c>
      <c r="R1688" s="48">
        <f t="shared" si="241"/>
        <v>1.8659003484203256</v>
      </c>
      <c r="S1688" s="94">
        <f t="shared" si="242"/>
        <v>1.8699216329456425</v>
      </c>
      <c r="T1688" s="94">
        <f t="shared" si="243"/>
        <v>1.881766792782462</v>
      </c>
      <c r="U1688" s="94">
        <v>3.9906830247909286</v>
      </c>
      <c r="V1688" s="94">
        <v>1.881766792782462</v>
      </c>
      <c r="W1688" s="49">
        <f t="shared" si="204"/>
        <v>0.88632451963751657</v>
      </c>
      <c r="X1688" s="90">
        <v>21.167109</v>
      </c>
      <c r="Y1688" s="90">
        <v>22.480105949999999</v>
      </c>
      <c r="AA1688" s="28"/>
    </row>
    <row r="1689" spans="1:27" s="45" customFormat="1" ht="12.75" hidden="1" customHeight="1">
      <c r="A1689" s="28" t="s">
        <v>152</v>
      </c>
      <c r="B1689" s="45" t="s">
        <v>203</v>
      </c>
      <c r="C1689" s="28" t="s">
        <v>229</v>
      </c>
      <c r="D1689" s="70">
        <v>2004</v>
      </c>
      <c r="E1689" s="70">
        <v>9</v>
      </c>
      <c r="F1689" s="70">
        <v>8</v>
      </c>
      <c r="G1689" s="34">
        <f t="shared" si="244"/>
        <v>251.76</v>
      </c>
      <c r="H1689" s="60">
        <v>7338.1023447300004</v>
      </c>
      <c r="I1689" s="60">
        <v>8149.1236460299997</v>
      </c>
      <c r="J1689" s="46">
        <f t="shared" si="236"/>
        <v>9771.1662486299974</v>
      </c>
      <c r="K1689" s="60">
        <v>87.43833377</v>
      </c>
      <c r="L1689" s="60">
        <v>121.93548385</v>
      </c>
      <c r="M1689" s="46">
        <f t="shared" si="237"/>
        <v>225.42693408999997</v>
      </c>
      <c r="O1689" s="94">
        <f t="shared" si="238"/>
        <v>3.8655837645801272</v>
      </c>
      <c r="P1689" s="94">
        <f t="shared" si="239"/>
        <v>3.9111109073709955</v>
      </c>
      <c r="Q1689" s="94">
        <f t="shared" si="240"/>
        <v>3.9899464025229356</v>
      </c>
      <c r="R1689" s="48">
        <f t="shared" si="241"/>
        <v>1.9417018730794626</v>
      </c>
      <c r="S1689" s="94">
        <f t="shared" si="242"/>
        <v>2.0861301059282722</v>
      </c>
      <c r="T1689" s="94">
        <f t="shared" si="243"/>
        <v>2.3530058044688893</v>
      </c>
      <c r="U1689" s="94">
        <v>3.9899464025229356</v>
      </c>
      <c r="V1689" s="94">
        <v>2.3530058044688893</v>
      </c>
      <c r="W1689" s="49">
        <f t="shared" si="204"/>
        <v>0.43703026288000502</v>
      </c>
      <c r="X1689" s="90">
        <v>20.928382490000001</v>
      </c>
      <c r="Y1689" s="90">
        <v>22.599469200000001</v>
      </c>
      <c r="AA1689" s="28"/>
    </row>
    <row r="1690" spans="1:27" s="45" customFormat="1" ht="12.75" hidden="1" customHeight="1">
      <c r="A1690" s="28" t="s">
        <v>152</v>
      </c>
      <c r="B1690" s="45" t="s">
        <v>203</v>
      </c>
      <c r="C1690" s="28" t="s">
        <v>229</v>
      </c>
      <c r="D1690" s="70">
        <v>2004</v>
      </c>
      <c r="E1690" s="70">
        <v>10</v>
      </c>
      <c r="F1690" s="70">
        <v>14</v>
      </c>
      <c r="G1690" s="34">
        <f t="shared" si="244"/>
        <v>288.23</v>
      </c>
      <c r="H1690" s="60">
        <v>2988.5965994500002</v>
      </c>
      <c r="I1690" s="60">
        <v>3383.1403082699999</v>
      </c>
      <c r="J1690" s="46">
        <f t="shared" si="236"/>
        <v>4172.2277259099992</v>
      </c>
      <c r="K1690" s="60">
        <v>45.085384920000003</v>
      </c>
      <c r="L1690" s="60">
        <v>59.089183830000003</v>
      </c>
      <c r="M1690" s="46">
        <f t="shared" si="237"/>
        <v>101.10058056</v>
      </c>
      <c r="O1690" s="94">
        <f t="shared" si="238"/>
        <v>3.4754672979579126</v>
      </c>
      <c r="P1690" s="94">
        <f t="shared" si="239"/>
        <v>3.5293200095656436</v>
      </c>
      <c r="Q1690" s="94">
        <f t="shared" si="240"/>
        <v>3.6203680047897278</v>
      </c>
      <c r="R1690" s="48">
        <f t="shared" si="241"/>
        <v>1.6540357818499856</v>
      </c>
      <c r="S1690" s="94">
        <f t="shared" si="242"/>
        <v>1.7715079913237981</v>
      </c>
      <c r="T1690" s="94">
        <f t="shared" si="243"/>
        <v>2.0047536494909068</v>
      </c>
      <c r="U1690" s="94">
        <v>3.6203680047897278</v>
      </c>
      <c r="V1690" s="94">
        <v>2.0047536494909068</v>
      </c>
      <c r="W1690" s="49">
        <f t="shared" si="204"/>
        <v>0.87992581526318281</v>
      </c>
      <c r="X1690" s="90">
        <v>24.07161795</v>
      </c>
      <c r="Y1690" s="90">
        <v>25.862069099999999</v>
      </c>
      <c r="AA1690" s="28"/>
    </row>
    <row r="1691" spans="1:27" s="45" customFormat="1" ht="12.75" hidden="1" customHeight="1">
      <c r="A1691" s="28" t="s">
        <v>152</v>
      </c>
      <c r="B1691" s="45" t="s">
        <v>203</v>
      </c>
      <c r="C1691" s="28" t="s">
        <v>229</v>
      </c>
      <c r="D1691" s="70">
        <v>2004</v>
      </c>
      <c r="E1691" s="70">
        <v>11</v>
      </c>
      <c r="F1691" s="70">
        <v>18</v>
      </c>
      <c r="G1691" s="34">
        <f t="shared" si="244"/>
        <v>322.7</v>
      </c>
      <c r="H1691" s="60">
        <v>1715.8736384199999</v>
      </c>
      <c r="I1691" s="60">
        <v>1959.62681271</v>
      </c>
      <c r="J1691" s="46">
        <f t="shared" si="236"/>
        <v>2447.1331612900003</v>
      </c>
      <c r="K1691" s="60">
        <v>19.46869002</v>
      </c>
      <c r="L1691" s="60">
        <v>23.908915239999999</v>
      </c>
      <c r="M1691" s="46">
        <f t="shared" si="237"/>
        <v>37.229590899999991</v>
      </c>
      <c r="O1691" s="94">
        <f t="shared" si="238"/>
        <v>3.2344853020688893</v>
      </c>
      <c r="P1691" s="94">
        <f t="shared" si="239"/>
        <v>3.2921733730849327</v>
      </c>
      <c r="Q1691" s="94">
        <f t="shared" si="240"/>
        <v>3.3886576022246837</v>
      </c>
      <c r="R1691" s="48">
        <f t="shared" si="241"/>
        <v>1.2893367303477052</v>
      </c>
      <c r="S1691" s="94">
        <f t="shared" si="242"/>
        <v>1.3785598723947721</v>
      </c>
      <c r="T1691" s="94">
        <f t="shared" si="243"/>
        <v>1.5708882639688968</v>
      </c>
      <c r="U1691" s="94">
        <v>3.3886576022246837</v>
      </c>
      <c r="V1691" s="94">
        <v>1.5708882639688968</v>
      </c>
      <c r="W1691" s="49">
        <f t="shared" si="204"/>
        <v>1.3631929721567617</v>
      </c>
      <c r="X1691" s="90">
        <v>16.392572999999999</v>
      </c>
      <c r="Y1691" s="90">
        <v>19.018568089999999</v>
      </c>
      <c r="AA1691" s="28"/>
    </row>
    <row r="1692" spans="1:27" s="45" customFormat="1" ht="12.75" hidden="1" customHeight="1">
      <c r="A1692" s="28" t="s">
        <v>152</v>
      </c>
      <c r="B1692" s="45" t="s">
        <v>203</v>
      </c>
      <c r="C1692" s="28" t="s">
        <v>229</v>
      </c>
      <c r="D1692" s="70">
        <v>2004</v>
      </c>
      <c r="E1692" s="70">
        <v>12</v>
      </c>
      <c r="F1692" s="70">
        <v>31</v>
      </c>
      <c r="G1692" s="34">
        <f t="shared" si="244"/>
        <v>366.16999999999996</v>
      </c>
      <c r="H1692" s="60">
        <v>954.94178131000001</v>
      </c>
      <c r="I1692" s="60">
        <v>1310.5030319699999</v>
      </c>
      <c r="J1692" s="46">
        <f t="shared" si="236"/>
        <v>2021.6255332899996</v>
      </c>
      <c r="K1692" s="60">
        <v>2.0493318</v>
      </c>
      <c r="L1692" s="60">
        <v>6.1480143600000003</v>
      </c>
      <c r="M1692" s="46">
        <f t="shared" si="237"/>
        <v>18.444062040000002</v>
      </c>
      <c r="O1692" s="94">
        <f t="shared" si="238"/>
        <v>2.9799768953256049</v>
      </c>
      <c r="P1692" s="94">
        <f t="shared" si="239"/>
        <v>3.1174380300642421</v>
      </c>
      <c r="Q1692" s="94">
        <f t="shared" si="240"/>
        <v>3.3057007141200718</v>
      </c>
      <c r="R1692" s="48">
        <f t="shared" si="241"/>
        <v>0.31161227916410167</v>
      </c>
      <c r="S1692" s="94">
        <f t="shared" si="242"/>
        <v>0.78873487321636671</v>
      </c>
      <c r="T1692" s="94">
        <f t="shared" si="243"/>
        <v>1.2658565743793122</v>
      </c>
      <c r="U1692" s="94">
        <v>3.3057007141200718</v>
      </c>
      <c r="V1692" s="94">
        <v>1.2658565743793122</v>
      </c>
      <c r="W1692" s="49">
        <f t="shared" ref="W1692:W1726" si="245">0.9539*(4.064-0.314*U1692-V1692)</f>
        <v>1.679010329583045</v>
      </c>
      <c r="X1692" s="90">
        <v>6.1671094399999999</v>
      </c>
      <c r="Y1692" s="90">
        <v>6.8037142399999997</v>
      </c>
      <c r="AA1692" s="28"/>
    </row>
    <row r="1693" spans="1:27" s="45" customFormat="1" ht="12.75" hidden="1" customHeight="1">
      <c r="A1693" s="28" t="s">
        <v>152</v>
      </c>
      <c r="B1693" s="45" t="s">
        <v>203</v>
      </c>
      <c r="C1693" s="28" t="s">
        <v>230</v>
      </c>
      <c r="D1693" s="70">
        <v>2004</v>
      </c>
      <c r="E1693" s="70">
        <v>1</v>
      </c>
      <c r="F1693" s="70">
        <v>21</v>
      </c>
      <c r="G1693" s="34">
        <f t="shared" si="244"/>
        <v>21</v>
      </c>
      <c r="H1693" s="60">
        <v>2714.4470748899998</v>
      </c>
      <c r="I1693" s="60">
        <v>3026.5665563500002</v>
      </c>
      <c r="J1693" s="46">
        <f t="shared" si="236"/>
        <v>3650.8055192700008</v>
      </c>
      <c r="K1693" s="60">
        <v>13.320694619999999</v>
      </c>
      <c r="L1693" s="60">
        <v>17.077796599999999</v>
      </c>
      <c r="M1693" s="46">
        <f t="shared" si="237"/>
        <v>28.349102539999997</v>
      </c>
      <c r="O1693" s="94">
        <f t="shared" si="238"/>
        <v>3.4336813783890823</v>
      </c>
      <c r="P1693" s="94">
        <f t="shared" si="239"/>
        <v>3.480950228797957</v>
      </c>
      <c r="Q1693" s="94">
        <f t="shared" si="240"/>
        <v>3.5623886984228843</v>
      </c>
      <c r="R1693" s="48">
        <f t="shared" si="241"/>
        <v>1.1245268721141217</v>
      </c>
      <c r="S1693" s="94">
        <f t="shared" si="242"/>
        <v>1.2324318367165341</v>
      </c>
      <c r="T1693" s="94">
        <f t="shared" si="243"/>
        <v>1.4525393147952359</v>
      </c>
      <c r="U1693" s="94">
        <v>3.5623886984228843</v>
      </c>
      <c r="V1693" s="94">
        <v>1.4525393147952359</v>
      </c>
      <c r="W1693" s="49">
        <f t="shared" si="245"/>
        <v>1.4240492976771897</v>
      </c>
      <c r="X1693" s="90">
        <v>8.7135286399999998</v>
      </c>
      <c r="Y1693" s="90">
        <v>9.4297093299999997</v>
      </c>
      <c r="AA1693" s="28"/>
    </row>
    <row r="1694" spans="1:27" s="45" customFormat="1" ht="12.75" hidden="1" customHeight="1">
      <c r="A1694" s="28" t="s">
        <v>152</v>
      </c>
      <c r="B1694" s="45" t="s">
        <v>203</v>
      </c>
      <c r="C1694" s="28" t="s">
        <v>230</v>
      </c>
      <c r="D1694" s="70">
        <v>2004</v>
      </c>
      <c r="E1694" s="70">
        <v>3</v>
      </c>
      <c r="F1694" s="70">
        <v>23</v>
      </c>
      <c r="G1694" s="34">
        <f t="shared" si="244"/>
        <v>83.94</v>
      </c>
      <c r="H1694" s="60">
        <v>1395.4629430099999</v>
      </c>
      <c r="I1694" s="60">
        <v>1640.7349264500001</v>
      </c>
      <c r="J1694" s="46">
        <f t="shared" si="236"/>
        <v>2131.2788933300008</v>
      </c>
      <c r="K1694" s="60">
        <v>7.1726802599999999</v>
      </c>
      <c r="L1694" s="60">
        <v>10.58823958</v>
      </c>
      <c r="M1694" s="46">
        <f t="shared" si="237"/>
        <v>20.834917539999999</v>
      </c>
      <c r="O1694" s="94">
        <f t="shared" si="238"/>
        <v>3.1447183081410546</v>
      </c>
      <c r="P1694" s="94">
        <f t="shared" si="239"/>
        <v>3.2150384230525879</v>
      </c>
      <c r="Q1694" s="94">
        <f t="shared" si="240"/>
        <v>3.3286402840216058</v>
      </c>
      <c r="R1694" s="48">
        <f t="shared" si="241"/>
        <v>0.85568147151400387</v>
      </c>
      <c r="S1694" s="94">
        <f t="shared" si="242"/>
        <v>1.0248237595177518</v>
      </c>
      <c r="T1694" s="94">
        <f t="shared" si="243"/>
        <v>1.3187917859550993</v>
      </c>
      <c r="U1694" s="94">
        <v>3.3286402840216058</v>
      </c>
      <c r="V1694" s="94">
        <v>1.3187917859550993</v>
      </c>
      <c r="W1694" s="49">
        <f t="shared" si="245"/>
        <v>1.6216444657619729</v>
      </c>
      <c r="X1694" s="90">
        <v>7.1220154600000001</v>
      </c>
      <c r="Y1694" s="90">
        <v>7.8381961499999999</v>
      </c>
      <c r="AA1694" s="28"/>
    </row>
    <row r="1695" spans="1:27" s="45" customFormat="1" ht="12.75" hidden="1" customHeight="1">
      <c r="A1695" s="28" t="s">
        <v>152</v>
      </c>
      <c r="B1695" s="45" t="s">
        <v>203</v>
      </c>
      <c r="C1695" s="28" t="s">
        <v>230</v>
      </c>
      <c r="D1695" s="70">
        <v>2004</v>
      </c>
      <c r="E1695" s="70">
        <v>4</v>
      </c>
      <c r="F1695" s="70">
        <v>30</v>
      </c>
      <c r="G1695" s="34">
        <f t="shared" si="244"/>
        <v>121.41</v>
      </c>
      <c r="H1695" s="60">
        <v>3132.1509024100001</v>
      </c>
      <c r="I1695" s="60">
        <v>3265.9857637099999</v>
      </c>
      <c r="J1695" s="46">
        <f t="shared" si="236"/>
        <v>3533.6554863099996</v>
      </c>
      <c r="K1695" s="60">
        <v>28.349140460000001</v>
      </c>
      <c r="L1695" s="60">
        <v>33.472488920000004</v>
      </c>
      <c r="M1695" s="46">
        <f t="shared" si="237"/>
        <v>48.842534300000011</v>
      </c>
      <c r="O1695" s="94">
        <f t="shared" si="238"/>
        <v>3.4958426775574343</v>
      </c>
      <c r="P1695" s="94">
        <f t="shared" si="239"/>
        <v>3.5140142873340037</v>
      </c>
      <c r="Q1695" s="94">
        <f t="shared" si="240"/>
        <v>3.548224205700488</v>
      </c>
      <c r="R1695" s="48">
        <f t="shared" si="241"/>
        <v>1.45253989571083</v>
      </c>
      <c r="S1695" s="94">
        <f t="shared" si="242"/>
        <v>1.5246880064729149</v>
      </c>
      <c r="T1695" s="94">
        <f t="shared" si="243"/>
        <v>1.6887981901612694</v>
      </c>
      <c r="U1695" s="94">
        <v>3.548224205700488</v>
      </c>
      <c r="V1695" s="94">
        <v>1.6887981901612694</v>
      </c>
      <c r="W1695" s="49">
        <f t="shared" si="245"/>
        <v>1.2029245704824085</v>
      </c>
      <c r="X1695" s="90">
        <v>11.57824905</v>
      </c>
      <c r="Y1695" s="90">
        <v>12.3342177</v>
      </c>
      <c r="AA1695" s="28"/>
    </row>
    <row r="1696" spans="1:27" s="45" customFormat="1" ht="12.75" hidden="1" customHeight="1">
      <c r="A1696" s="28" t="s">
        <v>152</v>
      </c>
      <c r="B1696" s="45" t="s">
        <v>203</v>
      </c>
      <c r="C1696" s="28" t="s">
        <v>230</v>
      </c>
      <c r="D1696" s="70">
        <v>2004</v>
      </c>
      <c r="E1696" s="70">
        <v>6</v>
      </c>
      <c r="F1696" s="70">
        <v>3</v>
      </c>
      <c r="G1696" s="34">
        <f t="shared" si="244"/>
        <v>155.35</v>
      </c>
      <c r="H1696" s="60">
        <v>2639.7263812699998</v>
      </c>
      <c r="I1696" s="60">
        <v>2818.0801453099998</v>
      </c>
      <c r="J1696" s="46">
        <f t="shared" si="236"/>
        <v>3174.7876733899998</v>
      </c>
      <c r="K1696" s="60">
        <v>28.00758832</v>
      </c>
      <c r="L1696" s="60">
        <v>33.472488920000004</v>
      </c>
      <c r="M1696" s="46">
        <f t="shared" si="237"/>
        <v>49.867190720000011</v>
      </c>
      <c r="O1696" s="94">
        <f t="shared" si="238"/>
        <v>3.4215589127550419</v>
      </c>
      <c r="P1696" s="94">
        <f t="shared" si="239"/>
        <v>3.4499533401469833</v>
      </c>
      <c r="Q1696" s="94">
        <f t="shared" si="240"/>
        <v>3.5017146854205778</v>
      </c>
      <c r="R1696" s="48">
        <f t="shared" si="241"/>
        <v>1.4472757141642059</v>
      </c>
      <c r="S1696" s="94">
        <f t="shared" si="242"/>
        <v>1.5246880064729149</v>
      </c>
      <c r="T1696" s="94">
        <f t="shared" si="243"/>
        <v>1.69781490282499</v>
      </c>
      <c r="U1696" s="94">
        <v>3.5017146854205778</v>
      </c>
      <c r="V1696" s="94">
        <v>1.69781490282499</v>
      </c>
      <c r="W1696" s="49">
        <f t="shared" si="245"/>
        <v>1.2082542737305175</v>
      </c>
      <c r="X1696" s="90">
        <v>15.63660436</v>
      </c>
      <c r="Y1696" s="90">
        <v>17.228116360000001</v>
      </c>
      <c r="AA1696" s="28"/>
    </row>
    <row r="1697" spans="1:27" s="45" customFormat="1" ht="12.75" hidden="1" customHeight="1">
      <c r="A1697" s="28" t="s">
        <v>152</v>
      </c>
      <c r="B1697" s="45" t="s">
        <v>203</v>
      </c>
      <c r="C1697" s="28" t="s">
        <v>230</v>
      </c>
      <c r="D1697" s="70">
        <v>2004</v>
      </c>
      <c r="E1697" s="70">
        <v>7</v>
      </c>
      <c r="F1697" s="70">
        <v>5</v>
      </c>
      <c r="G1697" s="34">
        <f t="shared" si="244"/>
        <v>187.82</v>
      </c>
      <c r="H1697" s="60">
        <v>5803.6302648499995</v>
      </c>
      <c r="I1697" s="60">
        <v>6249.4806288500004</v>
      </c>
      <c r="J1697" s="46">
        <f t="shared" si="236"/>
        <v>7141.181356850002</v>
      </c>
      <c r="K1697" s="60">
        <v>58.406070069999998</v>
      </c>
      <c r="L1697" s="60">
        <v>64.895636569999994</v>
      </c>
      <c r="M1697" s="46">
        <f t="shared" si="237"/>
        <v>84.364336069999979</v>
      </c>
      <c r="O1697" s="94">
        <f t="shared" si="238"/>
        <v>3.7636997368032259</v>
      </c>
      <c r="P1697" s="94">
        <f t="shared" si="239"/>
        <v>3.7958439262405594</v>
      </c>
      <c r="Q1697" s="94">
        <f t="shared" si="240"/>
        <v>3.8537700625214963</v>
      </c>
      <c r="R1697" s="48">
        <f t="shared" si="241"/>
        <v>1.7664579851417255</v>
      </c>
      <c r="S1697" s="94">
        <f t="shared" si="242"/>
        <v>1.8122154968423125</v>
      </c>
      <c r="T1697" s="94">
        <f t="shared" si="243"/>
        <v>1.9261588930551172</v>
      </c>
      <c r="U1697" s="94">
        <v>3.8537700625214963</v>
      </c>
      <c r="V1697" s="94">
        <v>1.9261588930551172</v>
      </c>
      <c r="W1697" s="49">
        <f t="shared" si="245"/>
        <v>0.8849876954459972</v>
      </c>
      <c r="X1697" s="90">
        <v>16.392572999999999</v>
      </c>
      <c r="Y1697" s="90">
        <v>17.864721150000001</v>
      </c>
      <c r="AA1697" s="28"/>
    </row>
    <row r="1698" spans="1:27" s="45" customFormat="1" ht="12.75" hidden="1" customHeight="1">
      <c r="A1698" s="28" t="s">
        <v>152</v>
      </c>
      <c r="B1698" s="45" t="s">
        <v>203</v>
      </c>
      <c r="C1698" s="28" t="s">
        <v>230</v>
      </c>
      <c r="D1698" s="70">
        <v>2004</v>
      </c>
      <c r="E1698" s="70">
        <v>8</v>
      </c>
      <c r="F1698" s="70">
        <v>9</v>
      </c>
      <c r="G1698" s="34">
        <f t="shared" si="244"/>
        <v>222.29</v>
      </c>
      <c r="H1698" s="60">
        <v>5756.8819342200004</v>
      </c>
      <c r="I1698" s="60">
        <v>6202.6277936300003</v>
      </c>
      <c r="J1698" s="46">
        <f t="shared" si="236"/>
        <v>7094.11951245</v>
      </c>
      <c r="K1698" s="60">
        <v>68.652748029999998</v>
      </c>
      <c r="L1698" s="60">
        <v>74.117648630000005</v>
      </c>
      <c r="M1698" s="46">
        <f t="shared" si="237"/>
        <v>90.512350430000026</v>
      </c>
      <c r="O1698" s="94">
        <f t="shared" si="238"/>
        <v>3.7601873227602329</v>
      </c>
      <c r="P1698" s="94">
        <f t="shared" si="239"/>
        <v>3.7925757208679212</v>
      </c>
      <c r="Q1698" s="94">
        <f t="shared" si="240"/>
        <v>3.8508985006231455</v>
      </c>
      <c r="R1698" s="48">
        <f t="shared" si="241"/>
        <v>1.8366579258463211</v>
      </c>
      <c r="S1698" s="94">
        <f t="shared" si="242"/>
        <v>1.8699216329456425</v>
      </c>
      <c r="T1698" s="94">
        <f t="shared" si="243"/>
        <v>1.9567078428255444</v>
      </c>
      <c r="U1698" s="94">
        <v>3.8508985006231455</v>
      </c>
      <c r="V1698" s="94">
        <v>1.9567078428255444</v>
      </c>
      <c r="W1698" s="49">
        <f t="shared" si="245"/>
        <v>0.85670715568896572</v>
      </c>
      <c r="X1698" s="90">
        <v>21.883289099999999</v>
      </c>
      <c r="Y1698" s="90">
        <v>22.5198939</v>
      </c>
      <c r="AA1698" s="28"/>
    </row>
    <row r="1699" spans="1:27" s="45" customFormat="1" ht="12.75" hidden="1" customHeight="1">
      <c r="A1699" s="28" t="s">
        <v>152</v>
      </c>
      <c r="B1699" s="45" t="s">
        <v>203</v>
      </c>
      <c r="C1699" s="28" t="s">
        <v>230</v>
      </c>
      <c r="D1699" s="70">
        <v>2004</v>
      </c>
      <c r="E1699" s="70">
        <v>9</v>
      </c>
      <c r="F1699" s="70">
        <v>8</v>
      </c>
      <c r="G1699" s="34">
        <f t="shared" si="244"/>
        <v>251.76</v>
      </c>
      <c r="H1699" s="60">
        <v>4261.5290971300001</v>
      </c>
      <c r="I1699" s="60">
        <v>4841.1451785299996</v>
      </c>
      <c r="J1699" s="46">
        <f t="shared" si="236"/>
        <v>6000.3773413299987</v>
      </c>
      <c r="K1699" s="60">
        <v>25.616704380000002</v>
      </c>
      <c r="L1699" s="60">
        <v>31.42314764</v>
      </c>
      <c r="M1699" s="46">
        <f t="shared" si="237"/>
        <v>48.842477419999994</v>
      </c>
      <c r="O1699" s="94">
        <f t="shared" si="238"/>
        <v>3.6295654580912671</v>
      </c>
      <c r="P1699" s="94">
        <f t="shared" si="239"/>
        <v>3.6849481066625938</v>
      </c>
      <c r="Q1699" s="94">
        <f t="shared" si="240"/>
        <v>3.7781785624010586</v>
      </c>
      <c r="R1699" s="48">
        <f t="shared" si="241"/>
        <v>1.4085232564920482</v>
      </c>
      <c r="S1699" s="94">
        <f t="shared" si="242"/>
        <v>1.4972496859303952</v>
      </c>
      <c r="T1699" s="94">
        <f t="shared" si="243"/>
        <v>1.688797684399542</v>
      </c>
      <c r="U1699" s="94">
        <v>3.7781785624010586</v>
      </c>
      <c r="V1699" s="94">
        <v>1.688797684399542</v>
      </c>
      <c r="W1699" s="49">
        <f t="shared" si="245"/>
        <v>1.1340480662195247</v>
      </c>
      <c r="X1699" s="90">
        <v>12.0159153</v>
      </c>
      <c r="Y1699" s="90">
        <v>12.612732149999999</v>
      </c>
      <c r="AA1699" s="28"/>
    </row>
    <row r="1700" spans="1:27" s="45" customFormat="1" ht="12.75" hidden="1" customHeight="1">
      <c r="A1700" s="28" t="s">
        <v>152</v>
      </c>
      <c r="B1700" s="45" t="s">
        <v>203</v>
      </c>
      <c r="C1700" s="28" t="s">
        <v>230</v>
      </c>
      <c r="D1700" s="70">
        <v>2004</v>
      </c>
      <c r="E1700" s="70">
        <v>10</v>
      </c>
      <c r="F1700" s="70">
        <v>14</v>
      </c>
      <c r="G1700" s="34">
        <f t="shared" si="244"/>
        <v>288.23</v>
      </c>
      <c r="H1700" s="60">
        <v>3924.9555696399998</v>
      </c>
      <c r="I1700" s="60">
        <v>4437.7236272</v>
      </c>
      <c r="J1700" s="46">
        <f t="shared" si="236"/>
        <v>5463.2597423200004</v>
      </c>
      <c r="K1700" s="60">
        <v>25.958256519999999</v>
      </c>
      <c r="L1700" s="60">
        <v>31.764699780000001</v>
      </c>
      <c r="M1700" s="46">
        <f t="shared" si="237"/>
        <v>49.184029560000006</v>
      </c>
      <c r="O1700" s="94">
        <f t="shared" si="238"/>
        <v>3.5938347449107257</v>
      </c>
      <c r="P1700" s="94">
        <f t="shared" si="239"/>
        <v>3.6471602517221635</v>
      </c>
      <c r="Q1700" s="94">
        <f t="shared" si="240"/>
        <v>3.7374518488716553</v>
      </c>
      <c r="R1700" s="48">
        <f t="shared" si="241"/>
        <v>1.4142755198243728</v>
      </c>
      <c r="S1700" s="94">
        <f t="shared" si="242"/>
        <v>1.5019447550118912</v>
      </c>
      <c r="T1700" s="94">
        <f t="shared" si="243"/>
        <v>1.6918241068342297</v>
      </c>
      <c r="U1700" s="94">
        <v>3.7374518488716553</v>
      </c>
      <c r="V1700" s="94">
        <v>1.6918241068342297</v>
      </c>
      <c r="W1700" s="49">
        <f t="shared" si="245"/>
        <v>1.1433598144382855</v>
      </c>
      <c r="X1700" s="90">
        <v>12.891246600000001</v>
      </c>
      <c r="Y1700" s="90">
        <v>13.72678996</v>
      </c>
      <c r="AA1700" s="28"/>
    </row>
    <row r="1701" spans="1:27" s="45" customFormat="1" ht="12.75" hidden="1" customHeight="1">
      <c r="A1701" s="28" t="s">
        <v>152</v>
      </c>
      <c r="B1701" s="45" t="s">
        <v>203</v>
      </c>
      <c r="C1701" s="28" t="s">
        <v>230</v>
      </c>
      <c r="D1701" s="70">
        <v>2004</v>
      </c>
      <c r="E1701" s="70">
        <v>11</v>
      </c>
      <c r="F1701" s="70">
        <v>18</v>
      </c>
      <c r="G1701" s="34">
        <f t="shared" si="244"/>
        <v>322.7</v>
      </c>
      <c r="H1701" s="60">
        <v>1693.5445173200001</v>
      </c>
      <c r="I1701" s="60">
        <v>2005.7679775300001</v>
      </c>
      <c r="J1701" s="46">
        <f t="shared" si="236"/>
        <v>2630.2148979499998</v>
      </c>
      <c r="K1701" s="60">
        <v>11.9544671</v>
      </c>
      <c r="L1701" s="60">
        <v>19.1271284</v>
      </c>
      <c r="M1701" s="46">
        <f t="shared" si="237"/>
        <v>40.645112299999994</v>
      </c>
      <c r="O1701" s="94">
        <f t="shared" si="238"/>
        <v>3.2287966172028613</v>
      </c>
      <c r="P1701" s="94">
        <f t="shared" si="239"/>
        <v>3.3022806934369595</v>
      </c>
      <c r="Q1701" s="94">
        <f t="shared" si="240"/>
        <v>3.4199912333494908</v>
      </c>
      <c r="R1701" s="48">
        <f t="shared" si="241"/>
        <v>1.0775302211303603</v>
      </c>
      <c r="S1701" s="94">
        <f t="shared" si="242"/>
        <v>1.2816497732867806</v>
      </c>
      <c r="T1701" s="94">
        <f t="shared" si="243"/>
        <v>1.6090083278202527</v>
      </c>
      <c r="U1701" s="94">
        <v>3.4199912333494908</v>
      </c>
      <c r="V1701" s="94">
        <v>1.6090083278202527</v>
      </c>
      <c r="W1701" s="49">
        <f t="shared" si="245"/>
        <v>1.3174450499197479</v>
      </c>
      <c r="X1701" s="90">
        <v>12.85145865</v>
      </c>
      <c r="Y1701" s="90">
        <v>13.885941750000001</v>
      </c>
      <c r="AA1701" s="28"/>
    </row>
    <row r="1702" spans="1:27" s="45" customFormat="1" ht="12.75" hidden="1" customHeight="1">
      <c r="A1702" s="28" t="s">
        <v>152</v>
      </c>
      <c r="B1702" s="45" t="s">
        <v>203</v>
      </c>
      <c r="C1702" s="28" t="s">
        <v>230</v>
      </c>
      <c r="D1702" s="70">
        <v>2004</v>
      </c>
      <c r="E1702" s="70">
        <v>12</v>
      </c>
      <c r="F1702" s="70">
        <v>31</v>
      </c>
      <c r="G1702" s="34">
        <f t="shared" si="244"/>
        <v>366.16999999999996</v>
      </c>
      <c r="H1702" s="60">
        <v>1244.7675023700001</v>
      </c>
      <c r="I1702" s="60">
        <v>1445.3812436200001</v>
      </c>
      <c r="J1702" s="46">
        <f t="shared" si="236"/>
        <v>1846.60872612</v>
      </c>
      <c r="K1702" s="60">
        <v>9.5635736799999993</v>
      </c>
      <c r="L1702" s="60">
        <v>11.27134386</v>
      </c>
      <c r="M1702" s="46">
        <f t="shared" si="237"/>
        <v>16.3946544</v>
      </c>
      <c r="O1702" s="94">
        <f t="shared" si="238"/>
        <v>3.0950882414984284</v>
      </c>
      <c r="P1702" s="94">
        <f t="shared" si="239"/>
        <v>3.1599824146789377</v>
      </c>
      <c r="Q1702" s="94">
        <f t="shared" si="240"/>
        <v>3.2663748834810802</v>
      </c>
      <c r="R1702" s="48">
        <f t="shared" si="241"/>
        <v>0.98062020812230377</v>
      </c>
      <c r="S1702" s="94">
        <f t="shared" si="242"/>
        <v>1.0519756992039135</v>
      </c>
      <c r="T1702" s="94">
        <f t="shared" si="243"/>
        <v>1.2147022661560454</v>
      </c>
      <c r="U1702" s="94">
        <v>3.2663748834810802</v>
      </c>
      <c r="V1702" s="94">
        <v>1.2147022661560454</v>
      </c>
      <c r="W1702" s="49">
        <f t="shared" si="245"/>
        <v>1.7395854778890312</v>
      </c>
      <c r="X1702" s="90">
        <v>9.7082237899999999</v>
      </c>
      <c r="Y1702" s="90">
        <v>10.86206836</v>
      </c>
      <c r="AA1702" s="28"/>
    </row>
    <row r="1703" spans="1:27" s="45" customFormat="1" ht="12.75" hidden="1" customHeight="1">
      <c r="A1703" s="28" t="s">
        <v>152</v>
      </c>
      <c r="B1703" s="45" t="s">
        <v>203</v>
      </c>
      <c r="C1703" s="28" t="s">
        <v>231</v>
      </c>
      <c r="D1703" s="70">
        <v>2004</v>
      </c>
      <c r="E1703" s="70">
        <v>1</v>
      </c>
      <c r="F1703" s="70">
        <v>21</v>
      </c>
      <c r="G1703" s="34">
        <f t="shared" si="244"/>
        <v>21</v>
      </c>
      <c r="H1703" s="60">
        <v>2069.49712869</v>
      </c>
      <c r="I1703" s="60">
        <v>2503.4828314599999</v>
      </c>
      <c r="J1703" s="46">
        <f t="shared" si="236"/>
        <v>3371.4542369999999</v>
      </c>
      <c r="K1703" s="60">
        <v>7.8557845400000001</v>
      </c>
      <c r="L1703" s="60">
        <v>11.9544671</v>
      </c>
      <c r="M1703" s="46">
        <f t="shared" si="237"/>
        <v>24.250514780000003</v>
      </c>
      <c r="O1703" s="94">
        <f t="shared" si="238"/>
        <v>3.3158648281782122</v>
      </c>
      <c r="P1703" s="94">
        <f t="shared" si="239"/>
        <v>3.3985446174134775</v>
      </c>
      <c r="Q1703" s="94">
        <f t="shared" si="240"/>
        <v>3.5278172690836183</v>
      </c>
      <c r="R1703" s="48">
        <f t="shared" si="241"/>
        <v>0.89518956358079371</v>
      </c>
      <c r="S1703" s="94">
        <f t="shared" si="242"/>
        <v>1.0775302211303603</v>
      </c>
      <c r="T1703" s="94">
        <f t="shared" si="243"/>
        <v>1.3847209620616019</v>
      </c>
      <c r="U1703" s="94">
        <v>3.5278172690836183</v>
      </c>
      <c r="V1703" s="94">
        <v>1.3847209620616019</v>
      </c>
      <c r="W1703" s="49">
        <f t="shared" si="245"/>
        <v>1.4990962178940748</v>
      </c>
      <c r="X1703" s="90">
        <v>7.5994708299999996</v>
      </c>
      <c r="Y1703" s="90">
        <v>7.8779852799999999</v>
      </c>
      <c r="AA1703" s="28"/>
    </row>
    <row r="1704" spans="1:27" s="45" customFormat="1" ht="12.75" hidden="1" customHeight="1">
      <c r="A1704" s="28" t="s">
        <v>152</v>
      </c>
      <c r="B1704" s="45" t="s">
        <v>203</v>
      </c>
      <c r="C1704" s="28" t="s">
        <v>231</v>
      </c>
      <c r="D1704" s="70">
        <v>2004</v>
      </c>
      <c r="E1704" s="70">
        <v>3</v>
      </c>
      <c r="F1704" s="70">
        <v>23</v>
      </c>
      <c r="G1704" s="34">
        <f t="shared" si="244"/>
        <v>83.94</v>
      </c>
      <c r="H1704" s="60">
        <v>704.94396640000002</v>
      </c>
      <c r="I1704" s="60">
        <v>862.70419492999997</v>
      </c>
      <c r="J1704" s="46">
        <f t="shared" si="236"/>
        <v>1178.22465199</v>
      </c>
      <c r="K1704" s="60">
        <v>3.7571209400000001</v>
      </c>
      <c r="L1704" s="60">
        <v>5.8064527400000001</v>
      </c>
      <c r="M1704" s="46">
        <f t="shared" si="237"/>
        <v>11.95444814</v>
      </c>
      <c r="O1704" s="94">
        <f t="shared" si="238"/>
        <v>2.8481545977709559</v>
      </c>
      <c r="P1704" s="94">
        <f t="shared" si="239"/>
        <v>2.9358619098154644</v>
      </c>
      <c r="Q1704" s="94">
        <f t="shared" si="240"/>
        <v>3.071228105236862</v>
      </c>
      <c r="R1704" s="48">
        <f t="shared" si="241"/>
        <v>0.57485517502859018</v>
      </c>
      <c r="S1704" s="94">
        <f t="shared" si="242"/>
        <v>0.7639108955704097</v>
      </c>
      <c r="T1704" s="94">
        <f t="shared" si="243"/>
        <v>1.0775295323309484</v>
      </c>
      <c r="U1704" s="94">
        <v>3.071228105236862</v>
      </c>
      <c r="V1704" s="94">
        <v>1.0775295323309484</v>
      </c>
      <c r="W1704" s="49">
        <f t="shared" si="245"/>
        <v>1.9288858093796797</v>
      </c>
      <c r="X1704" s="90">
        <v>9.3501334400000005</v>
      </c>
      <c r="Y1704" s="90">
        <v>9.7877996799999991</v>
      </c>
      <c r="AA1704" s="28"/>
    </row>
    <row r="1705" spans="1:27" s="45" customFormat="1" ht="12.75" hidden="1" customHeight="1">
      <c r="A1705" s="28" t="s">
        <v>152</v>
      </c>
      <c r="B1705" s="45" t="s">
        <v>203</v>
      </c>
      <c r="C1705" s="28" t="s">
        <v>231</v>
      </c>
      <c r="D1705" s="70">
        <v>2004</v>
      </c>
      <c r="E1705" s="70">
        <v>4</v>
      </c>
      <c r="F1705" s="70">
        <v>30</v>
      </c>
      <c r="G1705" s="34">
        <f t="shared" si="244"/>
        <v>121.41</v>
      </c>
      <c r="H1705" s="60">
        <v>1669.28672919</v>
      </c>
      <c r="I1705" s="60">
        <v>2359.59108599</v>
      </c>
      <c r="J1705" s="46">
        <f t="shared" si="236"/>
        <v>3740.1997995900001</v>
      </c>
      <c r="K1705" s="60">
        <v>9.5635736799999993</v>
      </c>
      <c r="L1705" s="60">
        <v>12.637571380000001</v>
      </c>
      <c r="M1705" s="46">
        <f t="shared" si="237"/>
        <v>21.859564480000003</v>
      </c>
      <c r="O1705" s="94">
        <f t="shared" si="238"/>
        <v>3.2225309407593787</v>
      </c>
      <c r="P1705" s="94">
        <f t="shared" si="239"/>
        <v>3.3728367468323079</v>
      </c>
      <c r="Q1705" s="94">
        <f t="shared" si="240"/>
        <v>3.5728948026127068</v>
      </c>
      <c r="R1705" s="48">
        <f t="shared" si="241"/>
        <v>0.98062020812230377</v>
      </c>
      <c r="S1705" s="94">
        <f t="shared" si="242"/>
        <v>1.1016636216042066</v>
      </c>
      <c r="T1705" s="94">
        <f t="shared" si="243"/>
        <v>1.3396415050145554</v>
      </c>
      <c r="U1705" s="94">
        <v>3.5728948026127068</v>
      </c>
      <c r="V1705" s="94">
        <v>1.3396415050145554</v>
      </c>
      <c r="W1705" s="49">
        <f t="shared" si="245"/>
        <v>1.5285956817719657</v>
      </c>
      <c r="X1705" s="90">
        <v>10.54376714</v>
      </c>
      <c r="Y1705" s="90">
        <v>11.02122015</v>
      </c>
      <c r="AA1705" s="28"/>
    </row>
    <row r="1706" spans="1:27" s="45" customFormat="1" ht="12.75" hidden="1" customHeight="1">
      <c r="A1706" s="28" t="s">
        <v>152</v>
      </c>
      <c r="B1706" s="45" t="s">
        <v>203</v>
      </c>
      <c r="C1706" s="28" t="s">
        <v>231</v>
      </c>
      <c r="D1706" s="70">
        <v>2004</v>
      </c>
      <c r="E1706" s="70">
        <v>6</v>
      </c>
      <c r="F1706" s="70">
        <v>3</v>
      </c>
      <c r="G1706" s="34">
        <f t="shared" si="244"/>
        <v>155.35</v>
      </c>
      <c r="H1706" s="60">
        <v>1292.46880478</v>
      </c>
      <c r="I1706" s="60">
        <v>1706.6699096499999</v>
      </c>
      <c r="J1706" s="46">
        <f t="shared" si="236"/>
        <v>2535.0721193899999</v>
      </c>
      <c r="K1706" s="60">
        <v>9.5635736799999993</v>
      </c>
      <c r="L1706" s="60">
        <v>11.9544671</v>
      </c>
      <c r="M1706" s="46">
        <f t="shared" si="237"/>
        <v>19.127147360000002</v>
      </c>
      <c r="O1706" s="94">
        <f t="shared" si="238"/>
        <v>3.1114200696960355</v>
      </c>
      <c r="P1706" s="94">
        <f t="shared" si="239"/>
        <v>3.232149531495482</v>
      </c>
      <c r="Q1706" s="94">
        <f t="shared" si="240"/>
        <v>3.4039903189386211</v>
      </c>
      <c r="R1706" s="48">
        <f t="shared" si="241"/>
        <v>0.98062020812230377</v>
      </c>
      <c r="S1706" s="94">
        <f t="shared" si="242"/>
        <v>1.0775302211303603</v>
      </c>
      <c r="T1706" s="94">
        <f t="shared" si="243"/>
        <v>1.2816502037862851</v>
      </c>
      <c r="U1706" s="94">
        <v>3.4039903189386211</v>
      </c>
      <c r="V1706" s="94">
        <v>1.2816502037862851</v>
      </c>
      <c r="W1706" s="49">
        <f t="shared" si="245"/>
        <v>1.6345046319242995</v>
      </c>
      <c r="X1706" s="90">
        <v>14.721485100000001</v>
      </c>
      <c r="Y1706" s="90">
        <v>15.119363399999999</v>
      </c>
      <c r="AA1706" s="28"/>
    </row>
    <row r="1707" spans="1:27" s="45" customFormat="1" ht="12.75" hidden="1" customHeight="1">
      <c r="A1707" s="28" t="s">
        <v>152</v>
      </c>
      <c r="B1707" s="45" t="s">
        <v>203</v>
      </c>
      <c r="C1707" s="28" t="s">
        <v>231</v>
      </c>
      <c r="D1707" s="70">
        <v>2004</v>
      </c>
      <c r="E1707" s="70">
        <v>7</v>
      </c>
      <c r="F1707" s="70">
        <v>5</v>
      </c>
      <c r="G1707" s="34">
        <f t="shared" si="244"/>
        <v>187.82</v>
      </c>
      <c r="H1707" s="60">
        <v>1053.8411897200001</v>
      </c>
      <c r="I1707" s="60">
        <v>1408.8086198599999</v>
      </c>
      <c r="J1707" s="46">
        <f t="shared" si="236"/>
        <v>2118.7434801399995</v>
      </c>
      <c r="K1707" s="60">
        <v>10.9298012</v>
      </c>
      <c r="L1707" s="60">
        <v>14.34536052</v>
      </c>
      <c r="M1707" s="46">
        <f t="shared" si="237"/>
        <v>24.592038479999999</v>
      </c>
      <c r="O1707" s="94">
        <f t="shared" si="238"/>
        <v>3.022775169107252</v>
      </c>
      <c r="P1707" s="94">
        <f t="shared" si="239"/>
        <v>3.148852000218008</v>
      </c>
      <c r="Q1707" s="94">
        <f t="shared" si="240"/>
        <v>3.32607837912541</v>
      </c>
      <c r="R1707" s="48">
        <f t="shared" si="241"/>
        <v>1.0386122627248</v>
      </c>
      <c r="S1707" s="94">
        <f t="shared" si="242"/>
        <v>1.156711467177985</v>
      </c>
      <c r="T1707" s="94">
        <f t="shared" si="243"/>
        <v>1.3907945297115656</v>
      </c>
      <c r="U1707" s="94">
        <v>3.32607837912541</v>
      </c>
      <c r="V1707" s="94">
        <v>1.3907945297115656</v>
      </c>
      <c r="W1707" s="49">
        <f t="shared" si="245"/>
        <v>1.5537284020319506</v>
      </c>
      <c r="X1707" s="90">
        <v>14.1644562</v>
      </c>
      <c r="Y1707" s="90">
        <v>14.60212244</v>
      </c>
      <c r="AA1707" s="28"/>
    </row>
    <row r="1708" spans="1:27" s="45" customFormat="1" ht="12.75" hidden="1" customHeight="1">
      <c r="A1708" s="28" t="s">
        <v>152</v>
      </c>
      <c r="B1708" s="45" t="s">
        <v>203</v>
      </c>
      <c r="C1708" s="28" t="s">
        <v>231</v>
      </c>
      <c r="D1708" s="70">
        <v>2004</v>
      </c>
      <c r="E1708" s="70">
        <v>8</v>
      </c>
      <c r="F1708" s="70">
        <v>9</v>
      </c>
      <c r="G1708" s="34">
        <f t="shared" si="244"/>
        <v>222.29</v>
      </c>
      <c r="H1708" s="60">
        <v>1564.53482207</v>
      </c>
      <c r="I1708" s="60">
        <v>1939.2879021900001</v>
      </c>
      <c r="J1708" s="46">
        <f t="shared" si="236"/>
        <v>2688.7940624299999</v>
      </c>
      <c r="K1708" s="60">
        <v>21.859583440000002</v>
      </c>
      <c r="L1708" s="60">
        <v>28.00758832</v>
      </c>
      <c r="M1708" s="46">
        <f t="shared" si="237"/>
        <v>46.451602959999995</v>
      </c>
      <c r="O1708" s="94">
        <f t="shared" si="238"/>
        <v>3.194385233742711</v>
      </c>
      <c r="P1708" s="94">
        <f t="shared" si="239"/>
        <v>3.2876422882178655</v>
      </c>
      <c r="Q1708" s="94">
        <f t="shared" si="240"/>
        <v>3.4295575404251468</v>
      </c>
      <c r="R1708" s="48">
        <f t="shared" si="241"/>
        <v>1.3396418817018316</v>
      </c>
      <c r="S1708" s="94">
        <f t="shared" si="242"/>
        <v>1.4472757141642059</v>
      </c>
      <c r="T1708" s="94">
        <f t="shared" si="243"/>
        <v>1.6670007052978204</v>
      </c>
      <c r="U1708" s="94">
        <v>3.4295575404251468</v>
      </c>
      <c r="V1708" s="94">
        <v>1.6670007052978204</v>
      </c>
      <c r="W1708" s="49">
        <f t="shared" si="245"/>
        <v>1.2592607767435831</v>
      </c>
      <c r="X1708" s="90">
        <v>22.917771599999998</v>
      </c>
      <c r="Y1708" s="90">
        <v>25.503978750000002</v>
      </c>
      <c r="AA1708" s="28"/>
    </row>
    <row r="1709" spans="1:27" s="45" customFormat="1" ht="12.75" hidden="1" customHeight="1">
      <c r="A1709" s="28" t="s">
        <v>152</v>
      </c>
      <c r="B1709" s="45" t="s">
        <v>203</v>
      </c>
      <c r="C1709" s="28" t="s">
        <v>231</v>
      </c>
      <c r="D1709" s="70">
        <v>2004</v>
      </c>
      <c r="E1709" s="70">
        <v>9</v>
      </c>
      <c r="F1709" s="70">
        <v>8</v>
      </c>
      <c r="G1709" s="34">
        <f t="shared" si="244"/>
        <v>251.76</v>
      </c>
      <c r="H1709" s="60">
        <v>3791.6671914399999</v>
      </c>
      <c r="I1709" s="60">
        <v>4817.3701108699997</v>
      </c>
      <c r="J1709" s="46">
        <f t="shared" si="236"/>
        <v>6868.7759497299994</v>
      </c>
      <c r="K1709" s="60">
        <v>57.039852029999999</v>
      </c>
      <c r="L1709" s="60">
        <v>71.726755209999993</v>
      </c>
      <c r="M1709" s="46">
        <f t="shared" si="237"/>
        <v>115.78746474999997</v>
      </c>
      <c r="O1709" s="94">
        <f t="shared" si="238"/>
        <v>3.5788302107166032</v>
      </c>
      <c r="P1709" s="94">
        <f t="shared" si="239"/>
        <v>3.6828100137493078</v>
      </c>
      <c r="Q1709" s="94">
        <f t="shared" si="240"/>
        <v>3.8368793505032537</v>
      </c>
      <c r="R1709" s="48">
        <f t="shared" si="241"/>
        <v>1.7561783902197237</v>
      </c>
      <c r="S1709" s="94">
        <f t="shared" si="242"/>
        <v>1.8556811845749301</v>
      </c>
      <c r="T1709" s="94">
        <f t="shared" si="243"/>
        <v>2.0636615448441016</v>
      </c>
      <c r="U1709" s="94">
        <v>3.8368793505032537</v>
      </c>
      <c r="V1709" s="94">
        <v>2.0636615448441016</v>
      </c>
      <c r="W1709" s="49">
        <f t="shared" si="245"/>
        <v>0.75888309966546497</v>
      </c>
      <c r="X1709" s="90">
        <v>20.212201799999999</v>
      </c>
      <c r="Y1709" s="90">
        <v>20.968170440000002</v>
      </c>
      <c r="AA1709" s="28"/>
    </row>
    <row r="1710" spans="1:27" s="45" customFormat="1" ht="12.75" hidden="1" customHeight="1">
      <c r="A1710" s="28" t="s">
        <v>152</v>
      </c>
      <c r="B1710" s="45" t="s">
        <v>203</v>
      </c>
      <c r="C1710" s="28" t="s">
        <v>231</v>
      </c>
      <c r="D1710" s="70">
        <v>2004</v>
      </c>
      <c r="E1710" s="70">
        <v>10</v>
      </c>
      <c r="F1710" s="70">
        <v>14</v>
      </c>
      <c r="G1710" s="34">
        <f t="shared" si="244"/>
        <v>288.23</v>
      </c>
      <c r="H1710" s="60">
        <v>613.99890636999999</v>
      </c>
      <c r="I1710" s="60">
        <v>1008.47599887</v>
      </c>
      <c r="J1710" s="46">
        <f t="shared" si="236"/>
        <v>1797.4301838700001</v>
      </c>
      <c r="K1710" s="60">
        <v>9.2220120600000008</v>
      </c>
      <c r="L1710" s="60">
        <v>16.053130700000001</v>
      </c>
      <c r="M1710" s="46">
        <f t="shared" si="237"/>
        <v>36.546486619999996</v>
      </c>
      <c r="O1710" s="94">
        <f t="shared" si="238"/>
        <v>2.7881675975941036</v>
      </c>
      <c r="P1710" s="94">
        <f t="shared" si="239"/>
        <v>3.003665566720966</v>
      </c>
      <c r="Q1710" s="94">
        <f t="shared" si="240"/>
        <v>3.254652030432466</v>
      </c>
      <c r="R1710" s="48">
        <f t="shared" si="241"/>
        <v>0.96482568582830608</v>
      </c>
      <c r="S1710" s="94">
        <f t="shared" si="242"/>
        <v>1.2055597416098029</v>
      </c>
      <c r="T1710" s="94">
        <f t="shared" si="243"/>
        <v>1.5628456325965461</v>
      </c>
      <c r="U1710" s="94">
        <v>3.254652030432466</v>
      </c>
      <c r="V1710" s="94">
        <v>1.5628456325965461</v>
      </c>
      <c r="W1710" s="49">
        <f t="shared" si="245"/>
        <v>1.4110028035116826</v>
      </c>
      <c r="X1710" s="90">
        <v>20.61008009</v>
      </c>
      <c r="Y1710" s="90">
        <v>22.40053065</v>
      </c>
      <c r="AA1710" s="28"/>
    </row>
    <row r="1711" spans="1:27" s="45" customFormat="1" ht="12.75" hidden="1" customHeight="1">
      <c r="A1711" s="28" t="s">
        <v>152</v>
      </c>
      <c r="B1711" s="45" t="s">
        <v>203</v>
      </c>
      <c r="C1711" s="28" t="s">
        <v>231</v>
      </c>
      <c r="D1711" s="70">
        <v>2004</v>
      </c>
      <c r="E1711" s="70">
        <v>11</v>
      </c>
      <c r="F1711" s="70">
        <v>18</v>
      </c>
      <c r="G1711" s="34">
        <f t="shared" si="244"/>
        <v>322.7</v>
      </c>
      <c r="H1711" s="60">
        <v>1677.0839537700001</v>
      </c>
      <c r="I1711" s="60">
        <v>1953.1563860700001</v>
      </c>
      <c r="J1711" s="46">
        <f t="shared" si="236"/>
        <v>2505.3012506699997</v>
      </c>
      <c r="K1711" s="60">
        <v>9.9051163399999993</v>
      </c>
      <c r="L1711" s="60">
        <v>14.34536052</v>
      </c>
      <c r="M1711" s="46">
        <f t="shared" si="237"/>
        <v>27.666093060000001</v>
      </c>
      <c r="O1711" s="94">
        <f t="shared" si="238"/>
        <v>3.224554803659414</v>
      </c>
      <c r="P1711" s="94">
        <f t="shared" si="239"/>
        <v>3.2907370179361641</v>
      </c>
      <c r="Q1711" s="94">
        <f t="shared" si="240"/>
        <v>3.3988599552082142</v>
      </c>
      <c r="R1711" s="48">
        <f t="shared" si="241"/>
        <v>0.99585958088650928</v>
      </c>
      <c r="S1711" s="94">
        <f t="shared" si="242"/>
        <v>1.156711467177985</v>
      </c>
      <c r="T1711" s="94">
        <f t="shared" si="243"/>
        <v>1.4419478334349936</v>
      </c>
      <c r="U1711" s="94">
        <v>3.3988599552082142</v>
      </c>
      <c r="V1711" s="94">
        <v>1.4419478334349936</v>
      </c>
      <c r="W1711" s="49">
        <f t="shared" si="245"/>
        <v>1.4831333931466013</v>
      </c>
      <c r="X1711" s="90">
        <v>10.94164425</v>
      </c>
      <c r="Y1711" s="90">
        <v>11.976127350000001</v>
      </c>
      <c r="AA1711" s="28"/>
    </row>
    <row r="1712" spans="1:27" s="45" customFormat="1" ht="12.75" hidden="1" customHeight="1">
      <c r="A1712" s="28" t="s">
        <v>152</v>
      </c>
      <c r="B1712" s="45" t="s">
        <v>203</v>
      </c>
      <c r="C1712" s="28" t="s">
        <v>231</v>
      </c>
      <c r="D1712" s="70">
        <v>2004</v>
      </c>
      <c r="E1712" s="70">
        <v>12</v>
      </c>
      <c r="F1712" s="70">
        <v>31</v>
      </c>
      <c r="G1712" s="34">
        <f t="shared" si="244"/>
        <v>366.16999999999996</v>
      </c>
      <c r="H1712" s="60">
        <v>3054.9189930299999</v>
      </c>
      <c r="I1712" s="60">
        <v>3311.2987575900002</v>
      </c>
      <c r="J1712" s="46">
        <f t="shared" si="236"/>
        <v>3824.0582867100006</v>
      </c>
      <c r="K1712" s="60">
        <v>16.053130700000001</v>
      </c>
      <c r="L1712" s="60">
        <v>18.444024120000002</v>
      </c>
      <c r="M1712" s="46">
        <f t="shared" si="237"/>
        <v>25.616704380000005</v>
      </c>
      <c r="O1712" s="94">
        <f t="shared" si="238"/>
        <v>3.4849996985895366</v>
      </c>
      <c r="P1712" s="94">
        <f t="shared" si="239"/>
        <v>3.5199983661701841</v>
      </c>
      <c r="Q1712" s="94">
        <f t="shared" si="240"/>
        <v>3.5825245032179756</v>
      </c>
      <c r="R1712" s="48">
        <f t="shared" si="241"/>
        <v>1.2055597416098029</v>
      </c>
      <c r="S1712" s="94">
        <f t="shared" si="242"/>
        <v>1.2658556814922872</v>
      </c>
      <c r="T1712" s="94">
        <f t="shared" si="243"/>
        <v>1.4085232564920485</v>
      </c>
      <c r="U1712" s="94">
        <v>3.5825245032179756</v>
      </c>
      <c r="V1712" s="94">
        <v>1.4085232564920485</v>
      </c>
      <c r="W1712" s="49">
        <f t="shared" si="245"/>
        <v>1.460005046815672</v>
      </c>
      <c r="X1712" s="90">
        <v>11.9363394</v>
      </c>
      <c r="Y1712" s="90">
        <v>12.6525201</v>
      </c>
      <c r="AA1712" s="28"/>
    </row>
    <row r="1713" spans="1:27" s="45" customFormat="1" ht="15" hidden="1">
      <c r="A1713" s="44" t="s">
        <v>150</v>
      </c>
      <c r="B1713" s="45" t="s">
        <v>203</v>
      </c>
      <c r="C1713" s="23" t="s">
        <v>232</v>
      </c>
      <c r="D1713" s="70">
        <v>2004</v>
      </c>
      <c r="E1713" s="70">
        <v>5</v>
      </c>
      <c r="F1713" s="70">
        <v>19</v>
      </c>
      <c r="H1713" s="60">
        <v>191.84052412</v>
      </c>
      <c r="I1713" s="60">
        <v>218.40034632999999</v>
      </c>
      <c r="J1713" s="46">
        <f t="shared" si="236"/>
        <v>271.51999074999998</v>
      </c>
      <c r="K1713" s="60">
        <v>92.831592909999998</v>
      </c>
      <c r="L1713" s="60">
        <v>104.64428624</v>
      </c>
      <c r="M1713" s="46">
        <f t="shared" si="237"/>
        <v>140.08236622999999</v>
      </c>
      <c r="O1713" s="94">
        <f t="shared" si="238"/>
        <v>2.2829403522753786</v>
      </c>
      <c r="P1713" s="94">
        <f t="shared" si="239"/>
        <v>2.3392533227190029</v>
      </c>
      <c r="Q1713" s="94">
        <f t="shared" si="240"/>
        <v>2.4338018101782852</v>
      </c>
      <c r="R1713" s="48">
        <f t="shared" si="241"/>
        <v>1.9676958026356659</v>
      </c>
      <c r="S1713" s="94">
        <f t="shared" si="242"/>
        <v>2.0197155200881447</v>
      </c>
      <c r="T1713" s="94">
        <f t="shared" si="243"/>
        <v>2.1463834691116017</v>
      </c>
      <c r="U1713" s="94">
        <v>2.4338018101782852</v>
      </c>
      <c r="V1713" s="94">
        <v>2.1463834691116017</v>
      </c>
      <c r="W1713" s="49">
        <f t="shared" si="245"/>
        <v>1.1002308951415165</v>
      </c>
      <c r="X1713" s="90">
        <v>51.82716903</v>
      </c>
      <c r="Y1713" s="90">
        <v>54.412211360000001</v>
      </c>
      <c r="AA1713" s="28"/>
    </row>
    <row r="1714" spans="1:27" s="45" customFormat="1" ht="15" hidden="1">
      <c r="A1714" s="44" t="s">
        <v>150</v>
      </c>
      <c r="B1714" s="45" t="s">
        <v>203</v>
      </c>
      <c r="C1714" s="23" t="s">
        <v>232</v>
      </c>
      <c r="D1714" s="70">
        <v>2004</v>
      </c>
      <c r="E1714" s="70">
        <v>7</v>
      </c>
      <c r="F1714" s="70">
        <v>18</v>
      </c>
      <c r="H1714" s="60">
        <v>353.81962834000001</v>
      </c>
      <c r="I1714" s="60">
        <v>392.71654295000002</v>
      </c>
      <c r="J1714" s="46">
        <f t="shared" si="236"/>
        <v>470.51037217000004</v>
      </c>
      <c r="K1714" s="60">
        <v>129.46456028</v>
      </c>
      <c r="L1714" s="60">
        <v>143.45341941000001</v>
      </c>
      <c r="M1714" s="46">
        <f t="shared" si="237"/>
        <v>185.41999680000004</v>
      </c>
      <c r="O1714" s="94">
        <f t="shared" si="238"/>
        <v>2.5487819219691152</v>
      </c>
      <c r="P1714" s="94">
        <f t="shared" si="239"/>
        <v>2.5940791960516143</v>
      </c>
      <c r="Q1714" s="94">
        <f t="shared" si="240"/>
        <v>2.6725692016772937</v>
      </c>
      <c r="R1714" s="48">
        <f t="shared" si="241"/>
        <v>2.1121509006083654</v>
      </c>
      <c r="S1714" s="94">
        <f t="shared" si="242"/>
        <v>2.1567109047130408</v>
      </c>
      <c r="T1714" s="94">
        <f t="shared" si="243"/>
        <v>2.268156569245289</v>
      </c>
      <c r="U1714" s="94">
        <v>2.6725692016772937</v>
      </c>
      <c r="V1714" s="94">
        <v>2.268156569245289</v>
      </c>
      <c r="W1714" s="49">
        <f t="shared" si="245"/>
        <v>0.91255482749220795</v>
      </c>
      <c r="X1714" s="90">
        <v>51.796621360000003</v>
      </c>
      <c r="Y1714" s="90">
        <v>53.828281079999996</v>
      </c>
      <c r="AA1714" s="28"/>
    </row>
    <row r="1715" spans="1:27" s="45" customFormat="1" ht="15" hidden="1">
      <c r="A1715" s="44" t="s">
        <v>150</v>
      </c>
      <c r="B1715" s="45" t="s">
        <v>203</v>
      </c>
      <c r="C1715" s="23" t="s">
        <v>232</v>
      </c>
      <c r="D1715" s="70">
        <v>2004</v>
      </c>
      <c r="E1715" s="70">
        <v>9</v>
      </c>
      <c r="F1715" s="70">
        <v>23</v>
      </c>
      <c r="H1715" s="60">
        <v>198.86196312000001</v>
      </c>
      <c r="I1715" s="60">
        <v>224.98307496999999</v>
      </c>
      <c r="J1715" s="46">
        <f t="shared" si="236"/>
        <v>277.22529866999992</v>
      </c>
      <c r="K1715" s="60">
        <v>96.765266479999994</v>
      </c>
      <c r="L1715" s="60">
        <v>113.24117224</v>
      </c>
      <c r="M1715" s="46">
        <f t="shared" si="237"/>
        <v>162.66888951999999</v>
      </c>
      <c r="O1715" s="94">
        <f t="shared" si="238"/>
        <v>2.2985517223560623</v>
      </c>
      <c r="P1715" s="94">
        <f t="shared" si="239"/>
        <v>2.3521498482286609</v>
      </c>
      <c r="Q1715" s="94">
        <f t="shared" si="240"/>
        <v>2.4428328600358844</v>
      </c>
      <c r="R1715" s="48">
        <f t="shared" si="241"/>
        <v>1.9857194969465706</v>
      </c>
      <c r="S1715" s="94">
        <f t="shared" si="242"/>
        <v>2.0540043564077286</v>
      </c>
      <c r="T1715" s="94">
        <f t="shared" si="243"/>
        <v>2.2113045019121929</v>
      </c>
      <c r="U1715" s="94">
        <v>2.4428328600358844</v>
      </c>
      <c r="V1715" s="94">
        <v>2.2113045019121929</v>
      </c>
      <c r="W1715" s="49">
        <f t="shared" si="245"/>
        <v>1.0355977003568551</v>
      </c>
      <c r="X1715" s="90">
        <v>61.551805829999999</v>
      </c>
      <c r="Y1715" s="90">
        <v>64.691829200000001</v>
      </c>
      <c r="AA1715" s="28"/>
    </row>
    <row r="1716" spans="1:27" s="45" customFormat="1" ht="15" hidden="1">
      <c r="A1716" s="44" t="s">
        <v>150</v>
      </c>
      <c r="B1716" s="45" t="s">
        <v>203</v>
      </c>
      <c r="C1716" s="23" t="s">
        <v>232</v>
      </c>
      <c r="D1716" s="70">
        <v>2004</v>
      </c>
      <c r="E1716" s="70">
        <v>12</v>
      </c>
      <c r="F1716" s="70">
        <v>17</v>
      </c>
      <c r="H1716" s="60">
        <v>117.70183055</v>
      </c>
      <c r="I1716" s="60">
        <v>140.25791294000001</v>
      </c>
      <c r="J1716" s="46">
        <f t="shared" si="236"/>
        <v>185.37007772000004</v>
      </c>
      <c r="K1716" s="60">
        <v>52.547818499999998</v>
      </c>
      <c r="L1716" s="60">
        <v>61.562973450000001</v>
      </c>
      <c r="M1716" s="46">
        <f t="shared" si="237"/>
        <v>88.608438300000017</v>
      </c>
      <c r="O1716" s="94">
        <f t="shared" si="238"/>
        <v>2.0707832172324045</v>
      </c>
      <c r="P1716" s="94">
        <f t="shared" si="239"/>
        <v>2.1469273722400413</v>
      </c>
      <c r="Q1716" s="94">
        <f t="shared" si="240"/>
        <v>2.2680396320206628</v>
      </c>
      <c r="R1716" s="48">
        <f t="shared" si="241"/>
        <v>1.7205546911905649</v>
      </c>
      <c r="S1716" s="94">
        <f t="shared" si="242"/>
        <v>1.7893195877959092</v>
      </c>
      <c r="T1716" s="94">
        <f t="shared" si="243"/>
        <v>1.9474750823004101</v>
      </c>
      <c r="U1716" s="94">
        <v>2.2680396320206628</v>
      </c>
      <c r="V1716" s="94">
        <v>1.9474750823004101</v>
      </c>
      <c r="W1716" s="49">
        <f t="shared" si="245"/>
        <v>1.3396194554285028</v>
      </c>
      <c r="X1716" s="90">
        <v>59.107591460000002</v>
      </c>
      <c r="Y1716" s="90">
        <v>60.953312109999999</v>
      </c>
      <c r="AA1716" s="28"/>
    </row>
    <row r="1717" spans="1:27" s="45" customFormat="1" ht="15" hidden="1">
      <c r="A1717" s="44" t="s">
        <v>150</v>
      </c>
      <c r="B1717" s="45" t="s">
        <v>203</v>
      </c>
      <c r="C1717" s="23" t="s">
        <v>233</v>
      </c>
      <c r="D1717" s="70">
        <v>2004</v>
      </c>
      <c r="E1717" s="70">
        <v>2</v>
      </c>
      <c r="F1717" s="70">
        <v>16</v>
      </c>
      <c r="H1717" s="60">
        <v>281.77985648999999</v>
      </c>
      <c r="I1717" s="60">
        <v>304.89496264000002</v>
      </c>
      <c r="J1717" s="46">
        <f t="shared" ref="J1717:J1726" si="246">H1717+3*(I1717-H1717)</f>
        <v>351.12517494000008</v>
      </c>
      <c r="K1717" s="60">
        <v>52.495291700000003</v>
      </c>
      <c r="L1717" s="60">
        <v>56.53713157</v>
      </c>
      <c r="M1717" s="46">
        <f t="shared" ref="M1717:M1726" si="247">L1717+3*(L1717-K1717)</f>
        <v>68.662651179999983</v>
      </c>
      <c r="O1717" s="94">
        <f t="shared" ref="O1717:O1780" si="248">LOG10(H1717)</f>
        <v>2.4499099436068286</v>
      </c>
      <c r="P1717" s="94">
        <f t="shared" ref="P1717:P1726" si="249">LOG10(I1717)</f>
        <v>2.4841502491744216</v>
      </c>
      <c r="Q1717" s="94">
        <f t="shared" ref="Q1717:Q1726" si="250">LOG10(J1717)</f>
        <v>2.5454619685868729</v>
      </c>
      <c r="R1717" s="48">
        <f t="shared" ref="R1717:R1780" si="251">LOG10(K1717)</f>
        <v>1.7201203533030065</v>
      </c>
      <c r="S1717" s="94">
        <f t="shared" ref="S1717:S1726" si="252">LOG10(L1717)</f>
        <v>1.7523337706387891</v>
      </c>
      <c r="T1717" s="94">
        <f t="shared" ref="T1717:T1726" si="253">LOG10(M1717)</f>
        <v>1.8367205682510426</v>
      </c>
      <c r="U1717" s="94">
        <v>2.5454619685868729</v>
      </c>
      <c r="V1717" s="94">
        <v>1.8367205682510426</v>
      </c>
      <c r="W1717" s="49">
        <f t="shared" si="245"/>
        <v>1.3621733719891347</v>
      </c>
      <c r="X1717" s="90">
        <v>46.358838599999999</v>
      </c>
      <c r="Y1717" s="90">
        <v>50.237468300000003</v>
      </c>
      <c r="AA1717" s="28"/>
    </row>
    <row r="1718" spans="1:27" s="45" customFormat="1" ht="15" hidden="1">
      <c r="A1718" s="44" t="s">
        <v>150</v>
      </c>
      <c r="B1718" s="45" t="s">
        <v>203</v>
      </c>
      <c r="C1718" s="23" t="s">
        <v>233</v>
      </c>
      <c r="D1718" s="70">
        <v>2004</v>
      </c>
      <c r="E1718" s="70">
        <v>5</v>
      </c>
      <c r="F1718" s="70">
        <v>18</v>
      </c>
      <c r="H1718" s="60">
        <v>290.88866896000002</v>
      </c>
      <c r="I1718" s="60">
        <v>321.70174335000002</v>
      </c>
      <c r="J1718" s="46">
        <f t="shared" si="246"/>
        <v>383.32789213000001</v>
      </c>
      <c r="K1718" s="60">
        <v>143.81682703999999</v>
      </c>
      <c r="L1718" s="60">
        <v>157.80529708</v>
      </c>
      <c r="M1718" s="46">
        <f t="shared" si="247"/>
        <v>199.77070720000003</v>
      </c>
      <c r="O1718" s="94">
        <f t="shared" si="248"/>
        <v>2.4637268044234446</v>
      </c>
      <c r="P1718" s="94">
        <f t="shared" si="249"/>
        <v>2.5074534144152851</v>
      </c>
      <c r="Q1718" s="94">
        <f t="shared" si="250"/>
        <v>2.5835704210217214</v>
      </c>
      <c r="R1718" s="48">
        <f t="shared" si="251"/>
        <v>2.1578097028972012</v>
      </c>
      <c r="S1718" s="94">
        <f t="shared" si="252"/>
        <v>2.1981215771623952</v>
      </c>
      <c r="T1718" s="94">
        <f t="shared" si="253"/>
        <v>2.3005318070428222</v>
      </c>
      <c r="U1718" s="94">
        <v>2.5835704210217214</v>
      </c>
      <c r="V1718" s="94">
        <v>2.3005318070428222</v>
      </c>
      <c r="W1718" s="49">
        <f t="shared" si="245"/>
        <v>0.90832941233348918</v>
      </c>
      <c r="X1718" s="90">
        <v>46.174143000000001</v>
      </c>
      <c r="Y1718" s="90">
        <v>49.498685899999998</v>
      </c>
      <c r="AA1718" s="28"/>
    </row>
    <row r="1719" spans="1:27" s="45" customFormat="1" ht="15" hidden="1">
      <c r="A1719" s="44" t="s">
        <v>150</v>
      </c>
      <c r="B1719" s="45" t="s">
        <v>203</v>
      </c>
      <c r="C1719" s="23" t="s">
        <v>233</v>
      </c>
      <c r="D1719" s="70">
        <v>2004</v>
      </c>
      <c r="E1719" s="70">
        <v>7</v>
      </c>
      <c r="F1719" s="70">
        <v>18</v>
      </c>
      <c r="H1719" s="60">
        <v>131.51345637</v>
      </c>
      <c r="I1719" s="60">
        <v>150.22255332</v>
      </c>
      <c r="J1719" s="46">
        <f t="shared" si="246"/>
        <v>187.64074722000001</v>
      </c>
      <c r="K1719" s="60">
        <v>95.266890919999994</v>
      </c>
      <c r="L1719" s="60">
        <v>110.81015419000001</v>
      </c>
      <c r="M1719" s="46">
        <f t="shared" si="247"/>
        <v>157.43994400000003</v>
      </c>
      <c r="O1719" s="94">
        <f t="shared" si="248"/>
        <v>2.1189701918238661</v>
      </c>
      <c r="P1719" s="94">
        <f t="shared" si="249"/>
        <v>2.1767351393734038</v>
      </c>
      <c r="Q1719" s="94">
        <f t="shared" si="250"/>
        <v>2.2733271537191446</v>
      </c>
      <c r="R1719" s="48">
        <f t="shared" si="251"/>
        <v>1.9789419920432378</v>
      </c>
      <c r="S1719" s="94">
        <f t="shared" si="252"/>
        <v>2.0445795591886746</v>
      </c>
      <c r="T1719" s="94">
        <f t="shared" si="253"/>
        <v>2.1971149266125756</v>
      </c>
      <c r="U1719" s="94">
        <v>2.2733271537191446</v>
      </c>
      <c r="V1719" s="94">
        <v>2.1971149266125756</v>
      </c>
      <c r="W1719" s="49">
        <f t="shared" si="245"/>
        <v>1.0999042651173989</v>
      </c>
      <c r="X1719" s="90">
        <v>82.7440651</v>
      </c>
      <c r="Y1719" s="90">
        <v>89.208444200000002</v>
      </c>
      <c r="AA1719" s="28"/>
    </row>
    <row r="1720" spans="1:27" s="45" customFormat="1" ht="15" hidden="1">
      <c r="A1720" s="44" t="s">
        <v>150</v>
      </c>
      <c r="B1720" s="45" t="s">
        <v>203</v>
      </c>
      <c r="C1720" s="23" t="s">
        <v>233</v>
      </c>
      <c r="D1720" s="70">
        <v>2004</v>
      </c>
      <c r="E1720" s="70">
        <v>9</v>
      </c>
      <c r="F1720" s="70">
        <v>23</v>
      </c>
      <c r="H1720" s="60">
        <v>114.12268822999999</v>
      </c>
      <c r="I1720" s="60">
        <v>130.63650333999999</v>
      </c>
      <c r="J1720" s="46">
        <f t="shared" si="246"/>
        <v>163.66413355999998</v>
      </c>
      <c r="K1720" s="60">
        <v>55.418116220000002</v>
      </c>
      <c r="L1720" s="60">
        <v>64.122779429999994</v>
      </c>
      <c r="M1720" s="46">
        <f t="shared" si="247"/>
        <v>90.236769059999972</v>
      </c>
      <c r="O1720" s="94">
        <f t="shared" si="248"/>
        <v>2.0573719931787346</v>
      </c>
      <c r="P1720" s="94">
        <f t="shared" si="249"/>
        <v>2.1160645474139583</v>
      </c>
      <c r="Q1720" s="94">
        <f t="shared" si="250"/>
        <v>2.2139535156756431</v>
      </c>
      <c r="R1720" s="48">
        <f t="shared" si="251"/>
        <v>1.7436517591011442</v>
      </c>
      <c r="S1720" s="94">
        <f t="shared" si="252"/>
        <v>1.80701233877491</v>
      </c>
      <c r="T1720" s="94">
        <f t="shared" si="253"/>
        <v>1.9553835369436379</v>
      </c>
      <c r="U1720" s="94">
        <v>2.2139535156756431</v>
      </c>
      <c r="V1720" s="94">
        <v>1.9553835369436379</v>
      </c>
      <c r="W1720" s="49">
        <f t="shared" si="245"/>
        <v>1.3482757029081232</v>
      </c>
      <c r="X1720" s="90">
        <v>69.630611200000004</v>
      </c>
      <c r="Y1720" s="90">
        <v>74.063327700000002</v>
      </c>
      <c r="AA1720" s="28"/>
    </row>
    <row r="1721" spans="1:27" s="45" customFormat="1" ht="15" hidden="1">
      <c r="A1721" s="44" t="s">
        <v>150</v>
      </c>
      <c r="B1721" s="45" t="s">
        <v>203</v>
      </c>
      <c r="C1721" s="23" t="s">
        <v>233</v>
      </c>
      <c r="D1721" s="70">
        <v>2004</v>
      </c>
      <c r="E1721" s="70">
        <v>12</v>
      </c>
      <c r="F1721" s="70">
        <v>17</v>
      </c>
      <c r="H1721" s="60">
        <v>127.60474395999999</v>
      </c>
      <c r="I1721" s="60">
        <v>139.71835849999999</v>
      </c>
      <c r="J1721" s="46">
        <f t="shared" si="246"/>
        <v>163.94558757999999</v>
      </c>
      <c r="K1721" s="60">
        <v>49.438621120000001</v>
      </c>
      <c r="L1721" s="60">
        <v>53.789396379999999</v>
      </c>
      <c r="M1721" s="46">
        <f t="shared" si="247"/>
        <v>66.841722159999989</v>
      </c>
      <c r="O1721" s="94">
        <f t="shared" si="248"/>
        <v>2.1058668204458995</v>
      </c>
      <c r="P1721" s="94">
        <f t="shared" si="249"/>
        <v>2.1452534746282215</v>
      </c>
      <c r="Q1721" s="94">
        <f t="shared" si="250"/>
        <v>2.2146997325915687</v>
      </c>
      <c r="R1721" s="48">
        <f t="shared" si="251"/>
        <v>1.6940663494528028</v>
      </c>
      <c r="S1721" s="94">
        <f t="shared" si="252"/>
        <v>1.730696670693705</v>
      </c>
      <c r="T1721" s="94">
        <f t="shared" si="253"/>
        <v>1.8250476308525601</v>
      </c>
      <c r="U1721" s="94">
        <v>2.2146997325915687</v>
      </c>
      <c r="V1721" s="94">
        <v>1.8250476308525601</v>
      </c>
      <c r="W1721" s="49">
        <f t="shared" si="245"/>
        <v>1.4723796134051461</v>
      </c>
      <c r="X1721" s="90">
        <v>57.255939699999999</v>
      </c>
      <c r="Y1721" s="90">
        <v>58.548814499999999</v>
      </c>
      <c r="AA1721" s="28"/>
    </row>
    <row r="1722" spans="1:27" s="45" customFormat="1" ht="15" hidden="1">
      <c r="A1722" s="44" t="s">
        <v>150</v>
      </c>
      <c r="B1722" s="45" t="s">
        <v>203</v>
      </c>
      <c r="C1722" s="23" t="s">
        <v>234</v>
      </c>
      <c r="D1722" s="70">
        <v>2004</v>
      </c>
      <c r="E1722" s="70">
        <v>2</v>
      </c>
      <c r="F1722" s="70">
        <v>18</v>
      </c>
      <c r="H1722" s="60">
        <v>87.454289470000006</v>
      </c>
      <c r="I1722" s="60">
        <v>106.80250143000001</v>
      </c>
      <c r="J1722" s="46">
        <f t="shared" si="246"/>
        <v>145.49892535000001</v>
      </c>
      <c r="K1722" s="60">
        <v>16.431559190000002</v>
      </c>
      <c r="L1722" s="60">
        <v>21.716922369999999</v>
      </c>
      <c r="M1722" s="46">
        <f t="shared" si="247"/>
        <v>37.573011909999991</v>
      </c>
      <c r="O1722" s="94">
        <f t="shared" si="248"/>
        <v>1.9417811156724978</v>
      </c>
      <c r="P1722" s="94">
        <f t="shared" si="249"/>
        <v>2.0285814244577431</v>
      </c>
      <c r="Q1722" s="94">
        <f t="shared" si="250"/>
        <v>2.1628597856498399</v>
      </c>
      <c r="R1722" s="48">
        <f t="shared" si="251"/>
        <v>1.2156787755765692</v>
      </c>
      <c r="S1722" s="94">
        <f t="shared" si="252"/>
        <v>1.3367982789080459</v>
      </c>
      <c r="T1722" s="94">
        <f t="shared" si="253"/>
        <v>1.5748760101675556</v>
      </c>
      <c r="U1722" s="94">
        <v>2.1628597856498399</v>
      </c>
      <c r="V1722" s="94">
        <v>1.5748760101675556</v>
      </c>
      <c r="W1722" s="49">
        <f t="shared" si="245"/>
        <v>1.7265456617483148</v>
      </c>
      <c r="X1722" s="90">
        <v>25.857527600000001</v>
      </c>
      <c r="Y1722" s="90">
        <v>26.965701190000001</v>
      </c>
      <c r="AA1722" s="28"/>
    </row>
    <row r="1723" spans="1:27" s="45" customFormat="1" ht="15" hidden="1">
      <c r="A1723" s="44" t="s">
        <v>150</v>
      </c>
      <c r="B1723" s="45" t="s">
        <v>203</v>
      </c>
      <c r="C1723" s="23" t="s">
        <v>234</v>
      </c>
      <c r="D1723" s="70">
        <v>2004</v>
      </c>
      <c r="E1723" s="70">
        <v>5</v>
      </c>
      <c r="F1723" s="70">
        <v>19</v>
      </c>
      <c r="H1723" s="60">
        <v>66.547727320000007</v>
      </c>
      <c r="I1723" s="60">
        <v>76.290102239999996</v>
      </c>
      <c r="J1723" s="46">
        <f t="shared" si="246"/>
        <v>95.774852079999974</v>
      </c>
      <c r="K1723" s="60">
        <v>63.9200649</v>
      </c>
      <c r="L1723" s="60">
        <v>74.180299520000005</v>
      </c>
      <c r="M1723" s="46">
        <f t="shared" si="247"/>
        <v>104.96100338000002</v>
      </c>
      <c r="O1723" s="94">
        <f t="shared" si="248"/>
        <v>1.8231332284172044</v>
      </c>
      <c r="P1723" s="94">
        <f t="shared" si="249"/>
        <v>1.8824681969144836</v>
      </c>
      <c r="Q1723" s="94">
        <f t="shared" si="250"/>
        <v>1.9812514899071187</v>
      </c>
      <c r="R1723" s="48">
        <f t="shared" si="251"/>
        <v>1.8056372072586504</v>
      </c>
      <c r="S1723" s="94">
        <f t="shared" si="252"/>
        <v>1.8702885825598683</v>
      </c>
      <c r="T1723" s="94">
        <f t="shared" si="253"/>
        <v>2.0210279737114099</v>
      </c>
      <c r="U1723" s="94">
        <v>1.9812514899071187</v>
      </c>
      <c r="V1723" s="94">
        <v>2.0210279737114099</v>
      </c>
      <c r="W1723" s="49">
        <f t="shared" si="245"/>
        <v>1.3553574558628523</v>
      </c>
      <c r="X1723" s="90">
        <v>69.261214499999994</v>
      </c>
      <c r="Y1723" s="90">
        <v>73.509235380000007</v>
      </c>
      <c r="AA1723" s="28"/>
    </row>
    <row r="1724" spans="1:27" s="45" customFormat="1" ht="15" hidden="1">
      <c r="A1724" s="44" t="s">
        <v>150</v>
      </c>
      <c r="B1724" s="45" t="s">
        <v>203</v>
      </c>
      <c r="C1724" s="23" t="s">
        <v>234</v>
      </c>
      <c r="D1724" s="70">
        <v>2004</v>
      </c>
      <c r="E1724" s="70">
        <v>7</v>
      </c>
      <c r="F1724" s="70">
        <v>19</v>
      </c>
      <c r="H1724" s="60">
        <v>68.002077270000001</v>
      </c>
      <c r="I1724" s="60">
        <v>77.587229559999997</v>
      </c>
      <c r="J1724" s="46">
        <f t="shared" si="246"/>
        <v>96.75753413999999</v>
      </c>
      <c r="K1724" s="60">
        <v>85.318704389999994</v>
      </c>
      <c r="L1724" s="60">
        <v>92.779066110000002</v>
      </c>
      <c r="M1724" s="46">
        <f t="shared" si="247"/>
        <v>115.16015127000003</v>
      </c>
      <c r="O1724" s="94">
        <f t="shared" si="248"/>
        <v>1.832522179369755</v>
      </c>
      <c r="P1724" s="94">
        <f t="shared" si="249"/>
        <v>1.8897902446083157</v>
      </c>
      <c r="Q1724" s="94">
        <f t="shared" si="250"/>
        <v>1.9856847918618443</v>
      </c>
      <c r="R1724" s="48">
        <f t="shared" si="251"/>
        <v>1.9310442518342834</v>
      </c>
      <c r="S1724" s="94">
        <f t="shared" si="252"/>
        <v>1.9674499967092018</v>
      </c>
      <c r="T1724" s="94">
        <f t="shared" si="253"/>
        <v>2.0613022266791527</v>
      </c>
      <c r="U1724" s="94">
        <v>1.9856847918618443</v>
      </c>
      <c r="V1724" s="94">
        <v>2.0613022266791527</v>
      </c>
      <c r="W1724" s="49">
        <f t="shared" si="245"/>
        <v>1.3156119629622542</v>
      </c>
      <c r="X1724" s="90">
        <v>101.583116</v>
      </c>
      <c r="Y1724" s="90">
        <v>105.46174262</v>
      </c>
      <c r="AA1724" s="28"/>
    </row>
    <row r="1725" spans="1:27" s="45" customFormat="1" ht="15" hidden="1">
      <c r="A1725" s="44" t="s">
        <v>150</v>
      </c>
      <c r="B1725" s="45" t="s">
        <v>203</v>
      </c>
      <c r="C1725" s="23" t="s">
        <v>234</v>
      </c>
      <c r="D1725" s="70">
        <v>2004</v>
      </c>
      <c r="E1725" s="70">
        <v>9</v>
      </c>
      <c r="F1725" s="70">
        <v>26</v>
      </c>
      <c r="H1725" s="60">
        <v>73.216720589999994</v>
      </c>
      <c r="I1725" s="60">
        <v>77.814663350000004</v>
      </c>
      <c r="J1725" s="46">
        <f t="shared" si="246"/>
        <v>87.010548870000022</v>
      </c>
      <c r="K1725" s="60">
        <v>85.260730370000005</v>
      </c>
      <c r="L1725" s="60">
        <v>94.585987970000005</v>
      </c>
      <c r="M1725" s="46">
        <f t="shared" si="247"/>
        <v>122.56176077000001</v>
      </c>
      <c r="O1725" s="94">
        <f t="shared" si="248"/>
        <v>1.8646102727350455</v>
      </c>
      <c r="P1725" s="94">
        <f t="shared" si="249"/>
        <v>1.8910614429015455</v>
      </c>
      <c r="Q1725" s="94">
        <f t="shared" si="250"/>
        <v>1.9395719082313581</v>
      </c>
      <c r="R1725" s="48">
        <f t="shared" si="251"/>
        <v>1.9307490486289898</v>
      </c>
      <c r="S1725" s="94">
        <f t="shared" si="252"/>
        <v>1.9758268044987202</v>
      </c>
      <c r="T1725" s="94">
        <f t="shared" si="253"/>
        <v>2.0883549915770563</v>
      </c>
      <c r="U1725" s="94">
        <v>1.9395719082313581</v>
      </c>
      <c r="V1725" s="94">
        <v>2.0883549915770563</v>
      </c>
      <c r="W1725" s="49">
        <f t="shared" si="245"/>
        <v>1.3036182735504118</v>
      </c>
      <c r="X1725" s="90">
        <v>121.345647</v>
      </c>
      <c r="Y1725" s="90">
        <v>125.03957839</v>
      </c>
      <c r="AA1725" s="28"/>
    </row>
    <row r="1726" spans="1:27" s="45" customFormat="1" ht="15" hidden="1">
      <c r="A1726" s="44" t="s">
        <v>150</v>
      </c>
      <c r="B1726" s="45" t="s">
        <v>203</v>
      </c>
      <c r="C1726" s="23" t="s">
        <v>234</v>
      </c>
      <c r="D1726" s="70">
        <v>2004</v>
      </c>
      <c r="E1726" s="70">
        <v>12</v>
      </c>
      <c r="F1726" s="70">
        <v>17</v>
      </c>
      <c r="H1726" s="60">
        <v>73.489684179999998</v>
      </c>
      <c r="I1726" s="60">
        <v>84.683889969999996</v>
      </c>
      <c r="J1726" s="46">
        <f t="shared" si="246"/>
        <v>107.07230154999999</v>
      </c>
      <c r="K1726" s="60">
        <v>24.56776571</v>
      </c>
      <c r="L1726" s="60">
        <v>28.298724750000002</v>
      </c>
      <c r="M1726" s="46">
        <f t="shared" si="247"/>
        <v>39.491601870000011</v>
      </c>
      <c r="O1726" s="94">
        <f t="shared" si="248"/>
        <v>1.8662263810144548</v>
      </c>
      <c r="P1726" s="94">
        <f t="shared" si="249"/>
        <v>1.9278007992021677</v>
      </c>
      <c r="Q1726" s="94">
        <f t="shared" si="250"/>
        <v>2.0296771380607899</v>
      </c>
      <c r="R1726" s="48">
        <f t="shared" si="251"/>
        <v>1.3903656618142319</v>
      </c>
      <c r="S1726" s="94">
        <f t="shared" si="252"/>
        <v>1.4517668649759929</v>
      </c>
      <c r="T1726" s="94">
        <f t="shared" si="253"/>
        <v>1.5965047500746623</v>
      </c>
      <c r="U1726" s="94">
        <v>2.0296771380607899</v>
      </c>
      <c r="V1726" s="94">
        <v>1.5965047500746623</v>
      </c>
      <c r="W1726" s="49">
        <f t="shared" si="245"/>
        <v>1.7458054859969767</v>
      </c>
      <c r="X1726" s="90">
        <v>50.237468300000003</v>
      </c>
      <c r="Y1726" s="90">
        <v>53.377310049999998</v>
      </c>
      <c r="AA1726" s="28"/>
    </row>
    <row r="1727" spans="1:27" s="45" customFormat="1" ht="15" hidden="1">
      <c r="A1727" s="44" t="s">
        <v>113</v>
      </c>
      <c r="B1727" s="45" t="s">
        <v>258</v>
      </c>
      <c r="C1727" s="23" t="s">
        <v>244</v>
      </c>
      <c r="D1727" s="45">
        <v>1995</v>
      </c>
      <c r="E1727" s="45">
        <v>5</v>
      </c>
      <c r="F1727" s="45">
        <v>1</v>
      </c>
      <c r="G1727" s="46">
        <f t="shared" ref="G1727:G1779" si="254">30.47*(E1727-1)+F1727</f>
        <v>122.88</v>
      </c>
      <c r="H1727" s="60">
        <v>319.58762887</v>
      </c>
      <c r="K1727" s="67">
        <v>28.674022229999999</v>
      </c>
      <c r="O1727" s="94">
        <f t="shared" si="248"/>
        <v>2.5045899595734915</v>
      </c>
      <c r="R1727" s="48">
        <f t="shared" si="251"/>
        <v>1.457488617598397</v>
      </c>
      <c r="U1727" s="94">
        <v>2.5045899595734915</v>
      </c>
      <c r="V1727" s="94">
        <v>1.457488617598397</v>
      </c>
      <c r="W1727" s="49">
        <f t="shared" ref="W1727:W1790" si="255">0.9539*(4.064-0.314*U1727-V1727)</f>
        <v>1.7361649018676228</v>
      </c>
      <c r="AA1727" s="28"/>
    </row>
    <row r="1728" spans="1:27" s="45" customFormat="1" ht="15" hidden="1">
      <c r="A1728" s="44" t="s">
        <v>113</v>
      </c>
      <c r="B1728" s="45" t="s">
        <v>258</v>
      </c>
      <c r="C1728" s="23" t="s">
        <v>244</v>
      </c>
      <c r="D1728" s="45">
        <v>1995</v>
      </c>
      <c r="E1728" s="45">
        <v>7</v>
      </c>
      <c r="F1728" s="45">
        <v>1</v>
      </c>
      <c r="G1728" s="46">
        <f t="shared" si="254"/>
        <v>183.82</v>
      </c>
      <c r="H1728" s="60">
        <v>505.15463918</v>
      </c>
      <c r="K1728" s="67">
        <v>38.833351030000003</v>
      </c>
      <c r="O1728" s="94">
        <f t="shared" si="248"/>
        <v>2.7034243457663458</v>
      </c>
      <c r="R1728" s="48">
        <f t="shared" si="251"/>
        <v>1.5892048685538671</v>
      </c>
      <c r="U1728" s="94">
        <v>2.7034243457663458</v>
      </c>
      <c r="V1728" s="94">
        <v>1.5892048685538671</v>
      </c>
      <c r="W1728" s="49">
        <f t="shared" si="255"/>
        <v>1.5509649800905396</v>
      </c>
      <c r="AA1728" s="28"/>
    </row>
    <row r="1729" spans="1:27" s="45" customFormat="1" ht="15" hidden="1">
      <c r="A1729" s="44" t="s">
        <v>113</v>
      </c>
      <c r="B1729" s="45" t="s">
        <v>258</v>
      </c>
      <c r="C1729" s="23" t="s">
        <v>244</v>
      </c>
      <c r="D1729" s="45">
        <v>1995</v>
      </c>
      <c r="E1729" s="45">
        <v>9</v>
      </c>
      <c r="F1729" s="45">
        <v>1</v>
      </c>
      <c r="G1729" s="46">
        <f t="shared" si="254"/>
        <v>244.76</v>
      </c>
      <c r="H1729" s="60">
        <v>329.89690722</v>
      </c>
      <c r="K1729" s="67">
        <v>15.96454868</v>
      </c>
      <c r="O1729" s="94">
        <f t="shared" si="248"/>
        <v>2.5183782440582756</v>
      </c>
      <c r="R1729" s="48">
        <f t="shared" si="251"/>
        <v>1.2031566454839133</v>
      </c>
      <c r="U1729" s="94">
        <v>2.5183782440582756</v>
      </c>
      <c r="V1729" s="94">
        <v>1.2031566454839133</v>
      </c>
      <c r="W1729" s="49">
        <f t="shared" si="255"/>
        <v>1.9746422396726375</v>
      </c>
      <c r="AA1729" s="28"/>
    </row>
    <row r="1730" spans="1:27" s="45" customFormat="1" ht="15" hidden="1">
      <c r="A1730" s="44" t="s">
        <v>113</v>
      </c>
      <c r="B1730" s="45" t="s">
        <v>258</v>
      </c>
      <c r="C1730" s="23" t="s">
        <v>244</v>
      </c>
      <c r="D1730" s="45">
        <v>1995</v>
      </c>
      <c r="E1730" s="45">
        <v>12</v>
      </c>
      <c r="F1730" s="45">
        <v>1</v>
      </c>
      <c r="G1730" s="46">
        <f t="shared" si="254"/>
        <v>336.16999999999996</v>
      </c>
      <c r="H1730" s="60">
        <v>364.26116838000002</v>
      </c>
      <c r="K1730" s="67">
        <v>7.6018123199999996</v>
      </c>
      <c r="O1730" s="94">
        <f t="shared" si="248"/>
        <v>2.561412876273045</v>
      </c>
      <c r="R1730" s="48">
        <f t="shared" si="251"/>
        <v>0.88091714316835701</v>
      </c>
      <c r="U1730" s="94">
        <v>2.561412876273045</v>
      </c>
      <c r="V1730" s="94">
        <v>0.88091714316835701</v>
      </c>
      <c r="W1730" s="49">
        <f t="shared" si="255"/>
        <v>2.2691365699311712</v>
      </c>
      <c r="AA1730" s="28"/>
    </row>
    <row r="1731" spans="1:27" s="45" customFormat="1" ht="15" hidden="1">
      <c r="A1731" s="44" t="s">
        <v>113</v>
      </c>
      <c r="B1731" s="45" t="s">
        <v>258</v>
      </c>
      <c r="C1731" s="23" t="s">
        <v>244</v>
      </c>
      <c r="D1731" s="45">
        <v>1996</v>
      </c>
      <c r="E1731" s="45">
        <v>3</v>
      </c>
      <c r="F1731" s="45">
        <v>1</v>
      </c>
      <c r="G1731" s="46">
        <f>365+30.47*(E1731-1)+F1731</f>
        <v>426.94</v>
      </c>
      <c r="H1731" s="60">
        <v>199.31271477999999</v>
      </c>
      <c r="K1731" s="67">
        <v>0.16867811999999999</v>
      </c>
      <c r="O1731" s="94">
        <f t="shared" si="248"/>
        <v>2.2995350045843681</v>
      </c>
      <c r="R1731" s="48">
        <f t="shared" si="251"/>
        <v>-0.77294124805423348</v>
      </c>
      <c r="U1731" s="94">
        <v>2.2995350045843681</v>
      </c>
      <c r="V1731" s="94">
        <v>-0.77294124805423348</v>
      </c>
      <c r="W1731" s="49">
        <f t="shared" si="255"/>
        <v>3.9251909540848016</v>
      </c>
      <c r="AA1731" s="28"/>
    </row>
    <row r="1732" spans="1:27" s="45" customFormat="1" ht="15" hidden="1">
      <c r="A1732" s="44" t="s">
        <v>113</v>
      </c>
      <c r="B1732" s="45" t="s">
        <v>258</v>
      </c>
      <c r="C1732" s="23" t="s">
        <v>244</v>
      </c>
      <c r="D1732" s="45">
        <v>1996</v>
      </c>
      <c r="E1732" s="45">
        <v>5</v>
      </c>
      <c r="F1732" s="45">
        <v>1</v>
      </c>
      <c r="G1732" s="46">
        <f t="shared" ref="G1732:G1733" si="256">365+30.47*(E1732-1)+F1732</f>
        <v>487.88</v>
      </c>
      <c r="H1732" s="60">
        <v>357.38831614999998</v>
      </c>
      <c r="K1732" s="67">
        <v>11.558146069999999</v>
      </c>
      <c r="O1732" s="94">
        <f t="shared" si="248"/>
        <v>2.5531403503114114</v>
      </c>
      <c r="R1732" s="48">
        <f t="shared" si="251"/>
        <v>1.0628881787091939</v>
      </c>
      <c r="U1732" s="94">
        <v>2.5531403503114114</v>
      </c>
      <c r="V1732" s="94">
        <v>1.0628881787091939</v>
      </c>
      <c r="W1732" s="49">
        <f t="shared" si="255"/>
        <v>2.0980322241584148</v>
      </c>
      <c r="AA1732" s="28"/>
    </row>
    <row r="1733" spans="1:27" s="45" customFormat="1" ht="15" hidden="1">
      <c r="A1733" s="44" t="s">
        <v>113</v>
      </c>
      <c r="B1733" s="45" t="s">
        <v>258</v>
      </c>
      <c r="C1733" s="23" t="s">
        <v>244</v>
      </c>
      <c r="D1733" s="45">
        <v>1996</v>
      </c>
      <c r="E1733" s="45">
        <v>8</v>
      </c>
      <c r="F1733" s="45">
        <v>1</v>
      </c>
      <c r="G1733" s="46">
        <f t="shared" si="256"/>
        <v>579.29</v>
      </c>
      <c r="H1733" s="60">
        <v>27.491408929999999</v>
      </c>
      <c r="K1733" s="67">
        <v>0.72702869999999997</v>
      </c>
      <c r="O1733" s="94">
        <f t="shared" si="248"/>
        <v>1.4391969979316634</v>
      </c>
      <c r="R1733" s="48">
        <f t="shared" si="251"/>
        <v>-0.13844844470408518</v>
      </c>
      <c r="U1733" s="94">
        <v>1.4391969979316634</v>
      </c>
      <c r="V1733" s="94">
        <v>-0.13844844470408518</v>
      </c>
      <c r="W1733" s="49">
        <f t="shared" si="255"/>
        <v>3.5776406662765443</v>
      </c>
      <c r="AA1733" s="28"/>
    </row>
    <row r="1734" spans="1:27" s="45" customFormat="1" ht="15" hidden="1">
      <c r="A1734" s="44" t="s">
        <v>113</v>
      </c>
      <c r="B1734" s="45" t="s">
        <v>258</v>
      </c>
      <c r="C1734" s="23" t="s">
        <v>245</v>
      </c>
      <c r="D1734" s="45">
        <v>1995</v>
      </c>
      <c r="E1734" s="45">
        <v>5</v>
      </c>
      <c r="F1734" s="45">
        <v>1</v>
      </c>
      <c r="G1734" s="46">
        <f t="shared" si="254"/>
        <v>122.88</v>
      </c>
      <c r="H1734" s="67">
        <v>477.66323024000002</v>
      </c>
      <c r="K1734" s="67">
        <v>47.268275189999997</v>
      </c>
      <c r="O1734" s="94">
        <f t="shared" si="248"/>
        <v>2.679121811267688</v>
      </c>
      <c r="R1734" s="48">
        <f t="shared" si="251"/>
        <v>1.6745697552724088</v>
      </c>
      <c r="U1734" s="94">
        <v>2.679121811267688</v>
      </c>
      <c r="V1734" s="94">
        <v>1.6745697552724088</v>
      </c>
      <c r="W1734" s="49">
        <f t="shared" si="255"/>
        <v>1.4768146215744198</v>
      </c>
      <c r="AA1734" s="28"/>
    </row>
    <row r="1735" spans="1:27" s="45" customFormat="1" ht="15" hidden="1">
      <c r="A1735" s="44" t="s">
        <v>113</v>
      </c>
      <c r="B1735" s="45" t="s">
        <v>258</v>
      </c>
      <c r="C1735" s="23" t="s">
        <v>245</v>
      </c>
      <c r="D1735" s="45">
        <v>1995</v>
      </c>
      <c r="E1735" s="45">
        <v>7</v>
      </c>
      <c r="F1735" s="45">
        <v>1</v>
      </c>
      <c r="G1735" s="46">
        <f t="shared" si="254"/>
        <v>183.82</v>
      </c>
      <c r="H1735" s="67">
        <v>367.69759449999998</v>
      </c>
      <c r="K1735" s="67">
        <v>37.979619730000003</v>
      </c>
      <c r="O1735" s="94">
        <f t="shared" si="248"/>
        <v>2.5654907886972729</v>
      </c>
      <c r="R1735" s="48">
        <f t="shared" si="251"/>
        <v>1.5795506120600455</v>
      </c>
      <c r="U1735" s="94">
        <v>2.5654907886972729</v>
      </c>
      <c r="V1735" s="94">
        <v>1.5795506120600455</v>
      </c>
      <c r="W1735" s="49">
        <f t="shared" si="255"/>
        <v>1.6014886688676875</v>
      </c>
      <c r="AA1735" s="28"/>
    </row>
    <row r="1736" spans="1:27" s="45" customFormat="1" ht="15" hidden="1">
      <c r="A1736" s="44" t="s">
        <v>113</v>
      </c>
      <c r="B1736" s="45" t="s">
        <v>258</v>
      </c>
      <c r="C1736" s="23" t="s">
        <v>245</v>
      </c>
      <c r="D1736" s="45">
        <v>1995</v>
      </c>
      <c r="E1736" s="45">
        <v>9</v>
      </c>
      <c r="F1736" s="45">
        <v>1</v>
      </c>
      <c r="G1736" s="46">
        <f t="shared" si="254"/>
        <v>244.76</v>
      </c>
      <c r="H1736" s="67">
        <v>271.47766323000002</v>
      </c>
      <c r="K1736" s="67">
        <v>11.408614180000001</v>
      </c>
      <c r="O1736" s="94">
        <f t="shared" si="248"/>
        <v>2.4337341023041494</v>
      </c>
      <c r="R1736" s="48">
        <f t="shared" si="251"/>
        <v>1.0572328932761073</v>
      </c>
      <c r="U1736" s="94">
        <v>2.4337341023041494</v>
      </c>
      <c r="V1736" s="94">
        <v>1.0572328932761073</v>
      </c>
      <c r="W1736" s="49">
        <f t="shared" si="255"/>
        <v>2.1391919096049121</v>
      </c>
      <c r="AA1736" s="28"/>
    </row>
    <row r="1737" spans="1:27" s="45" customFormat="1" ht="15" hidden="1">
      <c r="A1737" s="44" t="s">
        <v>113</v>
      </c>
      <c r="B1737" s="45" t="s">
        <v>258</v>
      </c>
      <c r="C1737" s="23" t="s">
        <v>245</v>
      </c>
      <c r="D1737" s="45">
        <v>1995</v>
      </c>
      <c r="E1737" s="45">
        <v>12</v>
      </c>
      <c r="F1737" s="45">
        <v>1</v>
      </c>
      <c r="G1737" s="46">
        <f t="shared" si="254"/>
        <v>336.16999999999996</v>
      </c>
      <c r="H1737" s="67">
        <v>230.24054982999999</v>
      </c>
      <c r="K1737" s="67">
        <v>3.0473510400000001</v>
      </c>
      <c r="O1737" s="94">
        <f t="shared" si="248"/>
        <v>2.3621818137183546</v>
      </c>
      <c r="R1737" s="48">
        <f t="shared" si="251"/>
        <v>0.48392248571383495</v>
      </c>
      <c r="U1737" s="94">
        <v>2.3621818137183546</v>
      </c>
      <c r="V1737" s="94">
        <v>0.48392248571383495</v>
      </c>
      <c r="W1737" s="49">
        <f t="shared" si="255"/>
        <v>2.7075043779963082</v>
      </c>
      <c r="AA1737" s="28"/>
    </row>
    <row r="1738" spans="1:27" s="45" customFormat="1" ht="15" hidden="1">
      <c r="A1738" s="44" t="s">
        <v>113</v>
      </c>
      <c r="B1738" s="45" t="s">
        <v>258</v>
      </c>
      <c r="C1738" s="23" t="s">
        <v>245</v>
      </c>
      <c r="D1738" s="45">
        <v>1996</v>
      </c>
      <c r="E1738" s="45">
        <v>3</v>
      </c>
      <c r="F1738" s="45">
        <v>1</v>
      </c>
      <c r="G1738" s="46">
        <f>365+30.47*(E1738-1)+F1738</f>
        <v>426.94</v>
      </c>
      <c r="H1738" s="67">
        <v>0.1</v>
      </c>
      <c r="K1738" s="67">
        <v>0.1</v>
      </c>
      <c r="O1738" s="94">
        <f t="shared" si="248"/>
        <v>-1</v>
      </c>
      <c r="R1738" s="48">
        <f t="shared" si="251"/>
        <v>-1</v>
      </c>
      <c r="U1738" s="94">
        <v>-1</v>
      </c>
      <c r="V1738" s="94">
        <v>-1</v>
      </c>
      <c r="W1738" s="49">
        <f t="shared" si="255"/>
        <v>5.1300742000000001</v>
      </c>
      <c r="AA1738" s="28"/>
    </row>
    <row r="1739" spans="1:27" s="45" customFormat="1" ht="15" hidden="1">
      <c r="A1739" s="44" t="s">
        <v>113</v>
      </c>
      <c r="B1739" s="45" t="s">
        <v>258</v>
      </c>
      <c r="C1739" s="23" t="s">
        <v>245</v>
      </c>
      <c r="D1739" s="45">
        <v>1996</v>
      </c>
      <c r="E1739" s="45">
        <v>5</v>
      </c>
      <c r="F1739" s="45">
        <v>1</v>
      </c>
      <c r="G1739" s="46">
        <f t="shared" ref="G1739:G1740" si="257">365+30.47*(E1739-1)+F1739</f>
        <v>487.88</v>
      </c>
      <c r="H1739" s="67">
        <v>79.037800689999997</v>
      </c>
      <c r="K1739" s="67">
        <v>1.75460002</v>
      </c>
      <c r="O1739" s="94">
        <f t="shared" si="248"/>
        <v>1.8978348470466027</v>
      </c>
      <c r="R1739" s="48">
        <f t="shared" si="251"/>
        <v>0.24417812997289723</v>
      </c>
      <c r="U1739" s="94">
        <v>1.8978348470466027</v>
      </c>
      <c r="V1739" s="94">
        <v>0.24417812997289723</v>
      </c>
      <c r="W1739" s="49">
        <f t="shared" si="255"/>
        <v>3.0752798583911587</v>
      </c>
      <c r="AA1739" s="28"/>
    </row>
    <row r="1740" spans="1:27" s="45" customFormat="1" ht="15" hidden="1">
      <c r="A1740" s="44" t="s">
        <v>113</v>
      </c>
      <c r="B1740" s="45" t="s">
        <v>258</v>
      </c>
      <c r="C1740" s="23" t="s">
        <v>245</v>
      </c>
      <c r="D1740" s="45">
        <v>1996</v>
      </c>
      <c r="E1740" s="45">
        <v>8</v>
      </c>
      <c r="F1740" s="45">
        <v>1</v>
      </c>
      <c r="G1740" s="46">
        <f t="shared" si="257"/>
        <v>579.29</v>
      </c>
      <c r="H1740" s="67">
        <v>161.51202749000001</v>
      </c>
      <c r="K1740" s="67">
        <v>4.8107960199999997</v>
      </c>
      <c r="O1740" s="94">
        <f t="shared" si="248"/>
        <v>2.2082048689460216</v>
      </c>
      <c r="R1740" s="48">
        <f t="shared" si="251"/>
        <v>0.68221694300390157</v>
      </c>
      <c r="U1740" s="94">
        <v>2.2082048689460216</v>
      </c>
      <c r="V1740" s="94">
        <v>0.68221694300390157</v>
      </c>
      <c r="W1740" s="49">
        <f t="shared" si="255"/>
        <v>2.5644711779794687</v>
      </c>
      <c r="AA1740" s="28"/>
    </row>
    <row r="1741" spans="1:27" s="45" customFormat="1" ht="15" hidden="1">
      <c r="A1741" s="44" t="s">
        <v>113</v>
      </c>
      <c r="B1741" s="45" t="s">
        <v>258</v>
      </c>
      <c r="C1741" s="23" t="s">
        <v>246</v>
      </c>
      <c r="D1741" s="45">
        <v>1995</v>
      </c>
      <c r="E1741" s="45">
        <v>5</v>
      </c>
      <c r="F1741" s="45">
        <v>1</v>
      </c>
      <c r="G1741" s="46">
        <f t="shared" si="254"/>
        <v>122.88</v>
      </c>
      <c r="H1741" s="67">
        <v>364.26116838000002</v>
      </c>
      <c r="K1741" s="67">
        <v>21.416201269999998</v>
      </c>
      <c r="O1741" s="94">
        <f t="shared" si="248"/>
        <v>2.561412876273045</v>
      </c>
      <c r="R1741" s="48">
        <f t="shared" si="251"/>
        <v>1.3307424397085563</v>
      </c>
      <c r="U1741" s="94">
        <v>2.561412876273045</v>
      </c>
      <c r="V1741" s="94">
        <v>1.3307424397085563</v>
      </c>
      <c r="W1741" s="49">
        <f t="shared" si="255"/>
        <v>1.8400482195614749</v>
      </c>
      <c r="AA1741" s="28"/>
    </row>
    <row r="1742" spans="1:27" s="45" customFormat="1" ht="15" hidden="1">
      <c r="A1742" s="44" t="s">
        <v>113</v>
      </c>
      <c r="B1742" s="45" t="s">
        <v>258</v>
      </c>
      <c r="C1742" s="23" t="s">
        <v>246</v>
      </c>
      <c r="D1742" s="45">
        <v>1995</v>
      </c>
      <c r="E1742" s="45">
        <v>7</v>
      </c>
      <c r="F1742" s="45">
        <v>1</v>
      </c>
      <c r="G1742" s="46">
        <f t="shared" si="254"/>
        <v>183.82</v>
      </c>
      <c r="H1742" s="67">
        <v>642.61168384999996</v>
      </c>
      <c r="K1742" s="67">
        <v>39.905855580000001</v>
      </c>
      <c r="O1742" s="94">
        <f t="shared" si="248"/>
        <v>2.8079486175514043</v>
      </c>
      <c r="R1742" s="48">
        <f t="shared" si="251"/>
        <v>1.6010366265011959</v>
      </c>
      <c r="U1742" s="94">
        <v>2.8079486175514043</v>
      </c>
      <c r="V1742" s="94">
        <v>1.6010366265011959</v>
      </c>
      <c r="W1742" s="49">
        <f t="shared" si="255"/>
        <v>1.5083710754878716</v>
      </c>
    </row>
    <row r="1743" spans="1:27" s="45" customFormat="1" ht="15" hidden="1">
      <c r="A1743" s="44" t="s">
        <v>113</v>
      </c>
      <c r="B1743" s="45" t="s">
        <v>258</v>
      </c>
      <c r="C1743" s="23" t="s">
        <v>246</v>
      </c>
      <c r="D1743" s="45">
        <v>1995</v>
      </c>
      <c r="E1743" s="45">
        <v>9</v>
      </c>
      <c r="F1743" s="45">
        <v>1</v>
      </c>
      <c r="G1743" s="46">
        <f t="shared" si="254"/>
        <v>244.76</v>
      </c>
      <c r="H1743" s="67">
        <v>285.22336769999998</v>
      </c>
      <c r="K1743" s="67">
        <v>14.876575320000001</v>
      </c>
      <c r="O1743" s="94">
        <f t="shared" si="248"/>
        <v>2.4551851033938292</v>
      </c>
      <c r="R1743" s="48">
        <f t="shared" si="251"/>
        <v>1.1725029654297352</v>
      </c>
      <c r="U1743" s="94">
        <v>2.4551851033938292</v>
      </c>
      <c r="V1743" s="94">
        <v>1.1725029654297352</v>
      </c>
      <c r="W1743" s="49">
        <f t="shared" si="255"/>
        <v>2.0228106852565806</v>
      </c>
    </row>
    <row r="1744" spans="1:27" s="45" customFormat="1" ht="15" hidden="1">
      <c r="A1744" s="44" t="s">
        <v>113</v>
      </c>
      <c r="B1744" s="45" t="s">
        <v>258</v>
      </c>
      <c r="C1744" s="23" t="s">
        <v>246</v>
      </c>
      <c r="D1744" s="45">
        <v>1995</v>
      </c>
      <c r="E1744" s="45">
        <v>12</v>
      </c>
      <c r="F1744" s="45">
        <v>1</v>
      </c>
      <c r="G1744" s="46">
        <f t="shared" si="254"/>
        <v>336.16999999999996</v>
      </c>
      <c r="H1744" s="67">
        <v>154.63917526</v>
      </c>
      <c r="K1744" s="67">
        <v>3.4289151599999999</v>
      </c>
      <c r="O1744" s="94">
        <f t="shared" si="248"/>
        <v>2.1893195247958062</v>
      </c>
      <c r="R1744" s="48">
        <f t="shared" si="251"/>
        <v>0.5351567397082172</v>
      </c>
      <c r="U1744" s="94">
        <v>2.1893195247958062</v>
      </c>
      <c r="V1744" s="94">
        <v>0.5351567397082172</v>
      </c>
      <c r="W1744" s="49">
        <f t="shared" si="255"/>
        <v>2.7104085310556778</v>
      </c>
    </row>
    <row r="1745" spans="1:23" s="45" customFormat="1" ht="15" hidden="1">
      <c r="A1745" s="44" t="s">
        <v>113</v>
      </c>
      <c r="B1745" s="45" t="s">
        <v>258</v>
      </c>
      <c r="C1745" s="23" t="s">
        <v>246</v>
      </c>
      <c r="D1745" s="45">
        <v>1996</v>
      </c>
      <c r="E1745" s="45">
        <v>3</v>
      </c>
      <c r="F1745" s="45">
        <v>1</v>
      </c>
      <c r="G1745" s="46">
        <f>365+30.47*(E1745-1)+F1745</f>
        <v>426.94</v>
      </c>
      <c r="H1745" s="67">
        <v>30.927835049999999</v>
      </c>
      <c r="K1745" s="67">
        <v>0.31600017000000002</v>
      </c>
      <c r="O1745" s="94">
        <f t="shared" si="248"/>
        <v>1.4903495204317028</v>
      </c>
      <c r="R1745" s="48">
        <f t="shared" si="251"/>
        <v>-0.50031268374222249</v>
      </c>
      <c r="U1745" s="94">
        <v>1.4903495204317028</v>
      </c>
      <c r="V1745" s="94">
        <v>-0.50031268374222249</v>
      </c>
      <c r="W1745" s="49">
        <f t="shared" si="255"/>
        <v>3.907501525054208</v>
      </c>
    </row>
    <row r="1746" spans="1:23" s="45" customFormat="1" ht="15" hidden="1">
      <c r="A1746" s="44" t="s">
        <v>113</v>
      </c>
      <c r="B1746" s="45" t="s">
        <v>258</v>
      </c>
      <c r="C1746" s="23" t="s">
        <v>246</v>
      </c>
      <c r="D1746" s="45">
        <v>1996</v>
      </c>
      <c r="E1746" s="45">
        <v>5</v>
      </c>
      <c r="F1746" s="45">
        <v>1</v>
      </c>
      <c r="G1746" s="46">
        <f t="shared" ref="G1746:G1747" si="258">365+30.47*(E1746-1)+F1746</f>
        <v>487.88</v>
      </c>
      <c r="H1746" s="67">
        <v>61.855670099999998</v>
      </c>
      <c r="K1746" s="67">
        <v>1.5233044</v>
      </c>
      <c r="O1746" s="94">
        <f t="shared" si="248"/>
        <v>1.791379516095684</v>
      </c>
      <c r="R1746" s="48">
        <f t="shared" si="251"/>
        <v>0.18278669652764309</v>
      </c>
      <c r="U1746" s="94">
        <v>1.791379516095684</v>
      </c>
      <c r="V1746" s="94">
        <v>0.18278669652764309</v>
      </c>
      <c r="W1746" s="49">
        <f t="shared" si="255"/>
        <v>3.1657271371755278</v>
      </c>
    </row>
    <row r="1747" spans="1:23" s="45" customFormat="1" ht="15" hidden="1">
      <c r="A1747" s="44" t="s">
        <v>113</v>
      </c>
      <c r="B1747" s="45" t="s">
        <v>258</v>
      </c>
      <c r="C1747" s="23" t="s">
        <v>246</v>
      </c>
      <c r="D1747" s="45">
        <v>1996</v>
      </c>
      <c r="E1747" s="45">
        <v>8</v>
      </c>
      <c r="F1747" s="45">
        <v>1</v>
      </c>
      <c r="G1747" s="46">
        <f t="shared" si="258"/>
        <v>579.29</v>
      </c>
      <c r="H1747" s="67">
        <v>68.728522339999998</v>
      </c>
      <c r="K1747" s="67">
        <v>2.111856</v>
      </c>
      <c r="O1747" s="94">
        <f t="shared" si="248"/>
        <v>1.8371370066984858</v>
      </c>
      <c r="R1747" s="48">
        <f t="shared" si="251"/>
        <v>0.32466430186486078</v>
      </c>
      <c r="U1747" s="94">
        <v>1.8371370066984858</v>
      </c>
      <c r="V1747" s="94">
        <v>0.32466430186486078</v>
      </c>
      <c r="W1747" s="49">
        <f t="shared" si="255"/>
        <v>3.016684595374548</v>
      </c>
    </row>
    <row r="1748" spans="1:23" s="45" customFormat="1" ht="15" hidden="1">
      <c r="A1748" s="44" t="s">
        <v>113</v>
      </c>
      <c r="B1748" s="45" t="s">
        <v>258</v>
      </c>
      <c r="C1748" s="23" t="s">
        <v>247</v>
      </c>
      <c r="D1748" s="45">
        <v>1995</v>
      </c>
      <c r="E1748" s="45">
        <v>5</v>
      </c>
      <c r="F1748" s="45">
        <v>1</v>
      </c>
      <c r="G1748" s="46">
        <f t="shared" si="254"/>
        <v>122.88</v>
      </c>
      <c r="H1748" s="67">
        <v>518.90034363999996</v>
      </c>
      <c r="K1748" s="67">
        <v>52.976268150000003</v>
      </c>
      <c r="O1748" s="94">
        <f t="shared" si="248"/>
        <v>2.7150839583050761</v>
      </c>
      <c r="R1748" s="48">
        <f t="shared" si="251"/>
        <v>1.7240813616821284</v>
      </c>
      <c r="U1748" s="94">
        <v>2.7150839583050761</v>
      </c>
      <c r="V1748" s="94">
        <v>1.7240813616821284</v>
      </c>
      <c r="W1748" s="49">
        <f t="shared" si="255"/>
        <v>1.4188139525136731</v>
      </c>
    </row>
    <row r="1749" spans="1:23" s="45" customFormat="1" ht="15" hidden="1">
      <c r="A1749" s="44" t="s">
        <v>113</v>
      </c>
      <c r="B1749" s="45" t="s">
        <v>258</v>
      </c>
      <c r="C1749" s="23" t="s">
        <v>247</v>
      </c>
      <c r="D1749" s="45">
        <v>1995</v>
      </c>
      <c r="E1749" s="45">
        <v>7</v>
      </c>
      <c r="F1749" s="45">
        <v>1</v>
      </c>
      <c r="G1749" s="46">
        <f t="shared" si="254"/>
        <v>183.82</v>
      </c>
      <c r="H1749" s="67">
        <v>402.06185567</v>
      </c>
      <c r="K1749" s="67">
        <v>32.267207110000001</v>
      </c>
      <c r="O1749" s="94">
        <f t="shared" si="248"/>
        <v>2.6042928727601429</v>
      </c>
      <c r="R1749" s="48">
        <f t="shared" si="251"/>
        <v>1.5087613766463297</v>
      </c>
      <c r="U1749" s="94">
        <v>2.6042928727601429</v>
      </c>
      <c r="V1749" s="94">
        <v>1.5087613766463297</v>
      </c>
      <c r="W1749" s="49">
        <f t="shared" si="255"/>
        <v>1.6573923418207335</v>
      </c>
    </row>
    <row r="1750" spans="1:23" s="45" customFormat="1" ht="15" hidden="1">
      <c r="A1750" s="44" t="s">
        <v>113</v>
      </c>
      <c r="B1750" s="45" t="s">
        <v>258</v>
      </c>
      <c r="C1750" s="23" t="s">
        <v>247</v>
      </c>
      <c r="D1750" s="45">
        <v>1995</v>
      </c>
      <c r="E1750" s="45">
        <v>9</v>
      </c>
      <c r="F1750" s="45">
        <v>1</v>
      </c>
      <c r="G1750" s="46">
        <f t="shared" si="254"/>
        <v>244.76</v>
      </c>
      <c r="H1750" s="67">
        <v>127.14776632</v>
      </c>
      <c r="K1750" s="67">
        <v>3.8436267399999999</v>
      </c>
      <c r="O1750" s="94">
        <f t="shared" si="248"/>
        <v>2.1043087350707586</v>
      </c>
      <c r="R1750" s="48">
        <f t="shared" si="251"/>
        <v>0.58474120609609903</v>
      </c>
      <c r="U1750" s="94">
        <v>2.1043087350707586</v>
      </c>
      <c r="V1750" s="94">
        <v>0.58474120609609903</v>
      </c>
      <c r="W1750" s="49">
        <f t="shared" si="255"/>
        <v>2.6885727313563561</v>
      </c>
    </row>
    <row r="1751" spans="1:23" s="45" customFormat="1" ht="15" hidden="1">
      <c r="A1751" s="44" t="s">
        <v>113</v>
      </c>
      <c r="B1751" s="45" t="s">
        <v>258</v>
      </c>
      <c r="C1751" s="23" t="s">
        <v>247</v>
      </c>
      <c r="D1751" s="45">
        <v>1995</v>
      </c>
      <c r="E1751" s="45">
        <v>12</v>
      </c>
      <c r="F1751" s="45">
        <v>1</v>
      </c>
      <c r="G1751" s="46">
        <f t="shared" si="254"/>
        <v>336.16999999999996</v>
      </c>
      <c r="H1751" s="67">
        <v>233.67697595000001</v>
      </c>
      <c r="K1751" s="67">
        <v>6.5933928699999997</v>
      </c>
      <c r="O1751" s="94">
        <f t="shared" si="248"/>
        <v>2.3686159237295898</v>
      </c>
      <c r="R1751" s="48">
        <f t="shared" si="251"/>
        <v>0.81910895412831286</v>
      </c>
      <c r="U1751" s="94">
        <v>2.3686159237295898</v>
      </c>
      <c r="V1751" s="94">
        <v>0.81910895412831286</v>
      </c>
      <c r="W1751" s="49">
        <f t="shared" si="255"/>
        <v>2.3858428315482665</v>
      </c>
    </row>
    <row r="1752" spans="1:23" s="45" customFormat="1" ht="15" hidden="1">
      <c r="A1752" s="44" t="s">
        <v>113</v>
      </c>
      <c r="B1752" s="45" t="s">
        <v>258</v>
      </c>
      <c r="C1752" s="23" t="s">
        <v>247</v>
      </c>
      <c r="D1752" s="45">
        <v>1996</v>
      </c>
      <c r="E1752" s="45">
        <v>3</v>
      </c>
      <c r="F1752" s="45">
        <v>1</v>
      </c>
      <c r="G1752" s="46">
        <f>365+30.47*(E1752-1)+F1752</f>
        <v>426.94</v>
      </c>
      <c r="H1752" s="67">
        <v>79.037800689999997</v>
      </c>
      <c r="K1752" s="67">
        <v>0.39187103000000001</v>
      </c>
      <c r="O1752" s="94">
        <f t="shared" si="248"/>
        <v>1.8978348470466027</v>
      </c>
      <c r="R1752" s="48">
        <f t="shared" si="251"/>
        <v>-0.40685684158999735</v>
      </c>
      <c r="U1752" s="94">
        <v>1.8978348470466027</v>
      </c>
      <c r="V1752" s="94">
        <v>-0.40685684158999735</v>
      </c>
      <c r="W1752" s="49">
        <f t="shared" si="255"/>
        <v>3.6963021177650033</v>
      </c>
    </row>
    <row r="1753" spans="1:23" s="45" customFormat="1" ht="15" hidden="1">
      <c r="A1753" s="44" t="s">
        <v>113</v>
      </c>
      <c r="B1753" s="45" t="s">
        <v>258</v>
      </c>
      <c r="C1753" s="23" t="s">
        <v>247</v>
      </c>
      <c r="D1753" s="45">
        <v>1996</v>
      </c>
      <c r="E1753" s="45">
        <v>5</v>
      </c>
      <c r="F1753" s="45">
        <v>1</v>
      </c>
      <c r="G1753" s="46">
        <f t="shared" ref="G1753:G1754" si="259">365+30.47*(E1753-1)+F1753</f>
        <v>487.88</v>
      </c>
      <c r="H1753" s="67">
        <v>312.71477663000002</v>
      </c>
      <c r="K1753" s="67">
        <v>22.58520176</v>
      </c>
      <c r="O1753" s="94">
        <f t="shared" si="248"/>
        <v>2.4951484033319886</v>
      </c>
      <c r="R1753" s="48">
        <f t="shared" si="251"/>
        <v>1.3538239745902749</v>
      </c>
      <c r="U1753" s="94">
        <v>2.4951484033319886</v>
      </c>
      <c r="V1753" s="94">
        <v>1.3538239745902749</v>
      </c>
      <c r="W1753" s="49">
        <f t="shared" si="255"/>
        <v>1.8378785831896842</v>
      </c>
    </row>
    <row r="1754" spans="1:23" s="45" customFormat="1" ht="15" hidden="1">
      <c r="A1754" s="44" t="s">
        <v>113</v>
      </c>
      <c r="B1754" s="45" t="s">
        <v>258</v>
      </c>
      <c r="C1754" s="23" t="s">
        <v>247</v>
      </c>
      <c r="D1754" s="45">
        <v>1996</v>
      </c>
      <c r="E1754" s="45">
        <v>8</v>
      </c>
      <c r="F1754" s="45">
        <v>1</v>
      </c>
      <c r="G1754" s="46">
        <f t="shared" si="259"/>
        <v>579.29</v>
      </c>
      <c r="H1754" s="67">
        <v>309.27835052</v>
      </c>
      <c r="K1754" s="67">
        <v>41.693608689999998</v>
      </c>
      <c r="O1754" s="94">
        <f t="shared" si="248"/>
        <v>2.4903495204597874</v>
      </c>
      <c r="R1754" s="48">
        <f t="shared" si="251"/>
        <v>1.6200694860672389</v>
      </c>
      <c r="U1754" s="94">
        <v>2.4903495204597874</v>
      </c>
      <c r="V1754" s="94">
        <v>1.6200694860672389</v>
      </c>
      <c r="W1754" s="49">
        <f t="shared" si="255"/>
        <v>1.5853443732645511</v>
      </c>
    </row>
    <row r="1755" spans="1:23" s="45" customFormat="1" ht="15" hidden="1">
      <c r="A1755" s="44" t="s">
        <v>113</v>
      </c>
      <c r="B1755" s="45" t="s">
        <v>258</v>
      </c>
      <c r="C1755" s="23" t="s">
        <v>248</v>
      </c>
      <c r="D1755" s="45">
        <v>1995</v>
      </c>
      <c r="E1755" s="45">
        <v>5</v>
      </c>
      <c r="F1755" s="45">
        <v>1</v>
      </c>
      <c r="G1755" s="46">
        <f t="shared" si="254"/>
        <v>122.88</v>
      </c>
      <c r="H1755" s="67">
        <v>333.33333333000002</v>
      </c>
      <c r="K1755" s="67">
        <v>54.150685619999997</v>
      </c>
      <c r="O1755" s="94">
        <f t="shared" si="248"/>
        <v>2.5228787452759946</v>
      </c>
      <c r="R1755" s="48">
        <f t="shared" si="251"/>
        <v>1.7336039597443058</v>
      </c>
      <c r="U1755" s="94">
        <v>2.5228787452759946</v>
      </c>
      <c r="V1755" s="94">
        <v>1.7336039597443058</v>
      </c>
      <c r="W1755" s="49">
        <f t="shared" si="255"/>
        <v>1.4673005357726128</v>
      </c>
    </row>
    <row r="1756" spans="1:23" s="45" customFormat="1" ht="15" hidden="1">
      <c r="A1756" s="44" t="s">
        <v>113</v>
      </c>
      <c r="B1756" s="45" t="s">
        <v>258</v>
      </c>
      <c r="C1756" s="23" t="s">
        <v>248</v>
      </c>
      <c r="D1756" s="45">
        <v>1995</v>
      </c>
      <c r="E1756" s="45">
        <v>7</v>
      </c>
      <c r="F1756" s="45">
        <v>1</v>
      </c>
      <c r="G1756" s="46">
        <f t="shared" si="254"/>
        <v>183.82</v>
      </c>
      <c r="H1756" s="67">
        <v>510.20408163000002</v>
      </c>
      <c r="K1756" s="67">
        <v>34.307920420000002</v>
      </c>
      <c r="O1756" s="94">
        <f t="shared" si="248"/>
        <v>2.7077439286412655</v>
      </c>
      <c r="R1756" s="48">
        <f t="shared" si="251"/>
        <v>1.5353943940255579</v>
      </c>
      <c r="U1756" s="94">
        <v>2.7077439286412655</v>
      </c>
      <c r="V1756" s="94">
        <v>1.5353943940255579</v>
      </c>
      <c r="W1756" s="49">
        <f t="shared" si="255"/>
        <v>1.6010009704103165</v>
      </c>
    </row>
    <row r="1757" spans="1:23" s="45" customFormat="1" ht="15" hidden="1">
      <c r="A1757" s="44" t="s">
        <v>113</v>
      </c>
      <c r="B1757" s="45" t="s">
        <v>258</v>
      </c>
      <c r="C1757" s="23" t="s">
        <v>248</v>
      </c>
      <c r="D1757" s="45">
        <v>1995</v>
      </c>
      <c r="E1757" s="45">
        <v>9</v>
      </c>
      <c r="F1757" s="45">
        <v>1</v>
      </c>
      <c r="G1757" s="46">
        <f t="shared" si="254"/>
        <v>244.76</v>
      </c>
      <c r="H1757" s="67">
        <v>204.08163264999999</v>
      </c>
      <c r="K1757" s="67">
        <v>7.0378800000000004</v>
      </c>
      <c r="O1757" s="94">
        <f t="shared" si="248"/>
        <v>2.3098039199649718</v>
      </c>
      <c r="R1757" s="48">
        <f t="shared" si="251"/>
        <v>0.84744185758554336</v>
      </c>
      <c r="U1757" s="94">
        <v>2.3098039199649718</v>
      </c>
      <c r="V1757" s="94">
        <v>0.84744185758554336</v>
      </c>
      <c r="W1757" s="49">
        <f t="shared" si="255"/>
        <v>2.3764317168432099</v>
      </c>
    </row>
    <row r="1758" spans="1:23" s="45" customFormat="1" ht="15" hidden="1">
      <c r="A1758" s="44" t="s">
        <v>113</v>
      </c>
      <c r="B1758" s="45" t="s">
        <v>258</v>
      </c>
      <c r="C1758" s="23" t="s">
        <v>248</v>
      </c>
      <c r="D1758" s="45">
        <v>1995</v>
      </c>
      <c r="E1758" s="45">
        <v>12</v>
      </c>
      <c r="F1758" s="45">
        <v>1</v>
      </c>
      <c r="G1758" s="46">
        <f t="shared" si="254"/>
        <v>336.16999999999996</v>
      </c>
      <c r="H1758" s="67">
        <v>102.04081633</v>
      </c>
      <c r="K1758" s="67">
        <v>2.0518818799999998</v>
      </c>
      <c r="O1758" s="94">
        <f t="shared" si="248"/>
        <v>2.0087739243222713</v>
      </c>
      <c r="R1758" s="48">
        <f t="shared" si="251"/>
        <v>0.31215235627373261</v>
      </c>
      <c r="U1758" s="94">
        <v>2.0087739243222713</v>
      </c>
      <c r="V1758" s="94">
        <v>0.31215235627373261</v>
      </c>
      <c r="W1758" s="49">
        <f t="shared" si="255"/>
        <v>2.977210261177428</v>
      </c>
    </row>
    <row r="1759" spans="1:23" s="98" customFormat="1" ht="15" hidden="1">
      <c r="A1759" s="95" t="s">
        <v>113</v>
      </c>
      <c r="B1759" s="96" t="s">
        <v>258</v>
      </c>
      <c r="C1759" s="97" t="s">
        <v>248</v>
      </c>
      <c r="D1759" s="98">
        <v>1996</v>
      </c>
      <c r="E1759" s="98">
        <v>3</v>
      </c>
      <c r="F1759" s="98">
        <v>1</v>
      </c>
      <c r="G1759" s="99">
        <f>365+30.47*(E1759-1)+F1759</f>
        <v>426.94</v>
      </c>
      <c r="H1759" s="100">
        <v>173.46938775999999</v>
      </c>
      <c r="K1759" s="100">
        <v>1.7156890600000001</v>
      </c>
      <c r="O1759" s="101">
        <f t="shared" si="248"/>
        <v>2.2392228456980416</v>
      </c>
      <c r="R1759" s="102">
        <f t="shared" si="251"/>
        <v>0.23443858201950851</v>
      </c>
      <c r="U1759" s="101">
        <v>2.2392228456980416</v>
      </c>
      <c r="V1759" s="101">
        <v>0.23443858201950851</v>
      </c>
      <c r="W1759" s="103">
        <f t="shared" si="255"/>
        <v>2.9823163094430232</v>
      </c>
    </row>
    <row r="1760" spans="1:23" s="45" customFormat="1" ht="15" hidden="1">
      <c r="A1760" s="44" t="s">
        <v>113</v>
      </c>
      <c r="B1760" s="45" t="s">
        <v>258</v>
      </c>
      <c r="C1760" s="23" t="s">
        <v>248</v>
      </c>
      <c r="D1760" s="45">
        <v>1996</v>
      </c>
      <c r="E1760" s="45">
        <v>5</v>
      </c>
      <c r="F1760" s="45">
        <v>1</v>
      </c>
      <c r="G1760" s="46">
        <f t="shared" ref="G1760:G1761" si="260">365+30.47*(E1760-1)+F1760</f>
        <v>487.88</v>
      </c>
      <c r="H1760" s="67">
        <v>316.32653061000002</v>
      </c>
      <c r="K1760" s="67">
        <v>20.882374200000001</v>
      </c>
      <c r="O1760" s="94">
        <f t="shared" si="248"/>
        <v>2.5001356181386956</v>
      </c>
      <c r="R1760" s="48">
        <f t="shared" si="251"/>
        <v>1.3197798738006115</v>
      </c>
      <c r="U1760" s="94">
        <v>2.5001356181386956</v>
      </c>
      <c r="V1760" s="94">
        <v>1.3197798738006115</v>
      </c>
      <c r="W1760" s="49">
        <f t="shared" si="255"/>
        <v>1.8688594574128512</v>
      </c>
    </row>
    <row r="1761" spans="1:23" s="45" customFormat="1" ht="15" hidden="1">
      <c r="A1761" s="44" t="s">
        <v>113</v>
      </c>
      <c r="B1761" s="45" t="s">
        <v>258</v>
      </c>
      <c r="C1761" s="23" t="s">
        <v>248</v>
      </c>
      <c r="D1761" s="45">
        <v>1996</v>
      </c>
      <c r="E1761" s="45">
        <v>8</v>
      </c>
      <c r="F1761" s="45">
        <v>1</v>
      </c>
      <c r="G1761" s="46">
        <f t="shared" si="260"/>
        <v>579.29</v>
      </c>
      <c r="H1761" s="67">
        <v>350.34013605000001</v>
      </c>
      <c r="K1761" s="67">
        <v>33.858678140000002</v>
      </c>
      <c r="O1761" s="94">
        <f t="shared" si="248"/>
        <v>2.5444898942875334</v>
      </c>
      <c r="R1761" s="48">
        <f t="shared" si="251"/>
        <v>1.5296699990266134</v>
      </c>
      <c r="U1761" s="94">
        <v>2.5444898942875334</v>
      </c>
      <c r="V1761" s="94">
        <v>1.5296699990266134</v>
      </c>
      <c r="W1761" s="49">
        <f t="shared" si="255"/>
        <v>1.655360070137998</v>
      </c>
    </row>
    <row r="1762" spans="1:23" s="45" customFormat="1" ht="15" hidden="1">
      <c r="A1762" s="44" t="s">
        <v>113</v>
      </c>
      <c r="B1762" s="45" t="s">
        <v>258</v>
      </c>
      <c r="C1762" s="23" t="s">
        <v>249</v>
      </c>
      <c r="D1762" s="45">
        <v>1995</v>
      </c>
      <c r="E1762" s="45">
        <v>5</v>
      </c>
      <c r="F1762" s="45">
        <v>1</v>
      </c>
      <c r="G1762" s="46">
        <f t="shared" si="254"/>
        <v>122.88</v>
      </c>
      <c r="H1762" s="67">
        <v>282.31292517000003</v>
      </c>
      <c r="K1762" s="67">
        <v>76.829292679999995</v>
      </c>
      <c r="O1762" s="94">
        <f t="shared" si="248"/>
        <v>2.4507307619638121</v>
      </c>
      <c r="R1762" s="48">
        <f t="shared" si="251"/>
        <v>1.8855268349245626</v>
      </c>
      <c r="U1762" s="94">
        <v>2.4507307619638121</v>
      </c>
      <c r="V1762" s="94">
        <v>1.8855268349245626</v>
      </c>
      <c r="W1762" s="49">
        <f t="shared" si="255"/>
        <v>1.3439914009805536</v>
      </c>
    </row>
    <row r="1763" spans="1:23" s="45" customFormat="1" ht="15" hidden="1">
      <c r="A1763" s="44" t="s">
        <v>113</v>
      </c>
      <c r="B1763" s="45" t="s">
        <v>258</v>
      </c>
      <c r="C1763" s="23" t="s">
        <v>249</v>
      </c>
      <c r="D1763" s="45">
        <v>1995</v>
      </c>
      <c r="E1763" s="45">
        <v>7</v>
      </c>
      <c r="F1763" s="45">
        <v>1</v>
      </c>
      <c r="G1763" s="46">
        <f t="shared" si="254"/>
        <v>183.82</v>
      </c>
      <c r="H1763" s="67">
        <v>221.08843537000001</v>
      </c>
      <c r="K1763" s="67">
        <v>59.772863999999998</v>
      </c>
      <c r="O1763" s="94">
        <f t="shared" si="248"/>
        <v>2.3445660262225467</v>
      </c>
      <c r="R1763" s="48">
        <f t="shared" si="251"/>
        <v>1.7765040654304203</v>
      </c>
      <c r="U1763" s="94">
        <v>2.3445660262225467</v>
      </c>
      <c r="V1763" s="94">
        <v>1.7765040654304203</v>
      </c>
      <c r="W1763" s="49">
        <f t="shared" si="255"/>
        <v>1.4797871708080241</v>
      </c>
    </row>
    <row r="1764" spans="1:23" s="45" customFormat="1" ht="15" hidden="1">
      <c r="A1764" s="44" t="s">
        <v>113</v>
      </c>
      <c r="B1764" s="45" t="s">
        <v>258</v>
      </c>
      <c r="C1764" s="23" t="s">
        <v>249</v>
      </c>
      <c r="D1764" s="45">
        <v>1995</v>
      </c>
      <c r="E1764" s="45">
        <v>9</v>
      </c>
      <c r="F1764" s="45">
        <v>1</v>
      </c>
      <c r="G1764" s="46">
        <f t="shared" si="254"/>
        <v>244.76</v>
      </c>
      <c r="H1764" s="67">
        <v>183.67346939000001</v>
      </c>
      <c r="K1764" s="67">
        <v>17.327596929999999</v>
      </c>
      <c r="O1764" s="94">
        <f t="shared" si="248"/>
        <v>2.2640464294161191</v>
      </c>
      <c r="R1764" s="48">
        <f t="shared" si="251"/>
        <v>1.2387383369547909</v>
      </c>
      <c r="U1764" s="94">
        <v>2.2640464294161191</v>
      </c>
      <c r="V1764" s="94">
        <v>1.2387383369547909</v>
      </c>
      <c r="W1764" s="49">
        <f t="shared" si="255"/>
        <v>2.0168794992265338</v>
      </c>
    </row>
    <row r="1765" spans="1:23" s="45" customFormat="1" ht="15" hidden="1">
      <c r="A1765" s="44" t="s">
        <v>113</v>
      </c>
      <c r="B1765" s="45" t="s">
        <v>258</v>
      </c>
      <c r="C1765" s="23" t="s">
        <v>249</v>
      </c>
      <c r="D1765" s="45">
        <v>1995</v>
      </c>
      <c r="E1765" s="45">
        <v>12</v>
      </c>
      <c r="F1765" s="45">
        <v>1</v>
      </c>
      <c r="G1765" s="46">
        <f t="shared" si="254"/>
        <v>336.16999999999996</v>
      </c>
      <c r="H1765" s="67">
        <v>255.10204082000001</v>
      </c>
      <c r="K1765" s="67">
        <v>31.232679730000001</v>
      </c>
      <c r="O1765" s="94">
        <f t="shared" si="248"/>
        <v>2.4067139329857965</v>
      </c>
      <c r="R1765" s="48">
        <f t="shared" si="251"/>
        <v>1.494609247823683</v>
      </c>
      <c r="U1765" s="94">
        <v>2.4067139329857965</v>
      </c>
      <c r="V1765" s="94">
        <v>1.494609247823683</v>
      </c>
      <c r="W1765" s="49">
        <f t="shared" si="255"/>
        <v>1.7300718104089912</v>
      </c>
    </row>
    <row r="1766" spans="1:23" s="98" customFormat="1" ht="15" hidden="1">
      <c r="A1766" s="95" t="s">
        <v>113</v>
      </c>
      <c r="B1766" s="96" t="s">
        <v>258</v>
      </c>
      <c r="C1766" s="97" t="s">
        <v>249</v>
      </c>
      <c r="D1766" s="98">
        <v>1996</v>
      </c>
      <c r="E1766" s="98">
        <v>3</v>
      </c>
      <c r="F1766" s="98">
        <v>1</v>
      </c>
      <c r="G1766" s="99">
        <f>365+30.47*(E1766-1)+F1766</f>
        <v>426.94</v>
      </c>
      <c r="H1766" s="100">
        <v>210.88435373999999</v>
      </c>
      <c r="K1766" s="100">
        <v>6.7452814099999996</v>
      </c>
      <c r="O1766" s="101">
        <f t="shared" si="248"/>
        <v>2.3240443590830147</v>
      </c>
      <c r="R1766" s="102">
        <f t="shared" si="251"/>
        <v>0.82900007294947153</v>
      </c>
      <c r="U1766" s="101">
        <v>2.3240443590830147</v>
      </c>
      <c r="V1766" s="101">
        <v>0.82900007294947153</v>
      </c>
      <c r="W1766" s="103">
        <f t="shared" si="255"/>
        <v>2.389757973376903</v>
      </c>
    </row>
    <row r="1767" spans="1:23" s="45" customFormat="1" ht="15" hidden="1">
      <c r="A1767" s="44" t="s">
        <v>113</v>
      </c>
      <c r="B1767" s="45" t="s">
        <v>258</v>
      </c>
      <c r="C1767" s="23" t="s">
        <v>249</v>
      </c>
      <c r="D1767" s="45">
        <v>1996</v>
      </c>
      <c r="E1767" s="45">
        <v>5</v>
      </c>
      <c r="F1767" s="45">
        <v>1</v>
      </c>
      <c r="G1767" s="46">
        <f t="shared" ref="G1767:G1768" si="261">365+30.47*(E1767-1)+F1767</f>
        <v>487.88</v>
      </c>
      <c r="H1767" s="67">
        <v>489.79591836999998</v>
      </c>
      <c r="K1767" s="67">
        <v>96.811707209999994</v>
      </c>
      <c r="O1767" s="94">
        <f t="shared" si="248"/>
        <v>2.6900151616854449</v>
      </c>
      <c r="R1767" s="48">
        <f t="shared" si="251"/>
        <v>1.9859278786851322</v>
      </c>
      <c r="U1767" s="94">
        <v>2.6900151616854449</v>
      </c>
      <c r="V1767" s="94">
        <v>1.9859278786851322</v>
      </c>
      <c r="W1767" s="49">
        <f t="shared" si="255"/>
        <v>1.1765472812244842</v>
      </c>
    </row>
    <row r="1768" spans="1:23" s="45" customFormat="1" ht="15" hidden="1">
      <c r="A1768" s="44" t="s">
        <v>113</v>
      </c>
      <c r="B1768" s="45" t="s">
        <v>258</v>
      </c>
      <c r="C1768" s="23" t="s">
        <v>249</v>
      </c>
      <c r="D1768" s="45">
        <v>1996</v>
      </c>
      <c r="E1768" s="45">
        <v>8</v>
      </c>
      <c r="F1768" s="45">
        <v>1</v>
      </c>
      <c r="G1768" s="46">
        <f t="shared" si="261"/>
        <v>579.29</v>
      </c>
      <c r="H1768" s="67">
        <v>244.89795917999999</v>
      </c>
      <c r="K1768" s="67">
        <v>36.406354720000003</v>
      </c>
      <c r="O1768" s="94">
        <f t="shared" si="248"/>
        <v>2.3889851660125969</v>
      </c>
      <c r="R1768" s="48">
        <f t="shared" si="251"/>
        <v>1.5611771962576577</v>
      </c>
      <c r="U1768" s="94">
        <v>2.3889851660125969</v>
      </c>
      <c r="V1768" s="94">
        <v>1.5611771962576577</v>
      </c>
      <c r="W1768" s="49">
        <f t="shared" si="255"/>
        <v>1.6718828462339637</v>
      </c>
    </row>
    <row r="1769" spans="1:23" s="45" customFormat="1" ht="15" hidden="1">
      <c r="A1769" s="44" t="s">
        <v>113</v>
      </c>
      <c r="B1769" s="45" t="s">
        <v>258</v>
      </c>
      <c r="C1769" s="23" t="s">
        <v>250</v>
      </c>
      <c r="D1769" s="45">
        <v>1995</v>
      </c>
      <c r="E1769" s="45">
        <v>5</v>
      </c>
      <c r="F1769" s="45">
        <v>1</v>
      </c>
      <c r="G1769" s="46">
        <f t="shared" si="254"/>
        <v>122.88</v>
      </c>
      <c r="H1769" s="67">
        <v>564.62585034000006</v>
      </c>
      <c r="K1769" s="67">
        <v>79.071070730000002</v>
      </c>
      <c r="O1769" s="94">
        <f t="shared" si="248"/>
        <v>2.7517607576277934</v>
      </c>
      <c r="R1769" s="48">
        <f t="shared" si="251"/>
        <v>1.8980176197761554</v>
      </c>
      <c r="U1769" s="94">
        <v>2.7517607576277934</v>
      </c>
      <c r="V1769" s="94">
        <v>1.8980176197761554</v>
      </c>
      <c r="W1769" s="49">
        <f t="shared" si="255"/>
        <v>1.2419105522713636</v>
      </c>
    </row>
    <row r="1770" spans="1:23" s="45" customFormat="1" ht="15" hidden="1">
      <c r="A1770" s="44" t="s">
        <v>113</v>
      </c>
      <c r="B1770" s="45" t="s">
        <v>258</v>
      </c>
      <c r="C1770" s="23" t="s">
        <v>250</v>
      </c>
      <c r="D1770" s="45">
        <v>1995</v>
      </c>
      <c r="E1770" s="45">
        <v>7</v>
      </c>
      <c r="F1770" s="45">
        <v>1</v>
      </c>
      <c r="G1770" s="46">
        <f t="shared" si="254"/>
        <v>183.82</v>
      </c>
      <c r="H1770" s="67">
        <v>455.78231292999999</v>
      </c>
      <c r="K1770" s="67">
        <v>75.944108069999999</v>
      </c>
      <c r="O1770" s="94">
        <f t="shared" si="248"/>
        <v>2.6587574679572525</v>
      </c>
      <c r="R1770" s="48">
        <f t="shared" si="251"/>
        <v>1.8804940858756392</v>
      </c>
      <c r="U1770" s="94">
        <v>2.6587574679572525</v>
      </c>
      <c r="V1770" s="94">
        <v>1.8804940858756392</v>
      </c>
      <c r="W1770" s="49">
        <f t="shared" si="255"/>
        <v>1.2864830243963192</v>
      </c>
    </row>
    <row r="1771" spans="1:23" s="45" customFormat="1" ht="15" hidden="1">
      <c r="A1771" s="44" t="s">
        <v>113</v>
      </c>
      <c r="B1771" s="45" t="s">
        <v>258</v>
      </c>
      <c r="C1771" s="23" t="s">
        <v>250</v>
      </c>
      <c r="D1771" s="45">
        <v>1995</v>
      </c>
      <c r="E1771" s="45">
        <v>9</v>
      </c>
      <c r="F1771" s="45">
        <v>1</v>
      </c>
      <c r="G1771" s="46">
        <f t="shared" si="254"/>
        <v>244.76</v>
      </c>
      <c r="H1771" s="67">
        <v>241.49659864</v>
      </c>
      <c r="K1771" s="67">
        <v>22.670476669999999</v>
      </c>
      <c r="O1771" s="94">
        <f t="shared" si="248"/>
        <v>2.3829110183078965</v>
      </c>
      <c r="R1771" s="48">
        <f t="shared" si="251"/>
        <v>1.3554606517089753</v>
      </c>
      <c r="U1771" s="94">
        <v>2.3829110183078965</v>
      </c>
      <c r="V1771" s="94">
        <v>1.3554606517089753</v>
      </c>
      <c r="W1771" s="49">
        <f t="shared" si="255"/>
        <v>1.869935214740543</v>
      </c>
    </row>
    <row r="1772" spans="1:23" s="45" customFormat="1" ht="15" hidden="1">
      <c r="A1772" s="44" t="s">
        <v>113</v>
      </c>
      <c r="B1772" s="45" t="s">
        <v>258</v>
      </c>
      <c r="C1772" s="23" t="s">
        <v>250</v>
      </c>
      <c r="D1772" s="45">
        <v>1995</v>
      </c>
      <c r="E1772" s="45">
        <v>12</v>
      </c>
      <c r="F1772" s="45">
        <v>1</v>
      </c>
      <c r="G1772" s="46">
        <f t="shared" si="254"/>
        <v>336.16999999999996</v>
      </c>
      <c r="H1772" s="67">
        <v>387.75510204</v>
      </c>
      <c r="K1772" s="67">
        <v>10.56457962</v>
      </c>
      <c r="O1772" s="94">
        <f t="shared" si="248"/>
        <v>2.5885575209234011</v>
      </c>
      <c r="R1772" s="48">
        <f t="shared" si="251"/>
        <v>1.0238522205225875</v>
      </c>
      <c r="U1772" s="94">
        <v>2.5885575209234011</v>
      </c>
      <c r="V1772" s="94">
        <v>1.0238522205225875</v>
      </c>
      <c r="W1772" s="49">
        <f t="shared" si="255"/>
        <v>2.1246603108119304</v>
      </c>
    </row>
    <row r="1773" spans="1:23" s="98" customFormat="1" ht="15" hidden="1">
      <c r="A1773" s="95" t="s">
        <v>113</v>
      </c>
      <c r="B1773" s="96" t="s">
        <v>258</v>
      </c>
      <c r="C1773" s="97" t="s">
        <v>250</v>
      </c>
      <c r="D1773" s="98">
        <v>1996</v>
      </c>
      <c r="E1773" s="98">
        <v>3</v>
      </c>
      <c r="F1773" s="98">
        <v>1</v>
      </c>
      <c r="G1773" s="99">
        <f>365+30.47*(E1773-1)+F1773</f>
        <v>426.94</v>
      </c>
      <c r="H1773" s="100">
        <v>125.85034014</v>
      </c>
      <c r="K1773" s="100">
        <v>3.10701011</v>
      </c>
      <c r="O1773" s="101">
        <f t="shared" si="248"/>
        <v>2.0998543936684535</v>
      </c>
      <c r="R1773" s="102">
        <f t="shared" si="251"/>
        <v>0.49234266642203867</v>
      </c>
      <c r="U1773" s="101">
        <v>2.0998543936684535</v>
      </c>
      <c r="V1773" s="101">
        <v>0.49234266642203867</v>
      </c>
      <c r="W1773" s="103">
        <f t="shared" si="255"/>
        <v>2.7780458831782311</v>
      </c>
    </row>
    <row r="1774" spans="1:23" s="45" customFormat="1" ht="15" hidden="1">
      <c r="A1774" s="44" t="s">
        <v>113</v>
      </c>
      <c r="B1774" s="45" t="s">
        <v>258</v>
      </c>
      <c r="C1774" s="23" t="s">
        <v>250</v>
      </c>
      <c r="D1774" s="45">
        <v>1996</v>
      </c>
      <c r="E1774" s="45">
        <v>5</v>
      </c>
      <c r="F1774" s="45">
        <v>1</v>
      </c>
      <c r="G1774" s="46">
        <f t="shared" ref="G1774:G1775" si="262">365+30.47*(E1774-1)+F1774</f>
        <v>487.88</v>
      </c>
      <c r="H1774" s="67">
        <v>367.34693878000002</v>
      </c>
      <c r="K1774" s="67">
        <v>55.09202552</v>
      </c>
      <c r="O1774" s="94">
        <f t="shared" si="248"/>
        <v>2.5650764250801004</v>
      </c>
      <c r="R1774" s="48">
        <f t="shared" si="251"/>
        <v>1.7410887399897259</v>
      </c>
      <c r="U1774" s="94">
        <v>2.5650764250801004</v>
      </c>
      <c r="V1774" s="94">
        <v>1.7410887399897259</v>
      </c>
      <c r="W1774" s="49">
        <f t="shared" si="255"/>
        <v>1.4475215607322534</v>
      </c>
    </row>
    <row r="1775" spans="1:23" s="45" customFormat="1" ht="15" hidden="1">
      <c r="A1775" s="44" t="s">
        <v>113</v>
      </c>
      <c r="B1775" s="45" t="s">
        <v>258</v>
      </c>
      <c r="C1775" s="23" t="s">
        <v>250</v>
      </c>
      <c r="D1775" s="45">
        <v>1996</v>
      </c>
      <c r="E1775" s="45">
        <v>8</v>
      </c>
      <c r="F1775" s="45">
        <v>1</v>
      </c>
      <c r="G1775" s="46">
        <f t="shared" si="262"/>
        <v>579.29</v>
      </c>
      <c r="H1775" s="67">
        <v>394.55782312999997</v>
      </c>
      <c r="K1775" s="67">
        <v>70.848754909999997</v>
      </c>
      <c r="O1775" s="94">
        <f t="shared" si="248"/>
        <v>2.5961106588155847</v>
      </c>
      <c r="R1775" s="48">
        <f t="shared" si="251"/>
        <v>1.8503322223962122</v>
      </c>
      <c r="U1775" s="94">
        <v>2.5961106588155847</v>
      </c>
      <c r="V1775" s="94">
        <v>1.8503322223962122</v>
      </c>
      <c r="W1775" s="49">
        <f t="shared" si="255"/>
        <v>1.3340186864187789</v>
      </c>
    </row>
    <row r="1776" spans="1:23" s="45" customFormat="1" ht="15" hidden="1">
      <c r="A1776" s="44" t="s">
        <v>113</v>
      </c>
      <c r="B1776" s="45" t="s">
        <v>258</v>
      </c>
      <c r="C1776" s="23" t="s">
        <v>251</v>
      </c>
      <c r="D1776" s="45">
        <v>1995</v>
      </c>
      <c r="E1776" s="45">
        <v>5</v>
      </c>
      <c r="F1776" s="45">
        <v>1</v>
      </c>
      <c r="G1776" s="46">
        <f t="shared" si="254"/>
        <v>122.88</v>
      </c>
      <c r="H1776" s="67">
        <v>363.94557823000002</v>
      </c>
      <c r="K1776" s="67">
        <v>79.071070730000002</v>
      </c>
      <c r="O1776" s="94">
        <f t="shared" si="248"/>
        <v>2.5610364472715101</v>
      </c>
      <c r="R1776" s="48">
        <f t="shared" si="251"/>
        <v>1.8980176197761554</v>
      </c>
      <c r="U1776" s="94">
        <v>2.5610364472715101</v>
      </c>
      <c r="V1776" s="94">
        <v>1.8980176197761554</v>
      </c>
      <c r="W1776" s="49">
        <f t="shared" si="255"/>
        <v>1.2990371750411054</v>
      </c>
    </row>
    <row r="1777" spans="1:23" s="45" customFormat="1" ht="15" hidden="1">
      <c r="A1777" s="44" t="s">
        <v>113</v>
      </c>
      <c r="B1777" s="45" t="s">
        <v>258</v>
      </c>
      <c r="C1777" s="23" t="s">
        <v>251</v>
      </c>
      <c r="D1777" s="45">
        <v>1995</v>
      </c>
      <c r="E1777" s="45">
        <v>7</v>
      </c>
      <c r="F1777" s="45">
        <v>1</v>
      </c>
      <c r="G1777" s="46">
        <f t="shared" si="254"/>
        <v>183.82</v>
      </c>
      <c r="H1777" s="67">
        <v>455.78231292999999</v>
      </c>
      <c r="K1777" s="67">
        <v>75.944108069999999</v>
      </c>
      <c r="O1777" s="94">
        <f t="shared" si="248"/>
        <v>2.6587574679572525</v>
      </c>
      <c r="R1777" s="48">
        <f t="shared" si="251"/>
        <v>1.8804940858756392</v>
      </c>
      <c r="U1777" s="94">
        <v>2.6587574679572525</v>
      </c>
      <c r="V1777" s="94">
        <v>1.8804940858756392</v>
      </c>
      <c r="W1777" s="49">
        <f t="shared" si="255"/>
        <v>1.2864830243963192</v>
      </c>
    </row>
    <row r="1778" spans="1:23" s="45" customFormat="1" ht="15" hidden="1">
      <c r="A1778" s="44" t="s">
        <v>113</v>
      </c>
      <c r="B1778" s="45" t="s">
        <v>258</v>
      </c>
      <c r="C1778" s="23" t="s">
        <v>251</v>
      </c>
      <c r="D1778" s="45">
        <v>1995</v>
      </c>
      <c r="E1778" s="45">
        <v>9</v>
      </c>
      <c r="F1778" s="45">
        <v>1</v>
      </c>
      <c r="G1778" s="46">
        <f t="shared" si="254"/>
        <v>244.76</v>
      </c>
      <c r="H1778" s="67">
        <v>459.18367346999997</v>
      </c>
      <c r="K1778" s="67">
        <v>22.670476669999999</v>
      </c>
      <c r="O1778" s="94">
        <f t="shared" si="248"/>
        <v>2.6619864380834279</v>
      </c>
      <c r="R1778" s="48">
        <f t="shared" si="251"/>
        <v>1.3554606517089753</v>
      </c>
      <c r="U1778" s="94">
        <v>2.6619864380834279</v>
      </c>
      <c r="V1778" s="94">
        <v>1.3554606517089753</v>
      </c>
      <c r="W1778" s="49">
        <f t="shared" si="255"/>
        <v>1.7863452612624449</v>
      </c>
    </row>
    <row r="1779" spans="1:23" s="45" customFormat="1" ht="15" hidden="1">
      <c r="A1779" s="44" t="s">
        <v>113</v>
      </c>
      <c r="B1779" s="45" t="s">
        <v>258</v>
      </c>
      <c r="C1779" s="23" t="s">
        <v>251</v>
      </c>
      <c r="D1779" s="45">
        <v>1995</v>
      </c>
      <c r="E1779" s="45">
        <v>12</v>
      </c>
      <c r="F1779" s="45">
        <v>1</v>
      </c>
      <c r="G1779" s="46">
        <f t="shared" si="254"/>
        <v>336.16999999999996</v>
      </c>
      <c r="H1779" s="67">
        <v>414.96598639000001</v>
      </c>
      <c r="K1779" s="67">
        <v>10.56457962</v>
      </c>
      <c r="O1779" s="94">
        <f t="shared" si="248"/>
        <v>2.6180125002578207</v>
      </c>
      <c r="R1779" s="48">
        <f t="shared" si="251"/>
        <v>1.0238522205225875</v>
      </c>
      <c r="U1779" s="94">
        <v>2.6180125002578207</v>
      </c>
      <c r="V1779" s="94">
        <v>1.0238522205225875</v>
      </c>
      <c r="W1779" s="49">
        <f t="shared" si="255"/>
        <v>2.1158378199087804</v>
      </c>
    </row>
    <row r="1780" spans="1:23" s="98" customFormat="1" ht="15" hidden="1">
      <c r="A1780" s="95" t="s">
        <v>113</v>
      </c>
      <c r="B1780" s="96" t="s">
        <v>258</v>
      </c>
      <c r="C1780" s="97" t="s">
        <v>251</v>
      </c>
      <c r="D1780" s="98">
        <v>1996</v>
      </c>
      <c r="E1780" s="98">
        <v>3</v>
      </c>
      <c r="F1780" s="98">
        <v>1</v>
      </c>
      <c r="G1780" s="99">
        <f>365+30.47*(E1780-1)+F1780</f>
        <v>426.94</v>
      </c>
      <c r="H1780" s="100">
        <v>306.12244898</v>
      </c>
      <c r="K1780" s="100">
        <v>3.10701011</v>
      </c>
      <c r="O1780" s="101">
        <f t="shared" si="248"/>
        <v>2.4858951790277466</v>
      </c>
      <c r="R1780" s="102">
        <f t="shared" si="251"/>
        <v>0.49234266642203867</v>
      </c>
      <c r="U1780" s="101">
        <v>2.4858951790277466</v>
      </c>
      <c r="V1780" s="101">
        <v>0.49234266642203867</v>
      </c>
      <c r="W1780" s="103">
        <f t="shared" si="255"/>
        <v>2.6624171713598033</v>
      </c>
    </row>
    <row r="1781" spans="1:23" s="45" customFormat="1" ht="15" hidden="1">
      <c r="A1781" s="44" t="s">
        <v>113</v>
      </c>
      <c r="B1781" s="45" t="s">
        <v>258</v>
      </c>
      <c r="C1781" s="23" t="s">
        <v>251</v>
      </c>
      <c r="D1781" s="45">
        <v>1996</v>
      </c>
      <c r="E1781" s="45">
        <v>5</v>
      </c>
      <c r="F1781" s="45">
        <v>1</v>
      </c>
      <c r="G1781" s="46">
        <f t="shared" ref="G1781:G1782" si="263">365+30.47*(E1781-1)+F1781</f>
        <v>487.88</v>
      </c>
      <c r="H1781" s="67">
        <v>1163.2653061200001</v>
      </c>
      <c r="K1781" s="67">
        <v>55.09202552</v>
      </c>
      <c r="O1781" s="94">
        <f t="shared" ref="O1781:O1782" si="264">LOG10(H1781)</f>
        <v>3.0656787756430637</v>
      </c>
      <c r="R1781" s="48">
        <f t="shared" ref="R1781:R1782" si="265">LOG10(K1781)</f>
        <v>1.7410887399897259</v>
      </c>
      <c r="U1781" s="94">
        <v>3.0656787756430637</v>
      </c>
      <c r="V1781" s="94">
        <v>1.7410887399897259</v>
      </c>
      <c r="W1781" s="49">
        <f t="shared" si="255"/>
        <v>1.2975788419208221</v>
      </c>
    </row>
    <row r="1782" spans="1:23" s="45" customFormat="1" ht="15" hidden="1">
      <c r="A1782" s="44" t="s">
        <v>113</v>
      </c>
      <c r="B1782" s="45" t="s">
        <v>258</v>
      </c>
      <c r="C1782" s="23" t="s">
        <v>251</v>
      </c>
      <c r="D1782" s="45">
        <v>1996</v>
      </c>
      <c r="E1782" s="45">
        <v>8</v>
      </c>
      <c r="F1782" s="45">
        <v>1</v>
      </c>
      <c r="G1782" s="46">
        <f t="shared" si="263"/>
        <v>579.29</v>
      </c>
      <c r="H1782" s="67">
        <v>292.51700679999999</v>
      </c>
      <c r="K1782" s="67">
        <v>70.848754909999997</v>
      </c>
      <c r="O1782" s="94">
        <f t="shared" si="264"/>
        <v>2.4661511208273703</v>
      </c>
      <c r="R1782" s="48">
        <f t="shared" si="265"/>
        <v>1.8503322223962122</v>
      </c>
      <c r="U1782" s="94">
        <v>2.4661511208273703</v>
      </c>
      <c r="V1782" s="94">
        <v>1.8503322223962122</v>
      </c>
      <c r="W1782" s="49">
        <f t="shared" si="255"/>
        <v>1.3729447650508833</v>
      </c>
    </row>
    <row r="1783" spans="1:23" s="45" customFormat="1" hidden="1">
      <c r="A1783" s="22" t="s">
        <v>150</v>
      </c>
      <c r="B1783" s="23" t="s">
        <v>252</v>
      </c>
      <c r="C1783" s="28" t="s">
        <v>253</v>
      </c>
      <c r="D1783" s="23"/>
      <c r="E1783" s="23"/>
      <c r="F1783" s="23"/>
      <c r="G1783" s="23"/>
      <c r="H1783" s="104">
        <v>5.1813471499999997</v>
      </c>
      <c r="I1783" s="60"/>
      <c r="J1783" s="60"/>
      <c r="K1783" s="67">
        <v>5.0559315900000001</v>
      </c>
      <c r="O1783" s="94">
        <f t="shared" ref="O1783:O1846" si="266">LOG10(H1783)</f>
        <v>0.7144426909705115</v>
      </c>
      <c r="R1783" s="48">
        <f t="shared" ref="R1783:R1846" si="267">LOG10(K1783)</f>
        <v>0.70380118903095357</v>
      </c>
      <c r="U1783" s="94">
        <v>0.7144426909705115</v>
      </c>
      <c r="V1783" s="94">
        <v>0.70380118903095357</v>
      </c>
      <c r="W1783" s="49">
        <f t="shared" si="255"/>
        <v>2.9913004845475073</v>
      </c>
    </row>
    <row r="1784" spans="1:23" s="45" customFormat="1" hidden="1">
      <c r="A1784" s="22" t="s">
        <v>150</v>
      </c>
      <c r="B1784" s="23" t="s">
        <v>252</v>
      </c>
      <c r="C1784" s="28" t="s">
        <v>253</v>
      </c>
      <c r="D1784" s="23"/>
      <c r="E1784" s="23"/>
      <c r="F1784" s="23"/>
      <c r="G1784" s="23"/>
      <c r="H1784" s="104">
        <v>69.948186530000001</v>
      </c>
      <c r="I1784" s="60"/>
      <c r="J1784" s="60"/>
      <c r="K1784" s="67">
        <v>18.760856870000001</v>
      </c>
      <c r="O1784" s="94">
        <f t="shared" si="266"/>
        <v>1.8447764594965617</v>
      </c>
      <c r="R1784" s="48">
        <f t="shared" si="267"/>
        <v>1.2732526701525495</v>
      </c>
      <c r="U1784" s="94">
        <v>1.8447764594965617</v>
      </c>
      <c r="V1784" s="94">
        <v>1.2732526701525495</v>
      </c>
      <c r="W1784" s="49">
        <f t="shared" si="255"/>
        <v>2.1095379468213591</v>
      </c>
    </row>
    <row r="1785" spans="1:23" s="45" customFormat="1" hidden="1">
      <c r="A1785" s="22" t="s">
        <v>150</v>
      </c>
      <c r="B1785" s="23" t="s">
        <v>252</v>
      </c>
      <c r="C1785" s="28" t="s">
        <v>253</v>
      </c>
      <c r="D1785" s="23"/>
      <c r="E1785" s="23"/>
      <c r="F1785" s="23"/>
      <c r="G1785" s="23"/>
      <c r="H1785" s="104">
        <v>33.678756479999997</v>
      </c>
      <c r="I1785" s="60"/>
      <c r="J1785" s="60"/>
      <c r="K1785" s="67">
        <v>26.72193687</v>
      </c>
      <c r="O1785" s="94">
        <f t="shared" si="266"/>
        <v>1.5273560476778432</v>
      </c>
      <c r="R1785" s="48">
        <f t="shared" si="267"/>
        <v>1.426867933648843</v>
      </c>
      <c r="U1785" s="94">
        <v>1.5273560476778432</v>
      </c>
      <c r="V1785" s="94">
        <v>1.426867933648843</v>
      </c>
      <c r="W1785" s="49">
        <f t="shared" si="255"/>
        <v>2.0580795688540823</v>
      </c>
    </row>
    <row r="1786" spans="1:23" s="45" customFormat="1" hidden="1">
      <c r="A1786" s="22" t="s">
        <v>150</v>
      </c>
      <c r="B1786" s="23" t="s">
        <v>252</v>
      </c>
      <c r="C1786" s="28" t="s">
        <v>253</v>
      </c>
      <c r="D1786" s="23"/>
      <c r="E1786" s="23"/>
      <c r="F1786" s="23"/>
      <c r="G1786" s="23"/>
      <c r="H1786" s="104">
        <v>36.269430049999997</v>
      </c>
      <c r="I1786" s="60"/>
      <c r="J1786" s="60"/>
      <c r="K1786" s="67">
        <v>32.501347750000001</v>
      </c>
      <c r="O1786" s="94">
        <f t="shared" si="266"/>
        <v>1.5595407309847684</v>
      </c>
      <c r="R1786" s="48">
        <f t="shared" si="267"/>
        <v>1.5119013704635491</v>
      </c>
      <c r="U1786" s="94">
        <v>1.5595407309847684</v>
      </c>
      <c r="V1786" s="94">
        <v>1.5119013704635491</v>
      </c>
      <c r="W1786" s="49">
        <f t="shared" si="255"/>
        <v>1.9673260690829002</v>
      </c>
    </row>
    <row r="1787" spans="1:23" s="45" customFormat="1" hidden="1">
      <c r="A1787" s="22" t="s">
        <v>150</v>
      </c>
      <c r="B1787" s="23" t="s">
        <v>252</v>
      </c>
      <c r="C1787" s="28" t="s">
        <v>253</v>
      </c>
      <c r="D1787" s="23"/>
      <c r="E1787" s="23"/>
      <c r="F1787" s="23"/>
      <c r="G1787" s="23"/>
      <c r="H1787" s="104">
        <v>129.53367875999999</v>
      </c>
      <c r="I1787" s="60"/>
      <c r="J1787" s="60"/>
      <c r="K1787" s="67">
        <v>31.745110669999999</v>
      </c>
      <c r="O1787" s="94">
        <f t="shared" si="266"/>
        <v>2.1123826996760764</v>
      </c>
      <c r="R1787" s="48">
        <f t="shared" si="267"/>
        <v>1.5016768454531031</v>
      </c>
      <c r="U1787" s="94">
        <v>2.1123826996760764</v>
      </c>
      <c r="V1787" s="94">
        <v>1.5016768454531031</v>
      </c>
      <c r="W1787" s="49">
        <f t="shared" si="255"/>
        <v>1.8114894739548881</v>
      </c>
    </row>
    <row r="1788" spans="1:23" s="45" customFormat="1" hidden="1">
      <c r="A1788" s="22" t="s">
        <v>150</v>
      </c>
      <c r="B1788" s="23" t="s">
        <v>252</v>
      </c>
      <c r="C1788" s="28" t="s">
        <v>253</v>
      </c>
      <c r="D1788" s="23"/>
      <c r="E1788" s="23"/>
      <c r="F1788" s="23"/>
      <c r="G1788" s="23"/>
      <c r="H1788" s="104">
        <v>56.994818649999999</v>
      </c>
      <c r="I1788" s="60"/>
      <c r="J1788" s="60"/>
      <c r="K1788" s="67">
        <v>49.112357359999997</v>
      </c>
      <c r="O1788" s="94">
        <f t="shared" si="266"/>
        <v>1.7558353761287366</v>
      </c>
      <c r="R1788" s="48">
        <f t="shared" si="267"/>
        <v>1.6911907804738739</v>
      </c>
      <c r="U1788" s="94">
        <v>1.7558353761287366</v>
      </c>
      <c r="V1788" s="94">
        <v>1.6911907804738739</v>
      </c>
      <c r="W1788" s="49">
        <f t="shared" si="255"/>
        <v>1.7375068258051622</v>
      </c>
    </row>
    <row r="1789" spans="1:23" s="45" customFormat="1" hidden="1">
      <c r="A1789" s="22" t="s">
        <v>150</v>
      </c>
      <c r="B1789" s="23" t="s">
        <v>252</v>
      </c>
      <c r="C1789" s="28" t="s">
        <v>253</v>
      </c>
      <c r="D1789" s="23"/>
      <c r="E1789" s="23"/>
      <c r="F1789" s="23"/>
      <c r="G1789" s="23"/>
      <c r="H1789" s="104">
        <v>59.58549223</v>
      </c>
      <c r="I1789" s="60"/>
      <c r="J1789" s="60"/>
      <c r="K1789" s="67">
        <v>42.608531249999999</v>
      </c>
      <c r="O1789" s="94">
        <f t="shared" si="266"/>
        <v>1.7751405313605662</v>
      </c>
      <c r="R1789" s="48">
        <f t="shared" si="267"/>
        <v>1.6294965639818635</v>
      </c>
      <c r="U1789" s="94">
        <v>1.7751405313605662</v>
      </c>
      <c r="V1789" s="94">
        <v>1.6294965639818635</v>
      </c>
      <c r="W1789" s="49">
        <f t="shared" si="255"/>
        <v>1.7905745700181397</v>
      </c>
    </row>
    <row r="1790" spans="1:23" s="45" customFormat="1" hidden="1">
      <c r="A1790" s="22" t="s">
        <v>150</v>
      </c>
      <c r="B1790" s="23" t="s">
        <v>252</v>
      </c>
      <c r="C1790" s="28" t="s">
        <v>253</v>
      </c>
      <c r="D1790" s="23"/>
      <c r="E1790" s="23"/>
      <c r="F1790" s="23"/>
      <c r="G1790" s="23"/>
      <c r="H1790" s="104">
        <v>93.264248699999996</v>
      </c>
      <c r="I1790" s="60"/>
      <c r="J1790" s="60"/>
      <c r="K1790" s="67">
        <v>49.099254250000001</v>
      </c>
      <c r="O1790" s="94">
        <f t="shared" si="266"/>
        <v>1.9697151960738175</v>
      </c>
      <c r="R1790" s="48">
        <f t="shared" si="267"/>
        <v>1.6910748958384578</v>
      </c>
      <c r="U1790" s="94">
        <v>1.9697151960738175</v>
      </c>
      <c r="V1790" s="94">
        <v>1.6910748958384578</v>
      </c>
      <c r="W1790" s="49">
        <f t="shared" si="255"/>
        <v>1.673555100641763</v>
      </c>
    </row>
    <row r="1791" spans="1:23" s="45" customFormat="1" hidden="1">
      <c r="A1791" s="22" t="s">
        <v>150</v>
      </c>
      <c r="B1791" s="23" t="s">
        <v>252</v>
      </c>
      <c r="C1791" s="28" t="s">
        <v>253</v>
      </c>
      <c r="D1791" s="23"/>
      <c r="E1791" s="23"/>
      <c r="F1791" s="23"/>
      <c r="G1791" s="23"/>
      <c r="H1791" s="104">
        <v>137.30569947999999</v>
      </c>
      <c r="I1791" s="60"/>
      <c r="J1791" s="60"/>
      <c r="K1791" s="67">
        <v>44.748083200000004</v>
      </c>
      <c r="O1791" s="94">
        <f t="shared" si="266"/>
        <v>2.1376885649231343</v>
      </c>
      <c r="R1791" s="48">
        <f t="shared" si="267"/>
        <v>1.6507744368923347</v>
      </c>
      <c r="U1791" s="94">
        <v>2.1376885649231343</v>
      </c>
      <c r="V1791" s="94">
        <v>1.6507744368923347</v>
      </c>
      <c r="W1791" s="49">
        <f t="shared" ref="W1791:W1854" si="268">0.9539*(4.064-0.314*U1791-V1791)</f>
        <v>1.6616855523152259</v>
      </c>
    </row>
    <row r="1792" spans="1:23" s="45" customFormat="1" hidden="1">
      <c r="A1792" s="22" t="s">
        <v>150</v>
      </c>
      <c r="B1792" s="23" t="s">
        <v>252</v>
      </c>
      <c r="C1792" s="28" t="s">
        <v>253</v>
      </c>
      <c r="D1792" s="23"/>
      <c r="E1792" s="23"/>
      <c r="F1792" s="23"/>
      <c r="G1792" s="23"/>
      <c r="H1792" s="104">
        <v>93.264248699999996</v>
      </c>
      <c r="I1792" s="60"/>
      <c r="J1792" s="60"/>
      <c r="K1792" s="67">
        <v>36.093473899999999</v>
      </c>
      <c r="O1792" s="94">
        <f t="shared" si="266"/>
        <v>1.9697151960738175</v>
      </c>
      <c r="R1792" s="48">
        <f t="shared" si="267"/>
        <v>1.557428683749571</v>
      </c>
      <c r="U1792" s="94">
        <v>1.9697151960738175</v>
      </c>
      <c r="V1792" s="94">
        <v>1.557428683749571</v>
      </c>
      <c r="W1792" s="49">
        <f t="shared" si="268"/>
        <v>1.8010402223533524</v>
      </c>
    </row>
    <row r="1793" spans="1:23" s="45" customFormat="1" hidden="1">
      <c r="A1793" s="22" t="s">
        <v>150</v>
      </c>
      <c r="B1793" s="23" t="s">
        <v>252</v>
      </c>
      <c r="C1793" s="28" t="s">
        <v>253</v>
      </c>
      <c r="D1793" s="23"/>
      <c r="E1793" s="23"/>
      <c r="F1793" s="23"/>
      <c r="G1793" s="23"/>
      <c r="H1793" s="104">
        <v>139.89637306</v>
      </c>
      <c r="I1793" s="60"/>
      <c r="J1793" s="60"/>
      <c r="K1793" s="67">
        <v>61.365644369999998</v>
      </c>
      <c r="O1793" s="94">
        <f t="shared" si="266"/>
        <v>2.1458064551605429</v>
      </c>
      <c r="R1793" s="48">
        <f t="shared" si="267"/>
        <v>1.7879252988875682</v>
      </c>
      <c r="U1793" s="94">
        <v>2.1458064551605429</v>
      </c>
      <c r="V1793" s="94">
        <v>1.7879252988875682</v>
      </c>
      <c r="W1793" s="49">
        <f t="shared" si="268"/>
        <v>1.5284258372317689</v>
      </c>
    </row>
    <row r="1794" spans="1:23" s="45" customFormat="1" hidden="1">
      <c r="A1794" s="22" t="s">
        <v>150</v>
      </c>
      <c r="B1794" s="23" t="s">
        <v>252</v>
      </c>
      <c r="C1794" s="28" t="s">
        <v>253</v>
      </c>
      <c r="D1794" s="23"/>
      <c r="E1794" s="23"/>
      <c r="F1794" s="23"/>
      <c r="G1794" s="23"/>
      <c r="H1794" s="104">
        <v>183.93782383000001</v>
      </c>
      <c r="I1794" s="60"/>
      <c r="J1794" s="60"/>
      <c r="K1794" s="67">
        <v>54.846843270000001</v>
      </c>
      <c r="O1794" s="94">
        <f t="shared" si="266"/>
        <v>2.2646710440374109</v>
      </c>
      <c r="R1794" s="48">
        <f t="shared" si="267"/>
        <v>1.7391516366532664</v>
      </c>
      <c r="U1794" s="94">
        <v>2.2646710440374109</v>
      </c>
      <c r="V1794" s="94">
        <v>1.7391516366532664</v>
      </c>
      <c r="W1794" s="49">
        <f t="shared" si="268"/>
        <v>1.5393481651995611</v>
      </c>
    </row>
    <row r="1795" spans="1:23" s="45" customFormat="1" hidden="1">
      <c r="A1795" s="22" t="s">
        <v>150</v>
      </c>
      <c r="B1795" s="23" t="s">
        <v>252</v>
      </c>
      <c r="C1795" s="28" t="s">
        <v>253</v>
      </c>
      <c r="D1795" s="23"/>
      <c r="E1795" s="23"/>
      <c r="F1795" s="23"/>
      <c r="G1795" s="23"/>
      <c r="H1795" s="104">
        <v>72.538860099999994</v>
      </c>
      <c r="I1795" s="60"/>
      <c r="J1795" s="60"/>
      <c r="K1795" s="67">
        <v>73.673215729999995</v>
      </c>
      <c r="O1795" s="94">
        <f t="shared" si="266"/>
        <v>1.8605707266487495</v>
      </c>
      <c r="R1795" s="48">
        <f t="shared" si="267"/>
        <v>1.8673096265986688</v>
      </c>
      <c r="U1795" s="94">
        <v>1.8605707266487495</v>
      </c>
      <c r="V1795" s="94">
        <v>1.8673096265986688</v>
      </c>
      <c r="W1795" s="49">
        <f t="shared" si="268"/>
        <v>1.538136244516354</v>
      </c>
    </row>
    <row r="1796" spans="1:23" s="45" customFormat="1" hidden="1">
      <c r="A1796" s="22" t="s">
        <v>150</v>
      </c>
      <c r="B1796" s="23" t="s">
        <v>252</v>
      </c>
      <c r="C1796" s="28" t="s">
        <v>253</v>
      </c>
      <c r="D1796" s="23"/>
      <c r="E1796" s="23"/>
      <c r="F1796" s="23"/>
      <c r="G1796" s="23"/>
      <c r="H1796" s="104">
        <v>93.264248699999996</v>
      </c>
      <c r="I1796" s="60"/>
      <c r="J1796" s="60"/>
      <c r="K1796" s="67">
        <v>91.006768699999995</v>
      </c>
      <c r="O1796" s="94">
        <f t="shared" si="266"/>
        <v>1.9697151960738175</v>
      </c>
      <c r="R1796" s="48">
        <f t="shared" si="267"/>
        <v>1.9590736945160285</v>
      </c>
      <c r="U1796" s="94">
        <v>1.9697151960738175</v>
      </c>
      <c r="V1796" s="94">
        <v>1.9590736945160285</v>
      </c>
      <c r="W1796" s="49">
        <f t="shared" si="268"/>
        <v>1.4179110465832285</v>
      </c>
    </row>
    <row r="1797" spans="1:23" s="45" customFormat="1" hidden="1">
      <c r="A1797" s="22" t="s">
        <v>150</v>
      </c>
      <c r="B1797" s="23" t="s">
        <v>252</v>
      </c>
      <c r="C1797" s="28" t="s">
        <v>253</v>
      </c>
      <c r="D1797" s="23"/>
      <c r="E1797" s="23"/>
      <c r="F1797" s="23"/>
      <c r="G1797" s="23"/>
      <c r="H1797" s="104">
        <v>106.21761658</v>
      </c>
      <c r="I1797" s="60"/>
      <c r="J1797" s="60"/>
      <c r="K1797" s="67">
        <v>101.84023929999999</v>
      </c>
      <c r="O1797" s="94">
        <f t="shared" si="266"/>
        <v>2.0261965520467093</v>
      </c>
      <c r="R1797" s="48">
        <f t="shared" si="267"/>
        <v>2.0079194111340848</v>
      </c>
      <c r="U1797" s="94">
        <v>2.0261965520467093</v>
      </c>
      <c r="V1797" s="94">
        <v>2.0079194111340848</v>
      </c>
      <c r="W1797" s="49">
        <f t="shared" si="268"/>
        <v>1.3543995619460267</v>
      </c>
    </row>
    <row r="1798" spans="1:23" s="45" customFormat="1" hidden="1">
      <c r="A1798" s="22" t="s">
        <v>150</v>
      </c>
      <c r="B1798" s="23" t="s">
        <v>252</v>
      </c>
      <c r="C1798" s="28" t="s">
        <v>253</v>
      </c>
      <c r="D1798" s="23"/>
      <c r="E1798" s="23"/>
      <c r="F1798" s="23"/>
      <c r="G1798" s="23"/>
      <c r="H1798" s="104">
        <v>134.71502591000001</v>
      </c>
      <c r="I1798" s="60"/>
      <c r="J1798" s="60"/>
      <c r="K1798" s="67">
        <v>107.61029081</v>
      </c>
      <c r="O1798" s="94">
        <f t="shared" si="266"/>
        <v>2.1294160389735675</v>
      </c>
      <c r="R1798" s="48">
        <f t="shared" si="267"/>
        <v>2.0318538050505648</v>
      </c>
      <c r="U1798" s="94">
        <v>2.1294160389735675</v>
      </c>
      <c r="V1798" s="94">
        <v>2.0318538050505648</v>
      </c>
      <c r="W1798" s="49">
        <f t="shared" si="268"/>
        <v>1.3006517680551242</v>
      </c>
    </row>
    <row r="1799" spans="1:23" s="45" customFormat="1" hidden="1">
      <c r="A1799" s="22" t="s">
        <v>150</v>
      </c>
      <c r="B1799" s="23" t="s">
        <v>252</v>
      </c>
      <c r="C1799" s="28" t="s">
        <v>253</v>
      </c>
      <c r="D1799" s="23"/>
      <c r="E1799" s="23"/>
      <c r="F1799" s="23"/>
      <c r="G1799" s="23"/>
      <c r="H1799" s="104">
        <v>168.39378238</v>
      </c>
      <c r="I1799" s="60"/>
      <c r="J1799" s="60"/>
      <c r="K1799" s="67">
        <v>111.93338375</v>
      </c>
      <c r="O1799" s="94">
        <f t="shared" si="266"/>
        <v>2.2263260519622809</v>
      </c>
      <c r="R1799" s="48">
        <f t="shared" si="267"/>
        <v>2.0489596326959041</v>
      </c>
      <c r="U1799" s="94">
        <v>2.2263260519622809</v>
      </c>
      <c r="V1799" s="94">
        <v>2.0489596326959041</v>
      </c>
      <c r="W1799" s="49">
        <f t="shared" si="268"/>
        <v>1.2553075861877958</v>
      </c>
    </row>
    <row r="1800" spans="1:23" s="45" customFormat="1" hidden="1">
      <c r="A1800" s="22" t="s">
        <v>150</v>
      </c>
      <c r="B1800" s="23" t="s">
        <v>252</v>
      </c>
      <c r="C1800" s="28" t="s">
        <v>253</v>
      </c>
      <c r="D1800" s="23"/>
      <c r="E1800" s="23"/>
      <c r="F1800" s="23"/>
      <c r="G1800" s="23"/>
      <c r="H1800" s="104">
        <v>186.52849741</v>
      </c>
      <c r="I1800" s="60"/>
      <c r="J1800" s="60"/>
      <c r="K1800" s="67">
        <v>101.81122525000001</v>
      </c>
      <c r="O1800" s="94">
        <f t="shared" si="266"/>
        <v>2.2707451917610819</v>
      </c>
      <c r="R1800" s="48">
        <f t="shared" si="267"/>
        <v>2.0077956640063563</v>
      </c>
      <c r="U1800" s="94">
        <v>2.2707451917610819</v>
      </c>
      <c r="V1800" s="94">
        <v>2.0077956640063563</v>
      </c>
      <c r="W1800" s="49">
        <f t="shared" si="268"/>
        <v>1.2812692708401754</v>
      </c>
    </row>
    <row r="1801" spans="1:23" s="45" customFormat="1" hidden="1">
      <c r="A1801" s="22" t="s">
        <v>150</v>
      </c>
      <c r="B1801" s="23" t="s">
        <v>252</v>
      </c>
      <c r="C1801" s="28" t="s">
        <v>253</v>
      </c>
      <c r="D1801" s="23"/>
      <c r="E1801" s="23"/>
      <c r="F1801" s="23"/>
      <c r="G1801" s="23"/>
      <c r="H1801" s="104">
        <v>126.94300518</v>
      </c>
      <c r="I1801" s="60"/>
      <c r="J1801" s="60"/>
      <c r="K1801" s="67">
        <v>82.324081280000001</v>
      </c>
      <c r="O1801" s="94">
        <f t="shared" si="266"/>
        <v>2.10360877535215</v>
      </c>
      <c r="R1801" s="48">
        <f t="shared" si="267"/>
        <v>1.915526892772919</v>
      </c>
      <c r="U1801" s="94">
        <v>2.10360877535215</v>
      </c>
      <c r="V1801" s="94">
        <v>1.915526892772919</v>
      </c>
      <c r="W1801" s="49">
        <f t="shared" si="268"/>
        <v>1.41934591999007</v>
      </c>
    </row>
    <row r="1802" spans="1:23" s="45" customFormat="1" hidden="1">
      <c r="A1802" s="22" t="s">
        <v>150</v>
      </c>
      <c r="B1802" s="23" t="s">
        <v>252</v>
      </c>
      <c r="C1802" s="28" t="s">
        <v>253</v>
      </c>
      <c r="D1802" s="23"/>
      <c r="E1802" s="23"/>
      <c r="F1802" s="23"/>
      <c r="G1802" s="23"/>
      <c r="H1802" s="104">
        <v>170.98445595999999</v>
      </c>
      <c r="I1802" s="60"/>
      <c r="J1802" s="60"/>
      <c r="K1802" s="67">
        <v>83.030713710000001</v>
      </c>
      <c r="O1802" s="94">
        <f t="shared" si="266"/>
        <v>2.2329566308737987</v>
      </c>
      <c r="R1802" s="48">
        <f t="shared" si="267"/>
        <v>1.9192387710195113</v>
      </c>
      <c r="U1802" s="94">
        <v>2.2329566308737987</v>
      </c>
      <c r="V1802" s="94">
        <v>1.9192387710195113</v>
      </c>
      <c r="W1802" s="49">
        <f t="shared" si="268"/>
        <v>1.3770622946446658</v>
      </c>
    </row>
    <row r="1803" spans="1:23" s="45" customFormat="1" hidden="1">
      <c r="A1803" s="22" t="s">
        <v>150</v>
      </c>
      <c r="B1803" s="23" t="s">
        <v>252</v>
      </c>
      <c r="C1803" s="28" t="s">
        <v>253</v>
      </c>
      <c r="D1803" s="23"/>
      <c r="E1803" s="23"/>
      <c r="F1803" s="23"/>
      <c r="G1803" s="23"/>
      <c r="H1803" s="104">
        <v>106.21761658</v>
      </c>
      <c r="I1803" s="60"/>
      <c r="J1803" s="60"/>
      <c r="K1803" s="67">
        <v>73.661048550000004</v>
      </c>
      <c r="O1803" s="94">
        <f t="shared" si="266"/>
        <v>2.0261965520467093</v>
      </c>
      <c r="R1803" s="48">
        <f t="shared" si="267"/>
        <v>1.8672378966562533</v>
      </c>
      <c r="U1803" s="94">
        <v>2.0261965520467093</v>
      </c>
      <c r="V1803" s="94">
        <v>1.8672378966562533</v>
      </c>
      <c r="W1803" s="49">
        <f t="shared" si="268"/>
        <v>1.4885956586064304</v>
      </c>
    </row>
    <row r="1804" spans="1:23" s="45" customFormat="1" hidden="1">
      <c r="A1804" s="22" t="s">
        <v>150</v>
      </c>
      <c r="B1804" s="23" t="s">
        <v>252</v>
      </c>
      <c r="C1804" s="28" t="s">
        <v>253</v>
      </c>
      <c r="D1804" s="23"/>
      <c r="E1804" s="23"/>
      <c r="F1804" s="23"/>
      <c r="G1804" s="23"/>
      <c r="H1804" s="104">
        <v>150.25906735999999</v>
      </c>
      <c r="I1804" s="60"/>
      <c r="J1804" s="60"/>
      <c r="K1804" s="67">
        <v>72.200050910000002</v>
      </c>
      <c r="O1804" s="94">
        <f t="shared" si="266"/>
        <v>2.1768406888983707</v>
      </c>
      <c r="R1804" s="48">
        <f t="shared" si="267"/>
        <v>1.8585375038012772</v>
      </c>
      <c r="U1804" s="94">
        <v>2.1768406888983707</v>
      </c>
      <c r="V1804" s="94">
        <v>1.8585375038012772</v>
      </c>
      <c r="W1804" s="49">
        <f t="shared" si="268"/>
        <v>1.4517733385179528</v>
      </c>
    </row>
    <row r="1805" spans="1:23" s="45" customFormat="1" hidden="1">
      <c r="A1805" s="22" t="s">
        <v>150</v>
      </c>
      <c r="B1805" s="23" t="s">
        <v>252</v>
      </c>
      <c r="C1805" s="28" t="s">
        <v>253</v>
      </c>
      <c r="D1805" s="23"/>
      <c r="E1805" s="23"/>
      <c r="F1805" s="23"/>
      <c r="G1805" s="23"/>
      <c r="H1805" s="104">
        <v>194.30051813</v>
      </c>
      <c r="I1805" s="60"/>
      <c r="J1805" s="60"/>
      <c r="K1805" s="67">
        <v>66.40379317</v>
      </c>
      <c r="O1805" s="94">
        <f t="shared" si="266"/>
        <v>2.2884739587094063</v>
      </c>
      <c r="R1805" s="48">
        <f t="shared" si="267"/>
        <v>1.8221928881895284</v>
      </c>
      <c r="U1805" s="94">
        <v>2.2884739587094063</v>
      </c>
      <c r="V1805" s="94">
        <v>1.8221928881895284</v>
      </c>
      <c r="W1805" s="49">
        <f t="shared" si="268"/>
        <v>1.4530055568631575</v>
      </c>
    </row>
    <row r="1806" spans="1:23" s="45" customFormat="1" hidden="1">
      <c r="A1806" s="22" t="s">
        <v>150</v>
      </c>
      <c r="B1806" s="23" t="s">
        <v>252</v>
      </c>
      <c r="C1806" s="28" t="s">
        <v>253</v>
      </c>
      <c r="D1806" s="23"/>
      <c r="E1806" s="23"/>
      <c r="F1806" s="23"/>
      <c r="G1806" s="23"/>
      <c r="H1806" s="104">
        <v>238.34196890999999</v>
      </c>
      <c r="I1806" s="60"/>
      <c r="J1806" s="60"/>
      <c r="K1806" s="67">
        <v>79.393662579999997</v>
      </c>
      <c r="O1806" s="94">
        <f t="shared" si="266"/>
        <v>2.3772005226703072</v>
      </c>
      <c r="R1806" s="48">
        <f t="shared" si="267"/>
        <v>1.899785837233382</v>
      </c>
      <c r="U1806" s="94">
        <v>2.3772005226703072</v>
      </c>
      <c r="V1806" s="94">
        <v>1.899785837233382</v>
      </c>
      <c r="W1806" s="49">
        <f t="shared" si="268"/>
        <v>1.3524138541904622</v>
      </c>
    </row>
    <row r="1807" spans="1:23" s="45" customFormat="1" hidden="1">
      <c r="A1807" s="22" t="s">
        <v>150</v>
      </c>
      <c r="B1807" s="23" t="s">
        <v>252</v>
      </c>
      <c r="C1807" s="28" t="s">
        <v>253</v>
      </c>
      <c r="D1807" s="23"/>
      <c r="E1807" s="23"/>
      <c r="F1807" s="23"/>
      <c r="G1807" s="23"/>
      <c r="H1807" s="104">
        <v>261.65803109000001</v>
      </c>
      <c r="I1807" s="60"/>
      <c r="J1807" s="60"/>
      <c r="K1807" s="67">
        <v>90.223389440000005</v>
      </c>
      <c r="O1807" s="94">
        <f t="shared" si="266"/>
        <v>2.4177340691140694</v>
      </c>
      <c r="R1807" s="48">
        <f t="shared" si="267"/>
        <v>1.9553191382952613</v>
      </c>
      <c r="U1807" s="94">
        <v>2.4177340691140694</v>
      </c>
      <c r="V1807" s="94">
        <v>1.9553191382952613</v>
      </c>
      <c r="W1807" s="49">
        <f t="shared" si="268"/>
        <v>1.2872998440223862</v>
      </c>
    </row>
    <row r="1808" spans="1:23" s="45" customFormat="1" hidden="1">
      <c r="A1808" s="22" t="s">
        <v>150</v>
      </c>
      <c r="B1808" s="23" t="s">
        <v>252</v>
      </c>
      <c r="C1808" s="28" t="s">
        <v>253</v>
      </c>
      <c r="D1808" s="23"/>
      <c r="E1808" s="23"/>
      <c r="F1808" s="23"/>
      <c r="G1808" s="23"/>
      <c r="H1808" s="104">
        <v>235.75129534000001</v>
      </c>
      <c r="I1808" s="60"/>
      <c r="J1808" s="60"/>
      <c r="K1808" s="67">
        <v>95.29055228</v>
      </c>
      <c r="O1808" s="94">
        <f t="shared" si="266"/>
        <v>2.3724540876552567</v>
      </c>
      <c r="R1808" s="48">
        <f t="shared" si="267"/>
        <v>1.9790498440165072</v>
      </c>
      <c r="U1808" s="94">
        <v>2.3724540876552567</v>
      </c>
      <c r="V1808" s="94">
        <v>1.9790498440165072</v>
      </c>
      <c r="W1808" s="49">
        <f t="shared" si="268"/>
        <v>1.2782255921693482</v>
      </c>
    </row>
    <row r="1809" spans="1:23" s="45" customFormat="1" hidden="1">
      <c r="A1809" s="22" t="s">
        <v>150</v>
      </c>
      <c r="B1809" s="23" t="s">
        <v>252</v>
      </c>
      <c r="C1809" s="28" t="s">
        <v>253</v>
      </c>
      <c r="D1809" s="23"/>
      <c r="E1809" s="23"/>
      <c r="F1809" s="23"/>
      <c r="G1809" s="23"/>
      <c r="H1809" s="104">
        <v>199.48186527999999</v>
      </c>
      <c r="I1809" s="60"/>
      <c r="J1809" s="60"/>
      <c r="K1809" s="67">
        <v>88.800765220000002</v>
      </c>
      <c r="O1809" s="94">
        <f t="shared" si="266"/>
        <v>2.2999034204898976</v>
      </c>
      <c r="R1809" s="48">
        <f t="shared" si="267"/>
        <v>1.9484167082267041</v>
      </c>
      <c r="U1809" s="94">
        <v>2.2999034204898976</v>
      </c>
      <c r="V1809" s="94">
        <v>1.9484167082267041</v>
      </c>
      <c r="W1809" s="49">
        <f t="shared" si="268"/>
        <v>1.3291772499616785</v>
      </c>
    </row>
    <row r="1810" spans="1:23" s="45" customFormat="1" hidden="1">
      <c r="A1810" s="22" t="s">
        <v>150</v>
      </c>
      <c r="B1810" s="23" t="s">
        <v>252</v>
      </c>
      <c r="C1810" s="28" t="s">
        <v>253</v>
      </c>
      <c r="D1810" s="23"/>
      <c r="E1810" s="23"/>
      <c r="F1810" s="23"/>
      <c r="G1810" s="23"/>
      <c r="H1810" s="104">
        <v>269.43005181000001</v>
      </c>
      <c r="I1810" s="60"/>
      <c r="J1810" s="60"/>
      <c r="K1810" s="67">
        <v>109.0067088</v>
      </c>
      <c r="O1810" s="94">
        <f t="shared" si="266"/>
        <v>2.4304460346214296</v>
      </c>
      <c r="R1810" s="48">
        <f t="shared" si="267"/>
        <v>2.0374532273457611</v>
      </c>
      <c r="U1810" s="94">
        <v>2.4304460346214296</v>
      </c>
      <c r="V1810" s="94">
        <v>2.0374532273457611</v>
      </c>
      <c r="W1810" s="49">
        <f t="shared" si="268"/>
        <v>1.2051445900933087</v>
      </c>
    </row>
    <row r="1811" spans="1:23" s="45" customFormat="1" hidden="1">
      <c r="A1811" s="22" t="s">
        <v>150</v>
      </c>
      <c r="B1811" s="23" t="s">
        <v>252</v>
      </c>
      <c r="C1811" s="28" t="s">
        <v>253</v>
      </c>
      <c r="D1811" s="23"/>
      <c r="E1811" s="23"/>
      <c r="F1811" s="23"/>
      <c r="G1811" s="23"/>
      <c r="H1811" s="104">
        <v>191.70984455999999</v>
      </c>
      <c r="I1811" s="60"/>
      <c r="J1811" s="60"/>
      <c r="K1811" s="67">
        <v>127.82091407</v>
      </c>
      <c r="O1811" s="94">
        <f t="shared" si="266"/>
        <v>2.2826444150601604</v>
      </c>
      <c r="R1811" s="48">
        <f t="shared" si="267"/>
        <v>2.106601918940417</v>
      </c>
      <c r="U1811" s="94">
        <v>2.2826444150601604</v>
      </c>
      <c r="V1811" s="94">
        <v>2.106601918940417</v>
      </c>
      <c r="W1811" s="49">
        <f t="shared" si="268"/>
        <v>1.1834538741596079</v>
      </c>
    </row>
    <row r="1812" spans="1:23" s="45" customFormat="1" hidden="1">
      <c r="A1812" s="22" t="s">
        <v>150</v>
      </c>
      <c r="B1812" s="23" t="s">
        <v>252</v>
      </c>
      <c r="C1812" s="28" t="s">
        <v>253</v>
      </c>
      <c r="D1812" s="23"/>
      <c r="E1812" s="23"/>
      <c r="F1812" s="23"/>
      <c r="G1812" s="23"/>
      <c r="H1812" s="104">
        <v>235.75129534000001</v>
      </c>
      <c r="I1812" s="60"/>
      <c r="J1812" s="60"/>
      <c r="K1812" s="67">
        <v>117.68939621</v>
      </c>
      <c r="O1812" s="94">
        <f t="shared" si="266"/>
        <v>2.3724540876552567</v>
      </c>
      <c r="R1812" s="48">
        <f t="shared" si="267"/>
        <v>2.0707373347640776</v>
      </c>
      <c r="U1812" s="94">
        <v>2.3724540876552567</v>
      </c>
      <c r="V1812" s="94">
        <v>2.0707373347640776</v>
      </c>
      <c r="W1812" s="49">
        <f t="shared" si="268"/>
        <v>1.1907648947452409</v>
      </c>
    </row>
    <row r="1813" spans="1:23" s="45" customFormat="1" hidden="1">
      <c r="A1813" s="22" t="s">
        <v>150</v>
      </c>
      <c r="B1813" s="23" t="s">
        <v>252</v>
      </c>
      <c r="C1813" s="28" t="s">
        <v>253</v>
      </c>
      <c r="D1813" s="23"/>
      <c r="E1813" s="23"/>
      <c r="F1813" s="23"/>
      <c r="G1813" s="23"/>
      <c r="H1813" s="104">
        <v>251.29533678999999</v>
      </c>
      <c r="I1813" s="60"/>
      <c r="J1813" s="60"/>
      <c r="K1813" s="67">
        <v>135.02482105000001</v>
      </c>
      <c r="O1813" s="94">
        <f t="shared" si="266"/>
        <v>2.4001844295986987</v>
      </c>
      <c r="R1813" s="48">
        <f t="shared" si="267"/>
        <v>2.1304136103779743</v>
      </c>
      <c r="U1813" s="94">
        <v>2.4001844295986987</v>
      </c>
      <c r="V1813" s="94">
        <v>2.1304136103779743</v>
      </c>
      <c r="W1813" s="49">
        <f t="shared" si="268"/>
        <v>1.1255337758586721</v>
      </c>
    </row>
    <row r="1814" spans="1:23" s="45" customFormat="1" hidden="1">
      <c r="A1814" s="22" t="s">
        <v>150</v>
      </c>
      <c r="B1814" s="23" t="s">
        <v>252</v>
      </c>
      <c r="C1814" s="28" t="s">
        <v>253</v>
      </c>
      <c r="D1814" s="23"/>
      <c r="E1814" s="23"/>
      <c r="F1814" s="23"/>
      <c r="G1814" s="23"/>
      <c r="H1814" s="104">
        <v>222.79792746000001</v>
      </c>
      <c r="I1814" s="60"/>
      <c r="J1814" s="60"/>
      <c r="K1814" s="67">
        <v>142.98309323000001</v>
      </c>
      <c r="O1814" s="94">
        <f t="shared" si="266"/>
        <v>2.347911146569591</v>
      </c>
      <c r="R1814" s="48">
        <f t="shared" si="267"/>
        <v>2.1552846881573569</v>
      </c>
      <c r="U1814" s="94">
        <v>2.347911146569591</v>
      </c>
      <c r="V1814" s="94">
        <v>2.1552846881573569</v>
      </c>
      <c r="W1814" s="49">
        <f t="shared" si="268"/>
        <v>1.117466388954899</v>
      </c>
    </row>
    <row r="1815" spans="1:23" s="45" customFormat="1" hidden="1">
      <c r="A1815" s="22" t="s">
        <v>150</v>
      </c>
      <c r="B1815" s="23" t="s">
        <v>252</v>
      </c>
      <c r="C1815" s="28" t="s">
        <v>253</v>
      </c>
      <c r="D1815" s="23"/>
      <c r="E1815" s="23"/>
      <c r="F1815" s="23"/>
      <c r="G1815" s="23"/>
      <c r="H1815" s="104">
        <v>163.21243523000001</v>
      </c>
      <c r="I1815" s="60"/>
      <c r="J1815" s="60"/>
      <c r="K1815" s="67">
        <v>142.28207642999999</v>
      </c>
      <c r="O1815" s="94">
        <f t="shared" si="266"/>
        <v>2.2127532447734168</v>
      </c>
      <c r="R1815" s="48">
        <f t="shared" si="267"/>
        <v>2.153150194547977</v>
      </c>
      <c r="U1815" s="94">
        <v>2.2127532447734168</v>
      </c>
      <c r="V1815" s="94">
        <v>2.153150194547977</v>
      </c>
      <c r="W1815" s="49">
        <f t="shared" si="268"/>
        <v>1.1599855988812251</v>
      </c>
    </row>
    <row r="1816" spans="1:23" s="45" customFormat="1" hidden="1">
      <c r="A1816" s="22" t="s">
        <v>150</v>
      </c>
      <c r="B1816" s="23" t="s">
        <v>252</v>
      </c>
      <c r="C1816" s="28" t="s">
        <v>253</v>
      </c>
      <c r="D1816" s="23"/>
      <c r="E1816" s="23"/>
      <c r="F1816" s="23"/>
      <c r="G1816" s="23"/>
      <c r="H1816" s="104">
        <v>137.30569947999999</v>
      </c>
      <c r="I1816" s="60"/>
      <c r="J1816" s="60"/>
      <c r="K1816" s="67">
        <v>159.63247626</v>
      </c>
      <c r="O1816" s="94">
        <f t="shared" si="266"/>
        <v>2.1376885649231343</v>
      </c>
      <c r="R1816" s="48">
        <f t="shared" si="267"/>
        <v>2.2031212505842621</v>
      </c>
      <c r="U1816" s="94">
        <v>2.1376885649231343</v>
      </c>
      <c r="V1816" s="94">
        <v>2.2031212505842621</v>
      </c>
      <c r="W1816" s="49">
        <f t="shared" si="268"/>
        <v>1.1348019267344964</v>
      </c>
    </row>
    <row r="1817" spans="1:23" s="45" customFormat="1" hidden="1">
      <c r="A1817" s="22" t="s">
        <v>150</v>
      </c>
      <c r="B1817" s="23" t="s">
        <v>252</v>
      </c>
      <c r="C1817" s="28" t="s">
        <v>253</v>
      </c>
      <c r="D1817" s="23"/>
      <c r="E1817" s="23"/>
      <c r="F1817" s="23"/>
      <c r="G1817" s="23"/>
      <c r="H1817" s="104">
        <v>139.89637306</v>
      </c>
      <c r="I1817" s="60"/>
      <c r="J1817" s="60"/>
      <c r="K1817" s="67">
        <v>166.85697385</v>
      </c>
      <c r="O1817" s="94">
        <f t="shared" si="266"/>
        <v>2.1458064551605429</v>
      </c>
      <c r="R1817" s="48">
        <f t="shared" si="267"/>
        <v>2.2223443628714157</v>
      </c>
      <c r="U1817" s="94">
        <v>2.1458064551605429</v>
      </c>
      <c r="V1817" s="94">
        <v>2.2223443628714157</v>
      </c>
      <c r="W1817" s="49">
        <f t="shared" si="268"/>
        <v>1.1140334920975767</v>
      </c>
    </row>
    <row r="1818" spans="1:23" s="45" customFormat="1" hidden="1">
      <c r="A1818" s="22" t="s">
        <v>150</v>
      </c>
      <c r="B1818" s="23" t="s">
        <v>252</v>
      </c>
      <c r="C1818" s="28" t="s">
        <v>253</v>
      </c>
      <c r="D1818" s="23"/>
      <c r="E1818" s="23"/>
      <c r="F1818" s="23"/>
      <c r="G1818" s="23"/>
      <c r="H1818" s="104">
        <v>173.57512953</v>
      </c>
      <c r="I1818" s="60"/>
      <c r="J1818" s="60"/>
      <c r="K1818" s="67">
        <v>166.12226332</v>
      </c>
      <c r="O1818" s="94">
        <f t="shared" si="266"/>
        <v>2.2394874980198671</v>
      </c>
      <c r="R1818" s="48">
        <f t="shared" si="267"/>
        <v>2.2204278394899157</v>
      </c>
      <c r="U1818" s="94">
        <v>2.2394874980198671</v>
      </c>
      <c r="V1818" s="94">
        <v>2.2204278394899157</v>
      </c>
      <c r="W1818" s="49">
        <f t="shared" si="268"/>
        <v>1.0878018868611679</v>
      </c>
    </row>
    <row r="1819" spans="1:23" s="45" customFormat="1" hidden="1">
      <c r="A1819" s="22" t="s">
        <v>150</v>
      </c>
      <c r="B1819" s="23" t="s">
        <v>252</v>
      </c>
      <c r="C1819" s="28" t="s">
        <v>253</v>
      </c>
      <c r="D1819" s="23"/>
      <c r="E1819" s="23"/>
      <c r="F1819" s="23"/>
      <c r="G1819" s="23"/>
      <c r="H1819" s="104">
        <v>212.43523316</v>
      </c>
      <c r="I1819" s="60"/>
      <c r="J1819" s="60"/>
      <c r="K1819" s="67">
        <v>168.27585432000001</v>
      </c>
      <c r="O1819" s="94">
        <f t="shared" si="266"/>
        <v>2.3272265477106906</v>
      </c>
      <c r="R1819" s="48">
        <f t="shared" si="267"/>
        <v>2.2260218041048492</v>
      </c>
      <c r="U1819" s="94">
        <v>2.3272265477106906</v>
      </c>
      <c r="V1819" s="94">
        <v>2.2260218041048492</v>
      </c>
      <c r="W1819" s="49">
        <f t="shared" si="268"/>
        <v>1.0561858002519589</v>
      </c>
    </row>
    <row r="1820" spans="1:23" s="45" customFormat="1" hidden="1">
      <c r="A1820" s="22" t="s">
        <v>150</v>
      </c>
      <c r="B1820" s="23" t="s">
        <v>252</v>
      </c>
      <c r="C1820" s="28" t="s">
        <v>253</v>
      </c>
      <c r="D1820" s="23"/>
      <c r="E1820" s="23"/>
      <c r="F1820" s="23"/>
      <c r="G1820" s="23"/>
      <c r="H1820" s="104">
        <v>238.34196890999999</v>
      </c>
      <c r="I1820" s="60"/>
      <c r="J1820" s="60"/>
      <c r="K1820" s="67">
        <v>161.76360478000001</v>
      </c>
      <c r="O1820" s="94">
        <f t="shared" si="266"/>
        <v>2.3772005226703072</v>
      </c>
      <c r="R1820" s="48">
        <f t="shared" si="267"/>
        <v>2.2088808162799314</v>
      </c>
      <c r="U1820" s="94">
        <v>2.3772005226703072</v>
      </c>
      <c r="V1820" s="94">
        <v>2.2088808162799314</v>
      </c>
      <c r="W1820" s="49">
        <f t="shared" si="268"/>
        <v>1.0575681536779589</v>
      </c>
    </row>
    <row r="1821" spans="1:23" hidden="1">
      <c r="A1821" s="22" t="s">
        <v>150</v>
      </c>
      <c r="B1821" s="23" t="s">
        <v>252</v>
      </c>
      <c r="C1821" s="28" t="s">
        <v>253</v>
      </c>
      <c r="D1821" s="23"/>
      <c r="H1821" s="104">
        <v>339.37823834</v>
      </c>
      <c r="I1821" s="104"/>
      <c r="J1821" s="104"/>
      <c r="K1821" s="67">
        <v>135.71554254</v>
      </c>
      <c r="O1821" s="94">
        <f t="shared" si="266"/>
        <v>2.5306839909814896</v>
      </c>
      <c r="P1821" s="45"/>
      <c r="Q1821" s="45"/>
      <c r="R1821" s="48">
        <f t="shared" si="267"/>
        <v>2.1326295871794492</v>
      </c>
      <c r="U1821" s="94">
        <v>2.5306839909814896</v>
      </c>
      <c r="V1821" s="105">
        <v>2.1326295871794492</v>
      </c>
      <c r="W1821" s="49">
        <f t="shared" si="268"/>
        <v>1.0843321266643893</v>
      </c>
    </row>
    <row r="1822" spans="1:23" hidden="1">
      <c r="A1822" s="22" t="s">
        <v>150</v>
      </c>
      <c r="B1822" s="23" t="s">
        <v>252</v>
      </c>
      <c r="C1822" s="28" t="s">
        <v>253</v>
      </c>
      <c r="D1822" s="23"/>
      <c r="H1822" s="104">
        <v>326.42487046999997</v>
      </c>
      <c r="I1822" s="104"/>
      <c r="J1822" s="104"/>
      <c r="K1822" s="67">
        <v>129.21733205999999</v>
      </c>
      <c r="O1822" s="94">
        <f t="shared" si="266"/>
        <v>2.5137832404507026</v>
      </c>
      <c r="P1822" s="45"/>
      <c r="Q1822" s="45"/>
      <c r="R1822" s="48">
        <f t="shared" si="267"/>
        <v>2.1113207699530165</v>
      </c>
      <c r="U1822" s="94">
        <v>2.5137832404507026</v>
      </c>
      <c r="V1822" s="105">
        <v>2.1113207699530165</v>
      </c>
      <c r="W1822" s="49">
        <f t="shared" si="268"/>
        <v>1.109720797959117</v>
      </c>
    </row>
    <row r="1823" spans="1:23" hidden="1">
      <c r="A1823" s="22" t="s">
        <v>150</v>
      </c>
      <c r="B1823" s="23" t="s">
        <v>252</v>
      </c>
      <c r="C1823" s="28" t="s">
        <v>253</v>
      </c>
      <c r="D1823" s="23"/>
      <c r="H1823" s="104">
        <v>349.74093263999998</v>
      </c>
      <c r="I1823" s="104"/>
      <c r="J1823" s="104"/>
      <c r="K1823" s="67">
        <v>119.09330169</v>
      </c>
      <c r="O1823" s="94">
        <f t="shared" si="266"/>
        <v>2.5437464638201628</v>
      </c>
      <c r="P1823" s="45"/>
      <c r="Q1823" s="45"/>
      <c r="R1823" s="48">
        <f t="shared" si="267"/>
        <v>2.0758873356147856</v>
      </c>
      <c r="U1823" s="94">
        <v>2.5437464638201628</v>
      </c>
      <c r="V1823" s="105">
        <v>2.0758873356147856</v>
      </c>
      <c r="W1823" s="49">
        <f t="shared" si="268"/>
        <v>1.1345460284799074</v>
      </c>
    </row>
    <row r="1824" spans="1:23" hidden="1">
      <c r="A1824" s="22" t="s">
        <v>150</v>
      </c>
      <c r="B1824" s="23" t="s">
        <v>252</v>
      </c>
      <c r="C1824" s="28" t="s">
        <v>253</v>
      </c>
      <c r="D1824" s="23"/>
      <c r="H1824" s="104">
        <v>308.29015543999998</v>
      </c>
      <c r="I1824" s="104"/>
      <c r="J1824" s="104"/>
      <c r="K1824" s="67">
        <v>111.1602998</v>
      </c>
      <c r="O1824" s="94">
        <f t="shared" si="266"/>
        <v>2.4889596567201919</v>
      </c>
      <c r="P1824" s="45"/>
      <c r="Q1824" s="45"/>
      <c r="R1824" s="48">
        <f t="shared" si="267"/>
        <v>2.0459497094017549</v>
      </c>
      <c r="U1824" s="94">
        <v>2.4889596567201919</v>
      </c>
      <c r="V1824" s="105">
        <v>2.0459497094017549</v>
      </c>
      <c r="W1824" s="49">
        <f t="shared" si="268"/>
        <v>1.1795135266064132</v>
      </c>
    </row>
    <row r="1825" spans="1:23" hidden="1">
      <c r="A1825" s="22" t="s">
        <v>150</v>
      </c>
      <c r="B1825" s="23" t="s">
        <v>252</v>
      </c>
      <c r="C1825" s="28" t="s">
        <v>253</v>
      </c>
      <c r="D1825" s="23"/>
      <c r="H1825" s="104">
        <v>341.96891191999998</v>
      </c>
      <c r="I1825" s="104"/>
      <c r="J1825" s="104"/>
      <c r="K1825" s="67">
        <v>100.30998233</v>
      </c>
      <c r="O1825" s="94">
        <f t="shared" si="266"/>
        <v>2.53398662653778</v>
      </c>
      <c r="P1825" s="45"/>
      <c r="Q1825" s="45"/>
      <c r="R1825" s="48">
        <f t="shared" si="267"/>
        <v>2.0013441539089181</v>
      </c>
      <c r="U1825" s="94">
        <v>2.53398662653778</v>
      </c>
      <c r="V1825" s="105">
        <v>2.0013441539089181</v>
      </c>
      <c r="W1825" s="49">
        <f t="shared" si="268"/>
        <v>1.2085760808672052</v>
      </c>
    </row>
    <row r="1826" spans="1:23" hidden="1">
      <c r="A1826" s="22" t="s">
        <v>150</v>
      </c>
      <c r="B1826" s="23" t="s">
        <v>252</v>
      </c>
      <c r="C1826" s="28" t="s">
        <v>253</v>
      </c>
      <c r="D1826" s="23"/>
      <c r="H1826" s="104">
        <v>391.19170983999999</v>
      </c>
      <c r="I1826" s="104"/>
      <c r="J1826" s="104"/>
      <c r="K1826" s="67">
        <v>92.344222650000006</v>
      </c>
      <c r="O1826" s="94">
        <f t="shared" si="266"/>
        <v>2.5923896426163524</v>
      </c>
      <c r="P1826" s="45"/>
      <c r="Q1826" s="45"/>
      <c r="R1826" s="48">
        <f t="shared" si="267"/>
        <v>1.9654097297739739</v>
      </c>
      <c r="U1826" s="94">
        <v>2.5923896426163524</v>
      </c>
      <c r="V1826" s="105">
        <v>1.9654097297739739</v>
      </c>
      <c r="W1826" s="49">
        <f t="shared" si="268"/>
        <v>1.2253607880198003</v>
      </c>
    </row>
    <row r="1827" spans="1:23" hidden="1">
      <c r="A1827" s="22" t="s">
        <v>150</v>
      </c>
      <c r="B1827" s="23" t="s">
        <v>252</v>
      </c>
      <c r="C1827" s="28" t="s">
        <v>253</v>
      </c>
      <c r="D1827" s="23"/>
      <c r="H1827" s="104">
        <v>357.51295336999999</v>
      </c>
      <c r="I1827" s="104"/>
      <c r="J1827" s="104"/>
      <c r="K1827" s="67">
        <v>79.350609480000003</v>
      </c>
      <c r="O1827" s="94">
        <f t="shared" si="266"/>
        <v>2.5532917817320619</v>
      </c>
      <c r="P1827" s="45"/>
      <c r="Q1827" s="45"/>
      <c r="R1827" s="48">
        <f t="shared" si="267"/>
        <v>1.8995502668537441</v>
      </c>
      <c r="U1827" s="94">
        <v>2.5532917817320619</v>
      </c>
      <c r="V1827" s="105">
        <v>1.8995502668537441</v>
      </c>
      <c r="W1827" s="49">
        <f t="shared" si="268"/>
        <v>1.2998949008416305</v>
      </c>
    </row>
    <row r="1828" spans="1:23" hidden="1">
      <c r="A1828" s="22" t="s">
        <v>150</v>
      </c>
      <c r="B1828" s="23" t="s">
        <v>252</v>
      </c>
      <c r="C1828" s="28" t="s">
        <v>253</v>
      </c>
      <c r="D1828" s="23"/>
      <c r="H1828" s="104">
        <v>316.06217616999999</v>
      </c>
      <c r="I1828" s="104"/>
      <c r="J1828" s="104"/>
      <c r="K1828" s="67">
        <v>85.145931289999993</v>
      </c>
      <c r="O1828" s="94">
        <f t="shared" si="266"/>
        <v>2.4997725260087602</v>
      </c>
      <c r="P1828" s="45"/>
      <c r="Q1828" s="45"/>
      <c r="R1828" s="48">
        <f t="shared" si="267"/>
        <v>1.9301638999730837</v>
      </c>
      <c r="U1828" s="94">
        <v>2.4997725260087602</v>
      </c>
      <c r="V1828" s="105">
        <v>1.9301638999730837</v>
      </c>
      <c r="W1828" s="49">
        <f t="shared" si="268"/>
        <v>1.2867228898719119</v>
      </c>
    </row>
    <row r="1829" spans="1:23" hidden="1">
      <c r="A1829" s="22" t="s">
        <v>150</v>
      </c>
      <c r="B1829" s="23" t="s">
        <v>252</v>
      </c>
      <c r="C1829" s="28" t="s">
        <v>253</v>
      </c>
      <c r="D1829" s="23"/>
      <c r="H1829" s="104">
        <v>401.55440414999998</v>
      </c>
      <c r="I1829" s="104"/>
      <c r="J1829" s="104"/>
      <c r="K1829" s="67">
        <v>113.29423613</v>
      </c>
      <c r="O1829" s="94">
        <f t="shared" si="266"/>
        <v>2.60374439350386</v>
      </c>
      <c r="P1829" s="45"/>
      <c r="Q1829" s="45"/>
      <c r="R1829" s="48">
        <f t="shared" si="267"/>
        <v>2.0542078155949932</v>
      </c>
      <c r="U1829" s="94">
        <v>2.60374439350386</v>
      </c>
      <c r="V1829" s="105">
        <v>2.0542078155949932</v>
      </c>
      <c r="W1829" s="49">
        <f t="shared" si="268"/>
        <v>1.1372552667374498</v>
      </c>
    </row>
    <row r="1830" spans="1:23" hidden="1">
      <c r="A1830" s="22" t="s">
        <v>150</v>
      </c>
      <c r="B1830" s="23" t="s">
        <v>252</v>
      </c>
      <c r="C1830" s="28" t="s">
        <v>253</v>
      </c>
      <c r="D1830" s="23"/>
      <c r="H1830" s="104">
        <v>492.22797926999999</v>
      </c>
      <c r="I1830" s="104"/>
      <c r="J1830" s="104"/>
      <c r="K1830" s="67">
        <v>118.3192818</v>
      </c>
      <c r="O1830" s="94">
        <f t="shared" si="266"/>
        <v>2.6921662962770054</v>
      </c>
      <c r="P1830" s="45"/>
      <c r="Q1830" s="45"/>
      <c r="R1830" s="48">
        <f t="shared" si="267"/>
        <v>2.0730555248221392</v>
      </c>
      <c r="U1830" s="94">
        <v>2.6921662962770054</v>
      </c>
      <c r="V1830" s="105">
        <v>2.0730555248221392</v>
      </c>
      <c r="W1830" s="49">
        <f t="shared" si="268"/>
        <v>1.0927919018463099</v>
      </c>
    </row>
    <row r="1831" spans="1:23" hidden="1">
      <c r="A1831" s="22" t="s">
        <v>150</v>
      </c>
      <c r="B1831" s="23" t="s">
        <v>252</v>
      </c>
      <c r="C1831" s="28" t="s">
        <v>253</v>
      </c>
      <c r="D1831" s="23"/>
      <c r="H1831" s="104">
        <v>393.78238341999997</v>
      </c>
      <c r="I1831" s="104"/>
      <c r="J1831" s="104"/>
      <c r="K1831" s="67">
        <v>144.3664081</v>
      </c>
      <c r="O1831" s="94">
        <f t="shared" si="266"/>
        <v>2.5952562832733603</v>
      </c>
      <c r="P1831" s="45"/>
      <c r="Q1831" s="45"/>
      <c r="R1831" s="48">
        <f t="shared" si="267"/>
        <v>2.159466151170117</v>
      </c>
      <c r="U1831" s="94">
        <v>2.5952562832733603</v>
      </c>
      <c r="V1831" s="105">
        <v>2.159466151170117</v>
      </c>
      <c r="W1831" s="49">
        <f t="shared" si="268"/>
        <v>1.0393917382538858</v>
      </c>
    </row>
    <row r="1832" spans="1:23" hidden="1">
      <c r="A1832" s="22" t="s">
        <v>150</v>
      </c>
      <c r="B1832" s="23" t="s">
        <v>252</v>
      </c>
      <c r="C1832" s="28" t="s">
        <v>253</v>
      </c>
      <c r="D1832" s="23"/>
      <c r="H1832" s="104">
        <v>321.24352332000001</v>
      </c>
      <c r="I1832" s="104"/>
      <c r="J1832" s="104"/>
      <c r="K1832" s="67">
        <v>190.63538890000001</v>
      </c>
      <c r="O1832" s="94">
        <f t="shared" si="266"/>
        <v>2.5068343804958038</v>
      </c>
      <c r="P1832" s="45"/>
      <c r="Q1832" s="45"/>
      <c r="R1832" s="48">
        <f t="shared" si="267"/>
        <v>2.2802035247249686</v>
      </c>
      <c r="U1832" s="94">
        <v>2.5068343804958038</v>
      </c>
      <c r="V1832" s="105">
        <v>2.2802035247249686</v>
      </c>
      <c r="W1832" s="49">
        <f t="shared" si="268"/>
        <v>0.95070489268059899</v>
      </c>
    </row>
    <row r="1833" spans="1:23" hidden="1">
      <c r="A1833" s="22" t="s">
        <v>150</v>
      </c>
      <c r="B1833" s="23" t="s">
        <v>252</v>
      </c>
      <c r="C1833" s="28" t="s">
        <v>253</v>
      </c>
      <c r="D1833" s="23"/>
      <c r="H1833" s="104">
        <v>181.34715026000001</v>
      </c>
      <c r="I1833" s="104"/>
      <c r="J1833" s="104"/>
      <c r="K1833" s="67">
        <v>200.07899308</v>
      </c>
      <c r="O1833" s="94">
        <f t="shared" si="266"/>
        <v>2.2585107353447356</v>
      </c>
      <c r="P1833" s="45"/>
      <c r="Q1833" s="45"/>
      <c r="R1833" s="48">
        <f t="shared" si="267"/>
        <v>2.3012014930921976</v>
      </c>
      <c r="U1833" s="94">
        <v>2.2585107353447356</v>
      </c>
      <c r="V1833" s="105">
        <v>2.3012014930921976</v>
      </c>
      <c r="W1833" s="49">
        <f t="shared" si="268"/>
        <v>1.005053971139515</v>
      </c>
    </row>
    <row r="1834" spans="1:23" hidden="1">
      <c r="A1834" s="22" t="s">
        <v>150</v>
      </c>
      <c r="B1834" s="23" t="s">
        <v>252</v>
      </c>
      <c r="C1834" s="28" t="s">
        <v>253</v>
      </c>
      <c r="D1834" s="23"/>
      <c r="H1834" s="104">
        <v>787.56476683999995</v>
      </c>
      <c r="I1834" s="104"/>
      <c r="J1834" s="104"/>
      <c r="K1834" s="67">
        <v>116.04495493</v>
      </c>
      <c r="O1834" s="94">
        <f t="shared" si="266"/>
        <v>2.8962862789373416</v>
      </c>
      <c r="P1834" s="45"/>
      <c r="Q1834" s="45"/>
      <c r="R1834" s="48">
        <f t="shared" si="267"/>
        <v>2.064626264191427</v>
      </c>
      <c r="U1834" s="94">
        <v>2.8962862789373416</v>
      </c>
      <c r="V1834" s="105">
        <v>2.064626264191427</v>
      </c>
      <c r="W1834" s="49">
        <f t="shared" si="268"/>
        <v>1.0396936174036022</v>
      </c>
    </row>
    <row r="1835" spans="1:23" hidden="1">
      <c r="A1835" s="22" t="s">
        <v>150</v>
      </c>
      <c r="B1835" s="23" t="s">
        <v>252</v>
      </c>
      <c r="C1835" s="28" t="s">
        <v>253</v>
      </c>
      <c r="D1835" s="23"/>
      <c r="H1835" s="104">
        <v>1137.3056994799999</v>
      </c>
      <c r="I1835" s="104"/>
      <c r="J1835" s="104"/>
      <c r="K1835" s="67">
        <v>117.36369014</v>
      </c>
      <c r="O1835" s="94">
        <f t="shared" si="266"/>
        <v>3.0558772155696543</v>
      </c>
      <c r="P1835" s="45"/>
      <c r="Q1835" s="45"/>
      <c r="R1835" s="48">
        <f t="shared" si="267"/>
        <v>2.0695337561031595</v>
      </c>
      <c r="U1835" s="94">
        <v>3.0558772155696543</v>
      </c>
      <c r="V1835" s="105">
        <v>2.0695337561031595</v>
      </c>
      <c r="W1835" s="49">
        <f t="shared" si="268"/>
        <v>0.98721094941058174</v>
      </c>
    </row>
    <row r="1836" spans="1:23" hidden="1">
      <c r="A1836" s="22" t="s">
        <v>150</v>
      </c>
      <c r="B1836" s="23" t="s">
        <v>252</v>
      </c>
      <c r="C1836" s="28" t="s">
        <v>254</v>
      </c>
      <c r="D1836" s="23"/>
      <c r="H1836" s="104">
        <v>7.7720207300000004</v>
      </c>
      <c r="I1836" s="104"/>
      <c r="J1836" s="104"/>
      <c r="K1836" s="67">
        <v>1.4602184499999999</v>
      </c>
      <c r="O1836" s="94">
        <f t="shared" si="266"/>
        <v>0.89053395030558891</v>
      </c>
      <c r="P1836" s="45"/>
      <c r="Q1836" s="45"/>
      <c r="R1836" s="48">
        <f t="shared" si="267"/>
        <v>0.16441783149181866</v>
      </c>
      <c r="U1836" s="94">
        <v>0.89053395030558891</v>
      </c>
      <c r="V1836" s="105">
        <v>0.16441783149181866</v>
      </c>
      <c r="W1836" s="49">
        <f t="shared" si="268"/>
        <v>3.4530746052882528</v>
      </c>
    </row>
    <row r="1837" spans="1:23" hidden="1">
      <c r="A1837" s="22" t="s">
        <v>150</v>
      </c>
      <c r="B1837" s="23" t="s">
        <v>252</v>
      </c>
      <c r="C1837" s="28" t="s">
        <v>254</v>
      </c>
      <c r="D1837" s="23"/>
      <c r="H1837" s="104">
        <v>44.041450779999998</v>
      </c>
      <c r="I1837" s="104"/>
      <c r="J1837" s="104"/>
      <c r="K1837" s="67">
        <v>7.2949152899999996</v>
      </c>
      <c r="O1837" s="94">
        <f t="shared" si="266"/>
        <v>1.6438616167341094</v>
      </c>
      <c r="P1837" s="45"/>
      <c r="Q1837" s="45"/>
      <c r="R1837" s="48">
        <f t="shared" si="267"/>
        <v>0.86302025314528097</v>
      </c>
      <c r="U1837" s="94">
        <v>1.6438616167341094</v>
      </c>
      <c r="V1837" s="105">
        <v>0.86302025314528097</v>
      </c>
      <c r="W1837" s="49">
        <f t="shared" si="268"/>
        <v>2.5610375873170792</v>
      </c>
    </row>
    <row r="1838" spans="1:23" hidden="1">
      <c r="A1838" s="22" t="s">
        <v>150</v>
      </c>
      <c r="B1838" s="23" t="s">
        <v>252</v>
      </c>
      <c r="C1838" s="28" t="s">
        <v>254</v>
      </c>
      <c r="D1838" s="23"/>
      <c r="H1838" s="104">
        <v>62.1761658</v>
      </c>
      <c r="I1838" s="104"/>
      <c r="J1838" s="104"/>
      <c r="K1838" s="67">
        <v>21.177175989999999</v>
      </c>
      <c r="O1838" s="94">
        <f t="shared" si="266"/>
        <v>1.7936239370181364</v>
      </c>
      <c r="P1838" s="45"/>
      <c r="Q1838" s="45"/>
      <c r="R1838" s="48">
        <f t="shared" si="267"/>
        <v>1.3258680457747305</v>
      </c>
      <c r="U1838" s="94">
        <v>1.7936239370181364</v>
      </c>
      <c r="V1838" s="105">
        <v>1.3258680457747305</v>
      </c>
      <c r="W1838" s="49">
        <f t="shared" si="268"/>
        <v>2.074669578849702</v>
      </c>
    </row>
    <row r="1839" spans="1:23" hidden="1">
      <c r="A1839" s="22" t="s">
        <v>150</v>
      </c>
      <c r="B1839" s="23" t="s">
        <v>252</v>
      </c>
      <c r="C1839" s="28" t="s">
        <v>254</v>
      </c>
      <c r="D1839" s="23"/>
      <c r="H1839" s="104">
        <v>98.445595850000004</v>
      </c>
      <c r="I1839" s="104"/>
      <c r="J1839" s="104"/>
      <c r="K1839" s="67">
        <v>21.163919620000001</v>
      </c>
      <c r="O1839" s="94">
        <f t="shared" si="266"/>
        <v>1.9931962919233406</v>
      </c>
      <c r="P1839" s="45"/>
      <c r="Q1839" s="45"/>
      <c r="R1839" s="48">
        <f t="shared" si="267"/>
        <v>1.3255961034243384</v>
      </c>
      <c r="U1839" s="94">
        <v>1.9931962919233406</v>
      </c>
      <c r="V1839" s="105">
        <v>1.3255961034243384</v>
      </c>
      <c r="W1839" s="49">
        <f t="shared" si="268"/>
        <v>2.0151521548837019</v>
      </c>
    </row>
    <row r="1840" spans="1:23" hidden="1">
      <c r="A1840" s="22" t="s">
        <v>150</v>
      </c>
      <c r="B1840" s="23" t="s">
        <v>252</v>
      </c>
      <c r="C1840" s="28" t="s">
        <v>254</v>
      </c>
      <c r="D1840" s="23"/>
      <c r="H1840" s="104">
        <v>261.65803109000001</v>
      </c>
      <c r="I1840" s="104"/>
      <c r="J1840" s="104"/>
      <c r="K1840" s="67">
        <v>11.601341980000001</v>
      </c>
      <c r="O1840" s="94">
        <f t="shared" si="266"/>
        <v>2.4177340691140694</v>
      </c>
      <c r="P1840" s="45"/>
      <c r="Q1840" s="45"/>
      <c r="R1840" s="48">
        <f t="shared" si="267"/>
        <v>1.0645082289509809</v>
      </c>
      <c r="U1840" s="94">
        <v>2.4177340691140694</v>
      </c>
      <c r="V1840" s="105">
        <v>1.0645082289509809</v>
      </c>
      <c r="W1840" s="49">
        <f t="shared" si="268"/>
        <v>2.1370443704458952</v>
      </c>
    </row>
    <row r="1841" spans="1:23" hidden="1">
      <c r="A1841" s="22" t="s">
        <v>150</v>
      </c>
      <c r="B1841" s="23" t="s">
        <v>252</v>
      </c>
      <c r="C1841" s="28" t="s">
        <v>254</v>
      </c>
      <c r="D1841" s="23"/>
      <c r="H1841" s="104">
        <v>46.632124349999998</v>
      </c>
      <c r="I1841" s="104"/>
      <c r="J1841" s="104"/>
      <c r="K1841" s="67">
        <v>51.884611679999999</v>
      </c>
      <c r="O1841" s="94">
        <f t="shared" si="266"/>
        <v>1.6686852004098365</v>
      </c>
      <c r="P1841" s="45"/>
      <c r="Q1841" s="45"/>
      <c r="R1841" s="48">
        <f t="shared" si="267"/>
        <v>1.7150385706920084</v>
      </c>
      <c r="U1841" s="94">
        <v>1.6686852004098365</v>
      </c>
      <c r="V1841" s="105">
        <v>1.7150385706920084</v>
      </c>
      <c r="W1841" s="49">
        <f t="shared" si="268"/>
        <v>1.7408620402382171</v>
      </c>
    </row>
    <row r="1842" spans="1:23" hidden="1">
      <c r="A1842" s="22" t="s">
        <v>150</v>
      </c>
      <c r="B1842" s="23" t="s">
        <v>252</v>
      </c>
      <c r="C1842" s="28" t="s">
        <v>254</v>
      </c>
      <c r="D1842" s="23"/>
      <c r="H1842" s="104">
        <v>82.901554399999995</v>
      </c>
      <c r="I1842" s="104"/>
      <c r="J1842" s="104"/>
      <c r="K1842" s="67">
        <v>51.140361159999998</v>
      </c>
      <c r="O1842" s="94">
        <f t="shared" si="266"/>
        <v>1.9185626736264363</v>
      </c>
      <c r="P1842" s="45"/>
      <c r="Q1842" s="45"/>
      <c r="R1842" s="48">
        <f t="shared" si="267"/>
        <v>1.7087637907462656</v>
      </c>
      <c r="U1842" s="94">
        <v>1.9185626736264363</v>
      </c>
      <c r="V1842" s="105">
        <v>1.7087637907462656</v>
      </c>
      <c r="W1842" s="49">
        <f t="shared" si="268"/>
        <v>1.6720031026142483</v>
      </c>
    </row>
    <row r="1843" spans="1:23" hidden="1">
      <c r="A1843" s="22" t="s">
        <v>150</v>
      </c>
      <c r="B1843" s="23" t="s">
        <v>252</v>
      </c>
      <c r="C1843" s="28" t="s">
        <v>254</v>
      </c>
      <c r="D1843" s="23"/>
      <c r="H1843" s="104">
        <v>103.62694301000001</v>
      </c>
      <c r="I1843" s="104"/>
      <c r="J1843" s="104"/>
      <c r="K1843" s="67">
        <v>44.553838720000002</v>
      </c>
      <c r="O1843" s="94">
        <f t="shared" si="266"/>
        <v>2.0154726866764023</v>
      </c>
      <c r="P1843" s="45"/>
      <c r="Q1843" s="45"/>
      <c r="R1843" s="48">
        <f t="shared" si="267"/>
        <v>1.6488851284198536</v>
      </c>
      <c r="U1843" s="94">
        <v>2.0154726866764023</v>
      </c>
      <c r="V1843" s="105">
        <v>1.6488851284198536</v>
      </c>
      <c r="W1843" s="49">
        <f t="shared" si="268"/>
        <v>1.7000944257126267</v>
      </c>
    </row>
    <row r="1844" spans="1:23" hidden="1">
      <c r="A1844" s="22" t="s">
        <v>150</v>
      </c>
      <c r="B1844" s="23" t="s">
        <v>252</v>
      </c>
      <c r="C1844" s="28" t="s">
        <v>254</v>
      </c>
      <c r="D1844" s="23"/>
      <c r="H1844" s="104">
        <v>165.80310881</v>
      </c>
      <c r="I1844" s="104"/>
      <c r="J1844" s="104"/>
      <c r="K1844" s="67">
        <v>32.835207080000004</v>
      </c>
      <c r="O1844" s="94">
        <f t="shared" si="266"/>
        <v>2.219592669316611</v>
      </c>
      <c r="P1844" s="45"/>
      <c r="Q1844" s="45"/>
      <c r="R1844" s="48">
        <f t="shared" si="267"/>
        <v>1.5163397595734447</v>
      </c>
      <c r="U1844" s="94">
        <v>2.219592669316611</v>
      </c>
      <c r="V1844" s="105">
        <v>1.5163397595734447</v>
      </c>
      <c r="W1844" s="49">
        <f t="shared" si="268"/>
        <v>1.7653904969029011</v>
      </c>
    </row>
    <row r="1845" spans="1:23" hidden="1">
      <c r="A1845" s="22" t="s">
        <v>150</v>
      </c>
      <c r="B1845" s="23" t="s">
        <v>252</v>
      </c>
      <c r="C1845" s="28" t="s">
        <v>254</v>
      </c>
      <c r="D1845" s="23"/>
      <c r="H1845" s="104">
        <v>194.30051813</v>
      </c>
      <c r="I1845" s="104"/>
      <c r="J1845" s="104"/>
      <c r="K1845" s="67">
        <v>31.362803060000001</v>
      </c>
      <c r="O1845" s="94">
        <f t="shared" si="266"/>
        <v>2.2884739587094063</v>
      </c>
      <c r="P1845" s="45"/>
      <c r="Q1845" s="45"/>
      <c r="R1845" s="48">
        <f t="shared" si="267"/>
        <v>1.4964148709476099</v>
      </c>
      <c r="U1845" s="94">
        <v>2.2884739587094063</v>
      </c>
      <c r="V1845" s="105">
        <v>1.4964148709476099</v>
      </c>
      <c r="W1845" s="49">
        <f t="shared" si="268"/>
        <v>1.7637652075102235</v>
      </c>
    </row>
    <row r="1846" spans="1:23" hidden="1">
      <c r="A1846" s="22" t="s">
        <v>150</v>
      </c>
      <c r="B1846" s="23" t="s">
        <v>252</v>
      </c>
      <c r="C1846" s="28" t="s">
        <v>254</v>
      </c>
      <c r="D1846" s="23"/>
      <c r="H1846" s="104">
        <v>230.56994818999999</v>
      </c>
      <c r="I1846" s="104"/>
      <c r="J1846" s="104"/>
      <c r="K1846" s="67">
        <v>35.735511600000002</v>
      </c>
      <c r="O1846" s="94">
        <f t="shared" si="266"/>
        <v>2.3628027019796964</v>
      </c>
      <c r="P1846" s="45"/>
      <c r="Q1846" s="45"/>
      <c r="R1846" s="48">
        <f t="shared" si="267"/>
        <v>1.55310000396808</v>
      </c>
      <c r="U1846" s="94">
        <v>2.3628027019796964</v>
      </c>
      <c r="V1846" s="105">
        <v>1.55310000396808</v>
      </c>
      <c r="W1846" s="49">
        <f t="shared" si="268"/>
        <v>1.6874299720254606</v>
      </c>
    </row>
    <row r="1847" spans="1:23" hidden="1">
      <c r="A1847" s="22" t="s">
        <v>150</v>
      </c>
      <c r="B1847" s="23" t="s">
        <v>252</v>
      </c>
      <c r="C1847" s="28" t="s">
        <v>254</v>
      </c>
      <c r="D1847" s="23"/>
      <c r="H1847" s="104">
        <v>90.673575130000003</v>
      </c>
      <c r="I1847" s="104"/>
      <c r="J1847" s="104"/>
      <c r="K1847" s="67">
        <v>70.874362610000006</v>
      </c>
      <c r="O1847" s="94">
        <f t="shared" ref="O1847:O1910" si="269">LOG10(H1847)</f>
        <v>1.9574807396807543</v>
      </c>
      <c r="P1847" s="45"/>
      <c r="Q1847" s="45"/>
      <c r="R1847" s="48">
        <f t="shared" ref="R1847:R1910" si="270">LOG10(K1847)</f>
        <v>1.8504891662049554</v>
      </c>
      <c r="U1847" s="94">
        <v>1.9574807396807543</v>
      </c>
      <c r="V1847" s="105">
        <v>1.8504891662049554</v>
      </c>
      <c r="W1847" s="49">
        <f t="shared" si="268"/>
        <v>1.5251543487965107</v>
      </c>
    </row>
    <row r="1848" spans="1:23" hidden="1">
      <c r="A1848" s="22" t="s">
        <v>150</v>
      </c>
      <c r="B1848" s="23" t="s">
        <v>252</v>
      </c>
      <c r="C1848" s="28" t="s">
        <v>254</v>
      </c>
      <c r="D1848" s="23"/>
      <c r="H1848" s="104">
        <v>145.07772021</v>
      </c>
      <c r="I1848" s="104"/>
      <c r="J1848" s="104"/>
      <c r="K1848" s="67">
        <v>75.971437120000004</v>
      </c>
      <c r="O1848" s="94">
        <f t="shared" si="269"/>
        <v>2.1616007223426661</v>
      </c>
      <c r="P1848" s="45"/>
      <c r="Q1848" s="45"/>
      <c r="R1848" s="48">
        <f t="shared" si="270"/>
        <v>1.8806503418496261</v>
      </c>
      <c r="U1848" s="94">
        <v>2.1616007223426661</v>
      </c>
      <c r="V1848" s="105">
        <v>1.8806503418496261</v>
      </c>
      <c r="W1848" s="49">
        <f t="shared" si="268"/>
        <v>1.4352446471902434</v>
      </c>
    </row>
    <row r="1849" spans="1:23" hidden="1">
      <c r="A1849" s="22" t="s">
        <v>150</v>
      </c>
      <c r="B1849" s="23" t="s">
        <v>252</v>
      </c>
      <c r="C1849" s="28" t="s">
        <v>254</v>
      </c>
      <c r="D1849" s="23"/>
      <c r="H1849" s="104">
        <v>158.03108807999999</v>
      </c>
      <c r="I1849" s="104"/>
      <c r="J1849" s="104"/>
      <c r="K1849" s="67">
        <v>89.124597440000002</v>
      </c>
      <c r="O1849" s="94">
        <f t="shared" si="269"/>
        <v>2.1987425303310379</v>
      </c>
      <c r="P1849" s="45"/>
      <c r="Q1849" s="45"/>
      <c r="R1849" s="48">
        <f t="shared" si="270"/>
        <v>1.9499975812332013</v>
      </c>
      <c r="U1849" s="94">
        <v>2.1987425303310379</v>
      </c>
      <c r="V1849" s="105">
        <v>1.9499975812332013</v>
      </c>
      <c r="W1849" s="49">
        <f t="shared" si="268"/>
        <v>1.3579694303612573</v>
      </c>
    </row>
    <row r="1850" spans="1:23" hidden="1">
      <c r="A1850" s="22" t="s">
        <v>150</v>
      </c>
      <c r="B1850" s="23" t="s">
        <v>252</v>
      </c>
      <c r="C1850" s="28" t="s">
        <v>254</v>
      </c>
      <c r="D1850" s="23"/>
      <c r="H1850" s="104">
        <v>230.56994818999999</v>
      </c>
      <c r="I1850" s="104"/>
      <c r="J1850" s="104"/>
      <c r="K1850" s="67">
        <v>45.969429730000002</v>
      </c>
      <c r="O1850" s="94">
        <f t="shared" si="269"/>
        <v>2.3628027019796964</v>
      </c>
      <c r="P1850" s="45"/>
      <c r="Q1850" s="45"/>
      <c r="R1850" s="48">
        <f t="shared" si="270"/>
        <v>1.6624691161790592</v>
      </c>
      <c r="U1850" s="94">
        <v>2.3628027019796964</v>
      </c>
      <c r="V1850" s="105">
        <v>1.6624691161790592</v>
      </c>
      <c r="W1850" s="49">
        <f t="shared" si="268"/>
        <v>1.5831027758874074</v>
      </c>
    </row>
    <row r="1851" spans="1:23" hidden="1">
      <c r="A1851" s="22" t="s">
        <v>150</v>
      </c>
      <c r="B1851" s="23" t="s">
        <v>252</v>
      </c>
      <c r="C1851" s="28" t="s">
        <v>254</v>
      </c>
      <c r="D1851" s="23"/>
      <c r="H1851" s="104">
        <v>300.51813471999998</v>
      </c>
      <c r="I1851" s="104"/>
      <c r="J1851" s="104"/>
      <c r="K1851" s="67">
        <v>56.908776150000001</v>
      </c>
      <c r="O1851" s="94">
        <f t="shared" si="269"/>
        <v>2.4778706845623519</v>
      </c>
      <c r="P1851" s="45"/>
      <c r="Q1851" s="45"/>
      <c r="R1851" s="48">
        <f t="shared" si="270"/>
        <v>1.7551792460016331</v>
      </c>
      <c r="U1851" s="94">
        <v>2.4778706845623519</v>
      </c>
      <c r="V1851" s="105">
        <v>1.7551792460016331</v>
      </c>
      <c r="W1851" s="49">
        <f t="shared" si="268"/>
        <v>1.4602008915937774</v>
      </c>
    </row>
    <row r="1852" spans="1:23" hidden="1">
      <c r="A1852" s="22" t="s">
        <v>150</v>
      </c>
      <c r="B1852" s="23" t="s">
        <v>252</v>
      </c>
      <c r="C1852" s="28" t="s">
        <v>254</v>
      </c>
      <c r="D1852" s="23"/>
      <c r="H1852" s="104">
        <v>329.01554404000001</v>
      </c>
      <c r="I1852" s="104"/>
      <c r="J1852" s="104"/>
      <c r="K1852" s="67">
        <v>57.629354579999998</v>
      </c>
      <c r="O1852" s="94">
        <f t="shared" si="269"/>
        <v>2.5172164162822868</v>
      </c>
      <c r="P1852" s="45"/>
      <c r="Q1852" s="45"/>
      <c r="R1852" s="48">
        <f t="shared" si="270"/>
        <v>1.7606437557272154</v>
      </c>
      <c r="U1852" s="94">
        <v>2.5172164162822868</v>
      </c>
      <c r="V1852" s="105">
        <v>1.7606437557272154</v>
      </c>
      <c r="W1852" s="49">
        <f t="shared" si="268"/>
        <v>1.4432032812114237</v>
      </c>
    </row>
    <row r="1853" spans="1:23" hidden="1">
      <c r="A1853" s="22" t="s">
        <v>150</v>
      </c>
      <c r="B1853" s="23" t="s">
        <v>252</v>
      </c>
      <c r="C1853" s="28" t="s">
        <v>254</v>
      </c>
      <c r="D1853" s="23"/>
      <c r="H1853" s="104">
        <v>318.65284974000002</v>
      </c>
      <c r="I1853" s="104"/>
      <c r="J1853" s="104"/>
      <c r="K1853" s="67">
        <v>45.937235690000001</v>
      </c>
      <c r="O1853" s="94">
        <f t="shared" si="269"/>
        <v>2.5033178067663719</v>
      </c>
      <c r="P1853" s="45"/>
      <c r="Q1853" s="45"/>
      <c r="R1853" s="48">
        <f t="shared" si="270"/>
        <v>1.6621648576265342</v>
      </c>
      <c r="U1853" s="94">
        <v>2.5033178067663719</v>
      </c>
      <c r="V1853" s="105">
        <v>1.6621648576265342</v>
      </c>
      <c r="W1853" s="49">
        <f t="shared" si="268"/>
        <v>1.5413052775654741</v>
      </c>
    </row>
    <row r="1854" spans="1:23" hidden="1">
      <c r="A1854" s="22" t="s">
        <v>150</v>
      </c>
      <c r="B1854" s="23" t="s">
        <v>252</v>
      </c>
      <c r="C1854" s="28" t="s">
        <v>254</v>
      </c>
      <c r="D1854" s="23"/>
      <c r="H1854" s="104">
        <v>378.23834197000002</v>
      </c>
      <c r="I1854" s="104"/>
      <c r="J1854" s="104"/>
      <c r="K1854" s="67">
        <v>52.494404729999999</v>
      </c>
      <c r="O1854" s="94">
        <f t="shared" si="269"/>
        <v>2.5777655511139317</v>
      </c>
      <c r="P1854" s="45"/>
      <c r="Q1854" s="45"/>
      <c r="R1854" s="48">
        <f t="shared" si="270"/>
        <v>1.7201130153224289</v>
      </c>
      <c r="U1854" s="94">
        <v>2.5777655511139317</v>
      </c>
      <c r="V1854" s="105">
        <v>1.7201130153224289</v>
      </c>
      <c r="W1854" s="49">
        <f t="shared" si="268"/>
        <v>1.4637295990927552</v>
      </c>
    </row>
    <row r="1855" spans="1:23" hidden="1">
      <c r="A1855" s="22" t="s">
        <v>150</v>
      </c>
      <c r="B1855" s="23" t="s">
        <v>252</v>
      </c>
      <c r="C1855" s="28" t="s">
        <v>254</v>
      </c>
      <c r="D1855" s="23"/>
      <c r="H1855" s="104">
        <v>367.87564766999998</v>
      </c>
      <c r="I1855" s="104"/>
      <c r="J1855" s="104"/>
      <c r="K1855" s="67">
        <v>76.620999280000007</v>
      </c>
      <c r="O1855" s="94">
        <f t="shared" si="269"/>
        <v>2.5657010397131979</v>
      </c>
      <c r="P1855" s="45"/>
      <c r="Q1855" s="45"/>
      <c r="R1855" s="48">
        <f t="shared" si="270"/>
        <v>1.8843478116898664</v>
      </c>
      <c r="U1855" s="94">
        <v>2.5657010397131979</v>
      </c>
      <c r="V1855" s="105">
        <v>1.8843478116898664</v>
      </c>
      <c r="W1855" s="49">
        <f t="shared" ref="W1855:W1918" si="271">0.9539*(4.064-0.314*U1855-V1855)</f>
        <v>1.3106796447893567</v>
      </c>
    </row>
    <row r="1856" spans="1:23" hidden="1">
      <c r="A1856" s="22" t="s">
        <v>150</v>
      </c>
      <c r="B1856" s="23" t="s">
        <v>252</v>
      </c>
      <c r="C1856" s="28" t="s">
        <v>254</v>
      </c>
      <c r="D1856" s="23"/>
      <c r="H1856" s="104">
        <v>93.264248699999996</v>
      </c>
      <c r="I1856" s="104"/>
      <c r="J1856" s="104"/>
      <c r="K1856" s="67">
        <v>105.23014087999999</v>
      </c>
      <c r="O1856" s="94">
        <f t="shared" si="269"/>
        <v>1.9697151960738175</v>
      </c>
      <c r="P1856" s="45"/>
      <c r="Q1856" s="45"/>
      <c r="R1856" s="48">
        <f t="shared" si="270"/>
        <v>2.0221401518235145</v>
      </c>
      <c r="U1856" s="94">
        <v>1.9697151960738175</v>
      </c>
      <c r="V1856" s="105">
        <v>2.0221401518235145</v>
      </c>
      <c r="W1856" s="49">
        <f t="shared" si="271"/>
        <v>1.3577519529576176</v>
      </c>
    </row>
    <row r="1857" spans="1:23" hidden="1">
      <c r="A1857" s="22" t="s">
        <v>150</v>
      </c>
      <c r="B1857" s="23" t="s">
        <v>252</v>
      </c>
      <c r="C1857" s="28" t="s">
        <v>254</v>
      </c>
      <c r="D1857" s="23"/>
      <c r="H1857" s="104">
        <v>152.84974093</v>
      </c>
      <c r="I1857" s="104"/>
      <c r="J1857" s="104"/>
      <c r="K1857" s="67">
        <v>111.05631577</v>
      </c>
      <c r="O1857" s="94">
        <f t="shared" si="269"/>
        <v>2.1842647069628809</v>
      </c>
      <c r="P1857" s="45"/>
      <c r="Q1857" s="45"/>
      <c r="R1857" s="48">
        <f t="shared" si="270"/>
        <v>2.0455432619035299</v>
      </c>
      <c r="U1857" s="94">
        <v>2.1842647069628809</v>
      </c>
      <c r="V1857" s="105">
        <v>2.0455432619035299</v>
      </c>
      <c r="W1857" s="49">
        <f t="shared" si="271"/>
        <v>1.2711648698230489</v>
      </c>
    </row>
    <row r="1858" spans="1:23" hidden="1">
      <c r="A1858" s="22" t="s">
        <v>150</v>
      </c>
      <c r="B1858" s="23" t="s">
        <v>252</v>
      </c>
      <c r="C1858" s="28" t="s">
        <v>254</v>
      </c>
      <c r="D1858" s="23"/>
      <c r="H1858" s="104">
        <v>155.44041451000001</v>
      </c>
      <c r="I1858" s="104"/>
      <c r="J1858" s="104"/>
      <c r="K1858" s="67">
        <v>105.20741567</v>
      </c>
      <c r="O1858" s="94">
        <f t="shared" si="269"/>
        <v>2.1915639457181135</v>
      </c>
      <c r="P1858" s="45"/>
      <c r="Q1858" s="45"/>
      <c r="R1858" s="48">
        <f t="shared" si="270"/>
        <v>2.0220463526604444</v>
      </c>
      <c r="U1858" s="94">
        <v>2.1915639457181135</v>
      </c>
      <c r="V1858" s="105">
        <v>2.0220463526604444</v>
      </c>
      <c r="W1858" s="49">
        <f t="shared" si="271"/>
        <v>1.2913922699815621</v>
      </c>
    </row>
    <row r="1859" spans="1:23" hidden="1">
      <c r="A1859" s="22" t="s">
        <v>150</v>
      </c>
      <c r="B1859" s="23" t="s">
        <v>252</v>
      </c>
      <c r="C1859" s="28" t="s">
        <v>254</v>
      </c>
      <c r="D1859" s="23"/>
      <c r="H1859" s="104">
        <v>173.57512953</v>
      </c>
      <c r="I1859" s="104"/>
      <c r="J1859" s="104"/>
      <c r="K1859" s="67">
        <v>130.05458865</v>
      </c>
      <c r="O1859" s="94">
        <f t="shared" si="269"/>
        <v>2.2394874980198671</v>
      </c>
      <c r="P1859" s="45"/>
      <c r="Q1859" s="45"/>
      <c r="R1859" s="48">
        <f t="shared" si="270"/>
        <v>2.1141256797938528</v>
      </c>
      <c r="U1859" s="94">
        <v>2.2394874980198671</v>
      </c>
      <c r="V1859" s="105">
        <v>2.1141256797938528</v>
      </c>
      <c r="W1859" s="49">
        <f t="shared" si="271"/>
        <v>1.1892035169952422</v>
      </c>
    </row>
    <row r="1860" spans="1:23" hidden="1">
      <c r="A1860" s="22" t="s">
        <v>150</v>
      </c>
      <c r="B1860" s="23" t="s">
        <v>252</v>
      </c>
      <c r="C1860" s="28" t="s">
        <v>254</v>
      </c>
      <c r="D1860" s="23"/>
      <c r="H1860" s="104">
        <v>194.30051813</v>
      </c>
      <c r="I1860" s="104"/>
      <c r="J1860" s="104"/>
      <c r="K1860" s="67">
        <v>119.08210130000001</v>
      </c>
      <c r="O1860" s="94">
        <f t="shared" si="269"/>
        <v>2.2884739587094063</v>
      </c>
      <c r="P1860" s="45"/>
      <c r="Q1860" s="45"/>
      <c r="R1860" s="48">
        <f t="shared" si="270"/>
        <v>2.0758464895197255</v>
      </c>
      <c r="U1860" s="94">
        <v>2.2884739587094063</v>
      </c>
      <c r="V1860" s="105">
        <v>2.0758464895197255</v>
      </c>
      <c r="W1860" s="49">
        <f t="shared" si="271"/>
        <v>1.2110453865542825</v>
      </c>
    </row>
    <row r="1861" spans="1:23" hidden="1">
      <c r="A1861" s="22" t="s">
        <v>150</v>
      </c>
      <c r="B1861" s="23" t="s">
        <v>252</v>
      </c>
      <c r="C1861" s="28" t="s">
        <v>254</v>
      </c>
      <c r="D1861" s="23"/>
      <c r="H1861" s="104">
        <v>217.61658030999999</v>
      </c>
      <c r="I1861" s="104"/>
      <c r="J1861" s="104"/>
      <c r="K1861" s="67">
        <v>113.95662029</v>
      </c>
      <c r="O1861" s="94">
        <f t="shared" si="269"/>
        <v>2.3376919813883688</v>
      </c>
      <c r="P1861" s="45"/>
      <c r="Q1861" s="45"/>
      <c r="R1861" s="48">
        <f t="shared" si="270"/>
        <v>2.0567395605115517</v>
      </c>
      <c r="U1861" s="94">
        <v>2.3376919813883688</v>
      </c>
      <c r="V1861" s="105">
        <v>2.0567395605115517</v>
      </c>
      <c r="W1861" s="49">
        <f t="shared" si="271"/>
        <v>1.2145294775794722</v>
      </c>
    </row>
    <row r="1862" spans="1:23" hidden="1">
      <c r="A1862" s="22" t="s">
        <v>150</v>
      </c>
      <c r="B1862" s="23" t="s">
        <v>252</v>
      </c>
      <c r="C1862" s="28" t="s">
        <v>254</v>
      </c>
      <c r="D1862" s="23"/>
      <c r="H1862" s="104">
        <v>202.07253886000001</v>
      </c>
      <c r="I1862" s="104"/>
      <c r="J1862" s="104"/>
      <c r="K1862" s="67">
        <v>103.72838346</v>
      </c>
      <c r="O1862" s="94">
        <f t="shared" si="269"/>
        <v>2.3055072980185027</v>
      </c>
      <c r="P1862" s="45"/>
      <c r="Q1862" s="45"/>
      <c r="R1862" s="48">
        <f t="shared" si="270"/>
        <v>2.0158976097487078</v>
      </c>
      <c r="U1862" s="94">
        <v>2.3055072980185027</v>
      </c>
      <c r="V1862" s="105">
        <v>2.0158976097487078</v>
      </c>
      <c r="W1862" s="49">
        <f t="shared" si="271"/>
        <v>1.2631287188246347</v>
      </c>
    </row>
    <row r="1863" spans="1:23" hidden="1">
      <c r="A1863" s="22" t="s">
        <v>150</v>
      </c>
      <c r="B1863" s="23" t="s">
        <v>252</v>
      </c>
      <c r="C1863" s="28" t="s">
        <v>254</v>
      </c>
      <c r="D1863" s="23"/>
      <c r="H1863" s="104">
        <v>126.94300518</v>
      </c>
      <c r="I1863" s="104"/>
      <c r="J1863" s="104"/>
      <c r="K1863" s="67">
        <v>59.896193959999998</v>
      </c>
      <c r="O1863" s="94">
        <f t="shared" si="269"/>
        <v>2.10360877535215</v>
      </c>
      <c r="P1863" s="45"/>
      <c r="Q1863" s="45"/>
      <c r="R1863" s="48">
        <f t="shared" si="270"/>
        <v>1.7773992264847034</v>
      </c>
      <c r="U1863" s="94">
        <v>2.10360877535215</v>
      </c>
      <c r="V1863" s="105">
        <v>1.7773992264847034</v>
      </c>
      <c r="W1863" s="49">
        <f t="shared" si="271"/>
        <v>1.5511059008623989</v>
      </c>
    </row>
    <row r="1864" spans="1:23" hidden="1">
      <c r="A1864" s="22" t="s">
        <v>150</v>
      </c>
      <c r="B1864" s="23" t="s">
        <v>252</v>
      </c>
      <c r="C1864" s="28" t="s">
        <v>254</v>
      </c>
      <c r="D1864" s="23"/>
      <c r="H1864" s="104">
        <v>158.03108807999999</v>
      </c>
      <c r="I1864" s="104"/>
      <c r="J1864" s="104"/>
      <c r="K1864" s="67">
        <v>47.457930769999997</v>
      </c>
      <c r="O1864" s="94">
        <f t="shared" si="269"/>
        <v>2.1987425303310379</v>
      </c>
      <c r="P1864" s="45"/>
      <c r="Q1864" s="45"/>
      <c r="R1864" s="48">
        <f t="shared" si="270"/>
        <v>1.6763087984670388</v>
      </c>
      <c r="U1864" s="94">
        <v>2.1987425303310379</v>
      </c>
      <c r="V1864" s="105">
        <v>1.6763087984670388</v>
      </c>
      <c r="W1864" s="49">
        <f t="shared" si="271"/>
        <v>1.6190411602418997</v>
      </c>
    </row>
    <row r="1865" spans="1:23" hidden="1">
      <c r="A1865" s="22" t="s">
        <v>150</v>
      </c>
      <c r="B1865" s="23" t="s">
        <v>252</v>
      </c>
      <c r="C1865" s="28" t="s">
        <v>254</v>
      </c>
      <c r="D1865" s="23"/>
      <c r="H1865" s="104">
        <v>196.89119170999999</v>
      </c>
      <c r="I1865" s="104"/>
      <c r="J1865" s="104"/>
      <c r="K1865" s="67">
        <v>55.484663189999999</v>
      </c>
      <c r="O1865" s="94">
        <f t="shared" si="269"/>
        <v>2.2942262876093791</v>
      </c>
      <c r="P1865" s="45"/>
      <c r="Q1865" s="45"/>
      <c r="R1865" s="48">
        <f t="shared" si="270"/>
        <v>1.7441729540699413</v>
      </c>
      <c r="U1865" s="94">
        <v>2.2942262876093791</v>
      </c>
      <c r="V1865" s="105">
        <v>1.7441729540699413</v>
      </c>
      <c r="W1865" s="49">
        <f t="shared" si="271"/>
        <v>1.5257058080069987</v>
      </c>
    </row>
    <row r="1866" spans="1:23" hidden="1">
      <c r="A1866" s="22" t="s">
        <v>150</v>
      </c>
      <c r="B1866" s="23" t="s">
        <v>252</v>
      </c>
      <c r="C1866" s="28" t="s">
        <v>254</v>
      </c>
      <c r="D1866" s="23"/>
      <c r="H1866" s="104">
        <v>183.93782383000001</v>
      </c>
      <c r="I1866" s="104"/>
      <c r="J1866" s="104"/>
      <c r="K1866" s="67">
        <v>67.185304040000005</v>
      </c>
      <c r="O1866" s="94">
        <f t="shared" si="269"/>
        <v>2.2646710440374109</v>
      </c>
      <c r="P1866" s="45"/>
      <c r="Q1866" s="45"/>
      <c r="R1866" s="48">
        <f t="shared" si="270"/>
        <v>1.8272742868586411</v>
      </c>
      <c r="U1866" s="94">
        <v>2.2646710440374109</v>
      </c>
      <c r="V1866" s="105">
        <v>1.8272742868586411</v>
      </c>
      <c r="W1866" s="49">
        <f t="shared" si="271"/>
        <v>1.4552879691686542</v>
      </c>
    </row>
    <row r="1867" spans="1:23" hidden="1">
      <c r="A1867" s="22" t="s">
        <v>150</v>
      </c>
      <c r="B1867" s="23" t="s">
        <v>252</v>
      </c>
      <c r="C1867" s="28" t="s">
        <v>254</v>
      </c>
      <c r="D1867" s="23"/>
      <c r="H1867" s="104">
        <v>204.66321244</v>
      </c>
      <c r="I1867" s="104"/>
      <c r="J1867" s="104"/>
      <c r="K1867" s="67">
        <v>79.604629560000006</v>
      </c>
      <c r="O1867" s="94">
        <f t="shared" si="269"/>
        <v>2.3110397866288017</v>
      </c>
      <c r="P1867" s="45"/>
      <c r="Q1867" s="45"/>
      <c r="R1867" s="48">
        <f t="shared" si="270"/>
        <v>1.9009383257011814</v>
      </c>
      <c r="U1867" s="94">
        <v>2.3110397866288017</v>
      </c>
      <c r="V1867" s="105">
        <v>1.9009383257011814</v>
      </c>
      <c r="W1867" s="49">
        <f t="shared" si="271"/>
        <v>1.371131263439566</v>
      </c>
    </row>
    <row r="1868" spans="1:23" hidden="1">
      <c r="A1868" s="22" t="s">
        <v>150</v>
      </c>
      <c r="B1868" s="23" t="s">
        <v>252</v>
      </c>
      <c r="C1868" s="28" t="s">
        <v>254</v>
      </c>
      <c r="D1868" s="23"/>
      <c r="H1868" s="104">
        <v>222.79792746000001</v>
      </c>
      <c r="I1868" s="104"/>
      <c r="J1868" s="104"/>
      <c r="K1868" s="67">
        <v>74.481042310000007</v>
      </c>
      <c r="O1868" s="94">
        <f t="shared" si="269"/>
        <v>2.347911146569591</v>
      </c>
      <c r="P1868" s="45"/>
      <c r="Q1868" s="45"/>
      <c r="R1868" s="48">
        <f t="shared" si="270"/>
        <v>1.872045745662787</v>
      </c>
      <c r="U1868" s="94">
        <v>2.347911146569591</v>
      </c>
      <c r="V1868" s="105">
        <v>1.872045745662787</v>
      </c>
      <c r="W1868" s="49">
        <f t="shared" si="271"/>
        <v>1.3876480162004692</v>
      </c>
    </row>
    <row r="1869" spans="1:23" hidden="1">
      <c r="A1869" s="22" t="s">
        <v>150</v>
      </c>
      <c r="B1869" s="23" t="s">
        <v>252</v>
      </c>
      <c r="C1869" s="28" t="s">
        <v>254</v>
      </c>
      <c r="D1869" s="23"/>
      <c r="H1869" s="104">
        <v>243.52331606000001</v>
      </c>
      <c r="I1869" s="104"/>
      <c r="J1869" s="104"/>
      <c r="K1869" s="67">
        <v>60.584578350000001</v>
      </c>
      <c r="O1869" s="94">
        <f t="shared" si="269"/>
        <v>2.3865405489240628</v>
      </c>
      <c r="P1869" s="45"/>
      <c r="Q1869" s="45"/>
      <c r="R1869" s="48">
        <f t="shared" si="270"/>
        <v>1.7823620896803938</v>
      </c>
      <c r="U1869" s="94">
        <v>2.3865405489240628</v>
      </c>
      <c r="V1869" s="105">
        <v>1.7823620896803938</v>
      </c>
      <c r="W1869" s="49">
        <f t="shared" si="271"/>
        <v>1.4616267993536121</v>
      </c>
    </row>
    <row r="1870" spans="1:23" hidden="1">
      <c r="A1870" s="22" t="s">
        <v>150</v>
      </c>
      <c r="B1870" s="23" t="s">
        <v>252</v>
      </c>
      <c r="C1870" s="28" t="s">
        <v>254</v>
      </c>
      <c r="D1870" s="23"/>
      <c r="H1870" s="104">
        <v>284.97409326000002</v>
      </c>
      <c r="I1870" s="104"/>
      <c r="J1870" s="104"/>
      <c r="K1870" s="67">
        <v>72.26533465</v>
      </c>
      <c r="O1870" s="94">
        <f t="shared" si="269"/>
        <v>2.454805380479995</v>
      </c>
      <c r="P1870" s="45"/>
      <c r="Q1870" s="45"/>
      <c r="R1870" s="48">
        <f t="shared" si="270"/>
        <v>1.8589300181722468</v>
      </c>
      <c r="U1870" s="94">
        <v>2.454805380479995</v>
      </c>
      <c r="V1870" s="105">
        <v>1.8589300181722468</v>
      </c>
      <c r="W1870" s="49">
        <f t="shared" si="271"/>
        <v>1.3681416559993753</v>
      </c>
    </row>
    <row r="1871" spans="1:23" hidden="1">
      <c r="A1871" s="22" t="s">
        <v>150</v>
      </c>
      <c r="B1871" s="23" t="s">
        <v>252</v>
      </c>
      <c r="C1871" s="28" t="s">
        <v>254</v>
      </c>
      <c r="D1871" s="23"/>
      <c r="H1871" s="104">
        <v>251.29533678999999</v>
      </c>
      <c r="I1871" s="104"/>
      <c r="J1871" s="104"/>
      <c r="K1871" s="67">
        <v>90.552497939999995</v>
      </c>
      <c r="O1871" s="94">
        <f t="shared" si="269"/>
        <v>2.4001844295986987</v>
      </c>
      <c r="P1871" s="45"/>
      <c r="Q1871" s="45"/>
      <c r="R1871" s="48">
        <f t="shared" si="270"/>
        <v>1.9569004350652623</v>
      </c>
      <c r="U1871" s="94">
        <v>2.4001844295986987</v>
      </c>
      <c r="V1871" s="105">
        <v>1.9569004350652623</v>
      </c>
      <c r="W1871" s="49">
        <f t="shared" si="271"/>
        <v>1.2910479937894679</v>
      </c>
    </row>
    <row r="1872" spans="1:23" hidden="1">
      <c r="A1872" s="22" t="s">
        <v>150</v>
      </c>
      <c r="B1872" s="23" t="s">
        <v>252</v>
      </c>
      <c r="C1872" s="28" t="s">
        <v>254</v>
      </c>
      <c r="D1872" s="23"/>
      <c r="H1872" s="104">
        <v>204.66321244</v>
      </c>
      <c r="I1872" s="104"/>
      <c r="J1872" s="104"/>
      <c r="K1872" s="67">
        <v>89.838547689999999</v>
      </c>
      <c r="O1872" s="94">
        <f t="shared" si="269"/>
        <v>2.3110397866288017</v>
      </c>
      <c r="P1872" s="45"/>
      <c r="Q1872" s="45"/>
      <c r="R1872" s="48">
        <f t="shared" si="270"/>
        <v>1.9534627226020533</v>
      </c>
      <c r="U1872" s="94">
        <v>2.3110397866288017</v>
      </c>
      <c r="V1872" s="105">
        <v>1.9534627226020533</v>
      </c>
      <c r="W1872" s="49">
        <f t="shared" si="271"/>
        <v>1.3210282412358243</v>
      </c>
    </row>
    <row r="1873" spans="1:23" hidden="1">
      <c r="A1873" s="22" t="s">
        <v>150</v>
      </c>
      <c r="B1873" s="23" t="s">
        <v>252</v>
      </c>
      <c r="C1873" s="28" t="s">
        <v>254</v>
      </c>
      <c r="D1873" s="23"/>
      <c r="H1873" s="104">
        <v>303.10880829000001</v>
      </c>
      <c r="I1873" s="104"/>
      <c r="J1873" s="104"/>
      <c r="K1873" s="67">
        <v>86.878589500000004</v>
      </c>
      <c r="O1873" s="94">
        <f t="shared" si="269"/>
        <v>2.4815985570741841</v>
      </c>
      <c r="P1873" s="45"/>
      <c r="Q1873" s="45"/>
      <c r="R1873" s="48">
        <f t="shared" si="270"/>
        <v>1.9389127614006265</v>
      </c>
      <c r="U1873" s="94">
        <v>2.4815985570741841</v>
      </c>
      <c r="V1873" s="105">
        <v>1.9389127614006265</v>
      </c>
      <c r="W1873" s="49">
        <f t="shared" si="271"/>
        <v>1.2838209017317201</v>
      </c>
    </row>
    <row r="1874" spans="1:23" hidden="1">
      <c r="A1874" s="22" t="s">
        <v>150</v>
      </c>
      <c r="B1874" s="23" t="s">
        <v>252</v>
      </c>
      <c r="C1874" s="28" t="s">
        <v>254</v>
      </c>
      <c r="D1874" s="23"/>
      <c r="H1874" s="104">
        <v>279.79274611</v>
      </c>
      <c r="I1874" s="104"/>
      <c r="J1874" s="104"/>
      <c r="K1874" s="67">
        <v>102.23798865000001</v>
      </c>
      <c r="O1874" s="94">
        <f t="shared" si="269"/>
        <v>2.4468364508090019</v>
      </c>
      <c r="P1874" s="45"/>
      <c r="Q1874" s="45"/>
      <c r="R1874" s="48">
        <f t="shared" si="270"/>
        <v>2.0096122969293622</v>
      </c>
      <c r="U1874" s="94">
        <v>2.4468364508090019</v>
      </c>
      <c r="V1874" s="105">
        <v>2.0096122969293622</v>
      </c>
      <c r="W1874" s="49">
        <f t="shared" si="271"/>
        <v>1.2267927207650955</v>
      </c>
    </row>
    <row r="1875" spans="1:23" hidden="1">
      <c r="A1875" s="22" t="s">
        <v>150</v>
      </c>
      <c r="B1875" s="23" t="s">
        <v>252</v>
      </c>
      <c r="C1875" s="28" t="s">
        <v>254</v>
      </c>
      <c r="D1875" s="23"/>
      <c r="H1875" s="104">
        <v>326.42487046999997</v>
      </c>
      <c r="I1875" s="104"/>
      <c r="J1875" s="104"/>
      <c r="K1875" s="67">
        <v>116.10983363</v>
      </c>
      <c r="O1875" s="94">
        <f t="shared" si="269"/>
        <v>2.5137832404507026</v>
      </c>
      <c r="P1875" s="45"/>
      <c r="Q1875" s="45"/>
      <c r="R1875" s="48">
        <f t="shared" si="270"/>
        <v>2.0648690027738299</v>
      </c>
      <c r="U1875" s="94">
        <v>2.5137832404507026</v>
      </c>
      <c r="V1875" s="105">
        <v>2.0648690027738299</v>
      </c>
      <c r="W1875" s="49">
        <f t="shared" si="271"/>
        <v>1.1540311386713433</v>
      </c>
    </row>
    <row r="1876" spans="1:23" hidden="1">
      <c r="A1876" s="22" t="s">
        <v>150</v>
      </c>
      <c r="B1876" s="23" t="s">
        <v>252</v>
      </c>
      <c r="C1876" s="28" t="s">
        <v>254</v>
      </c>
      <c r="D1876" s="23"/>
      <c r="H1876" s="104">
        <v>329.01554404000001</v>
      </c>
      <c r="I1876" s="104"/>
      <c r="J1876" s="104"/>
      <c r="K1876" s="67">
        <v>99.296021249999995</v>
      </c>
      <c r="O1876" s="94">
        <f t="shared" si="269"/>
        <v>2.5172164162822868</v>
      </c>
      <c r="P1876" s="45"/>
      <c r="Q1876" s="45"/>
      <c r="R1876" s="48">
        <f t="shared" si="270"/>
        <v>1.99693184684595</v>
      </c>
      <c r="U1876" s="94">
        <v>2.5172164162822868</v>
      </c>
      <c r="V1876" s="105">
        <v>1.99693184684595</v>
      </c>
      <c r="W1876" s="49">
        <f t="shared" si="271"/>
        <v>1.2178080710932628</v>
      </c>
    </row>
    <row r="1877" spans="1:23" hidden="1">
      <c r="A1877" s="22" t="s">
        <v>150</v>
      </c>
      <c r="B1877" s="23" t="s">
        <v>252</v>
      </c>
      <c r="C1877" s="28" t="s">
        <v>254</v>
      </c>
      <c r="D1877" s="23"/>
      <c r="H1877" s="104">
        <v>370.46632124000001</v>
      </c>
      <c r="I1877" s="104"/>
      <c r="J1877" s="104"/>
      <c r="K1877" s="67">
        <v>92.701923739999998</v>
      </c>
      <c r="O1877" s="94">
        <f t="shared" si="269"/>
        <v>2.5687487327891767</v>
      </c>
      <c r="P1877" s="45"/>
      <c r="Q1877" s="45"/>
      <c r="R1877" s="48">
        <f t="shared" si="270"/>
        <v>1.9670887466687448</v>
      </c>
      <c r="U1877" s="94">
        <v>2.5687487327891767</v>
      </c>
      <c r="V1877" s="105">
        <v>1.9670887466687448</v>
      </c>
      <c r="W1877" s="49">
        <f t="shared" si="271"/>
        <v>1.2308402078634992</v>
      </c>
    </row>
    <row r="1878" spans="1:23" hidden="1">
      <c r="A1878" s="22" t="s">
        <v>150</v>
      </c>
      <c r="B1878" s="23" t="s">
        <v>252</v>
      </c>
      <c r="C1878" s="28" t="s">
        <v>254</v>
      </c>
      <c r="D1878" s="23"/>
      <c r="H1878" s="104">
        <v>370.46632124000001</v>
      </c>
      <c r="I1878" s="104"/>
      <c r="J1878" s="104"/>
      <c r="K1878" s="67">
        <v>107.32180679</v>
      </c>
      <c r="O1878" s="94">
        <f t="shared" si="269"/>
        <v>2.5687487327891767</v>
      </c>
      <c r="P1878" s="45"/>
      <c r="Q1878" s="45"/>
      <c r="R1878" s="48">
        <f t="shared" si="270"/>
        <v>2.0306879755198586</v>
      </c>
      <c r="U1878" s="94">
        <v>2.5687487327891767</v>
      </c>
      <c r="V1878" s="105">
        <v>2.0306879755198586</v>
      </c>
      <c r="W1878" s="49">
        <f t="shared" si="271"/>
        <v>1.1701729034624218</v>
      </c>
    </row>
    <row r="1879" spans="1:23" hidden="1">
      <c r="A1879" s="22" t="s">
        <v>150</v>
      </c>
      <c r="B1879" s="23" t="s">
        <v>252</v>
      </c>
      <c r="C1879" s="28" t="s">
        <v>254</v>
      </c>
      <c r="D1879" s="23"/>
      <c r="H1879" s="104">
        <v>375.64766838999998</v>
      </c>
      <c r="I1879" s="104"/>
      <c r="J1879" s="104"/>
      <c r="K1879" s="67">
        <v>119.01581945</v>
      </c>
      <c r="O1879" s="94">
        <f t="shared" si="269"/>
        <v>2.5747806975588472</v>
      </c>
      <c r="P1879" s="45"/>
      <c r="Q1879" s="45"/>
      <c r="R1879" s="48">
        <f t="shared" si="270"/>
        <v>2.0756046911675328</v>
      </c>
      <c r="U1879" s="94">
        <v>2.5747806975588472</v>
      </c>
      <c r="V1879" s="105">
        <v>2.0756046911675328</v>
      </c>
      <c r="W1879" s="49">
        <f t="shared" si="271"/>
        <v>1.1255201265712558</v>
      </c>
    </row>
    <row r="1880" spans="1:23" hidden="1">
      <c r="A1880" s="22" t="s">
        <v>150</v>
      </c>
      <c r="B1880" s="23" t="s">
        <v>252</v>
      </c>
      <c r="C1880" s="28" t="s">
        <v>254</v>
      </c>
      <c r="D1880" s="23"/>
      <c r="H1880" s="104">
        <v>440.41450777</v>
      </c>
      <c r="I1880" s="104"/>
      <c r="J1880" s="104"/>
      <c r="K1880" s="67">
        <v>132.88103624999999</v>
      </c>
      <c r="O1880" s="94">
        <f t="shared" si="269"/>
        <v>2.6438616167045264</v>
      </c>
      <c r="P1880" s="45"/>
      <c r="Q1880" s="45"/>
      <c r="R1880" s="48">
        <f t="shared" si="270"/>
        <v>2.1234630062276705</v>
      </c>
      <c r="U1880" s="94">
        <v>2.6438616167045264</v>
      </c>
      <c r="V1880" s="105">
        <v>2.1234630062276705</v>
      </c>
      <c r="W1880" s="49">
        <f t="shared" si="271"/>
        <v>1.0591766451606486</v>
      </c>
    </row>
    <row r="1881" spans="1:23" hidden="1">
      <c r="A1881" s="22" t="s">
        <v>150</v>
      </c>
      <c r="B1881" s="23" t="s">
        <v>252</v>
      </c>
      <c r="C1881" s="28" t="s">
        <v>254</v>
      </c>
      <c r="D1881" s="23"/>
      <c r="H1881" s="104">
        <v>427.46113989999998</v>
      </c>
      <c r="I1881" s="104"/>
      <c r="J1881" s="104"/>
      <c r="K1881" s="67">
        <v>117.53489347999999</v>
      </c>
      <c r="O1881" s="94">
        <f t="shared" si="269"/>
        <v>2.6308966395458362</v>
      </c>
      <c r="P1881" s="45"/>
      <c r="Q1881" s="45"/>
      <c r="R1881" s="48">
        <f t="shared" si="270"/>
        <v>2.0701668180643269</v>
      </c>
      <c r="U1881" s="94">
        <v>2.6308966395458362</v>
      </c>
      <c r="V1881" s="105">
        <v>2.0701668180643269</v>
      </c>
      <c r="W1881" s="49">
        <f t="shared" si="271"/>
        <v>1.1138992086471278</v>
      </c>
    </row>
    <row r="1882" spans="1:23" hidden="1">
      <c r="A1882" s="22" t="s">
        <v>150</v>
      </c>
      <c r="B1882" s="23" t="s">
        <v>252</v>
      </c>
      <c r="C1882" s="28" t="s">
        <v>254</v>
      </c>
      <c r="D1882" s="23"/>
      <c r="H1882" s="104">
        <v>427.46113989999998</v>
      </c>
      <c r="I1882" s="104"/>
      <c r="J1882" s="104"/>
      <c r="K1882" s="67">
        <v>106.56998118999999</v>
      </c>
      <c r="O1882" s="94">
        <f t="shared" si="269"/>
        <v>2.6308966395458362</v>
      </c>
      <c r="P1882" s="45"/>
      <c r="Q1882" s="45"/>
      <c r="R1882" s="48">
        <f t="shared" si="270"/>
        <v>2.0276348891229516</v>
      </c>
      <c r="U1882" s="94">
        <v>2.6308966395458362</v>
      </c>
      <c r="V1882" s="105">
        <v>2.0276348891229516</v>
      </c>
      <c r="W1882" s="49">
        <f t="shared" si="271"/>
        <v>1.1544704156643057</v>
      </c>
    </row>
    <row r="1883" spans="1:23" hidden="1">
      <c r="A1883" s="22" t="s">
        <v>150</v>
      </c>
      <c r="B1883" s="23" t="s">
        <v>252</v>
      </c>
      <c r="C1883" s="28" t="s">
        <v>254</v>
      </c>
      <c r="D1883" s="23"/>
      <c r="H1883" s="104">
        <v>443.00518134999999</v>
      </c>
      <c r="I1883" s="104"/>
      <c r="J1883" s="104"/>
      <c r="K1883" s="67">
        <v>90.482428549999995</v>
      </c>
      <c r="O1883" s="94">
        <f t="shared" si="269"/>
        <v>2.6464088057231927</v>
      </c>
      <c r="P1883" s="45"/>
      <c r="Q1883" s="45"/>
      <c r="R1883" s="48">
        <f t="shared" si="270"/>
        <v>1.9565642485454906</v>
      </c>
      <c r="U1883" s="94">
        <v>2.6464088057231927</v>
      </c>
      <c r="V1883" s="105">
        <v>1.9565642485454906</v>
      </c>
      <c r="W1883" s="49">
        <f t="shared" si="271"/>
        <v>1.2176184243417396</v>
      </c>
    </row>
    <row r="1884" spans="1:23" hidden="1">
      <c r="A1884" s="22" t="s">
        <v>150</v>
      </c>
      <c r="B1884" s="23" t="s">
        <v>252</v>
      </c>
      <c r="C1884" s="28" t="s">
        <v>254</v>
      </c>
      <c r="D1884" s="23"/>
      <c r="H1884" s="104">
        <v>515.54404145000001</v>
      </c>
      <c r="I1884" s="104"/>
      <c r="J1884" s="104"/>
      <c r="K1884" s="67">
        <v>97.034863169999994</v>
      </c>
      <c r="O1884" s="94">
        <f t="shared" si="269"/>
        <v>2.7122657717372971</v>
      </c>
      <c r="P1884" s="45"/>
      <c r="Q1884" s="45"/>
      <c r="R1884" s="48">
        <f t="shared" si="270"/>
        <v>1.9869277977928526</v>
      </c>
      <c r="U1884" s="94">
        <v>2.7122657717372971</v>
      </c>
      <c r="V1884" s="105">
        <v>1.9869277977928526</v>
      </c>
      <c r="W1884" s="49">
        <f t="shared" si="271"/>
        <v>1.1689288533120927</v>
      </c>
    </row>
    <row r="1885" spans="1:23" hidden="1">
      <c r="A1885" s="22" t="s">
        <v>150</v>
      </c>
      <c r="B1885" s="23" t="s">
        <v>252</v>
      </c>
      <c r="C1885" s="28" t="s">
        <v>254</v>
      </c>
      <c r="D1885" s="23"/>
      <c r="H1885" s="104">
        <v>510.36269429999999</v>
      </c>
      <c r="I1885" s="104"/>
      <c r="J1885" s="104"/>
      <c r="K1885" s="67">
        <v>117.5045932</v>
      </c>
      <c r="O1885" s="94">
        <f t="shared" si="269"/>
        <v>2.7078789214893972</v>
      </c>
      <c r="P1885" s="45"/>
      <c r="Q1885" s="45"/>
      <c r="R1885" s="48">
        <f t="shared" si="270"/>
        <v>2.0700548433092516</v>
      </c>
      <c r="U1885" s="94">
        <v>2.7078789214893972</v>
      </c>
      <c r="V1885" s="105">
        <v>2.0700548433092516</v>
      </c>
      <c r="W1885" s="49">
        <f t="shared" si="271"/>
        <v>1.0909479341597619</v>
      </c>
    </row>
    <row r="1886" spans="1:23" hidden="1">
      <c r="A1886" s="22" t="s">
        <v>150</v>
      </c>
      <c r="B1886" s="23" t="s">
        <v>252</v>
      </c>
      <c r="C1886" s="28" t="s">
        <v>254</v>
      </c>
      <c r="D1886" s="23"/>
      <c r="H1886" s="104">
        <v>621.76165803000004</v>
      </c>
      <c r="I1886" s="104"/>
      <c r="J1886" s="104"/>
      <c r="K1886" s="67">
        <v>86.762122820000002</v>
      </c>
      <c r="O1886" s="94">
        <f t="shared" si="269"/>
        <v>2.793623937039091</v>
      </c>
      <c r="P1886" s="45"/>
      <c r="Q1886" s="45"/>
      <c r="R1886" s="48">
        <f t="shared" si="270"/>
        <v>1.9383301694110067</v>
      </c>
      <c r="U1886" s="94">
        <v>2.793623937039091</v>
      </c>
      <c r="V1886" s="105">
        <v>1.9383301694110067</v>
      </c>
      <c r="W1886" s="49">
        <f t="shared" si="271"/>
        <v>1.1909173591067819</v>
      </c>
    </row>
    <row r="1887" spans="1:23" hidden="1">
      <c r="A1887" s="22" t="s">
        <v>150</v>
      </c>
      <c r="B1887" s="23" t="s">
        <v>252</v>
      </c>
      <c r="C1887" s="28" t="s">
        <v>254</v>
      </c>
      <c r="D1887" s="23"/>
      <c r="H1887" s="104">
        <v>642.48704663000001</v>
      </c>
      <c r="I1887" s="104"/>
      <c r="J1887" s="104"/>
      <c r="K1887" s="67">
        <v>108.68437231</v>
      </c>
      <c r="O1887" s="94">
        <f t="shared" si="269"/>
        <v>2.8078643761530255</v>
      </c>
      <c r="P1887" s="45"/>
      <c r="Q1887" s="45"/>
      <c r="R1887" s="48">
        <f t="shared" si="270"/>
        <v>2.036167101515364</v>
      </c>
      <c r="U1887" s="94">
        <v>2.8078643761530255</v>
      </c>
      <c r="V1887" s="105">
        <v>2.036167101515364</v>
      </c>
      <c r="W1887" s="49">
        <f t="shared" si="271"/>
        <v>1.0933253477430098</v>
      </c>
    </row>
    <row r="1888" spans="1:23" hidden="1">
      <c r="A1888" s="22" t="s">
        <v>150</v>
      </c>
      <c r="B1888" s="23" t="s">
        <v>252</v>
      </c>
      <c r="C1888" s="28" t="s">
        <v>254</v>
      </c>
      <c r="D1888" s="23"/>
      <c r="H1888" s="104">
        <v>647.66839377999997</v>
      </c>
      <c r="I1888" s="104"/>
      <c r="J1888" s="104"/>
      <c r="K1888" s="67">
        <v>108.68247854000001</v>
      </c>
      <c r="O1888" s="94">
        <f t="shared" si="269"/>
        <v>2.8113527039986845</v>
      </c>
      <c r="P1888" s="45"/>
      <c r="Q1888" s="45"/>
      <c r="R1888" s="48">
        <f t="shared" si="270"/>
        <v>2.0361595340886125</v>
      </c>
      <c r="U1888" s="94">
        <v>2.8113527039986845</v>
      </c>
      <c r="V1888" s="105">
        <v>2.0361595340886125</v>
      </c>
      <c r="W1888" s="49">
        <f t="shared" si="271"/>
        <v>1.0922877263087478</v>
      </c>
    </row>
    <row r="1889" spans="1:23" hidden="1">
      <c r="A1889" s="22" t="s">
        <v>150</v>
      </c>
      <c r="B1889" s="23" t="s">
        <v>252</v>
      </c>
      <c r="C1889" s="28" t="s">
        <v>254</v>
      </c>
      <c r="D1889" s="23"/>
      <c r="H1889" s="104">
        <v>738.34196890999999</v>
      </c>
      <c r="I1889" s="104"/>
      <c r="J1889" s="104"/>
      <c r="K1889" s="67">
        <v>104.99436686</v>
      </c>
      <c r="O1889" s="94">
        <f t="shared" si="269"/>
        <v>2.8682575553356275</v>
      </c>
      <c r="P1889" s="45"/>
      <c r="Q1889" s="45"/>
      <c r="R1889" s="48">
        <f t="shared" si="270"/>
        <v>2.0211659990009414</v>
      </c>
      <c r="U1889" s="94">
        <v>2.8682575553356275</v>
      </c>
      <c r="V1889" s="105">
        <v>2.0211659990009414</v>
      </c>
      <c r="W1889" s="49">
        <f t="shared" si="271"/>
        <v>1.0895456565941204</v>
      </c>
    </row>
    <row r="1890" spans="1:23" hidden="1">
      <c r="A1890" s="22" t="s">
        <v>150</v>
      </c>
      <c r="B1890" s="23" t="s">
        <v>252</v>
      </c>
      <c r="C1890" s="28" t="s">
        <v>254</v>
      </c>
      <c r="D1890" s="23"/>
      <c r="H1890" s="104">
        <v>891.19170984000004</v>
      </c>
      <c r="I1890" s="104"/>
      <c r="J1890" s="104"/>
      <c r="K1890" s="67">
        <v>120.28937792000001</v>
      </c>
      <c r="O1890" s="94">
        <f t="shared" si="269"/>
        <v>2.9499711378975531</v>
      </c>
      <c r="P1890" s="45"/>
      <c r="Q1890" s="45"/>
      <c r="R1890" s="48">
        <f t="shared" si="270"/>
        <v>2.0802272789241898</v>
      </c>
      <c r="U1890" s="94">
        <v>2.9499711378975531</v>
      </c>
      <c r="V1890" s="105">
        <v>2.0802272789241898</v>
      </c>
      <c r="W1890" s="49">
        <f t="shared" si="271"/>
        <v>1.0087318735439059</v>
      </c>
    </row>
    <row r="1891" spans="1:23" hidden="1">
      <c r="A1891" s="22" t="s">
        <v>150</v>
      </c>
      <c r="B1891" s="23" t="s">
        <v>252</v>
      </c>
      <c r="C1891" s="28" t="s">
        <v>254</v>
      </c>
      <c r="D1891" s="23"/>
      <c r="H1891" s="104">
        <v>961.13989636999997</v>
      </c>
      <c r="I1891" s="104"/>
      <c r="J1891" s="104"/>
      <c r="K1891" s="67">
        <v>174.35737931</v>
      </c>
      <c r="O1891" s="94">
        <f t="shared" si="269"/>
        <v>2.9827866049419094</v>
      </c>
      <c r="P1891" s="45"/>
      <c r="Q1891" s="45"/>
      <c r="R1891" s="48">
        <f t="shared" si="270"/>
        <v>2.2414403327030721</v>
      </c>
      <c r="U1891" s="94">
        <v>2.9827866049419094</v>
      </c>
      <c r="V1891" s="105">
        <v>2.2414403327030721</v>
      </c>
      <c r="W1891" s="49">
        <f t="shared" si="271"/>
        <v>0.84512170190395619</v>
      </c>
    </row>
    <row r="1892" spans="1:23" hidden="1">
      <c r="A1892" s="22" t="s">
        <v>150</v>
      </c>
      <c r="B1892" s="23" t="s">
        <v>252</v>
      </c>
      <c r="C1892" s="28" t="s">
        <v>254</v>
      </c>
      <c r="D1892" s="23"/>
      <c r="H1892" s="104">
        <v>852.33160622000003</v>
      </c>
      <c r="I1892" s="104"/>
      <c r="J1892" s="104"/>
      <c r="K1892" s="67">
        <v>178.78311332999999</v>
      </c>
      <c r="O1892" s="94">
        <f t="shared" si="269"/>
        <v>2.9306085932794339</v>
      </c>
      <c r="P1892" s="45"/>
      <c r="Q1892" s="45"/>
      <c r="R1892" s="48">
        <f t="shared" si="270"/>
        <v>2.252326495813711</v>
      </c>
      <c r="U1892" s="94">
        <v>2.9306085932794339</v>
      </c>
      <c r="V1892" s="105">
        <v>2.252326495813711</v>
      </c>
      <c r="W1892" s="49">
        <f t="shared" si="271"/>
        <v>0.85036598898471594</v>
      </c>
    </row>
    <row r="1893" spans="1:23" hidden="1">
      <c r="A1893" s="22" t="s">
        <v>150</v>
      </c>
      <c r="B1893" s="23" t="s">
        <v>252</v>
      </c>
      <c r="C1893" s="28" t="s">
        <v>254</v>
      </c>
      <c r="D1893" s="23"/>
      <c r="H1893" s="104">
        <v>795.33678755999995</v>
      </c>
      <c r="I1893" s="104"/>
      <c r="J1893" s="104"/>
      <c r="K1893" s="67">
        <v>188.30686875000001</v>
      </c>
      <c r="O1893" s="94">
        <f t="shared" si="269"/>
        <v>2.9005510708028286</v>
      </c>
      <c r="P1893" s="45"/>
      <c r="Q1893" s="45"/>
      <c r="R1893" s="48">
        <f t="shared" si="270"/>
        <v>2.2748661617894546</v>
      </c>
      <c r="U1893" s="94">
        <v>2.9005510708028286</v>
      </c>
      <c r="V1893" s="105">
        <v>2.2748661617894546</v>
      </c>
      <c r="W1893" s="49">
        <f t="shared" si="271"/>
        <v>0.83786836900725037</v>
      </c>
    </row>
    <row r="1894" spans="1:23" hidden="1">
      <c r="A1894" s="22" t="s">
        <v>150</v>
      </c>
      <c r="B1894" s="23" t="s">
        <v>252</v>
      </c>
      <c r="C1894" s="28" t="s">
        <v>254</v>
      </c>
      <c r="D1894" s="23"/>
      <c r="H1894" s="104">
        <v>1098.44559585</v>
      </c>
      <c r="I1894" s="104"/>
      <c r="J1894" s="104"/>
      <c r="K1894" s="67">
        <v>197.69900734000001</v>
      </c>
      <c r="O1894" s="94">
        <f t="shared" si="269"/>
        <v>3.0407785519190313</v>
      </c>
      <c r="P1894" s="45"/>
      <c r="Q1894" s="45"/>
      <c r="R1894" s="48">
        <f t="shared" si="270"/>
        <v>2.2960044886973714</v>
      </c>
      <c r="U1894" s="94">
        <v>3.0407785519190313</v>
      </c>
      <c r="V1894" s="105">
        <v>2.2960044886973714</v>
      </c>
      <c r="W1894" s="49">
        <f t="shared" si="271"/>
        <v>0.7757029387794504</v>
      </c>
    </row>
    <row r="1895" spans="1:23" hidden="1">
      <c r="A1895" s="22" t="s">
        <v>150</v>
      </c>
      <c r="B1895" s="23" t="s">
        <v>252</v>
      </c>
      <c r="C1895" s="28" t="s">
        <v>254</v>
      </c>
      <c r="D1895" s="23"/>
      <c r="H1895" s="104">
        <v>676.16580310999996</v>
      </c>
      <c r="I1895" s="104"/>
      <c r="J1895" s="104"/>
      <c r="K1895" s="67">
        <v>152.53171194999999</v>
      </c>
      <c r="O1895" s="94">
        <f t="shared" si="269"/>
        <v>2.8300532026672913</v>
      </c>
      <c r="P1895" s="45"/>
      <c r="Q1895" s="45"/>
      <c r="R1895" s="48">
        <f t="shared" si="270"/>
        <v>2.1833601446213988</v>
      </c>
      <c r="U1895" s="94">
        <v>2.8300532026672913</v>
      </c>
      <c r="V1895" s="105">
        <v>2.1833601446213988</v>
      </c>
      <c r="W1895" s="49">
        <f t="shared" si="271"/>
        <v>0.94627180453800808</v>
      </c>
    </row>
    <row r="1896" spans="1:23" hidden="1">
      <c r="A1896" s="22" t="s">
        <v>150</v>
      </c>
      <c r="B1896" s="23" t="s">
        <v>252</v>
      </c>
      <c r="C1896" s="28" t="s">
        <v>254</v>
      </c>
      <c r="D1896" s="23"/>
      <c r="H1896" s="104">
        <v>595.85492227999998</v>
      </c>
      <c r="I1896" s="104"/>
      <c r="J1896" s="104"/>
      <c r="K1896" s="67">
        <v>149.63708872999999</v>
      </c>
      <c r="O1896" s="94">
        <f t="shared" si="269"/>
        <v>2.7751405313459889</v>
      </c>
      <c r="P1896" s="45"/>
      <c r="Q1896" s="45"/>
      <c r="R1896" s="48">
        <f t="shared" si="270"/>
        <v>2.1750392501757561</v>
      </c>
      <c r="U1896" s="94">
        <v>2.7751405313459889</v>
      </c>
      <c r="V1896" s="105">
        <v>2.1750392501757561</v>
      </c>
      <c r="W1896" s="49">
        <f t="shared" si="271"/>
        <v>0.97065680166215162</v>
      </c>
    </row>
    <row r="1897" spans="1:23" hidden="1">
      <c r="A1897" s="22" t="s">
        <v>150</v>
      </c>
      <c r="B1897" s="23" t="s">
        <v>252</v>
      </c>
      <c r="C1897" s="28" t="s">
        <v>254</v>
      </c>
      <c r="D1897" s="23"/>
      <c r="H1897" s="104">
        <v>549.22279792999996</v>
      </c>
      <c r="I1897" s="104"/>
      <c r="J1897" s="104"/>
      <c r="K1897" s="67">
        <v>150.38512678999999</v>
      </c>
      <c r="O1897" s="94">
        <f t="shared" si="269"/>
        <v>2.7397485562590038</v>
      </c>
      <c r="P1897" s="45"/>
      <c r="Q1897" s="45"/>
      <c r="R1897" s="48">
        <f t="shared" si="270"/>
        <v>2.1772048863059008</v>
      </c>
      <c r="U1897" s="94">
        <v>2.7397485562590038</v>
      </c>
      <c r="V1897" s="105">
        <v>2.1772048863059008</v>
      </c>
      <c r="W1897" s="49">
        <f t="shared" si="271"/>
        <v>0.97919176853874557</v>
      </c>
    </row>
    <row r="1898" spans="1:23" hidden="1">
      <c r="A1898" s="22" t="s">
        <v>150</v>
      </c>
      <c r="B1898" s="23" t="s">
        <v>252</v>
      </c>
      <c r="C1898" s="28" t="s">
        <v>254</v>
      </c>
      <c r="D1898" s="23"/>
      <c r="H1898" s="104">
        <v>510.36269429999999</v>
      </c>
      <c r="I1898" s="104"/>
      <c r="J1898" s="104"/>
      <c r="K1898" s="67">
        <v>138.70342360999999</v>
      </c>
      <c r="O1898" s="94">
        <f t="shared" si="269"/>
        <v>2.7078789214893972</v>
      </c>
      <c r="P1898" s="45"/>
      <c r="Q1898" s="45"/>
      <c r="R1898" s="48">
        <f t="shared" si="270"/>
        <v>2.1420871808755995</v>
      </c>
      <c r="U1898" s="94">
        <v>2.7078789214893972</v>
      </c>
      <c r="V1898" s="105">
        <v>2.1420871808755995</v>
      </c>
      <c r="W1898" s="49">
        <f t="shared" si="271"/>
        <v>1.0222362873552227</v>
      </c>
    </row>
    <row r="1899" spans="1:23" hidden="1">
      <c r="A1899" s="22" t="s">
        <v>150</v>
      </c>
      <c r="B1899" s="23" t="s">
        <v>252</v>
      </c>
      <c r="C1899" s="28" t="s">
        <v>254</v>
      </c>
      <c r="D1899" s="23"/>
      <c r="H1899" s="104">
        <v>572.53886009999997</v>
      </c>
      <c r="I1899" s="104"/>
      <c r="J1899" s="104"/>
      <c r="K1899" s="67">
        <v>132.10175103</v>
      </c>
      <c r="O1899" s="94">
        <f t="shared" si="269"/>
        <v>2.7578049690106043</v>
      </c>
      <c r="P1899" s="45"/>
      <c r="Q1899" s="45"/>
      <c r="R1899" s="48">
        <f t="shared" si="270"/>
        <v>2.1209085742960307</v>
      </c>
      <c r="U1899" s="94">
        <v>2.7578049690106043</v>
      </c>
      <c r="V1899" s="105">
        <v>2.1209085742960307</v>
      </c>
      <c r="W1899" s="49">
        <f t="shared" si="271"/>
        <v>1.0274844807581025</v>
      </c>
    </row>
    <row r="1900" spans="1:23" hidden="1">
      <c r="A1900" s="22" t="s">
        <v>150</v>
      </c>
      <c r="B1900" s="23" t="s">
        <v>252</v>
      </c>
      <c r="C1900" s="28" t="s">
        <v>254</v>
      </c>
      <c r="D1900" s="23"/>
      <c r="H1900" s="104">
        <v>541.45077719999995</v>
      </c>
      <c r="I1900" s="104"/>
      <c r="J1900" s="104"/>
      <c r="K1900" s="67">
        <v>126.99615457</v>
      </c>
      <c r="O1900" s="94">
        <f t="shared" si="269"/>
        <v>2.7335589814376364</v>
      </c>
      <c r="P1900" s="45"/>
      <c r="Q1900" s="45"/>
      <c r="R1900" s="48">
        <f t="shared" si="270"/>
        <v>2.1037905707645099</v>
      </c>
      <c r="U1900" s="94">
        <v>2.7335589814376364</v>
      </c>
      <c r="V1900" s="105">
        <v>2.1037905707645099</v>
      </c>
      <c r="W1900" s="49">
        <f t="shared" si="271"/>
        <v>1.0510756140562187</v>
      </c>
    </row>
    <row r="1901" spans="1:23" hidden="1">
      <c r="A1901" s="22" t="s">
        <v>150</v>
      </c>
      <c r="B1901" s="23" t="s">
        <v>252</v>
      </c>
      <c r="C1901" s="28" t="s">
        <v>254</v>
      </c>
      <c r="D1901" s="23"/>
      <c r="H1901" s="104">
        <v>463.73056995000002</v>
      </c>
      <c r="I1901" s="104"/>
      <c r="J1901" s="104"/>
      <c r="K1901" s="67">
        <v>144.56842073000001</v>
      </c>
      <c r="O1901" s="94">
        <f t="shared" si="269"/>
        <v>2.6662657263098364</v>
      </c>
      <c r="P1901" s="45"/>
      <c r="Q1901" s="45"/>
      <c r="R1901" s="48">
        <f t="shared" si="270"/>
        <v>2.1600734368001291</v>
      </c>
      <c r="U1901" s="94">
        <v>2.6662657263098364</v>
      </c>
      <c r="V1901" s="105">
        <v>2.1600734368001291</v>
      </c>
      <c r="W1901" s="49">
        <f t="shared" si="271"/>
        <v>1.0175433734696935</v>
      </c>
    </row>
    <row r="1902" spans="1:23" hidden="1">
      <c r="A1902" s="22" t="s">
        <v>150</v>
      </c>
      <c r="B1902" s="23" t="s">
        <v>252</v>
      </c>
      <c r="C1902" s="28" t="s">
        <v>254</v>
      </c>
      <c r="D1902" s="23"/>
      <c r="H1902" s="104">
        <v>443.00518134999999</v>
      </c>
      <c r="I1902" s="104"/>
      <c r="J1902" s="104"/>
      <c r="K1902" s="67">
        <v>151.88593732000001</v>
      </c>
      <c r="O1902" s="94">
        <f t="shared" si="269"/>
        <v>2.6464088057231927</v>
      </c>
      <c r="P1902" s="45"/>
      <c r="Q1902" s="45"/>
      <c r="R1902" s="48">
        <f t="shared" si="270"/>
        <v>2.1815175656531305</v>
      </c>
      <c r="U1902" s="94">
        <v>2.6464088057231927</v>
      </c>
      <c r="V1902" s="105">
        <v>2.1815175656531305</v>
      </c>
      <c r="W1902" s="49">
        <f t="shared" si="271"/>
        <v>1.003035455152762</v>
      </c>
    </row>
    <row r="1903" spans="1:23" hidden="1">
      <c r="A1903" s="22" t="s">
        <v>150</v>
      </c>
      <c r="B1903" s="23" t="s">
        <v>252</v>
      </c>
      <c r="C1903" s="28" t="s">
        <v>254</v>
      </c>
      <c r="D1903" s="23"/>
      <c r="H1903" s="104">
        <v>409.32642486999998</v>
      </c>
      <c r="I1903" s="104"/>
      <c r="J1903" s="104"/>
      <c r="K1903" s="67">
        <v>156.28421172</v>
      </c>
      <c r="O1903" s="94">
        <f t="shared" si="269"/>
        <v>2.6120697822821728</v>
      </c>
      <c r="P1903" s="45"/>
      <c r="Q1903" s="45"/>
      <c r="R1903" s="48">
        <f t="shared" si="270"/>
        <v>2.1939151065590714</v>
      </c>
      <c r="U1903" s="94">
        <v>2.6120697822821728</v>
      </c>
      <c r="V1903" s="105">
        <v>2.1939151065590714</v>
      </c>
      <c r="W1903" s="49">
        <f t="shared" si="271"/>
        <v>1.0014948231431469</v>
      </c>
    </row>
    <row r="1904" spans="1:23" hidden="1">
      <c r="A1904" s="22" t="s">
        <v>150</v>
      </c>
      <c r="B1904" s="23" t="s">
        <v>252</v>
      </c>
      <c r="C1904" s="28" t="s">
        <v>254</v>
      </c>
      <c r="D1904" s="23"/>
      <c r="H1904" s="104">
        <v>391.19170983999999</v>
      </c>
      <c r="I1904" s="104"/>
      <c r="J1904" s="104"/>
      <c r="K1904" s="67">
        <v>163.60078142</v>
      </c>
      <c r="O1904" s="94">
        <f t="shared" si="269"/>
        <v>2.5923896426163524</v>
      </c>
      <c r="P1904" s="45"/>
      <c r="Q1904" s="45"/>
      <c r="R1904" s="48">
        <f t="shared" si="270"/>
        <v>2.2137853736970619</v>
      </c>
      <c r="U1904" s="94">
        <v>2.5923896426163524</v>
      </c>
      <c r="V1904" s="105">
        <v>2.2137853736970619</v>
      </c>
      <c r="W1904" s="49">
        <f t="shared" si="271"/>
        <v>0.98843526128156667</v>
      </c>
    </row>
    <row r="1905" spans="1:23" hidden="1">
      <c r="A1905" s="22" t="s">
        <v>150</v>
      </c>
      <c r="B1905" s="23" t="s">
        <v>252</v>
      </c>
      <c r="C1905" s="28" t="s">
        <v>254</v>
      </c>
      <c r="D1905" s="23"/>
      <c r="H1905" s="104">
        <v>349.74093263999998</v>
      </c>
      <c r="I1905" s="104"/>
      <c r="J1905" s="104"/>
      <c r="K1905" s="67">
        <v>140.95511285000001</v>
      </c>
      <c r="O1905" s="94">
        <f t="shared" si="269"/>
        <v>2.5437464638201628</v>
      </c>
      <c r="P1905" s="45"/>
      <c r="Q1905" s="45"/>
      <c r="R1905" s="48">
        <f t="shared" si="270"/>
        <v>2.1490808336114497</v>
      </c>
      <c r="U1905" s="94">
        <v>2.5437464638201628</v>
      </c>
      <c r="V1905" s="105">
        <v>2.1490808336114497</v>
      </c>
      <c r="W1905" s="49">
        <f t="shared" si="271"/>
        <v>1.0647267507408893</v>
      </c>
    </row>
    <row r="1906" spans="1:23" hidden="1">
      <c r="A1906" s="22" t="s">
        <v>150</v>
      </c>
      <c r="B1906" s="23" t="s">
        <v>252</v>
      </c>
      <c r="C1906" s="28" t="s">
        <v>254</v>
      </c>
      <c r="D1906" s="23"/>
      <c r="H1906" s="104">
        <v>310.88082902000002</v>
      </c>
      <c r="I1906" s="104"/>
      <c r="J1906" s="104"/>
      <c r="K1906" s="67">
        <v>137.31434533999999</v>
      </c>
      <c r="O1906" s="94">
        <f t="shared" si="269"/>
        <v>2.4925939413820948</v>
      </c>
      <c r="P1906" s="45"/>
      <c r="Q1906" s="45"/>
      <c r="R1906" s="48">
        <f t="shared" si="270"/>
        <v>2.1377159107004098</v>
      </c>
      <c r="U1906" s="94">
        <v>2.4925939413820948</v>
      </c>
      <c r="V1906" s="105">
        <v>2.1377159107004098</v>
      </c>
      <c r="W1906" s="49">
        <f t="shared" si="271"/>
        <v>1.0908891895279837</v>
      </c>
    </row>
    <row r="1907" spans="1:23" hidden="1">
      <c r="A1907" s="22" t="s">
        <v>150</v>
      </c>
      <c r="B1907" s="23" t="s">
        <v>252</v>
      </c>
      <c r="C1907" s="28" t="s">
        <v>254</v>
      </c>
      <c r="D1907" s="23"/>
      <c r="H1907" s="104">
        <v>326.42487046999997</v>
      </c>
      <c r="I1907" s="104"/>
      <c r="J1907" s="104"/>
      <c r="K1907" s="67">
        <v>155.58351784000001</v>
      </c>
      <c r="O1907" s="94">
        <f t="shared" si="269"/>
        <v>2.5137832404507026</v>
      </c>
      <c r="P1907" s="45"/>
      <c r="Q1907" s="45"/>
      <c r="R1907" s="48">
        <f t="shared" si="270"/>
        <v>2.1919635869320677</v>
      </c>
      <c r="U1907" s="94">
        <v>2.5137832404507026</v>
      </c>
      <c r="V1907" s="105">
        <v>2.1919635869320677</v>
      </c>
      <c r="W1907" s="49">
        <f t="shared" si="271"/>
        <v>1.0327956148428001</v>
      </c>
    </row>
    <row r="1908" spans="1:23" hidden="1">
      <c r="A1908" s="22" t="s">
        <v>150</v>
      </c>
      <c r="B1908" s="23" t="s">
        <v>252</v>
      </c>
      <c r="C1908" s="28" t="s">
        <v>254</v>
      </c>
      <c r="D1908" s="23"/>
      <c r="H1908" s="104">
        <v>240.93264249000001</v>
      </c>
      <c r="I1908" s="104"/>
      <c r="J1908" s="104"/>
      <c r="K1908" s="67">
        <v>141.72587611</v>
      </c>
      <c r="O1908" s="94">
        <f t="shared" si="269"/>
        <v>2.3818956438875039</v>
      </c>
      <c r="P1908" s="45"/>
      <c r="Q1908" s="45"/>
      <c r="R1908" s="48">
        <f t="shared" si="270"/>
        <v>2.151449150359162</v>
      </c>
      <c r="U1908" s="94">
        <v>2.3818956438875039</v>
      </c>
      <c r="V1908" s="105">
        <v>2.151449150359162</v>
      </c>
      <c r="W1908" s="49">
        <f t="shared" si="271"/>
        <v>1.1109459154952483</v>
      </c>
    </row>
    <row r="1909" spans="1:23" hidden="1">
      <c r="A1909" s="22" t="s">
        <v>150</v>
      </c>
      <c r="B1909" s="23" t="s">
        <v>252</v>
      </c>
      <c r="C1909" s="28" t="s">
        <v>254</v>
      </c>
      <c r="D1909" s="23"/>
      <c r="H1909" s="104">
        <v>173.57512953</v>
      </c>
      <c r="I1909" s="104"/>
      <c r="J1909" s="104"/>
      <c r="K1909" s="67">
        <v>170.99026117</v>
      </c>
      <c r="O1909" s="94">
        <f t="shared" si="269"/>
        <v>2.2394874980198671</v>
      </c>
      <c r="P1909" s="45"/>
      <c r="Q1909" s="45"/>
      <c r="R1909" s="48">
        <f t="shared" si="270"/>
        <v>2.2329713756519545</v>
      </c>
      <c r="U1909" s="94">
        <v>2.2394874980198671</v>
      </c>
      <c r="V1909" s="105">
        <v>2.2329713756519545</v>
      </c>
      <c r="W1909" s="49">
        <f t="shared" si="271"/>
        <v>1.0758366077161992</v>
      </c>
    </row>
    <row r="1910" spans="1:23" hidden="1">
      <c r="A1910" s="22" t="s">
        <v>150</v>
      </c>
      <c r="B1910" s="23" t="s">
        <v>252</v>
      </c>
      <c r="C1910" s="28" t="s">
        <v>254</v>
      </c>
      <c r="D1910" s="23"/>
      <c r="H1910" s="104">
        <v>212.43523316</v>
      </c>
      <c r="I1910" s="104"/>
      <c r="J1910" s="104"/>
      <c r="K1910" s="67">
        <v>172.43804621999999</v>
      </c>
      <c r="O1910" s="94">
        <f t="shared" si="269"/>
        <v>2.3272265477106906</v>
      </c>
      <c r="P1910" s="45"/>
      <c r="Q1910" s="45"/>
      <c r="R1910" s="48">
        <f t="shared" si="270"/>
        <v>2.2366330935098495</v>
      </c>
      <c r="U1910" s="94">
        <v>2.3272265477106906</v>
      </c>
      <c r="V1910" s="105">
        <v>2.2366330935098495</v>
      </c>
      <c r="W1910" s="49">
        <f t="shared" si="271"/>
        <v>1.0460636912885291</v>
      </c>
    </row>
    <row r="1911" spans="1:23" hidden="1">
      <c r="A1911" s="22" t="s">
        <v>150</v>
      </c>
      <c r="B1911" s="23" t="s">
        <v>252</v>
      </c>
      <c r="C1911" s="28" t="s">
        <v>254</v>
      </c>
      <c r="D1911" s="23"/>
      <c r="H1911" s="104">
        <v>277.20207254000002</v>
      </c>
      <c r="I1911" s="104"/>
      <c r="J1911" s="104"/>
      <c r="K1911" s="67">
        <v>173.87636243</v>
      </c>
      <c r="O1911" s="94">
        <f t="shared" ref="O1911:O1974" si="272">LOG10(H1911)</f>
        <v>2.4427964730152407</v>
      </c>
      <c r="P1911" s="45"/>
      <c r="Q1911" s="45"/>
      <c r="R1911" s="48">
        <f t="shared" ref="R1911:R1974" si="273">LOG10(K1911)</f>
        <v>2.2402405459822039</v>
      </c>
      <c r="U1911" s="94">
        <v>2.4427964730152407</v>
      </c>
      <c r="V1911" s="105">
        <v>2.2402405459822039</v>
      </c>
      <c r="W1911" s="49">
        <f t="shared" si="271"/>
        <v>1.0080065067262749</v>
      </c>
    </row>
    <row r="1912" spans="1:23" hidden="1">
      <c r="A1912" s="22" t="s">
        <v>150</v>
      </c>
      <c r="B1912" s="23" t="s">
        <v>252</v>
      </c>
      <c r="C1912" s="28" t="s">
        <v>254</v>
      </c>
      <c r="D1912" s="23"/>
      <c r="H1912" s="104">
        <v>220.20725389</v>
      </c>
      <c r="I1912" s="104"/>
      <c r="J1912" s="104"/>
      <c r="K1912" s="67">
        <v>192.17204767000001</v>
      </c>
      <c r="O1912" s="94">
        <f t="shared" si="272"/>
        <v>2.3428316210504061</v>
      </c>
      <c r="P1912" s="45"/>
      <c r="Q1912" s="45"/>
      <c r="R1912" s="48">
        <f t="shared" si="273"/>
        <v>2.2836902177471501</v>
      </c>
      <c r="U1912" s="94">
        <v>2.3428316210504061</v>
      </c>
      <c r="V1912" s="105">
        <v>2.2836902177471501</v>
      </c>
      <c r="W1912" s="49">
        <f t="shared" si="271"/>
        <v>0.99650179712851938</v>
      </c>
    </row>
    <row r="1913" spans="1:23" hidden="1">
      <c r="A1913" s="22" t="s">
        <v>150</v>
      </c>
      <c r="B1913" s="23" t="s">
        <v>252</v>
      </c>
      <c r="C1913" s="28" t="s">
        <v>254</v>
      </c>
      <c r="D1913" s="23"/>
      <c r="H1913" s="104">
        <v>173.57512953</v>
      </c>
      <c r="I1913" s="104"/>
      <c r="J1913" s="104"/>
      <c r="K1913" s="67">
        <v>206.07798047</v>
      </c>
      <c r="O1913" s="94">
        <f t="shared" si="272"/>
        <v>2.2394874980198671</v>
      </c>
      <c r="P1913" s="45"/>
      <c r="Q1913" s="45"/>
      <c r="R1913" s="48">
        <f t="shared" si="273"/>
        <v>2.3140315896867416</v>
      </c>
      <c r="U1913" s="94">
        <v>2.2394874980198671</v>
      </c>
      <c r="V1913" s="105">
        <v>2.3140315896867416</v>
      </c>
      <c r="W1913" s="49">
        <f t="shared" si="271"/>
        <v>0.99851326954841557</v>
      </c>
    </row>
    <row r="1914" spans="1:23" hidden="1">
      <c r="A1914" s="22" t="s">
        <v>150</v>
      </c>
      <c r="B1914" s="23" t="s">
        <v>252</v>
      </c>
      <c r="C1914" s="28" t="s">
        <v>254</v>
      </c>
      <c r="D1914" s="23"/>
      <c r="H1914" s="104">
        <v>261.65803109000001</v>
      </c>
      <c r="I1914" s="104"/>
      <c r="J1914" s="104"/>
      <c r="K1914" s="67">
        <v>210.43175134000001</v>
      </c>
      <c r="O1914" s="94">
        <f t="shared" si="272"/>
        <v>2.4177340691140694</v>
      </c>
      <c r="P1914" s="45"/>
      <c r="Q1914" s="45"/>
      <c r="R1914" s="48">
        <f t="shared" si="273"/>
        <v>2.3231112696612746</v>
      </c>
      <c r="U1914" s="94">
        <v>2.4177340691140694</v>
      </c>
      <c r="V1914" s="105">
        <v>2.3231112696612746</v>
      </c>
      <c r="W1914" s="49">
        <f t="shared" si="271"/>
        <v>0.93646292991234614</v>
      </c>
    </row>
    <row r="1915" spans="1:23" hidden="1">
      <c r="A1915" s="22" t="s">
        <v>150</v>
      </c>
      <c r="B1915" s="23" t="s">
        <v>252</v>
      </c>
      <c r="C1915" s="28" t="s">
        <v>254</v>
      </c>
      <c r="D1915" s="23"/>
      <c r="H1915" s="104">
        <v>427.46113989999998</v>
      </c>
      <c r="I1915" s="104"/>
      <c r="J1915" s="104"/>
      <c r="K1915" s="67">
        <v>268.11968880000001</v>
      </c>
      <c r="O1915" s="94">
        <f t="shared" si="272"/>
        <v>2.6308966395458362</v>
      </c>
      <c r="P1915" s="45"/>
      <c r="Q1915" s="45"/>
      <c r="R1915" s="48">
        <f t="shared" si="273"/>
        <v>2.4283287066469414</v>
      </c>
      <c r="U1915" s="94">
        <v>2.6308966395458362</v>
      </c>
      <c r="V1915" s="105">
        <v>2.4283287066469414</v>
      </c>
      <c r="W1915" s="49">
        <f t="shared" si="271"/>
        <v>0.77224858312817191</v>
      </c>
    </row>
    <row r="1916" spans="1:23" hidden="1">
      <c r="A1916" s="22" t="s">
        <v>150</v>
      </c>
      <c r="B1916" s="23" t="s">
        <v>252</v>
      </c>
      <c r="C1916" s="28" t="s">
        <v>254</v>
      </c>
      <c r="D1916" s="23"/>
      <c r="H1916" s="104">
        <v>398.96373057</v>
      </c>
      <c r="I1916" s="104"/>
      <c r="J1916" s="104"/>
      <c r="K1916" s="67">
        <v>204.53361329000001</v>
      </c>
      <c r="O1916" s="94">
        <f t="shared" si="272"/>
        <v>2.6009334161647644</v>
      </c>
      <c r="P1916" s="45"/>
      <c r="Q1916" s="45"/>
      <c r="R1916" s="48">
        <f t="shared" si="273"/>
        <v>2.3107646906649664</v>
      </c>
      <c r="U1916" s="94">
        <v>2.6009334161647644</v>
      </c>
      <c r="V1916" s="105">
        <v>2.3107646906649664</v>
      </c>
      <c r="W1916" s="49">
        <f t="shared" si="271"/>
        <v>0.89336762047130414</v>
      </c>
    </row>
    <row r="1917" spans="1:23" hidden="1">
      <c r="A1917" s="22" t="s">
        <v>150</v>
      </c>
      <c r="B1917" s="23" t="s">
        <v>252</v>
      </c>
      <c r="C1917" s="28" t="s">
        <v>254</v>
      </c>
      <c r="D1917" s="23"/>
      <c r="H1917" s="104">
        <v>404.14507772000002</v>
      </c>
      <c r="I1917" s="104"/>
      <c r="J1917" s="104"/>
      <c r="K1917" s="67">
        <v>191.37382478000001</v>
      </c>
      <c r="O1917" s="94">
        <f t="shared" si="272"/>
        <v>2.606537293682484</v>
      </c>
      <c r="P1917" s="45"/>
      <c r="Q1917" s="45"/>
      <c r="R1917" s="48">
        <f t="shared" si="273"/>
        <v>2.2818825367272022</v>
      </c>
      <c r="U1917" s="94">
        <v>2.606537293682484</v>
      </c>
      <c r="V1917" s="105">
        <v>2.2818825367272022</v>
      </c>
      <c r="W1917" s="49">
        <f t="shared" si="271"/>
        <v>0.91923980794059357</v>
      </c>
    </row>
    <row r="1918" spans="1:23" hidden="1">
      <c r="A1918" s="22" t="s">
        <v>150</v>
      </c>
      <c r="B1918" s="23" t="s">
        <v>252</v>
      </c>
      <c r="C1918" s="28" t="s">
        <v>254</v>
      </c>
      <c r="D1918" s="23"/>
      <c r="H1918" s="104">
        <v>427.46113989999998</v>
      </c>
      <c r="I1918" s="104"/>
      <c r="J1918" s="104"/>
      <c r="K1918" s="67">
        <v>181.86237886000001</v>
      </c>
      <c r="O1918" s="94">
        <f t="shared" si="272"/>
        <v>2.6308966395458362</v>
      </c>
      <c r="P1918" s="45"/>
      <c r="Q1918" s="45"/>
      <c r="R1918" s="48">
        <f t="shared" si="273"/>
        <v>2.2597428675992495</v>
      </c>
      <c r="U1918" s="94">
        <v>2.6308966395458362</v>
      </c>
      <c r="V1918" s="105">
        <v>2.2597428675992495</v>
      </c>
      <c r="W1918" s="49">
        <f t="shared" si="271"/>
        <v>0.93306261499576526</v>
      </c>
    </row>
    <row r="1919" spans="1:23" hidden="1">
      <c r="A1919" s="22" t="s">
        <v>150</v>
      </c>
      <c r="B1919" s="23" t="s">
        <v>252</v>
      </c>
      <c r="C1919" s="28" t="s">
        <v>254</v>
      </c>
      <c r="D1919" s="23"/>
      <c r="H1919" s="104">
        <v>502.59067357999999</v>
      </c>
      <c r="I1919" s="104"/>
      <c r="J1919" s="104"/>
      <c r="K1919" s="67">
        <v>173.06298941</v>
      </c>
      <c r="O1919" s="94">
        <f t="shared" si="272"/>
        <v>2.7012144252626795</v>
      </c>
      <c r="P1919" s="45"/>
      <c r="Q1919" s="45"/>
      <c r="R1919" s="48">
        <f t="shared" si="273"/>
        <v>2.2382042012457313</v>
      </c>
      <c r="U1919" s="94">
        <v>2.7012144252626795</v>
      </c>
      <c r="V1919" s="105">
        <v>2.2382042012457313</v>
      </c>
      <c r="W1919" s="49">
        <f t="shared" ref="W1919:W1982" si="274">0.9539*(4.064-0.314*U1919-V1919)</f>
        <v>0.93254644219066274</v>
      </c>
    </row>
    <row r="1920" spans="1:23" hidden="1">
      <c r="A1920" s="22" t="s">
        <v>150</v>
      </c>
      <c r="B1920" s="23" t="s">
        <v>252</v>
      </c>
      <c r="C1920" s="28" t="s">
        <v>254</v>
      </c>
      <c r="D1920" s="23"/>
      <c r="H1920" s="104">
        <v>541.45077719999995</v>
      </c>
      <c r="I1920" s="104"/>
      <c r="J1920" s="104"/>
      <c r="K1920" s="67">
        <v>165.00785048</v>
      </c>
      <c r="O1920" s="94">
        <f t="shared" si="272"/>
        <v>2.7335589814376364</v>
      </c>
      <c r="P1920" s="45"/>
      <c r="Q1920" s="45"/>
      <c r="R1920" s="48">
        <f t="shared" si="273"/>
        <v>2.217504606874749</v>
      </c>
      <c r="U1920" s="94">
        <v>2.7335589814376364</v>
      </c>
      <c r="V1920" s="105">
        <v>2.217504606874749</v>
      </c>
      <c r="W1920" s="49">
        <f t="shared" si="274"/>
        <v>0.9426037950106616</v>
      </c>
    </row>
    <row r="1921" spans="1:23" hidden="1">
      <c r="A1921" s="22" t="s">
        <v>150</v>
      </c>
      <c r="B1921" s="23" t="s">
        <v>252</v>
      </c>
      <c r="C1921" s="28" t="s">
        <v>254</v>
      </c>
      <c r="D1921" s="23"/>
      <c r="H1921" s="104">
        <v>541.45077719999995</v>
      </c>
      <c r="I1921" s="104"/>
      <c r="J1921" s="104"/>
      <c r="K1921" s="67">
        <v>170.8558037</v>
      </c>
      <c r="O1921" s="94">
        <f t="shared" si="272"/>
        <v>2.7335589814376364</v>
      </c>
      <c r="P1921" s="45"/>
      <c r="Q1921" s="45"/>
      <c r="R1921" s="48">
        <f t="shared" si="273"/>
        <v>2.2326297356783882</v>
      </c>
      <c r="U1921" s="94">
        <v>2.7335589814376364</v>
      </c>
      <c r="V1921" s="105">
        <v>2.2326297356783882</v>
      </c>
      <c r="W1921" s="49">
        <f t="shared" si="274"/>
        <v>0.92817593464487025</v>
      </c>
    </row>
    <row r="1922" spans="1:23" hidden="1">
      <c r="A1922" s="22" t="s">
        <v>150</v>
      </c>
      <c r="B1922" s="23" t="s">
        <v>252</v>
      </c>
      <c r="C1922" s="28" t="s">
        <v>254</v>
      </c>
      <c r="D1922" s="23"/>
      <c r="H1922" s="104">
        <v>595.85492227999998</v>
      </c>
      <c r="I1922" s="104"/>
      <c r="J1922" s="104"/>
      <c r="K1922" s="67">
        <v>190.57276124000001</v>
      </c>
      <c r="O1922" s="94">
        <f t="shared" si="272"/>
        <v>2.7751405313459889</v>
      </c>
      <c r="P1922" s="45"/>
      <c r="Q1922" s="45"/>
      <c r="R1922" s="48">
        <f t="shared" si="273"/>
        <v>2.2800608265828264</v>
      </c>
      <c r="U1922" s="94">
        <v>2.7751405313459889</v>
      </c>
      <c r="V1922" s="105">
        <v>2.2800608265828264</v>
      </c>
      <c r="W1922" s="49">
        <f t="shared" si="274"/>
        <v>0.87047671992744724</v>
      </c>
    </row>
    <row r="1923" spans="1:23" hidden="1">
      <c r="A1923" s="22" t="s">
        <v>150</v>
      </c>
      <c r="B1923" s="23" t="s">
        <v>252</v>
      </c>
      <c r="C1923" s="28" t="s">
        <v>254</v>
      </c>
      <c r="D1923" s="23"/>
      <c r="H1923" s="104">
        <v>678.75647667999999</v>
      </c>
      <c r="I1923" s="104"/>
      <c r="J1923" s="104"/>
      <c r="K1923" s="67">
        <v>191.27345511999999</v>
      </c>
      <c r="O1923" s="94">
        <f t="shared" si="272"/>
        <v>2.8317139866454708</v>
      </c>
      <c r="P1923" s="45"/>
      <c r="Q1923" s="45"/>
      <c r="R1923" s="48">
        <f t="shared" si="273"/>
        <v>2.2816547029346839</v>
      </c>
      <c r="U1923" s="94">
        <v>2.8317139866454708</v>
      </c>
      <c r="V1923" s="105">
        <v>2.2816547029346839</v>
      </c>
      <c r="W1923" s="49">
        <f t="shared" si="274"/>
        <v>0.8520111797062152</v>
      </c>
    </row>
    <row r="1924" spans="1:23" hidden="1">
      <c r="A1924" s="22" t="s">
        <v>150</v>
      </c>
      <c r="B1924" s="23" t="s">
        <v>252</v>
      </c>
      <c r="C1924" s="28" t="s">
        <v>254</v>
      </c>
      <c r="D1924" s="23"/>
      <c r="H1924" s="104">
        <v>681.34715026000003</v>
      </c>
      <c r="I1924" s="104"/>
      <c r="J1924" s="104"/>
      <c r="K1924" s="67">
        <v>180.30759595999999</v>
      </c>
      <c r="O1924" s="94">
        <f t="shared" si="272"/>
        <v>2.8333684438185975</v>
      </c>
      <c r="P1924" s="45"/>
      <c r="Q1924" s="45"/>
      <c r="R1924" s="48">
        <f t="shared" si="273"/>
        <v>2.2560140229732308</v>
      </c>
      <c r="U1924" s="94">
        <v>2.8333684438185975</v>
      </c>
      <c r="V1924" s="105">
        <v>2.2560140229732308</v>
      </c>
      <c r="W1924" s="49">
        <f t="shared" si="274"/>
        <v>0.87597427369844727</v>
      </c>
    </row>
    <row r="1925" spans="1:23" hidden="1">
      <c r="A1925" s="22" t="s">
        <v>150</v>
      </c>
      <c r="B1925" s="23" t="s">
        <v>252</v>
      </c>
      <c r="C1925" s="28" t="s">
        <v>254</v>
      </c>
      <c r="D1925" s="23"/>
      <c r="H1925" s="104">
        <v>476.68393781999998</v>
      </c>
      <c r="I1925" s="104"/>
      <c r="J1925" s="104"/>
      <c r="K1925" s="67">
        <v>204.50520678000001</v>
      </c>
      <c r="O1925" s="94">
        <f t="shared" si="272"/>
        <v>2.678230518334288</v>
      </c>
      <c r="P1925" s="45"/>
      <c r="Q1925" s="45"/>
      <c r="R1925" s="48">
        <f t="shared" si="273"/>
        <v>2.3107043697860785</v>
      </c>
      <c r="U1925" s="94">
        <v>2.678230518334288</v>
      </c>
      <c r="V1925" s="105">
        <v>2.3107043697860785</v>
      </c>
      <c r="W1925" s="49">
        <f t="shared" si="274"/>
        <v>0.87027277694918925</v>
      </c>
    </row>
    <row r="1926" spans="1:23" hidden="1">
      <c r="A1926" s="22" t="s">
        <v>150</v>
      </c>
      <c r="B1926" s="23" t="s">
        <v>252</v>
      </c>
      <c r="C1926" s="28" t="s">
        <v>254</v>
      </c>
      <c r="D1926" s="23"/>
      <c r="H1926" s="104">
        <v>536.26943004999998</v>
      </c>
      <c r="I1926" s="104"/>
      <c r="J1926" s="104"/>
      <c r="K1926" s="67">
        <v>216.91032903999999</v>
      </c>
      <c r="O1926" s="94">
        <f t="shared" si="272"/>
        <v>2.7293830407836941</v>
      </c>
      <c r="P1926" s="45"/>
      <c r="Q1926" s="45"/>
      <c r="R1926" s="48">
        <f t="shared" si="273"/>
        <v>2.3362802331495924</v>
      </c>
      <c r="U1926" s="94">
        <v>2.7293830407836941</v>
      </c>
      <c r="V1926" s="105">
        <v>2.3362802331495924</v>
      </c>
      <c r="W1926" s="49">
        <f t="shared" si="274"/>
        <v>0.83055452206108416</v>
      </c>
    </row>
    <row r="1927" spans="1:23" hidden="1">
      <c r="A1927" s="22" t="s">
        <v>150</v>
      </c>
      <c r="B1927" s="23" t="s">
        <v>252</v>
      </c>
      <c r="C1927" s="28" t="s">
        <v>254</v>
      </c>
      <c r="D1927" s="23"/>
      <c r="H1927" s="104">
        <v>743.52331605999996</v>
      </c>
      <c r="I1927" s="104"/>
      <c r="J1927" s="104"/>
      <c r="K1927" s="67">
        <v>246.80533858999999</v>
      </c>
      <c r="O1927" s="94">
        <f t="shared" si="272"/>
        <v>2.8712945920609663</v>
      </c>
      <c r="P1927" s="45"/>
      <c r="Q1927" s="45"/>
      <c r="R1927" s="48">
        <f t="shared" si="273"/>
        <v>2.3923545495877123</v>
      </c>
      <c r="U1927" s="94">
        <v>2.8712945920609663</v>
      </c>
      <c r="V1927" s="105">
        <v>2.3923545495877123</v>
      </c>
      <c r="W1927" s="49">
        <f t="shared" si="274"/>
        <v>0.73455923097905718</v>
      </c>
    </row>
    <row r="1928" spans="1:23" hidden="1">
      <c r="A1928" s="22" t="s">
        <v>150</v>
      </c>
      <c r="B1928" s="23" t="s">
        <v>252</v>
      </c>
      <c r="C1928" s="28" t="s">
        <v>254</v>
      </c>
      <c r="D1928" s="23"/>
      <c r="H1928" s="104">
        <v>994.81865285000003</v>
      </c>
      <c r="I1928" s="104"/>
      <c r="J1928" s="104"/>
      <c r="K1928" s="67">
        <v>270.10530374000001</v>
      </c>
      <c r="O1928" s="94">
        <f t="shared" si="272"/>
        <v>2.997743919695889</v>
      </c>
      <c r="P1928" s="45"/>
      <c r="Q1928" s="45"/>
      <c r="R1928" s="48">
        <f t="shared" si="273"/>
        <v>2.4315331120008565</v>
      </c>
      <c r="U1928" s="94">
        <v>2.997743919695889</v>
      </c>
      <c r="V1928" s="105">
        <v>2.4315331120008565</v>
      </c>
      <c r="W1928" s="49">
        <f t="shared" si="274"/>
        <v>0.65931211601303985</v>
      </c>
    </row>
    <row r="1929" spans="1:23" hidden="1">
      <c r="A1929" s="22" t="s">
        <v>150</v>
      </c>
      <c r="B1929" s="23" t="s">
        <v>252</v>
      </c>
      <c r="C1929" s="28" t="s">
        <v>254</v>
      </c>
      <c r="D1929" s="23"/>
      <c r="H1929" s="104">
        <v>772.02072539000005</v>
      </c>
      <c r="I1929" s="104"/>
      <c r="J1929" s="104"/>
      <c r="K1929" s="67">
        <v>313.31539070000002</v>
      </c>
      <c r="O1929" s="94">
        <f t="shared" si="272"/>
        <v>2.8876289594052871</v>
      </c>
      <c r="P1929" s="45"/>
      <c r="Q1929" s="45"/>
      <c r="R1929" s="48">
        <f t="shared" si="273"/>
        <v>2.4959817288488666</v>
      </c>
      <c r="U1929" s="94">
        <v>2.8876289594052871</v>
      </c>
      <c r="V1929" s="105">
        <v>2.4959817288488666</v>
      </c>
      <c r="W1929" s="49">
        <f t="shared" si="274"/>
        <v>0.63081671983678134</v>
      </c>
    </row>
    <row r="1930" spans="1:23" hidden="1">
      <c r="A1930" s="22" t="s">
        <v>150</v>
      </c>
      <c r="B1930" s="23" t="s">
        <v>252</v>
      </c>
      <c r="C1930" s="28" t="s">
        <v>254</v>
      </c>
      <c r="D1930" s="23"/>
      <c r="H1930" s="104">
        <v>572.53886009999997</v>
      </c>
      <c r="I1930" s="104"/>
      <c r="J1930" s="104"/>
      <c r="K1930" s="67">
        <v>356.51695570999999</v>
      </c>
      <c r="O1930" s="94">
        <f t="shared" si="272"/>
        <v>2.7578049690106043</v>
      </c>
      <c r="P1930" s="45"/>
      <c r="Q1930" s="45"/>
      <c r="R1930" s="48">
        <f t="shared" si="273"/>
        <v>2.5520801894366332</v>
      </c>
      <c r="U1930" s="94">
        <v>2.7578049690106043</v>
      </c>
      <c r="V1930" s="105">
        <v>2.5520801894366332</v>
      </c>
      <c r="W1930" s="49">
        <f t="shared" si="274"/>
        <v>0.61618987707548178</v>
      </c>
    </row>
    <row r="1931" spans="1:23" hidden="1">
      <c r="A1931" s="22" t="s">
        <v>150</v>
      </c>
      <c r="B1931" s="23" t="s">
        <v>252</v>
      </c>
      <c r="C1931" s="28" t="s">
        <v>255</v>
      </c>
      <c r="D1931" s="23"/>
      <c r="H1931" s="104">
        <v>5.1963182899999998</v>
      </c>
      <c r="I1931" s="104"/>
      <c r="J1931" s="104"/>
      <c r="K1931" s="67">
        <v>2.1639887500000001</v>
      </c>
      <c r="O1931" s="94">
        <f t="shared" si="272"/>
        <v>0.71569574504860567</v>
      </c>
      <c r="P1931" s="45"/>
      <c r="Q1931" s="45"/>
      <c r="R1931" s="48">
        <f t="shared" si="273"/>
        <v>0.33525499865929093</v>
      </c>
      <c r="U1931" s="94">
        <v>0.71569574504860567</v>
      </c>
      <c r="V1931" s="105">
        <v>0.33525499865929093</v>
      </c>
      <c r="W1931" s="49">
        <f t="shared" si="274"/>
        <v>3.3424813750215172</v>
      </c>
    </row>
    <row r="1932" spans="1:23" hidden="1">
      <c r="A1932" s="22" t="s">
        <v>150</v>
      </c>
      <c r="B1932" s="23" t="s">
        <v>252</v>
      </c>
      <c r="C1932" s="28" t="s">
        <v>255</v>
      </c>
      <c r="D1932" s="23"/>
      <c r="H1932" s="104">
        <v>5.0914929500000001</v>
      </c>
      <c r="I1932" s="104"/>
      <c r="J1932" s="104"/>
      <c r="K1932" s="67">
        <v>12.279633560000001</v>
      </c>
      <c r="O1932" s="94">
        <f t="shared" si="272"/>
        <v>0.70684514675268251</v>
      </c>
      <c r="P1932" s="45"/>
      <c r="Q1932" s="45"/>
      <c r="R1932" s="48">
        <f t="shared" si="273"/>
        <v>1.0891854070946898</v>
      </c>
      <c r="U1932" s="94">
        <v>0.70684514675268251</v>
      </c>
      <c r="V1932" s="105">
        <v>1.0891854070946898</v>
      </c>
      <c r="W1932" s="49">
        <f t="shared" si="274"/>
        <v>2.6259581303293364</v>
      </c>
    </row>
    <row r="1933" spans="1:23" hidden="1">
      <c r="A1933" s="22" t="s">
        <v>150</v>
      </c>
      <c r="B1933" s="23" t="s">
        <v>252</v>
      </c>
      <c r="C1933" s="28" t="s">
        <v>255</v>
      </c>
      <c r="D1933" s="23"/>
      <c r="H1933" s="104">
        <v>51.768717029999998</v>
      </c>
      <c r="I1933" s="104"/>
      <c r="J1933" s="104"/>
      <c r="K1933" s="67">
        <v>7.9275102899999998</v>
      </c>
      <c r="O1933" s="94">
        <f t="shared" si="272"/>
        <v>1.7140674021134825</v>
      </c>
      <c r="P1933" s="45"/>
      <c r="Q1933" s="45"/>
      <c r="R1933" s="48">
        <f t="shared" si="273"/>
        <v>0.89913681441875015</v>
      </c>
      <c r="U1933" s="94">
        <v>1.7140674021134825</v>
      </c>
      <c r="V1933" s="105">
        <v>0.89913681441875015</v>
      </c>
      <c r="W1933" s="49">
        <f t="shared" si="274"/>
        <v>2.5055576397348744</v>
      </c>
    </row>
    <row r="1934" spans="1:23" hidden="1">
      <c r="A1934" s="22" t="s">
        <v>150</v>
      </c>
      <c r="B1934" s="23" t="s">
        <v>252</v>
      </c>
      <c r="C1934" s="28" t="s">
        <v>255</v>
      </c>
      <c r="D1934" s="23"/>
      <c r="H1934" s="104">
        <v>134.72299446</v>
      </c>
      <c r="I1934" s="104"/>
      <c r="J1934" s="104"/>
      <c r="K1934" s="67">
        <v>2.83973779</v>
      </c>
      <c r="O1934" s="94">
        <f t="shared" si="272"/>
        <v>2.1294417272360482</v>
      </c>
      <c r="P1934" s="45"/>
      <c r="Q1934" s="45"/>
      <c r="R1934" s="48">
        <f t="shared" si="273"/>
        <v>0.45327824088739643</v>
      </c>
      <c r="U1934" s="94">
        <v>2.1294417272360482</v>
      </c>
      <c r="V1934" s="105">
        <v>0.45327824088739643</v>
      </c>
      <c r="W1934" s="49">
        <f t="shared" si="274"/>
        <v>2.8064473044438261</v>
      </c>
    </row>
    <row r="1935" spans="1:23" hidden="1">
      <c r="A1935" s="22" t="s">
        <v>150</v>
      </c>
      <c r="B1935" s="23" t="s">
        <v>252</v>
      </c>
      <c r="C1935" s="28" t="s">
        <v>255</v>
      </c>
      <c r="D1935" s="23"/>
      <c r="H1935" s="104">
        <v>131.98256071</v>
      </c>
      <c r="I1935" s="104"/>
      <c r="J1935" s="104"/>
      <c r="K1935" s="67">
        <v>17.291594880000002</v>
      </c>
      <c r="O1935" s="94">
        <f t="shared" si="272"/>
        <v>2.1205165502379106</v>
      </c>
      <c r="P1935" s="45"/>
      <c r="Q1935" s="45"/>
      <c r="R1935" s="48">
        <f t="shared" si="273"/>
        <v>1.2378350520153538</v>
      </c>
      <c r="U1935" s="94">
        <v>2.1205165502379106</v>
      </c>
      <c r="V1935" s="105">
        <v>1.2378350520153538</v>
      </c>
      <c r="W1935" s="49">
        <f t="shared" si="274"/>
        <v>2.0607318723791641</v>
      </c>
    </row>
    <row r="1936" spans="1:23" hidden="1">
      <c r="A1936" s="22" t="s">
        <v>150</v>
      </c>
      <c r="B1936" s="23" t="s">
        <v>252</v>
      </c>
      <c r="C1936" s="28" t="s">
        <v>255</v>
      </c>
      <c r="D1936" s="23"/>
      <c r="H1936" s="104">
        <v>69.753749470000002</v>
      </c>
      <c r="I1936" s="104"/>
      <c r="J1936" s="104"/>
      <c r="K1936" s="67">
        <v>22.371879849999999</v>
      </c>
      <c r="O1936" s="94">
        <f t="shared" si="272"/>
        <v>1.8435675571838477</v>
      </c>
      <c r="P1936" s="45"/>
      <c r="Q1936" s="45"/>
      <c r="R1936" s="48">
        <f t="shared" si="273"/>
        <v>1.3497024782486422</v>
      </c>
      <c r="U1936" s="94">
        <v>1.8435675571838477</v>
      </c>
      <c r="V1936" s="105">
        <v>1.3497024782486422</v>
      </c>
      <c r="W1936" s="49">
        <f t="shared" si="274"/>
        <v>2.036974570860151</v>
      </c>
    </row>
    <row r="1937" spans="1:23" hidden="1">
      <c r="A1937" s="22" t="s">
        <v>150</v>
      </c>
      <c r="B1937" s="23" t="s">
        <v>252</v>
      </c>
      <c r="C1937" s="28" t="s">
        <v>255</v>
      </c>
      <c r="D1937" s="23"/>
      <c r="H1937" s="104">
        <v>93.114824080000005</v>
      </c>
      <c r="I1937" s="104"/>
      <c r="J1937" s="104"/>
      <c r="K1937" s="67">
        <v>18.028180039999999</v>
      </c>
      <c r="O1937" s="94">
        <f t="shared" si="272"/>
        <v>1.969018827099958</v>
      </c>
      <c r="P1937" s="45"/>
      <c r="Q1937" s="45"/>
      <c r="R1937" s="48">
        <f t="shared" si="273"/>
        <v>1.2559518865405026</v>
      </c>
      <c r="U1937" s="94">
        <v>1.969018827099958</v>
      </c>
      <c r="V1937" s="105">
        <v>1.2559518865405026</v>
      </c>
      <c r="W1937" s="49">
        <f t="shared" si="274"/>
        <v>2.0888275188494307</v>
      </c>
    </row>
    <row r="1938" spans="1:23" hidden="1">
      <c r="A1938" s="22" t="s">
        <v>150</v>
      </c>
      <c r="B1938" s="23" t="s">
        <v>252</v>
      </c>
      <c r="C1938" s="28" t="s">
        <v>255</v>
      </c>
      <c r="D1938" s="23"/>
      <c r="H1938" s="104">
        <v>85.140611109999995</v>
      </c>
      <c r="I1938" s="104"/>
      <c r="J1938" s="104"/>
      <c r="K1938" s="67">
        <v>37.539731420000003</v>
      </c>
      <c r="O1938" s="94">
        <f t="shared" si="272"/>
        <v>1.9301367630686059</v>
      </c>
      <c r="P1938" s="45"/>
      <c r="Q1938" s="45"/>
      <c r="R1938" s="48">
        <f t="shared" si="273"/>
        <v>1.5744911611135317</v>
      </c>
      <c r="U1938" s="94">
        <v>1.9301367630686059</v>
      </c>
      <c r="V1938" s="105">
        <v>1.5744911611135317</v>
      </c>
      <c r="W1938" s="49">
        <f t="shared" si="274"/>
        <v>1.7966190395103829</v>
      </c>
    </row>
    <row r="1939" spans="1:23" hidden="1">
      <c r="A1939" s="22" t="s">
        <v>150</v>
      </c>
      <c r="B1939" s="23" t="s">
        <v>252</v>
      </c>
      <c r="C1939" s="28" t="s">
        <v>255</v>
      </c>
      <c r="D1939" s="23"/>
      <c r="H1939" s="104">
        <v>108.44927305</v>
      </c>
      <c r="I1939" s="104"/>
      <c r="J1939" s="104"/>
      <c r="K1939" s="67">
        <v>38.253854019999999</v>
      </c>
      <c r="O1939" s="94">
        <f t="shared" si="272"/>
        <v>2.0352266452258991</v>
      </c>
      <c r="P1939" s="45"/>
      <c r="Q1939" s="45"/>
      <c r="R1939" s="48">
        <f t="shared" si="273"/>
        <v>1.5826751962295289</v>
      </c>
      <c r="U1939" s="94">
        <v>2.0352266452258991</v>
      </c>
      <c r="V1939" s="105">
        <v>1.5826751962295289</v>
      </c>
      <c r="W1939" s="49">
        <f t="shared" si="274"/>
        <v>1.757335283496023</v>
      </c>
    </row>
    <row r="1940" spans="1:23" hidden="1">
      <c r="A1940" s="22" t="s">
        <v>150</v>
      </c>
      <c r="B1940" s="23" t="s">
        <v>252</v>
      </c>
      <c r="C1940" s="28" t="s">
        <v>255</v>
      </c>
      <c r="D1940" s="23"/>
      <c r="H1940" s="104">
        <v>118.92431901</v>
      </c>
      <c r="I1940" s="104"/>
      <c r="J1940" s="104"/>
      <c r="K1940" s="67">
        <v>27.411919390000001</v>
      </c>
      <c r="O1940" s="94">
        <f t="shared" si="272"/>
        <v>2.0752706732216768</v>
      </c>
      <c r="P1940" s="45"/>
      <c r="Q1940" s="45"/>
      <c r="R1940" s="48">
        <f t="shared" si="273"/>
        <v>1.4379394460211172</v>
      </c>
      <c r="U1940" s="94">
        <v>2.0752706732216768</v>
      </c>
      <c r="V1940" s="105">
        <v>1.4379394460211172</v>
      </c>
      <c r="W1940" s="49">
        <f t="shared" si="274"/>
        <v>1.8834045441520026</v>
      </c>
    </row>
    <row r="1941" spans="1:23" hidden="1">
      <c r="A1941" s="22" t="s">
        <v>150</v>
      </c>
      <c r="B1941" s="23" t="s">
        <v>252</v>
      </c>
      <c r="C1941" s="28" t="s">
        <v>255</v>
      </c>
      <c r="D1941" s="23"/>
      <c r="H1941" s="104">
        <v>152.51335127999999</v>
      </c>
      <c r="I1941" s="104"/>
      <c r="J1941" s="104"/>
      <c r="K1941" s="67">
        <v>36.070304849999999</v>
      </c>
      <c r="O1941" s="94">
        <f t="shared" si="272"/>
        <v>2.183307864229838</v>
      </c>
      <c r="P1941" s="45"/>
      <c r="Q1941" s="45"/>
      <c r="R1941" s="48">
        <f t="shared" si="273"/>
        <v>1.5571498127955834</v>
      </c>
      <c r="U1941" s="94">
        <v>2.183307864229838</v>
      </c>
      <c r="V1941" s="105">
        <v>1.5571498127955834</v>
      </c>
      <c r="W1941" s="49">
        <f t="shared" si="274"/>
        <v>1.7373299788639964</v>
      </c>
    </row>
    <row r="1942" spans="1:23" hidden="1">
      <c r="A1942" s="22" t="s">
        <v>150</v>
      </c>
      <c r="B1942" s="23" t="s">
        <v>252</v>
      </c>
      <c r="C1942" s="28" t="s">
        <v>255</v>
      </c>
      <c r="D1942" s="23"/>
      <c r="H1942" s="104">
        <v>261.53918698000001</v>
      </c>
      <c r="I1942" s="104"/>
      <c r="J1942" s="104"/>
      <c r="K1942" s="67">
        <v>15.077159679999999</v>
      </c>
      <c r="O1942" s="94">
        <f t="shared" si="272"/>
        <v>2.4175367693567895</v>
      </c>
      <c r="P1942" s="45"/>
      <c r="Q1942" s="45"/>
      <c r="R1942" s="48">
        <f t="shared" si="273"/>
        <v>1.1783195344060564</v>
      </c>
      <c r="U1942" s="94">
        <v>2.4175367693567895</v>
      </c>
      <c r="V1942" s="105">
        <v>1.1783195344060564</v>
      </c>
      <c r="W1942" s="49">
        <f t="shared" si="274"/>
        <v>2.0285388623031784</v>
      </c>
    </row>
    <row r="1943" spans="1:23" hidden="1">
      <c r="A1943" s="22" t="s">
        <v>150</v>
      </c>
      <c r="B1943" s="23" t="s">
        <v>252</v>
      </c>
      <c r="C1943" s="28" t="s">
        <v>255</v>
      </c>
      <c r="D1943" s="23"/>
      <c r="H1943" s="104">
        <v>253.67728686999999</v>
      </c>
      <c r="I1943" s="104"/>
      <c r="J1943" s="104"/>
      <c r="K1943" s="67">
        <v>23.7505202</v>
      </c>
      <c r="O1943" s="94">
        <f t="shared" si="272"/>
        <v>2.4042815841763616</v>
      </c>
      <c r="P1943" s="45"/>
      <c r="Q1943" s="45"/>
      <c r="R1943" s="48">
        <f t="shared" si="273"/>
        <v>1.3756731262773207</v>
      </c>
      <c r="U1943" s="94">
        <v>2.4042815841763616</v>
      </c>
      <c r="V1943" s="105">
        <v>1.3756731262773207</v>
      </c>
      <c r="W1943" s="49">
        <f t="shared" si="274"/>
        <v>1.8442535250562728</v>
      </c>
    </row>
    <row r="1944" spans="1:23" hidden="1">
      <c r="A1944" s="22" t="s">
        <v>150</v>
      </c>
      <c r="B1944" s="23" t="s">
        <v>252</v>
      </c>
      <c r="C1944" s="28" t="s">
        <v>255</v>
      </c>
      <c r="D1944" s="23"/>
      <c r="H1944" s="104">
        <v>201.67643330000001</v>
      </c>
      <c r="I1944" s="104"/>
      <c r="J1944" s="104"/>
      <c r="K1944" s="67">
        <v>41.832890450000001</v>
      </c>
      <c r="O1944" s="94">
        <f t="shared" si="272"/>
        <v>2.3046551521258185</v>
      </c>
      <c r="P1944" s="45"/>
      <c r="Q1944" s="45"/>
      <c r="R1944" s="48">
        <f t="shared" si="273"/>
        <v>1.6215178732613957</v>
      </c>
      <c r="U1944" s="94">
        <v>2.3046551521258185</v>
      </c>
      <c r="V1944" s="105">
        <v>1.6215178732613957</v>
      </c>
      <c r="W1944" s="49">
        <f t="shared" si="274"/>
        <v>1.6395827881175296</v>
      </c>
    </row>
    <row r="1945" spans="1:23" hidden="1">
      <c r="A1945" s="22" t="s">
        <v>150</v>
      </c>
      <c r="B1945" s="23" t="s">
        <v>252</v>
      </c>
      <c r="C1945" s="28" t="s">
        <v>255</v>
      </c>
      <c r="D1945" s="23"/>
      <c r="H1945" s="104">
        <v>266.54085296</v>
      </c>
      <c r="I1945" s="104"/>
      <c r="J1945" s="104"/>
      <c r="K1945" s="67">
        <v>32.41639318</v>
      </c>
      <c r="O1945" s="94">
        <f t="shared" si="272"/>
        <v>2.4257637831762691</v>
      </c>
      <c r="P1945" s="45"/>
      <c r="Q1945" s="45"/>
      <c r="R1945" s="48">
        <f t="shared" si="273"/>
        <v>1.5107646912908983</v>
      </c>
      <c r="U1945" s="94">
        <v>2.4257637831762691</v>
      </c>
      <c r="V1945" s="105">
        <v>1.5107646912908983</v>
      </c>
      <c r="W1945" s="49">
        <f t="shared" si="274"/>
        <v>1.7089552341272534</v>
      </c>
    </row>
    <row r="1946" spans="1:23" hidden="1">
      <c r="A1946" s="22" t="s">
        <v>150</v>
      </c>
      <c r="B1946" s="23" t="s">
        <v>252</v>
      </c>
      <c r="C1946" s="28" t="s">
        <v>255</v>
      </c>
      <c r="D1946" s="23"/>
      <c r="H1946" s="104">
        <v>250.89192797999999</v>
      </c>
      <c r="I1946" s="104"/>
      <c r="J1946" s="104"/>
      <c r="K1946" s="67">
        <v>42.537653630000001</v>
      </c>
      <c r="O1946" s="94">
        <f t="shared" si="272"/>
        <v>2.3994866888549171</v>
      </c>
      <c r="P1946" s="45"/>
      <c r="Q1946" s="45"/>
      <c r="R1946" s="48">
        <f t="shared" si="273"/>
        <v>1.6287735306149624</v>
      </c>
      <c r="U1946" s="94">
        <v>2.3994866888549171</v>
      </c>
      <c r="V1946" s="105">
        <v>1.6287735306149624</v>
      </c>
      <c r="W1946" s="49">
        <f t="shared" si="274"/>
        <v>1.6042572384617937</v>
      </c>
    </row>
    <row r="1947" spans="1:23" hidden="1">
      <c r="A1947" s="22" t="s">
        <v>150</v>
      </c>
      <c r="B1947" s="23" t="s">
        <v>252</v>
      </c>
      <c r="C1947" s="28" t="s">
        <v>255</v>
      </c>
      <c r="D1947" s="23"/>
      <c r="H1947" s="104">
        <v>178.27792106999999</v>
      </c>
      <c r="I1947" s="104"/>
      <c r="J1947" s="104"/>
      <c r="K1947" s="67">
        <v>49.789320539999999</v>
      </c>
      <c r="O1947" s="94">
        <f t="shared" si="272"/>
        <v>2.2510975610598001</v>
      </c>
      <c r="P1947" s="45"/>
      <c r="Q1947" s="45"/>
      <c r="R1947" s="48">
        <f t="shared" si="273"/>
        <v>1.6971361996287004</v>
      </c>
      <c r="U1947" s="94">
        <v>2.2510975610598001</v>
      </c>
      <c r="V1947" s="105">
        <v>1.6971361996287004</v>
      </c>
      <c r="W1947" s="49">
        <f t="shared" si="274"/>
        <v>1.5834922826367706</v>
      </c>
    </row>
    <row r="1948" spans="1:23" hidden="1">
      <c r="A1948" s="22" t="s">
        <v>150</v>
      </c>
      <c r="B1948" s="23" t="s">
        <v>252</v>
      </c>
      <c r="C1948" s="28" t="s">
        <v>255</v>
      </c>
      <c r="D1948" s="23"/>
      <c r="H1948" s="104">
        <v>224.86529486000001</v>
      </c>
      <c r="I1948" s="104"/>
      <c r="J1948" s="104"/>
      <c r="K1948" s="67">
        <v>54.10774996</v>
      </c>
      <c r="O1948" s="94">
        <f t="shared" si="272"/>
        <v>2.351922432697338</v>
      </c>
      <c r="P1948" s="45"/>
      <c r="Q1948" s="45"/>
      <c r="R1948" s="48">
        <f t="shared" si="273"/>
        <v>1.7332594744191181</v>
      </c>
      <c r="U1948" s="94">
        <v>2.351922432697338</v>
      </c>
      <c r="V1948" s="105">
        <v>1.7332594744191181</v>
      </c>
      <c r="W1948" s="49">
        <f t="shared" si="274"/>
        <v>1.5188347614669064</v>
      </c>
    </row>
    <row r="1949" spans="1:23" hidden="1">
      <c r="A1949" s="22" t="s">
        <v>150</v>
      </c>
      <c r="B1949" s="23" t="s">
        <v>252</v>
      </c>
      <c r="C1949" s="28" t="s">
        <v>255</v>
      </c>
      <c r="D1949" s="23"/>
      <c r="H1949" s="104">
        <v>134.10152998000001</v>
      </c>
      <c r="I1949" s="104"/>
      <c r="J1949" s="104"/>
      <c r="K1949" s="67">
        <v>62.811060570000002</v>
      </c>
      <c r="O1949" s="94">
        <f t="shared" si="272"/>
        <v>2.1274337327962742</v>
      </c>
      <c r="P1949" s="45"/>
      <c r="Q1949" s="45"/>
      <c r="R1949" s="48">
        <f t="shared" si="273"/>
        <v>1.7980361265645575</v>
      </c>
      <c r="U1949" s="94">
        <v>2.1274337327962742</v>
      </c>
      <c r="V1949" s="105">
        <v>1.7980361265645575</v>
      </c>
      <c r="W1949" s="49">
        <f t="shared" si="274"/>
        <v>1.5242842010277575</v>
      </c>
    </row>
    <row r="1950" spans="1:23" hidden="1">
      <c r="A1950" s="22" t="s">
        <v>150</v>
      </c>
      <c r="B1950" s="23" t="s">
        <v>252</v>
      </c>
      <c r="C1950" s="28" t="s">
        <v>255</v>
      </c>
      <c r="D1950" s="23"/>
      <c r="H1950" s="104">
        <v>159.90353737999999</v>
      </c>
      <c r="I1950" s="104"/>
      <c r="J1950" s="104"/>
      <c r="K1950" s="67">
        <v>72.91734597</v>
      </c>
      <c r="O1950" s="94">
        <f t="shared" si="272"/>
        <v>2.2038580712985905</v>
      </c>
      <c r="P1950" s="45"/>
      <c r="Q1950" s="45"/>
      <c r="R1950" s="48">
        <f t="shared" si="273"/>
        <v>1.8628308529127227</v>
      </c>
      <c r="U1950" s="94">
        <v>2.2038580712985905</v>
      </c>
      <c r="V1950" s="105">
        <v>1.8628308529127227</v>
      </c>
      <c r="W1950" s="49">
        <f t="shared" si="274"/>
        <v>1.4395855421440722</v>
      </c>
    </row>
    <row r="1951" spans="1:23" hidden="1">
      <c r="A1951" s="22" t="s">
        <v>150</v>
      </c>
      <c r="B1951" s="23" t="s">
        <v>252</v>
      </c>
      <c r="C1951" s="28" t="s">
        <v>255</v>
      </c>
      <c r="D1951" s="23"/>
      <c r="H1951" s="104">
        <v>185.90770793999999</v>
      </c>
      <c r="I1951" s="104"/>
      <c r="J1951" s="104"/>
      <c r="K1951" s="67">
        <v>63.514887819999998</v>
      </c>
      <c r="O1951" s="94">
        <f t="shared" si="272"/>
        <v>2.269297396476643</v>
      </c>
      <c r="P1951" s="45"/>
      <c r="Q1951" s="45"/>
      <c r="R1951" s="48">
        <f t="shared" si="273"/>
        <v>1.8028755353744652</v>
      </c>
      <c r="U1951" s="94">
        <v>2.269297396476643</v>
      </c>
      <c r="V1951" s="105">
        <v>1.8028755353744652</v>
      </c>
      <c r="W1951" s="49">
        <f t="shared" si="274"/>
        <v>1.4771762318455899</v>
      </c>
    </row>
    <row r="1952" spans="1:23" hidden="1">
      <c r="A1952" s="22" t="s">
        <v>150</v>
      </c>
      <c r="B1952" s="23" t="s">
        <v>252</v>
      </c>
      <c r="C1952" s="28" t="s">
        <v>255</v>
      </c>
      <c r="D1952" s="23"/>
      <c r="H1952" s="104">
        <v>331.31542232999999</v>
      </c>
      <c r="I1952" s="104"/>
      <c r="J1952" s="104"/>
      <c r="K1952" s="67">
        <v>31.670448610000001</v>
      </c>
      <c r="O1952" s="94">
        <f t="shared" si="272"/>
        <v>2.5202416522324782</v>
      </c>
      <c r="P1952" s="45"/>
      <c r="Q1952" s="45"/>
      <c r="R1952" s="48">
        <f t="shared" si="273"/>
        <v>1.500654215170701</v>
      </c>
      <c r="U1952" s="94">
        <v>2.5202416522324782</v>
      </c>
      <c r="V1952" s="105">
        <v>1.500654215170701</v>
      </c>
      <c r="W1952" s="49">
        <f t="shared" si="274"/>
        <v>1.6903011713603964</v>
      </c>
    </row>
    <row r="1953" spans="1:23" hidden="1">
      <c r="A1953" s="22" t="s">
        <v>150</v>
      </c>
      <c r="B1953" s="23" t="s">
        <v>252</v>
      </c>
      <c r="C1953" s="28" t="s">
        <v>255</v>
      </c>
      <c r="D1953" s="23"/>
      <c r="H1953" s="104">
        <v>375.32708788999997</v>
      </c>
      <c r="I1953" s="104"/>
      <c r="J1953" s="104"/>
      <c r="K1953" s="67">
        <v>34.544721860000003</v>
      </c>
      <c r="O1953" s="94">
        <f t="shared" si="272"/>
        <v>2.5744099091949275</v>
      </c>
      <c r="P1953" s="45"/>
      <c r="Q1953" s="45"/>
      <c r="R1953" s="48">
        <f t="shared" si="273"/>
        <v>1.538381700272091</v>
      </c>
      <c r="U1953" s="94">
        <v>2.5744099091949275</v>
      </c>
      <c r="V1953" s="105">
        <v>1.538381700272091</v>
      </c>
      <c r="W1953" s="49">
        <f t="shared" si="274"/>
        <v>1.6380881978228057</v>
      </c>
    </row>
    <row r="1954" spans="1:23" hidden="1">
      <c r="A1954" s="22" t="s">
        <v>150</v>
      </c>
      <c r="B1954" s="23" t="s">
        <v>252</v>
      </c>
      <c r="C1954" s="28" t="s">
        <v>255</v>
      </c>
      <c r="D1954" s="23"/>
      <c r="H1954" s="104">
        <v>388.46769236</v>
      </c>
      <c r="I1954" s="104"/>
      <c r="J1954" s="104"/>
      <c r="K1954" s="67">
        <v>16.47639071</v>
      </c>
      <c r="O1954" s="94">
        <f t="shared" si="272"/>
        <v>2.5893549057283938</v>
      </c>
      <c r="P1954" s="45"/>
      <c r="Q1954" s="45"/>
      <c r="R1954" s="48">
        <f t="shared" si="273"/>
        <v>1.2168620819724798</v>
      </c>
      <c r="U1954" s="94">
        <v>2.5893549057283938</v>
      </c>
      <c r="V1954" s="105">
        <v>1.2168620819724798</v>
      </c>
      <c r="W1954" s="49">
        <f t="shared" si="274"/>
        <v>1.9403093676101169</v>
      </c>
    </row>
    <row r="1955" spans="1:23" hidden="1">
      <c r="A1955" s="22" t="s">
        <v>150</v>
      </c>
      <c r="B1955" s="23" t="s">
        <v>252</v>
      </c>
      <c r="C1955" s="28" t="s">
        <v>255</v>
      </c>
      <c r="D1955" s="23"/>
      <c r="H1955" s="104">
        <v>401.08417015999999</v>
      </c>
      <c r="I1955" s="104"/>
      <c r="J1955" s="104"/>
      <c r="K1955" s="67">
        <v>48.9862836</v>
      </c>
      <c r="O1955" s="94">
        <f t="shared" si="272"/>
        <v>2.6032355217477252</v>
      </c>
      <c r="P1955" s="45"/>
      <c r="Q1955" s="45"/>
      <c r="R1955" s="48">
        <f t="shared" si="273"/>
        <v>1.6900744924623436</v>
      </c>
      <c r="U1955" s="94">
        <v>2.6032355217477252</v>
      </c>
      <c r="V1955" s="105">
        <v>1.6900744924623436</v>
      </c>
      <c r="W1955" s="49">
        <f t="shared" si="274"/>
        <v>1.4847544632828917</v>
      </c>
    </row>
    <row r="1956" spans="1:23" hidden="1">
      <c r="A1956" s="22" t="s">
        <v>150</v>
      </c>
      <c r="B1956" s="23" t="s">
        <v>252</v>
      </c>
      <c r="C1956" s="28" t="s">
        <v>255</v>
      </c>
      <c r="D1956" s="23"/>
      <c r="H1956" s="104">
        <v>351.80877528000002</v>
      </c>
      <c r="I1956" s="104"/>
      <c r="J1956" s="104"/>
      <c r="K1956" s="67">
        <v>54.061888879999998</v>
      </c>
      <c r="O1956" s="94">
        <f t="shared" si="272"/>
        <v>2.5463066680041901</v>
      </c>
      <c r="P1956" s="45"/>
      <c r="Q1956" s="45"/>
      <c r="R1956" s="48">
        <f t="shared" si="273"/>
        <v>1.7328912155364018</v>
      </c>
      <c r="U1956" s="94">
        <v>2.5463066680041901</v>
      </c>
      <c r="V1956" s="105">
        <v>1.7328912155364018</v>
      </c>
      <c r="W1956" s="49">
        <f t="shared" si="274"/>
        <v>1.4609631832885384</v>
      </c>
    </row>
    <row r="1957" spans="1:23" hidden="1">
      <c r="A1957" s="22" t="s">
        <v>150</v>
      </c>
      <c r="B1957" s="23" t="s">
        <v>252</v>
      </c>
      <c r="C1957" s="28" t="s">
        <v>255</v>
      </c>
      <c r="D1957" s="23"/>
      <c r="H1957" s="104">
        <v>284.57081054000002</v>
      </c>
      <c r="I1957" s="104"/>
      <c r="J1957" s="104"/>
      <c r="K1957" s="67">
        <v>42.525486409999999</v>
      </c>
      <c r="O1957" s="94">
        <f t="shared" si="272"/>
        <v>2.4541903508728642</v>
      </c>
      <c r="P1957" s="45"/>
      <c r="Q1957" s="45"/>
      <c r="R1957" s="48">
        <f t="shared" si="273"/>
        <v>1.6286492898089058</v>
      </c>
      <c r="U1957" s="94">
        <v>2.4541903508728642</v>
      </c>
      <c r="V1957" s="105">
        <v>1.6286492898089058</v>
      </c>
      <c r="W1957" s="49">
        <f t="shared" si="274"/>
        <v>1.5879906592822304</v>
      </c>
    </row>
    <row r="1958" spans="1:23" hidden="1">
      <c r="A1958" s="22" t="s">
        <v>150</v>
      </c>
      <c r="B1958" s="23" t="s">
        <v>252</v>
      </c>
      <c r="C1958" s="28" t="s">
        <v>255</v>
      </c>
      <c r="D1958" s="23"/>
      <c r="H1958" s="104">
        <v>305.1615013</v>
      </c>
      <c r="I1958" s="104"/>
      <c r="J1958" s="104"/>
      <c r="K1958" s="67">
        <v>55.523827920000002</v>
      </c>
      <c r="O1958" s="94">
        <f t="shared" si="272"/>
        <v>2.4845297428228283</v>
      </c>
      <c r="P1958" s="45"/>
      <c r="Q1958" s="45"/>
      <c r="R1958" s="48">
        <f t="shared" si="273"/>
        <v>1.7444793995798278</v>
      </c>
      <c r="U1958" s="94">
        <v>2.4845297428228283</v>
      </c>
      <c r="V1958" s="105">
        <v>1.7444793995798278</v>
      </c>
      <c r="W1958" s="49">
        <f t="shared" si="274"/>
        <v>1.4684129233336918</v>
      </c>
    </row>
    <row r="1959" spans="1:23" hidden="1">
      <c r="A1959" s="22" t="s">
        <v>150</v>
      </c>
      <c r="B1959" s="23" t="s">
        <v>252</v>
      </c>
      <c r="C1959" s="28" t="s">
        <v>255</v>
      </c>
      <c r="D1959" s="23"/>
      <c r="H1959" s="104">
        <v>318.01009234000003</v>
      </c>
      <c r="I1959" s="104"/>
      <c r="J1959" s="104"/>
      <c r="K1959" s="67">
        <v>65.634793029999997</v>
      </c>
      <c r="O1959" s="94">
        <f t="shared" si="272"/>
        <v>2.5024409029341834</v>
      </c>
      <c r="P1959" s="45"/>
      <c r="Q1959" s="45"/>
      <c r="R1959" s="48">
        <f t="shared" si="273"/>
        <v>1.8171341200953208</v>
      </c>
      <c r="U1959" s="94">
        <v>2.5024409029341834</v>
      </c>
      <c r="V1959" s="105">
        <v>1.8171341200953208</v>
      </c>
      <c r="W1959" s="49">
        <f t="shared" si="274"/>
        <v>1.3937427523660733</v>
      </c>
    </row>
    <row r="1960" spans="1:23" hidden="1">
      <c r="A1960" s="22" t="s">
        <v>150</v>
      </c>
      <c r="B1960" s="23" t="s">
        <v>252</v>
      </c>
      <c r="C1960" s="28" t="s">
        <v>255</v>
      </c>
      <c r="D1960" s="23"/>
      <c r="H1960" s="104">
        <v>335.98763724999998</v>
      </c>
      <c r="I1960" s="104"/>
      <c r="J1960" s="104"/>
      <c r="K1960" s="67">
        <v>80.801708649999995</v>
      </c>
      <c r="O1960" s="94">
        <f t="shared" si="272"/>
        <v>2.5263232977086441</v>
      </c>
      <c r="P1960" s="45"/>
      <c r="Q1960" s="45"/>
      <c r="R1960" s="48">
        <f t="shared" si="273"/>
        <v>1.907420544554544</v>
      </c>
      <c r="U1960" s="94">
        <v>2.5263232977086441</v>
      </c>
      <c r="V1960" s="105">
        <v>1.907420544554544</v>
      </c>
      <c r="W1960" s="49">
        <f t="shared" si="274"/>
        <v>1.300465167332558</v>
      </c>
    </row>
    <row r="1961" spans="1:23" hidden="1">
      <c r="A1961" s="22" t="s">
        <v>150</v>
      </c>
      <c r="B1961" s="23" t="s">
        <v>252</v>
      </c>
      <c r="C1961" s="28" t="s">
        <v>255</v>
      </c>
      <c r="D1961" s="23"/>
      <c r="H1961" s="104">
        <v>266.16647676000002</v>
      </c>
      <c r="I1961" s="104"/>
      <c r="J1961" s="104"/>
      <c r="K1961" s="67">
        <v>68.543696069999996</v>
      </c>
      <c r="O1961" s="94">
        <f t="shared" si="272"/>
        <v>2.4251533558909188</v>
      </c>
      <c r="P1961" s="45"/>
      <c r="Q1961" s="45"/>
      <c r="R1961" s="48">
        <f t="shared" si="273"/>
        <v>1.835967519112333</v>
      </c>
      <c r="U1961" s="94">
        <v>2.4251533558909188</v>
      </c>
      <c r="V1961" s="105">
        <v>1.835967519112333</v>
      </c>
      <c r="W1961" s="49">
        <f t="shared" si="274"/>
        <v>1.3989270946568604</v>
      </c>
    </row>
    <row r="1962" spans="1:23" hidden="1">
      <c r="A1962" s="22" t="s">
        <v>150</v>
      </c>
      <c r="B1962" s="23" t="s">
        <v>252</v>
      </c>
      <c r="C1962" s="28" t="s">
        <v>255</v>
      </c>
      <c r="D1962" s="23"/>
      <c r="H1962" s="104">
        <v>214.32286119</v>
      </c>
      <c r="I1962" s="104"/>
      <c r="J1962" s="104"/>
      <c r="K1962" s="67">
        <v>71.452599109999994</v>
      </c>
      <c r="O1962" s="94">
        <f t="shared" si="272"/>
        <v>2.3310684984292602</v>
      </c>
      <c r="P1962" s="45"/>
      <c r="Q1962" s="45"/>
      <c r="R1962" s="48">
        <f t="shared" si="273"/>
        <v>1.8540180310080354</v>
      </c>
      <c r="U1962" s="94">
        <v>2.3310684984292602</v>
      </c>
      <c r="V1962" s="105">
        <v>1.8540180310080354</v>
      </c>
      <c r="W1962" s="49">
        <f t="shared" si="274"/>
        <v>1.4098894406568101</v>
      </c>
    </row>
    <row r="1963" spans="1:23" hidden="1">
      <c r="A1963" s="22" t="s">
        <v>150</v>
      </c>
      <c r="B1963" s="23" t="s">
        <v>252</v>
      </c>
      <c r="C1963" s="28" t="s">
        <v>255</v>
      </c>
      <c r="D1963" s="23"/>
      <c r="H1963" s="104">
        <v>258.20723884</v>
      </c>
      <c r="I1963" s="104"/>
      <c r="J1963" s="104"/>
      <c r="K1963" s="67">
        <v>86.610155329999998</v>
      </c>
      <c r="O1963" s="94">
        <f t="shared" si="272"/>
        <v>2.4119684135469734</v>
      </c>
      <c r="P1963" s="45"/>
      <c r="Q1963" s="45"/>
      <c r="R1963" s="48">
        <f t="shared" si="273"/>
        <v>1.9375688174815904</v>
      </c>
      <c r="U1963" s="94">
        <v>2.4119684135469734</v>
      </c>
      <c r="V1963" s="105">
        <v>1.9375688174815904</v>
      </c>
      <c r="W1963" s="49">
        <f t="shared" si="274"/>
        <v>1.3059588307240193</v>
      </c>
    </row>
    <row r="1964" spans="1:23" hidden="1">
      <c r="A1964" s="22" t="s">
        <v>150</v>
      </c>
      <c r="B1964" s="23" t="s">
        <v>252</v>
      </c>
      <c r="C1964" s="28" t="s">
        <v>255</v>
      </c>
      <c r="D1964" s="23"/>
      <c r="H1964" s="104">
        <v>185.71303230999999</v>
      </c>
      <c r="I1964" s="104"/>
      <c r="J1964" s="104"/>
      <c r="K1964" s="67">
        <v>82.301085319999999</v>
      </c>
      <c r="O1964" s="94">
        <f t="shared" si="272"/>
        <v>2.2688423811858009</v>
      </c>
      <c r="P1964" s="45"/>
      <c r="Q1964" s="45"/>
      <c r="R1964" s="48">
        <f t="shared" si="273"/>
        <v>1.915405562373621</v>
      </c>
      <c r="U1964" s="94">
        <v>2.2688423811858009</v>
      </c>
      <c r="V1964" s="105">
        <v>1.915405562373621</v>
      </c>
      <c r="W1964" s="49">
        <f t="shared" si="274"/>
        <v>1.3699701273640783</v>
      </c>
    </row>
    <row r="1965" spans="1:23" hidden="1">
      <c r="A1965" s="22" t="s">
        <v>150</v>
      </c>
      <c r="B1965" s="23" t="s">
        <v>252</v>
      </c>
      <c r="C1965" s="28" t="s">
        <v>255</v>
      </c>
      <c r="D1965" s="23"/>
      <c r="H1965" s="104">
        <v>144.29205003000001</v>
      </c>
      <c r="I1965" s="104"/>
      <c r="J1965" s="104"/>
      <c r="K1965" s="67">
        <v>79.425876130000006</v>
      </c>
      <c r="O1965" s="94">
        <f t="shared" si="272"/>
        <v>2.1592424036976925</v>
      </c>
      <c r="P1965" s="45"/>
      <c r="Q1965" s="45"/>
      <c r="R1965" s="48">
        <f t="shared" si="273"/>
        <v>1.8999620141359597</v>
      </c>
      <c r="U1965" s="94">
        <v>2.1592424036976925</v>
      </c>
      <c r="V1965" s="105">
        <v>1.8999620141359597</v>
      </c>
      <c r="W1965" s="49">
        <f t="shared" si="274"/>
        <v>1.4175296174451182</v>
      </c>
    </row>
    <row r="1966" spans="1:23" hidden="1">
      <c r="A1966" s="22" t="s">
        <v>150</v>
      </c>
      <c r="B1966" s="23" t="s">
        <v>252</v>
      </c>
      <c r="C1966" s="28" t="s">
        <v>255</v>
      </c>
      <c r="D1966" s="23"/>
      <c r="H1966" s="104">
        <v>177.82866963000001</v>
      </c>
      <c r="I1966" s="104"/>
      <c r="J1966" s="104"/>
      <c r="K1966" s="67">
        <v>93.142083999999997</v>
      </c>
      <c r="O1966" s="94">
        <f t="shared" si="272"/>
        <v>2.2500017794596725</v>
      </c>
      <c r="P1966" s="45"/>
      <c r="Q1966" s="45"/>
      <c r="R1966" s="48">
        <f t="shared" si="273"/>
        <v>1.9691459507920637</v>
      </c>
      <c r="U1966" s="94">
        <v>2.2500017794596725</v>
      </c>
      <c r="V1966" s="105">
        <v>1.9691459507920637</v>
      </c>
      <c r="W1966" s="49">
        <f t="shared" si="274"/>
        <v>1.3243503945475037</v>
      </c>
    </row>
    <row r="1967" spans="1:23" hidden="1">
      <c r="A1967" s="22" t="s">
        <v>150</v>
      </c>
      <c r="B1967" s="23" t="s">
        <v>252</v>
      </c>
      <c r="C1967" s="28" t="s">
        <v>255</v>
      </c>
      <c r="D1967" s="23"/>
      <c r="H1967" s="104">
        <v>201.14481910000001</v>
      </c>
      <c r="I1967" s="104"/>
      <c r="J1967" s="104"/>
      <c r="K1967" s="67">
        <v>93.133660539999994</v>
      </c>
      <c r="O1967" s="94">
        <f t="shared" si="272"/>
        <v>2.3035088509005281</v>
      </c>
      <c r="P1967" s="45"/>
      <c r="Q1967" s="45"/>
      <c r="R1967" s="48">
        <f t="shared" si="273"/>
        <v>1.96910667286881</v>
      </c>
      <c r="U1967" s="94">
        <v>2.3035088509005281</v>
      </c>
      <c r="V1967" s="105">
        <v>1.96910667286881</v>
      </c>
      <c r="W1967" s="49">
        <f t="shared" si="274"/>
        <v>1.308361177588002</v>
      </c>
    </row>
    <row r="1968" spans="1:23" hidden="1">
      <c r="A1968" s="22" t="s">
        <v>150</v>
      </c>
      <c r="B1968" s="23" t="s">
        <v>252</v>
      </c>
      <c r="C1968" s="28" t="s">
        <v>255</v>
      </c>
      <c r="D1968" s="23"/>
      <c r="H1968" s="104">
        <v>141.36442818</v>
      </c>
      <c r="I1968" s="104"/>
      <c r="J1968" s="104"/>
      <c r="K1968" s="67">
        <v>111.94138467000001</v>
      </c>
      <c r="O1968" s="94">
        <f t="shared" si="272"/>
        <v>2.1503401407999094</v>
      </c>
      <c r="P1968" s="45"/>
      <c r="Q1968" s="45"/>
      <c r="R1968" s="48">
        <f t="shared" si="273"/>
        <v>2.0489906746523707</v>
      </c>
      <c r="U1968" s="94">
        <v>2.1503401407999094</v>
      </c>
      <c r="V1968" s="105">
        <v>2.0489906746523707</v>
      </c>
      <c r="W1968" s="49">
        <f t="shared" si="274"/>
        <v>1.2780376249120671</v>
      </c>
    </row>
    <row r="1969" spans="1:23" hidden="1">
      <c r="A1969" s="22" t="s">
        <v>150</v>
      </c>
      <c r="B1969" s="23" t="s">
        <v>252</v>
      </c>
      <c r="C1969" s="28" t="s">
        <v>255</v>
      </c>
      <c r="D1969" s="23"/>
      <c r="H1969" s="104">
        <v>198.34448516</v>
      </c>
      <c r="I1969" s="104"/>
      <c r="J1969" s="104"/>
      <c r="K1969" s="67">
        <v>113.36588609</v>
      </c>
      <c r="O1969" s="94">
        <f t="shared" si="272"/>
        <v>2.2974201297011354</v>
      </c>
      <c r="P1969" s="45"/>
      <c r="Q1969" s="45"/>
      <c r="R1969" s="48">
        <f t="shared" si="273"/>
        <v>2.0544823869045672</v>
      </c>
      <c r="U1969" s="94">
        <v>2.2974201297011354</v>
      </c>
      <c r="V1969" s="105">
        <v>2.0544823869045672</v>
      </c>
      <c r="W1969" s="49">
        <f t="shared" si="274"/>
        <v>1.2287450057510527</v>
      </c>
    </row>
    <row r="1970" spans="1:23" hidden="1">
      <c r="A1970" s="22" t="s">
        <v>150</v>
      </c>
      <c r="B1970" s="23" t="s">
        <v>252</v>
      </c>
      <c r="C1970" s="28" t="s">
        <v>255</v>
      </c>
      <c r="D1970" s="23"/>
      <c r="H1970" s="104">
        <v>187.75712634000001</v>
      </c>
      <c r="I1970" s="104"/>
      <c r="J1970" s="104"/>
      <c r="K1970" s="67">
        <v>135.04601158</v>
      </c>
      <c r="O1970" s="94">
        <f t="shared" si="272"/>
        <v>2.2735964296783537</v>
      </c>
      <c r="P1970" s="45"/>
      <c r="Q1970" s="45"/>
      <c r="R1970" s="48">
        <f t="shared" si="273"/>
        <v>2.1304817623526016</v>
      </c>
      <c r="U1970" s="94">
        <v>2.2735964296783537</v>
      </c>
      <c r="V1970" s="105">
        <v>2.1304817623526016</v>
      </c>
      <c r="W1970" s="49">
        <f t="shared" si="274"/>
        <v>1.1633849857310163</v>
      </c>
    </row>
    <row r="1971" spans="1:23" hidden="1">
      <c r="A1971" s="22" t="s">
        <v>150</v>
      </c>
      <c r="B1971" s="23" t="s">
        <v>252</v>
      </c>
      <c r="C1971" s="28" t="s">
        <v>255</v>
      </c>
      <c r="D1971" s="23"/>
      <c r="H1971" s="104">
        <v>286.56997942999999</v>
      </c>
      <c r="I1971" s="104"/>
      <c r="J1971" s="104"/>
      <c r="K1971" s="67">
        <v>99.60568902</v>
      </c>
      <c r="O1971" s="94">
        <f t="shared" si="272"/>
        <v>2.457230692513602</v>
      </c>
      <c r="P1971" s="45"/>
      <c r="Q1971" s="45"/>
      <c r="R1971" s="48">
        <f t="shared" si="273"/>
        <v>1.9982841440405088</v>
      </c>
      <c r="U1971" s="94">
        <v>2.457230692513602</v>
      </c>
      <c r="V1971" s="105">
        <v>1.9982841440405088</v>
      </c>
      <c r="W1971" s="49">
        <f t="shared" si="274"/>
        <v>1.234485314716899</v>
      </c>
    </row>
    <row r="1972" spans="1:23" hidden="1">
      <c r="A1972" s="22" t="s">
        <v>150</v>
      </c>
      <c r="B1972" s="23" t="s">
        <v>252</v>
      </c>
      <c r="C1972" s="28" t="s">
        <v>255</v>
      </c>
      <c r="D1972" s="23"/>
      <c r="H1972" s="104">
        <v>247.70224279000001</v>
      </c>
      <c r="I1972" s="104"/>
      <c r="J1972" s="104"/>
      <c r="K1972" s="67">
        <v>100.34227419</v>
      </c>
      <c r="O1972" s="94">
        <f t="shared" si="272"/>
        <v>2.3939299388705018</v>
      </c>
      <c r="P1972" s="45"/>
      <c r="Q1972" s="45"/>
      <c r="R1972" s="48">
        <f t="shared" si="273"/>
        <v>2.0014839397949347</v>
      </c>
      <c r="U1972" s="94">
        <v>2.3939299388705018</v>
      </c>
      <c r="V1972" s="105">
        <v>2.0014839397949347</v>
      </c>
      <c r="W1972" s="49">
        <f t="shared" si="274"/>
        <v>1.2503931624614002</v>
      </c>
    </row>
    <row r="1973" spans="1:23" hidden="1">
      <c r="A1973" s="22" t="s">
        <v>150</v>
      </c>
      <c r="B1973" s="23" t="s">
        <v>252</v>
      </c>
      <c r="C1973" s="28" t="s">
        <v>255</v>
      </c>
      <c r="D1973" s="23"/>
      <c r="H1973" s="104">
        <v>335.8453743</v>
      </c>
      <c r="I1973" s="104"/>
      <c r="J1973" s="104"/>
      <c r="K1973" s="67">
        <v>94.530083750000003</v>
      </c>
      <c r="O1973" s="94">
        <f t="shared" si="272"/>
        <v>2.5261393710065456</v>
      </c>
      <c r="P1973" s="45"/>
      <c r="Q1973" s="45"/>
      <c r="R1973" s="48">
        <f t="shared" si="273"/>
        <v>1.9755700426619551</v>
      </c>
      <c r="U1973" s="94">
        <v>2.5261393710065456</v>
      </c>
      <c r="V1973" s="105">
        <v>1.9755700426619551</v>
      </c>
      <c r="W1973" s="49">
        <f t="shared" si="274"/>
        <v>1.2355124516597737</v>
      </c>
    </row>
    <row r="1974" spans="1:23" hidden="1">
      <c r="A1974" s="22" t="s">
        <v>150</v>
      </c>
      <c r="B1974" s="23" t="s">
        <v>252</v>
      </c>
      <c r="C1974" s="28" t="s">
        <v>255</v>
      </c>
      <c r="D1974" s="23"/>
      <c r="H1974" s="104">
        <v>174.48174643999999</v>
      </c>
      <c r="I1974" s="104"/>
      <c r="J1974" s="104"/>
      <c r="K1974" s="67">
        <v>166.12017176000001</v>
      </c>
      <c r="O1974" s="94">
        <f t="shared" si="272"/>
        <v>2.2417499995757968</v>
      </c>
      <c r="P1974" s="45"/>
      <c r="Q1974" s="45"/>
      <c r="R1974" s="48">
        <f t="shared" si="273"/>
        <v>2.2204223714769786</v>
      </c>
      <c r="U1974" s="94">
        <v>2.2417499995757968</v>
      </c>
      <c r="V1974" s="105">
        <v>2.2204223714769786</v>
      </c>
      <c r="W1974" s="49">
        <f t="shared" si="274"/>
        <v>1.0871294279251693</v>
      </c>
    </row>
    <row r="1975" spans="1:23" hidden="1">
      <c r="A1975" s="22" t="s">
        <v>150</v>
      </c>
      <c r="B1975" s="23" t="s">
        <v>252</v>
      </c>
      <c r="C1975" s="28" t="s">
        <v>255</v>
      </c>
      <c r="D1975" s="23"/>
      <c r="H1975" s="104">
        <v>213.34199555000001</v>
      </c>
      <c r="I1975" s="104"/>
      <c r="J1975" s="104"/>
      <c r="K1975" s="67">
        <v>166.10613265999999</v>
      </c>
      <c r="O1975" s="94">
        <f t="shared" ref="O1975:O2038" si="275">LOG10(H1975)</f>
        <v>2.3290763530604406</v>
      </c>
      <c r="P1975" s="45"/>
      <c r="Q1975" s="45"/>
      <c r="R1975" s="48">
        <f t="shared" ref="R1975:R2038" si="276">LOG10(K1975)</f>
        <v>2.2203856669560942</v>
      </c>
      <c r="U1975" s="94">
        <v>2.3290763530604406</v>
      </c>
      <c r="V1975" s="105">
        <v>2.2203856669560942</v>
      </c>
      <c r="W1975" s="49">
        <f t="shared" si="274"/>
        <v>1.0610080492706946</v>
      </c>
    </row>
    <row r="1976" spans="1:23" hidden="1">
      <c r="A1976" s="22" t="s">
        <v>150</v>
      </c>
      <c r="B1976" s="23" t="s">
        <v>252</v>
      </c>
      <c r="C1976" s="28" t="s">
        <v>255</v>
      </c>
      <c r="D1976" s="23"/>
      <c r="H1976" s="104">
        <v>223.83201656</v>
      </c>
      <c r="I1976" s="104"/>
      <c r="J1976" s="104"/>
      <c r="K1976" s="67">
        <v>153.81910590999999</v>
      </c>
      <c r="O1976" s="94">
        <f t="shared" si="275"/>
        <v>2.3499222073971731</v>
      </c>
      <c r="P1976" s="45"/>
      <c r="Q1976" s="45"/>
      <c r="R1976" s="48">
        <f t="shared" si="276"/>
        <v>2.1870102826431785</v>
      </c>
      <c r="U1976" s="94">
        <v>2.3499222073971731</v>
      </c>
      <c r="V1976" s="105">
        <v>2.1870102826431785</v>
      </c>
      <c r="W1976" s="49">
        <f t="shared" si="274"/>
        <v>1.0866009821849167</v>
      </c>
    </row>
    <row r="1977" spans="1:23" hidden="1">
      <c r="A1977" s="22" t="s">
        <v>150</v>
      </c>
      <c r="B1977" s="23" t="s">
        <v>252</v>
      </c>
      <c r="C1977" s="28" t="s">
        <v>255</v>
      </c>
      <c r="D1977" s="23"/>
      <c r="H1977" s="104">
        <v>239.57079182000001</v>
      </c>
      <c r="I1977" s="104"/>
      <c r="J1977" s="104"/>
      <c r="K1977" s="67">
        <v>135.02729277</v>
      </c>
      <c r="O1977" s="94">
        <f t="shared" si="275"/>
        <v>2.3794338682889102</v>
      </c>
      <c r="P1977" s="45"/>
      <c r="Q1977" s="45"/>
      <c r="R1977" s="48">
        <f t="shared" si="276"/>
        <v>2.1304215603572705</v>
      </c>
      <c r="U1977" s="94">
        <v>2.3794338682889102</v>
      </c>
      <c r="V1977" s="105">
        <v>2.1304215603572705</v>
      </c>
      <c r="W1977" s="49">
        <f t="shared" si="274"/>
        <v>1.1317414959495111</v>
      </c>
    </row>
    <row r="1978" spans="1:23" hidden="1">
      <c r="A1978" s="22" t="s">
        <v>150</v>
      </c>
      <c r="B1978" s="23" t="s">
        <v>252</v>
      </c>
      <c r="C1978" s="28" t="s">
        <v>255</v>
      </c>
      <c r="D1978" s="23"/>
      <c r="H1978" s="104">
        <v>242.31122557</v>
      </c>
      <c r="I1978" s="104"/>
      <c r="J1978" s="104"/>
      <c r="K1978" s="67">
        <v>120.57543568</v>
      </c>
      <c r="O1978" s="94">
        <f t="shared" si="275"/>
        <v>2.3843735341960226</v>
      </c>
      <c r="P1978" s="45"/>
      <c r="Q1978" s="45"/>
      <c r="R1978" s="48">
        <f t="shared" si="276"/>
        <v>2.0812588398502174</v>
      </c>
      <c r="U1978" s="94">
        <v>2.3843735341960226</v>
      </c>
      <c r="V1978" s="105">
        <v>2.0812588398502174</v>
      </c>
      <c r="W1978" s="49">
        <f t="shared" si="274"/>
        <v>1.1771582635862277</v>
      </c>
    </row>
    <row r="1979" spans="1:23" hidden="1">
      <c r="A1979" s="22" t="s">
        <v>150</v>
      </c>
      <c r="B1979" s="23" t="s">
        <v>252</v>
      </c>
      <c r="C1979" s="28" t="s">
        <v>255</v>
      </c>
      <c r="D1979" s="23"/>
      <c r="H1979" s="104">
        <v>294.19227876999997</v>
      </c>
      <c r="I1979" s="104"/>
      <c r="J1979" s="104"/>
      <c r="K1979" s="67">
        <v>114.05380235</v>
      </c>
      <c r="O1979" s="94">
        <f t="shared" si="275"/>
        <v>2.468631270255595</v>
      </c>
      <c r="P1979" s="45"/>
      <c r="Q1979" s="45"/>
      <c r="R1979" s="48">
        <f t="shared" si="276"/>
        <v>2.0571097684561273</v>
      </c>
      <c r="U1979" s="94">
        <v>2.468631270255595</v>
      </c>
      <c r="V1979" s="105">
        <v>2.0571097684561273</v>
      </c>
      <c r="W1979" s="49">
        <f t="shared" si="274"/>
        <v>1.1749567980989011</v>
      </c>
    </row>
    <row r="1980" spans="1:23" hidden="1">
      <c r="A1980" s="22" t="s">
        <v>150</v>
      </c>
      <c r="B1980" s="23" t="s">
        <v>252</v>
      </c>
      <c r="C1980" s="28" t="s">
        <v>255</v>
      </c>
      <c r="D1980" s="23"/>
      <c r="H1980" s="104">
        <v>351.25469851000003</v>
      </c>
      <c r="I1980" s="104"/>
      <c r="J1980" s="104"/>
      <c r="K1980" s="67">
        <v>107.53029714</v>
      </c>
      <c r="O1980" s="94">
        <f t="shared" si="275"/>
        <v>2.545622142232193</v>
      </c>
      <c r="P1980" s="45"/>
      <c r="Q1980" s="45"/>
      <c r="R1980" s="48">
        <f t="shared" si="276"/>
        <v>2.0315308458972017</v>
      </c>
      <c r="U1980" s="94">
        <v>2.545622142232193</v>
      </c>
      <c r="V1980" s="105">
        <v>2.0315308458972017</v>
      </c>
      <c r="W1980" s="49">
        <f t="shared" si="274"/>
        <v>1.1762958721954186</v>
      </c>
    </row>
    <row r="1981" spans="1:23" hidden="1">
      <c r="A1981" s="22" t="s">
        <v>150</v>
      </c>
      <c r="B1981" s="23" t="s">
        <v>252</v>
      </c>
      <c r="C1981" s="28" t="s">
        <v>255</v>
      </c>
      <c r="D1981" s="23"/>
      <c r="H1981" s="104">
        <v>400.57501853000002</v>
      </c>
      <c r="I1981" s="104"/>
      <c r="J1981" s="104"/>
      <c r="K1981" s="67">
        <v>98.119415520000004</v>
      </c>
      <c r="O1981" s="94">
        <f t="shared" si="275"/>
        <v>2.6026838614506498</v>
      </c>
      <c r="P1981" s="45"/>
      <c r="Q1981" s="45"/>
      <c r="R1981" s="48">
        <f t="shared" si="276"/>
        <v>1.9917549525266554</v>
      </c>
      <c r="U1981" s="94">
        <v>2.6026838614506498</v>
      </c>
      <c r="V1981" s="105">
        <v>1.9917549525266554</v>
      </c>
      <c r="W1981" s="49">
        <f t="shared" si="274"/>
        <v>1.1971467082573621</v>
      </c>
    </row>
    <row r="1982" spans="1:23" hidden="1">
      <c r="A1982" s="22" t="s">
        <v>150</v>
      </c>
      <c r="B1982" s="23" t="s">
        <v>252</v>
      </c>
      <c r="C1982" s="28" t="s">
        <v>255</v>
      </c>
      <c r="D1982" s="23"/>
      <c r="H1982" s="104">
        <v>439.36787992000001</v>
      </c>
      <c r="I1982" s="104"/>
      <c r="J1982" s="104"/>
      <c r="K1982" s="67">
        <v>104.60829093</v>
      </c>
      <c r="O1982" s="94">
        <f t="shared" si="275"/>
        <v>2.6428283045567649</v>
      </c>
      <c r="P1982" s="45"/>
      <c r="Q1982" s="45"/>
      <c r="R1982" s="48">
        <f t="shared" si="276"/>
        <v>2.0195661067344552</v>
      </c>
      <c r="U1982" s="94">
        <v>2.6428283045567649</v>
      </c>
      <c r="V1982" s="105">
        <v>2.0195661067344552</v>
      </c>
      <c r="W1982" s="49">
        <f t="shared" si="274"/>
        <v>1.15859339999496</v>
      </c>
    </row>
    <row r="1983" spans="1:23" hidden="1">
      <c r="A1983" s="22" t="s">
        <v>150</v>
      </c>
      <c r="B1983" s="23" t="s">
        <v>252</v>
      </c>
      <c r="C1983" s="28" t="s">
        <v>255</v>
      </c>
      <c r="D1983" s="23"/>
      <c r="H1983" s="104">
        <v>400.46270566999999</v>
      </c>
      <c r="I1983" s="104"/>
      <c r="J1983" s="104"/>
      <c r="K1983" s="67">
        <v>108.95760639</v>
      </c>
      <c r="O1983" s="94">
        <f t="shared" si="275"/>
        <v>2.6025620772844591</v>
      </c>
      <c r="P1983" s="45"/>
      <c r="Q1983" s="45"/>
      <c r="R1983" s="48">
        <f t="shared" si="276"/>
        <v>2.037257553975528</v>
      </c>
      <c r="U1983" s="94">
        <v>2.6025620772844591</v>
      </c>
      <c r="V1983" s="105">
        <v>2.037257553975528</v>
      </c>
      <c r="W1983" s="49">
        <f t="shared" ref="W1983:W2046" si="277">0.9539*(4.064-0.314*U1983-V1983)</f>
        <v>1.1537782540889472</v>
      </c>
    </row>
    <row r="1984" spans="1:23" hidden="1">
      <c r="A1984" s="22" t="s">
        <v>150</v>
      </c>
      <c r="B1984" s="23" t="s">
        <v>252</v>
      </c>
      <c r="C1984" s="28" t="s">
        <v>255</v>
      </c>
      <c r="D1984" s="23"/>
      <c r="H1984" s="104">
        <v>335.59079849</v>
      </c>
      <c r="I1984" s="104"/>
      <c r="J1984" s="104"/>
      <c r="K1984" s="67">
        <v>119.09664970999999</v>
      </c>
      <c r="O1984" s="94">
        <f t="shared" si="275"/>
        <v>2.5258100444695271</v>
      </c>
      <c r="P1984" s="45"/>
      <c r="Q1984" s="45"/>
      <c r="R1984" s="48">
        <f t="shared" si="276"/>
        <v>2.0758995445816444</v>
      </c>
      <c r="U1984" s="94">
        <v>2.5258100444695271</v>
      </c>
      <c r="V1984" s="105">
        <v>2.0758995445816444</v>
      </c>
      <c r="W1984" s="49">
        <f t="shared" si="277"/>
        <v>1.139906781177852</v>
      </c>
    </row>
    <row r="1985" spans="1:23" hidden="1">
      <c r="A1985" s="22" t="s">
        <v>150</v>
      </c>
      <c r="B1985" s="23" t="s">
        <v>252</v>
      </c>
      <c r="C1985" s="28" t="s">
        <v>255</v>
      </c>
      <c r="D1985" s="23"/>
      <c r="H1985" s="104">
        <v>291.44435749000002</v>
      </c>
      <c r="I1985" s="104"/>
      <c r="J1985" s="104"/>
      <c r="K1985" s="67">
        <v>129.2282055</v>
      </c>
      <c r="O1985" s="94">
        <f t="shared" si="275"/>
        <v>2.4645556515762785</v>
      </c>
      <c r="P1985" s="45"/>
      <c r="Q1985" s="45"/>
      <c r="R1985" s="48">
        <f t="shared" si="276"/>
        <v>2.1113573136290165</v>
      </c>
      <c r="U1985" s="94">
        <v>2.4645556515762785</v>
      </c>
      <c r="V1985" s="105">
        <v>2.1113573136290165</v>
      </c>
      <c r="W1985" s="49">
        <f t="shared" si="277"/>
        <v>1.124430812813157</v>
      </c>
    </row>
    <row r="1986" spans="1:23" hidden="1">
      <c r="A1986" s="22" t="s">
        <v>150</v>
      </c>
      <c r="B1986" s="23" t="s">
        <v>252</v>
      </c>
      <c r="C1986" s="28" t="s">
        <v>255</v>
      </c>
      <c r="D1986" s="23"/>
      <c r="H1986" s="104">
        <v>280.90941135000003</v>
      </c>
      <c r="I1986" s="104"/>
      <c r="J1986" s="104"/>
      <c r="K1986" s="67">
        <v>145.85050859</v>
      </c>
      <c r="O1986" s="94">
        <f t="shared" si="275"/>
        <v>2.4485662896782703</v>
      </c>
      <c r="P1986" s="45"/>
      <c r="Q1986" s="45"/>
      <c r="R1986" s="48">
        <f t="shared" si="276"/>
        <v>2.1639079478728727</v>
      </c>
      <c r="U1986" s="94">
        <v>2.4485662896782703</v>
      </c>
      <c r="V1986" s="105">
        <v>2.1639079478728727</v>
      </c>
      <c r="W1986" s="49">
        <f t="shared" si="277"/>
        <v>1.0790919700346986</v>
      </c>
    </row>
    <row r="1987" spans="1:23" hidden="1">
      <c r="A1987" s="22" t="s">
        <v>150</v>
      </c>
      <c r="B1987" s="23" t="s">
        <v>252</v>
      </c>
      <c r="C1987" s="28" t="s">
        <v>255</v>
      </c>
      <c r="D1987" s="23"/>
      <c r="H1987" s="104">
        <v>291.10741891999999</v>
      </c>
      <c r="I1987" s="104"/>
      <c r="J1987" s="104"/>
      <c r="K1987" s="67">
        <v>161.74277810000001</v>
      </c>
      <c r="O1987" s="94">
        <f t="shared" si="275"/>
        <v>2.4640532736454777</v>
      </c>
      <c r="P1987" s="45"/>
      <c r="Q1987" s="45"/>
      <c r="R1987" s="48">
        <f t="shared" si="276"/>
        <v>2.2088248982969083</v>
      </c>
      <c r="U1987" s="94">
        <v>2.4640532736454777</v>
      </c>
      <c r="V1987" s="105">
        <v>2.2088248982969083</v>
      </c>
      <c r="W1987" s="49">
        <f t="shared" si="277"/>
        <v>1.0316069583472267</v>
      </c>
    </row>
    <row r="1988" spans="1:23" hidden="1">
      <c r="A1988" s="22" t="s">
        <v>150</v>
      </c>
      <c r="B1988" s="23" t="s">
        <v>252</v>
      </c>
      <c r="C1988" s="28" t="s">
        <v>255</v>
      </c>
      <c r="D1988" s="23"/>
      <c r="H1988" s="104">
        <v>252.33702009000001</v>
      </c>
      <c r="I1988" s="104"/>
      <c r="J1988" s="104"/>
      <c r="K1988" s="67">
        <v>153.08626451000001</v>
      </c>
      <c r="O1988" s="94">
        <f t="shared" si="275"/>
        <v>2.4019809700632893</v>
      </c>
      <c r="P1988" s="45"/>
      <c r="Q1988" s="45"/>
      <c r="R1988" s="48">
        <f t="shared" si="276"/>
        <v>2.1849362258705813</v>
      </c>
      <c r="U1988" s="94">
        <v>2.4019809700632893</v>
      </c>
      <c r="V1988" s="105">
        <v>2.1849362258705813</v>
      </c>
      <c r="W1988" s="49">
        <f t="shared" si="277"/>
        <v>1.0729865448762339</v>
      </c>
    </row>
    <row r="1989" spans="1:23" hidden="1">
      <c r="A1989" s="22" t="s">
        <v>150</v>
      </c>
      <c r="B1989" s="23" t="s">
        <v>252</v>
      </c>
      <c r="C1989" s="28" t="s">
        <v>255</v>
      </c>
      <c r="D1989" s="23"/>
      <c r="H1989" s="104">
        <v>345.69895577</v>
      </c>
      <c r="I1989" s="104"/>
      <c r="J1989" s="104"/>
      <c r="K1989" s="67">
        <v>143.6594719</v>
      </c>
      <c r="O1989" s="94">
        <f t="shared" si="275"/>
        <v>2.5386980676997348</v>
      </c>
      <c r="P1989" s="45"/>
      <c r="Q1989" s="45"/>
      <c r="R1989" s="48">
        <f t="shared" si="276"/>
        <v>2.1573342656101757</v>
      </c>
      <c r="U1989" s="94">
        <v>2.5386980676997348</v>
      </c>
      <c r="V1989" s="105">
        <v>2.1573342656101757</v>
      </c>
      <c r="W1989" s="49">
        <f t="shared" si="277"/>
        <v>1.0583659207859173</v>
      </c>
    </row>
    <row r="1990" spans="1:23" hidden="1">
      <c r="A1990" s="22" t="s">
        <v>150</v>
      </c>
      <c r="B1990" s="23" t="s">
        <v>252</v>
      </c>
      <c r="C1990" s="28" t="s">
        <v>255</v>
      </c>
      <c r="D1990" s="23"/>
      <c r="H1990" s="104">
        <v>330.26716898000001</v>
      </c>
      <c r="I1990" s="104"/>
      <c r="J1990" s="104"/>
      <c r="K1990" s="67">
        <v>132.82689668</v>
      </c>
      <c r="O1990" s="94">
        <f t="shared" si="275"/>
        <v>2.5188654037262612</v>
      </c>
      <c r="P1990" s="45"/>
      <c r="Q1990" s="45"/>
      <c r="R1990" s="48">
        <f t="shared" si="276"/>
        <v>2.1232860260632491</v>
      </c>
      <c r="U1990" s="94">
        <v>2.5188654037262612</v>
      </c>
      <c r="V1990" s="105">
        <v>2.1232860260632491</v>
      </c>
      <c r="W1990" s="49">
        <f t="shared" si="277"/>
        <v>1.0967849072333198</v>
      </c>
    </row>
    <row r="1991" spans="1:23" hidden="1">
      <c r="A1991" s="22" t="s">
        <v>150</v>
      </c>
      <c r="B1991" s="23" t="s">
        <v>252</v>
      </c>
      <c r="C1991" s="28" t="s">
        <v>255</v>
      </c>
      <c r="D1991" s="23"/>
      <c r="H1991" s="104">
        <v>419.07669012000002</v>
      </c>
      <c r="I1991" s="104"/>
      <c r="J1991" s="104"/>
      <c r="K1991" s="67">
        <v>62.708107120000001</v>
      </c>
      <c r="O1991" s="94">
        <f t="shared" si="275"/>
        <v>2.6222935051817493</v>
      </c>
      <c r="P1991" s="45"/>
      <c r="Q1991" s="45"/>
      <c r="R1991" s="48">
        <f t="shared" si="276"/>
        <v>1.7973236915464219</v>
      </c>
      <c r="U1991" s="94">
        <v>2.6222935051817493</v>
      </c>
      <c r="V1991" s="105">
        <v>1.7973236915464219</v>
      </c>
      <c r="W1991" s="49">
        <f t="shared" si="277"/>
        <v>1.3767411174117068</v>
      </c>
    </row>
    <row r="1992" spans="1:23" hidden="1">
      <c r="A1992" s="22" t="s">
        <v>150</v>
      </c>
      <c r="B1992" s="23" t="s">
        <v>252</v>
      </c>
      <c r="C1992" s="28" t="s">
        <v>255</v>
      </c>
      <c r="D1992" s="23"/>
      <c r="H1992" s="104">
        <v>419.03176497999999</v>
      </c>
      <c r="I1992" s="104"/>
      <c r="J1992" s="104"/>
      <c r="K1992" s="67">
        <v>67.043383460000001</v>
      </c>
      <c r="O1992" s="94">
        <f t="shared" si="275"/>
        <v>2.6222469461945423</v>
      </c>
      <c r="P1992" s="45"/>
      <c r="Q1992" s="45"/>
      <c r="R1992" s="48">
        <f t="shared" si="276"/>
        <v>1.8263559235955011</v>
      </c>
      <c r="U1992" s="94">
        <v>2.6222469461945423</v>
      </c>
      <c r="V1992" s="105">
        <v>1.8263559235955011</v>
      </c>
      <c r="W1992" s="49">
        <f t="shared" si="277"/>
        <v>1.3490612168221099</v>
      </c>
    </row>
    <row r="1993" spans="1:23" hidden="1">
      <c r="A1993" s="22" t="s">
        <v>150</v>
      </c>
      <c r="B1993" s="23" t="s">
        <v>252</v>
      </c>
      <c r="C1993" s="28" t="s">
        <v>255</v>
      </c>
      <c r="D1993" s="23"/>
      <c r="H1993" s="104">
        <v>470.79301779000002</v>
      </c>
      <c r="I1993" s="104"/>
      <c r="J1993" s="104"/>
      <c r="K1993" s="67">
        <v>72.082487060000005</v>
      </c>
      <c r="O1993" s="94">
        <f t="shared" si="275"/>
        <v>2.6728300133095444</v>
      </c>
      <c r="P1993" s="45"/>
      <c r="Q1993" s="45"/>
      <c r="R1993" s="48">
        <f t="shared" si="276"/>
        <v>1.8578297626796683</v>
      </c>
      <c r="U1993" s="94">
        <v>2.6728300133095444</v>
      </c>
      <c r="V1993" s="105">
        <v>1.8578297626796683</v>
      </c>
      <c r="W1993" s="49">
        <f t="shared" si="277"/>
        <v>1.3038874487753285</v>
      </c>
    </row>
    <row r="1994" spans="1:23" hidden="1">
      <c r="A1994" s="22" t="s">
        <v>150</v>
      </c>
      <c r="B1994" s="23" t="s">
        <v>252</v>
      </c>
      <c r="C1994" s="28" t="s">
        <v>255</v>
      </c>
      <c r="D1994" s="23"/>
      <c r="H1994" s="104">
        <v>483.79135930000001</v>
      </c>
      <c r="I1994" s="104"/>
      <c r="J1994" s="104"/>
      <c r="K1994" s="67">
        <v>67.742531009999993</v>
      </c>
      <c r="O1994" s="94">
        <f t="shared" si="275"/>
        <v>2.6846581074284215</v>
      </c>
      <c r="P1994" s="45"/>
      <c r="Q1994" s="45"/>
      <c r="R1994" s="48">
        <f t="shared" si="276"/>
        <v>1.8308614188090846</v>
      </c>
      <c r="U1994" s="94">
        <v>2.6846581074284215</v>
      </c>
      <c r="V1994" s="105">
        <v>1.8308614188090846</v>
      </c>
      <c r="W1994" s="49">
        <f t="shared" si="277"/>
        <v>1.3260697468337592</v>
      </c>
    </row>
    <row r="1995" spans="1:23" hidden="1">
      <c r="A1995" s="22" t="s">
        <v>150</v>
      </c>
      <c r="B1995" s="23" t="s">
        <v>252</v>
      </c>
      <c r="C1995" s="28" t="s">
        <v>255</v>
      </c>
      <c r="D1995" s="23"/>
      <c r="H1995" s="104">
        <v>465.91863971999999</v>
      </c>
      <c r="I1995" s="104"/>
      <c r="J1995" s="104"/>
      <c r="K1995" s="67">
        <v>42.459970570000003</v>
      </c>
      <c r="O1995" s="94">
        <f t="shared" si="275"/>
        <v>2.6683100853475765</v>
      </c>
      <c r="P1995" s="45"/>
      <c r="Q1995" s="45"/>
      <c r="R1995" s="48">
        <f t="shared" si="276"/>
        <v>1.6279796888104079</v>
      </c>
      <c r="U1995" s="94">
        <v>2.6683100853475765</v>
      </c>
      <c r="V1995" s="105">
        <v>1.6279796888104079</v>
      </c>
      <c r="W1995" s="49">
        <f t="shared" si="277"/>
        <v>1.5244952638540534</v>
      </c>
    </row>
    <row r="1996" spans="1:23" hidden="1">
      <c r="A1996" s="22" t="s">
        <v>150</v>
      </c>
      <c r="B1996" s="23" t="s">
        <v>252</v>
      </c>
      <c r="C1996" s="28" t="s">
        <v>255</v>
      </c>
      <c r="D1996" s="23"/>
      <c r="H1996" s="104">
        <v>520.40535123999996</v>
      </c>
      <c r="I1996" s="104"/>
      <c r="J1996" s="104"/>
      <c r="K1996" s="67">
        <v>34.49230919</v>
      </c>
      <c r="O1996" s="94">
        <f t="shared" si="275"/>
        <v>2.7163417536890386</v>
      </c>
      <c r="P1996" s="45"/>
      <c r="Q1996" s="45"/>
      <c r="R1996" s="48">
        <f t="shared" si="276"/>
        <v>1.537722270473622</v>
      </c>
      <c r="U1996" s="94">
        <v>2.7163417536890386</v>
      </c>
      <c r="V1996" s="105">
        <v>1.537722270473622</v>
      </c>
      <c r="W1996" s="49">
        <f t="shared" si="277"/>
        <v>1.5962051489582043</v>
      </c>
    </row>
    <row r="1997" spans="1:23" hidden="1">
      <c r="A1997" s="22" t="s">
        <v>150</v>
      </c>
      <c r="B1997" s="23" t="s">
        <v>252</v>
      </c>
      <c r="C1997" s="28" t="s">
        <v>255</v>
      </c>
      <c r="D1997" s="23"/>
      <c r="H1997" s="104">
        <v>535.84462555000005</v>
      </c>
      <c r="I1997" s="104"/>
      <c r="J1997" s="104"/>
      <c r="K1997" s="67">
        <v>44.602338349999997</v>
      </c>
      <c r="O1997" s="94">
        <f t="shared" si="275"/>
        <v>2.729038879154754</v>
      </c>
      <c r="P1997" s="45"/>
      <c r="Q1997" s="45"/>
      <c r="R1997" s="48">
        <f t="shared" si="276"/>
        <v>1.6493576279022948</v>
      </c>
      <c r="U1997" s="94">
        <v>2.729038879154754</v>
      </c>
      <c r="V1997" s="105">
        <v>1.6493576279022948</v>
      </c>
      <c r="W1997" s="49">
        <f t="shared" si="277"/>
        <v>1.4859130800807252</v>
      </c>
    </row>
    <row r="1998" spans="1:23" hidden="1">
      <c r="A1998" s="22" t="s">
        <v>150</v>
      </c>
      <c r="B1998" s="23" t="s">
        <v>252</v>
      </c>
      <c r="C1998" s="28" t="s">
        <v>255</v>
      </c>
      <c r="D1998" s="23"/>
      <c r="H1998" s="104">
        <v>572.15911653000001</v>
      </c>
      <c r="I1998" s="104"/>
      <c r="J1998" s="104"/>
      <c r="K1998" s="67">
        <v>40.253958840000003</v>
      </c>
      <c r="O1998" s="94">
        <f t="shared" si="275"/>
        <v>2.75751682218689</v>
      </c>
      <c r="P1998" s="45"/>
      <c r="Q1998" s="45"/>
      <c r="R1998" s="48">
        <f t="shared" si="276"/>
        <v>1.6048085981901035</v>
      </c>
      <c r="U1998" s="94">
        <v>2.75751682218689</v>
      </c>
      <c r="V1998" s="105">
        <v>1.6048085981901035</v>
      </c>
      <c r="W1998" s="49">
        <f t="shared" si="277"/>
        <v>1.519878555027661</v>
      </c>
    </row>
    <row r="1999" spans="1:23" hidden="1">
      <c r="A1999" s="22" t="s">
        <v>150</v>
      </c>
      <c r="B1999" s="23" t="s">
        <v>252</v>
      </c>
      <c r="C1999" s="28" t="s">
        <v>255</v>
      </c>
      <c r="D1999" s="23"/>
      <c r="H1999" s="104">
        <v>551.25394975999995</v>
      </c>
      <c r="I1999" s="104"/>
      <c r="J1999" s="104"/>
      <c r="K1999" s="67">
        <v>57.602551750000003</v>
      </c>
      <c r="O1999" s="94">
        <f t="shared" si="275"/>
        <v>2.741351714227056</v>
      </c>
      <c r="P1999" s="45"/>
      <c r="Q1999" s="45"/>
      <c r="R1999" s="48">
        <f t="shared" si="276"/>
        <v>1.7604417227703888</v>
      </c>
      <c r="U1999" s="94">
        <v>2.741351714227056</v>
      </c>
      <c r="V1999" s="105">
        <v>1.7604417227703888</v>
      </c>
      <c r="W1999" s="49">
        <f t="shared" si="277"/>
        <v>1.3762619649861529</v>
      </c>
    </row>
    <row r="2000" spans="1:23" hidden="1">
      <c r="A2000" s="22" t="s">
        <v>150</v>
      </c>
      <c r="B2000" s="23" t="s">
        <v>252</v>
      </c>
      <c r="C2000" s="28" t="s">
        <v>255</v>
      </c>
      <c r="D2000" s="23"/>
      <c r="H2000" s="104">
        <v>532.96192884000004</v>
      </c>
      <c r="I2000" s="104"/>
      <c r="J2000" s="104"/>
      <c r="K2000" s="67">
        <v>72.782570539999995</v>
      </c>
      <c r="O2000" s="94">
        <f t="shared" si="275"/>
        <v>2.7266961871030544</v>
      </c>
      <c r="P2000" s="45"/>
      <c r="Q2000" s="45"/>
      <c r="R2000" s="48">
        <f t="shared" si="276"/>
        <v>1.8620273899644684</v>
      </c>
      <c r="U2000" s="94">
        <v>2.7266961871030544</v>
      </c>
      <c r="V2000" s="105">
        <v>1.8620273899644684</v>
      </c>
      <c r="W2000" s="49">
        <f t="shared" si="277"/>
        <v>1.2837490879493263</v>
      </c>
    </row>
    <row r="2001" spans="1:23" hidden="1">
      <c r="A2001" s="22" t="s">
        <v>150</v>
      </c>
      <c r="B2001" s="23" t="s">
        <v>252</v>
      </c>
      <c r="C2001" s="28" t="s">
        <v>255</v>
      </c>
      <c r="D2001" s="23"/>
      <c r="H2001" s="104">
        <v>486.21731705000002</v>
      </c>
      <c r="I2001" s="104"/>
      <c r="J2001" s="104"/>
      <c r="K2001" s="67">
        <v>83.637608330000006</v>
      </c>
      <c r="O2001" s="94">
        <f t="shared" si="275"/>
        <v>2.6868304225561204</v>
      </c>
      <c r="P2001" s="45"/>
      <c r="Q2001" s="45"/>
      <c r="R2001" s="48">
        <f t="shared" si="276"/>
        <v>1.922401605399408</v>
      </c>
      <c r="U2001" s="94">
        <v>2.6868304225561204</v>
      </c>
      <c r="V2001" s="105">
        <v>1.922401605399408</v>
      </c>
      <c r="W2001" s="49">
        <f t="shared" si="277"/>
        <v>1.2380989010255521</v>
      </c>
    </row>
    <row r="2002" spans="1:23" hidden="1">
      <c r="A2002" s="22" t="s">
        <v>150</v>
      </c>
      <c r="B2002" s="23" t="s">
        <v>252</v>
      </c>
      <c r="C2002" s="28" t="s">
        <v>255</v>
      </c>
      <c r="D2002" s="23"/>
      <c r="H2002" s="104">
        <v>491.27888321</v>
      </c>
      <c r="I2002" s="104"/>
      <c r="J2002" s="104"/>
      <c r="K2002" s="67">
        <v>95.19647338</v>
      </c>
      <c r="O2002" s="94">
        <f t="shared" si="275"/>
        <v>2.6913280971238964</v>
      </c>
      <c r="P2002" s="45"/>
      <c r="Q2002" s="45"/>
      <c r="R2002" s="48">
        <f t="shared" si="276"/>
        <v>1.9786208599393602</v>
      </c>
      <c r="U2002" s="94">
        <v>2.6913280971238964</v>
      </c>
      <c r="V2002" s="105">
        <v>1.9786208599393602</v>
      </c>
      <c r="W2002" s="49">
        <f t="shared" si="277"/>
        <v>1.1831241899440479</v>
      </c>
    </row>
    <row r="2003" spans="1:23" hidden="1">
      <c r="A2003" s="22" t="s">
        <v>150</v>
      </c>
      <c r="B2003" s="23" t="s">
        <v>252</v>
      </c>
      <c r="C2003" s="28" t="s">
        <v>255</v>
      </c>
      <c r="D2003" s="23"/>
      <c r="H2003" s="104">
        <v>465.37205046999998</v>
      </c>
      <c r="I2003" s="104"/>
      <c r="J2003" s="104"/>
      <c r="K2003" s="67">
        <v>95.205832779999994</v>
      </c>
      <c r="O2003" s="94">
        <f t="shared" si="275"/>
        <v>2.667800296674931</v>
      </c>
      <c r="P2003" s="45"/>
      <c r="Q2003" s="45"/>
      <c r="R2003" s="48">
        <f t="shared" si="276"/>
        <v>1.9786635562265973</v>
      </c>
      <c r="U2003" s="94">
        <v>2.667800296674931</v>
      </c>
      <c r="V2003" s="105">
        <v>1.9786635562265973</v>
      </c>
      <c r="W2003" s="49">
        <f t="shared" si="277"/>
        <v>1.1901306169740091</v>
      </c>
    </row>
    <row r="2004" spans="1:23" hidden="1">
      <c r="A2004" s="22" t="s">
        <v>150</v>
      </c>
      <c r="B2004" s="23" t="s">
        <v>252</v>
      </c>
      <c r="C2004" s="28" t="s">
        <v>255</v>
      </c>
      <c r="D2004" s="23"/>
      <c r="H2004" s="104">
        <v>605.59839832</v>
      </c>
      <c r="I2004" s="104"/>
      <c r="J2004" s="104"/>
      <c r="K2004" s="67">
        <v>63.363265460000001</v>
      </c>
      <c r="O2004" s="94">
        <f t="shared" si="275"/>
        <v>2.782184717876254</v>
      </c>
      <c r="P2004" s="45"/>
      <c r="Q2004" s="45"/>
      <c r="R2004" s="48">
        <f t="shared" si="276"/>
        <v>1.8018375507581281</v>
      </c>
      <c r="U2004" s="94">
        <v>2.782184717876254</v>
      </c>
      <c r="V2004" s="105">
        <v>1.8018375507581281</v>
      </c>
      <c r="W2004" s="49">
        <f t="shared" si="277"/>
        <v>1.3245439955838236</v>
      </c>
    </row>
    <row r="2005" spans="1:23" hidden="1">
      <c r="A2005" s="22" t="s">
        <v>150</v>
      </c>
      <c r="B2005" s="23" t="s">
        <v>252</v>
      </c>
      <c r="C2005" s="28" t="s">
        <v>255</v>
      </c>
      <c r="D2005" s="23"/>
      <c r="H2005" s="104">
        <v>675.41207128999997</v>
      </c>
      <c r="I2005" s="104"/>
      <c r="J2005" s="104"/>
      <c r="K2005" s="67">
        <v>76.343824100000006</v>
      </c>
      <c r="O2005" s="94">
        <f t="shared" si="275"/>
        <v>2.8295688182890109</v>
      </c>
      <c r="P2005" s="45"/>
      <c r="Q2005" s="45"/>
      <c r="R2005" s="48">
        <f t="shared" si="276"/>
        <v>1.8827739101838523</v>
      </c>
      <c r="U2005" s="94">
        <v>2.8295688182890109</v>
      </c>
      <c r="V2005" s="105">
        <v>1.8827739101838523</v>
      </c>
      <c r="W2005" s="49">
        <f t="shared" si="277"/>
        <v>1.2331460986051344</v>
      </c>
    </row>
    <row r="2006" spans="1:23" hidden="1">
      <c r="A2006" s="22" t="s">
        <v>150</v>
      </c>
      <c r="B2006" s="23" t="s">
        <v>252</v>
      </c>
      <c r="C2006" s="28" t="s">
        <v>255</v>
      </c>
      <c r="D2006" s="23"/>
      <c r="H2006" s="104">
        <v>729.98863309000001</v>
      </c>
      <c r="I2006" s="104"/>
      <c r="J2006" s="104"/>
      <c r="K2006" s="67">
        <v>59.705610030000003</v>
      </c>
      <c r="O2006" s="94">
        <f t="shared" si="275"/>
        <v>2.8633160976208343</v>
      </c>
      <c r="P2006" s="45"/>
      <c r="Q2006" s="45"/>
      <c r="R2006" s="48">
        <f t="shared" si="276"/>
        <v>1.7760151400172177</v>
      </c>
      <c r="U2006" s="94">
        <v>2.8633160976208343</v>
      </c>
      <c r="V2006" s="105">
        <v>1.7760151400172177</v>
      </c>
      <c r="W2006" s="49">
        <f t="shared" si="277"/>
        <v>1.3248751491241346</v>
      </c>
    </row>
    <row r="2007" spans="1:23" hidden="1">
      <c r="A2007" s="22" t="s">
        <v>150</v>
      </c>
      <c r="B2007" s="23" t="s">
        <v>252</v>
      </c>
      <c r="C2007" s="28" t="s">
        <v>255</v>
      </c>
      <c r="D2007" s="23"/>
      <c r="H2007" s="104">
        <v>755.94039097999996</v>
      </c>
      <c r="I2007" s="104"/>
      <c r="J2007" s="104"/>
      <c r="K2007" s="67">
        <v>55.360974280000001</v>
      </c>
      <c r="O2007" s="94">
        <f t="shared" si="275"/>
        <v>2.8784875509388872</v>
      </c>
      <c r="P2007" s="45"/>
      <c r="Q2007" s="45"/>
      <c r="R2007" s="48">
        <f t="shared" si="276"/>
        <v>1.7432037245250127</v>
      </c>
      <c r="U2007" s="94">
        <v>2.8784875509388872</v>
      </c>
      <c r="V2007" s="105">
        <v>1.7432037245250127</v>
      </c>
      <c r="W2007" s="49">
        <f t="shared" si="277"/>
        <v>1.3516297348756408</v>
      </c>
    </row>
    <row r="2008" spans="1:23" hidden="1">
      <c r="A2008" s="22" t="s">
        <v>150</v>
      </c>
      <c r="B2008" s="23" t="s">
        <v>252</v>
      </c>
      <c r="C2008" s="28" t="s">
        <v>255</v>
      </c>
      <c r="D2008" s="23"/>
      <c r="H2008" s="104">
        <v>675.31473347999997</v>
      </c>
      <c r="I2008" s="104"/>
      <c r="J2008" s="104"/>
      <c r="K2008" s="67">
        <v>85.736922849999999</v>
      </c>
      <c r="O2008" s="94">
        <f t="shared" si="275"/>
        <v>2.8295062249152991</v>
      </c>
      <c r="P2008" s="45"/>
      <c r="Q2008" s="45"/>
      <c r="R2008" s="48">
        <f t="shared" si="276"/>
        <v>1.9331678923627802</v>
      </c>
      <c r="U2008" s="94">
        <v>2.8295062249152991</v>
      </c>
      <c r="V2008" s="105">
        <v>1.9331678923627802</v>
      </c>
      <c r="W2008" s="49">
        <f t="shared" si="277"/>
        <v>1.1850940272598791</v>
      </c>
    </row>
    <row r="2009" spans="1:23" hidden="1">
      <c r="A2009" s="22" t="s">
        <v>150</v>
      </c>
      <c r="B2009" s="23" t="s">
        <v>252</v>
      </c>
      <c r="C2009" s="28" t="s">
        <v>255</v>
      </c>
      <c r="D2009" s="23"/>
      <c r="H2009" s="104">
        <v>664.76481229000001</v>
      </c>
      <c r="I2009" s="104"/>
      <c r="J2009" s="104"/>
      <c r="K2009" s="67">
        <v>103.80431805000001</v>
      </c>
      <c r="O2009" s="94">
        <f t="shared" si="275"/>
        <v>2.8226680230613588</v>
      </c>
      <c r="P2009" s="45"/>
      <c r="Q2009" s="45"/>
      <c r="R2009" s="48">
        <f t="shared" si="276"/>
        <v>2.0162154196615969</v>
      </c>
      <c r="U2009" s="94">
        <v>2.8226680230613588</v>
      </c>
      <c r="V2009" s="105">
        <v>2.0162154196615969</v>
      </c>
      <c r="W2009" s="49">
        <f t="shared" si="277"/>
        <v>1.1079232006445583</v>
      </c>
    </row>
    <row r="2010" spans="1:23" hidden="1">
      <c r="A2010" s="22" t="s">
        <v>150</v>
      </c>
      <c r="B2010" s="23" t="s">
        <v>252</v>
      </c>
      <c r="C2010" s="28" t="s">
        <v>255</v>
      </c>
      <c r="D2010" s="23"/>
      <c r="H2010" s="104">
        <v>582.16993600000001</v>
      </c>
      <c r="I2010" s="104"/>
      <c r="J2010" s="104"/>
      <c r="K2010" s="67">
        <v>74.209879790000002</v>
      </c>
      <c r="O2010" s="94">
        <f t="shared" si="275"/>
        <v>2.7650497741594244</v>
      </c>
      <c r="P2010" s="45"/>
      <c r="Q2010" s="45"/>
      <c r="R2010" s="48">
        <f t="shared" si="276"/>
        <v>1.8704617280909823</v>
      </c>
      <c r="U2010" s="94">
        <v>2.7650497741594244</v>
      </c>
      <c r="V2010" s="105">
        <v>1.8704617280909823</v>
      </c>
      <c r="W2010" s="49">
        <f t="shared" si="277"/>
        <v>1.2642157299888199</v>
      </c>
    </row>
    <row r="2011" spans="1:23" hidden="1">
      <c r="A2011" s="22" t="s">
        <v>150</v>
      </c>
      <c r="B2011" s="23" t="s">
        <v>252</v>
      </c>
      <c r="C2011" s="28" t="s">
        <v>255</v>
      </c>
      <c r="D2011" s="23"/>
      <c r="H2011" s="104">
        <v>626.14416394</v>
      </c>
      <c r="I2011" s="104"/>
      <c r="J2011" s="104"/>
      <c r="K2011" s="67">
        <v>80.696883319999998</v>
      </c>
      <c r="O2011" s="94">
        <f t="shared" si="275"/>
        <v>2.7966743370370035</v>
      </c>
      <c r="P2011" s="45"/>
      <c r="Q2011" s="45"/>
      <c r="R2011" s="48">
        <f t="shared" si="276"/>
        <v>1.9068567616977321</v>
      </c>
      <c r="U2011" s="94">
        <v>2.7966743370370035</v>
      </c>
      <c r="V2011" s="105">
        <v>1.9068567616977321</v>
      </c>
      <c r="W2011" s="49">
        <f t="shared" si="277"/>
        <v>1.2200261728852597</v>
      </c>
    </row>
    <row r="2012" spans="1:23" hidden="1">
      <c r="A2012" s="22" t="s">
        <v>150</v>
      </c>
      <c r="B2012" s="23" t="s">
        <v>252</v>
      </c>
      <c r="C2012" s="28" t="s">
        <v>255</v>
      </c>
      <c r="D2012" s="23"/>
      <c r="H2012" s="104">
        <v>620.79807186999994</v>
      </c>
      <c r="I2012" s="104"/>
      <c r="J2012" s="104"/>
      <c r="K2012" s="67">
        <v>96.594768470000005</v>
      </c>
      <c r="O2012" s="94">
        <f t="shared" si="275"/>
        <v>2.7929503593817047</v>
      </c>
      <c r="P2012" s="45"/>
      <c r="Q2012" s="45"/>
      <c r="R2012" s="48">
        <f t="shared" si="276"/>
        <v>1.9849536058550821</v>
      </c>
      <c r="U2012" s="94">
        <v>2.7929503593817047</v>
      </c>
      <c r="V2012" s="105">
        <v>1.9849536058550821</v>
      </c>
      <c r="W2012" s="49">
        <f t="shared" si="277"/>
        <v>1.1466450161611759</v>
      </c>
    </row>
    <row r="2013" spans="1:23" hidden="1">
      <c r="A2013" s="22" t="s">
        <v>150</v>
      </c>
      <c r="B2013" s="23" t="s">
        <v>252</v>
      </c>
      <c r="C2013" s="28" t="s">
        <v>255</v>
      </c>
      <c r="D2013" s="23"/>
      <c r="H2013" s="104">
        <v>589.80721039000002</v>
      </c>
      <c r="I2013" s="104"/>
      <c r="J2013" s="104"/>
      <c r="K2013" s="67">
        <v>87.212901000000002</v>
      </c>
      <c r="O2013" s="94">
        <f t="shared" si="275"/>
        <v>2.7707100774959561</v>
      </c>
      <c r="P2013" s="45"/>
      <c r="Q2013" s="45"/>
      <c r="R2013" s="48">
        <f t="shared" si="276"/>
        <v>1.9405807328533247</v>
      </c>
      <c r="U2013" s="94">
        <v>2.7707100774959561</v>
      </c>
      <c r="V2013" s="105">
        <v>1.9405807328533247</v>
      </c>
      <c r="W2013" s="49">
        <f t="shared" si="277"/>
        <v>1.1956338112532685</v>
      </c>
    </row>
    <row r="2014" spans="1:23" hidden="1">
      <c r="A2014" s="22" t="s">
        <v>150</v>
      </c>
      <c r="B2014" s="23" t="s">
        <v>252</v>
      </c>
      <c r="C2014" s="28" t="s">
        <v>255</v>
      </c>
      <c r="D2014" s="23"/>
      <c r="H2014" s="104">
        <v>545.68323196999995</v>
      </c>
      <c r="I2014" s="104"/>
      <c r="J2014" s="104"/>
      <c r="K2014" s="67">
        <v>95.17681863</v>
      </c>
      <c r="O2014" s="94">
        <f t="shared" si="275"/>
        <v>2.7369406087679602</v>
      </c>
      <c r="P2014" s="45"/>
      <c r="Q2014" s="45"/>
      <c r="R2014" s="48">
        <f t="shared" si="276"/>
        <v>1.9785311840251771</v>
      </c>
      <c r="U2014" s="94">
        <v>2.7369406087679602</v>
      </c>
      <c r="V2014" s="105">
        <v>1.9785311840251771</v>
      </c>
      <c r="W2014" s="49">
        <f t="shared" si="277"/>
        <v>1.169547662493404</v>
      </c>
    </row>
    <row r="2015" spans="1:23" hidden="1">
      <c r="A2015" s="22" t="s">
        <v>150</v>
      </c>
      <c r="B2015" s="23" t="s">
        <v>252</v>
      </c>
      <c r="C2015" s="28" t="s">
        <v>255</v>
      </c>
      <c r="D2015" s="23"/>
      <c r="H2015" s="104">
        <v>581.85545998999999</v>
      </c>
      <c r="I2015" s="104"/>
      <c r="J2015" s="104"/>
      <c r="K2015" s="67">
        <v>104.55681421</v>
      </c>
      <c r="O2015" s="94">
        <f t="shared" si="275"/>
        <v>2.7648151139885599</v>
      </c>
      <c r="P2015" s="45"/>
      <c r="Q2015" s="45"/>
      <c r="R2015" s="48">
        <f t="shared" si="276"/>
        <v>2.0193523420543582</v>
      </c>
      <c r="U2015" s="94">
        <v>2.7648151139885599</v>
      </c>
      <c r="V2015" s="105">
        <v>2.0193523420543582</v>
      </c>
      <c r="W2015" s="49">
        <f t="shared" si="277"/>
        <v>1.1222592598229697</v>
      </c>
    </row>
    <row r="2016" spans="1:23" hidden="1">
      <c r="A2016" s="22" t="s">
        <v>150</v>
      </c>
      <c r="B2016" s="23" t="s">
        <v>252</v>
      </c>
      <c r="C2016" s="28" t="s">
        <v>255</v>
      </c>
      <c r="D2016" s="23"/>
      <c r="H2016" s="104">
        <v>540.37457750999999</v>
      </c>
      <c r="I2016" s="104"/>
      <c r="J2016" s="104"/>
      <c r="K2016" s="67">
        <v>107.46197349000001</v>
      </c>
      <c r="O2016" s="94">
        <f t="shared" si="275"/>
        <v>2.7326949089901977</v>
      </c>
      <c r="P2016" s="45"/>
      <c r="Q2016" s="45"/>
      <c r="R2016" s="48">
        <f t="shared" si="276"/>
        <v>2.0312548119254643</v>
      </c>
      <c r="U2016" s="94">
        <v>2.7326949089901977</v>
      </c>
      <c r="V2016" s="105">
        <v>2.0312548119254643</v>
      </c>
      <c r="W2016" s="49">
        <f t="shared" si="277"/>
        <v>1.1205262853669744</v>
      </c>
    </row>
    <row r="2017" spans="1:23" hidden="1">
      <c r="A2017" s="22" t="s">
        <v>150</v>
      </c>
      <c r="B2017" s="23" t="s">
        <v>252</v>
      </c>
      <c r="C2017" s="28" t="s">
        <v>255</v>
      </c>
      <c r="D2017" s="23"/>
      <c r="H2017" s="104">
        <v>576.56926811000005</v>
      </c>
      <c r="I2017" s="104"/>
      <c r="J2017" s="104"/>
      <c r="K2017" s="67">
        <v>114.6743309</v>
      </c>
      <c r="O2017" s="94">
        <f t="shared" si="275"/>
        <v>2.7608514902097729</v>
      </c>
      <c r="P2017" s="45"/>
      <c r="Q2017" s="45"/>
      <c r="R2017" s="48">
        <f t="shared" si="276"/>
        <v>2.0594662147967338</v>
      </c>
      <c r="U2017" s="94">
        <v>2.7608514902097729</v>
      </c>
      <c r="V2017" s="105">
        <v>2.0594662147967338</v>
      </c>
      <c r="W2017" s="49">
        <f t="shared" si="277"/>
        <v>1.0851818394409094</v>
      </c>
    </row>
    <row r="2018" spans="1:23" hidden="1">
      <c r="A2018" s="22" t="s">
        <v>150</v>
      </c>
      <c r="B2018" s="23" t="s">
        <v>252</v>
      </c>
      <c r="C2018" s="28" t="s">
        <v>255</v>
      </c>
      <c r="D2018" s="23"/>
      <c r="H2018" s="104">
        <v>584.31136784</v>
      </c>
      <c r="I2018" s="104"/>
      <c r="J2018" s="104"/>
      <c r="K2018" s="67">
        <v>117.56170729999999</v>
      </c>
      <c r="O2018" s="94">
        <f t="shared" si="275"/>
        <v>2.7666443356379382</v>
      </c>
      <c r="P2018" s="45"/>
      <c r="Q2018" s="45"/>
      <c r="R2018" s="48">
        <f t="shared" si="276"/>
        <v>2.0702658845253188</v>
      </c>
      <c r="U2018" s="94">
        <v>2.7666443356379382</v>
      </c>
      <c r="V2018" s="105">
        <v>2.0702658845253188</v>
      </c>
      <c r="W2018" s="49">
        <f t="shared" si="277"/>
        <v>1.0731449347770792</v>
      </c>
    </row>
    <row r="2019" spans="1:23" hidden="1">
      <c r="A2019" s="22" t="s">
        <v>150</v>
      </c>
      <c r="B2019" s="23" t="s">
        <v>252</v>
      </c>
      <c r="C2019" s="28" t="s">
        <v>255</v>
      </c>
      <c r="D2019" s="23"/>
      <c r="H2019" s="104">
        <v>496.22064899999998</v>
      </c>
      <c r="I2019" s="104"/>
      <c r="J2019" s="104"/>
      <c r="K2019" s="67">
        <v>118.31607534</v>
      </c>
      <c r="O2019" s="94">
        <f t="shared" si="275"/>
        <v>2.6956748324073088</v>
      </c>
      <c r="P2019" s="45"/>
      <c r="Q2019" s="45"/>
      <c r="R2019" s="48">
        <f t="shared" si="276"/>
        <v>2.0730437552548069</v>
      </c>
      <c r="U2019" s="94">
        <v>2.6956748324073088</v>
      </c>
      <c r="V2019" s="105">
        <v>2.0730437552548069</v>
      </c>
      <c r="W2019" s="49">
        <f t="shared" si="277"/>
        <v>1.0917522359555736</v>
      </c>
    </row>
    <row r="2020" spans="1:23" hidden="1">
      <c r="A2020" s="22" t="s">
        <v>150</v>
      </c>
      <c r="B2020" s="23" t="s">
        <v>252</v>
      </c>
      <c r="C2020" s="28" t="s">
        <v>255</v>
      </c>
      <c r="D2020" s="23"/>
      <c r="H2020" s="104">
        <v>379.52758881</v>
      </c>
      <c r="I2020" s="104"/>
      <c r="J2020" s="104"/>
      <c r="K2020" s="67">
        <v>129.19638352999999</v>
      </c>
      <c r="O2020" s="94">
        <f t="shared" si="275"/>
        <v>2.5792433513314887</v>
      </c>
      <c r="P2020" s="45"/>
      <c r="Q2020" s="45"/>
      <c r="R2020" s="48">
        <f t="shared" si="276"/>
        <v>2.1112503570418277</v>
      </c>
      <c r="U2020" s="94">
        <v>2.5792433513314887</v>
      </c>
      <c r="V2020" s="105">
        <v>2.1112503570418277</v>
      </c>
      <c r="W2020" s="49">
        <f t="shared" si="277"/>
        <v>1.0901810513075771</v>
      </c>
    </row>
    <row r="2021" spans="1:23" hidden="1">
      <c r="A2021" s="22" t="s">
        <v>150</v>
      </c>
      <c r="B2021" s="23" t="s">
        <v>252</v>
      </c>
      <c r="C2021" s="28" t="s">
        <v>255</v>
      </c>
      <c r="D2021" s="23"/>
      <c r="H2021" s="104">
        <v>441.80881271999999</v>
      </c>
      <c r="I2021" s="104"/>
      <c r="J2021" s="104"/>
      <c r="K2021" s="67">
        <v>119.05827615</v>
      </c>
      <c r="O2021" s="94">
        <f t="shared" si="275"/>
        <v>2.6452343744541458</v>
      </c>
      <c r="P2021" s="45"/>
      <c r="Q2021" s="45"/>
      <c r="R2021" s="48">
        <f t="shared" si="276"/>
        <v>2.0757595900924142</v>
      </c>
      <c r="U2021" s="94">
        <v>2.6452343744541458</v>
      </c>
      <c r="V2021" s="105">
        <v>2.0757595900924142</v>
      </c>
      <c r="W2021" s="49">
        <f t="shared" si="277"/>
        <v>1.1042697590962178</v>
      </c>
    </row>
    <row r="2022" spans="1:23" hidden="1">
      <c r="A2022" s="22" t="s">
        <v>150</v>
      </c>
      <c r="B2022" s="23" t="s">
        <v>252</v>
      </c>
      <c r="C2022" s="28" t="s">
        <v>255</v>
      </c>
      <c r="D2022" s="23"/>
      <c r="H2022" s="104">
        <v>423.56171694</v>
      </c>
      <c r="I2022" s="104"/>
      <c r="J2022" s="104"/>
      <c r="K2022" s="67">
        <v>129.90301858999999</v>
      </c>
      <c r="O2022" s="94">
        <f t="shared" si="275"/>
        <v>2.6269167000826368</v>
      </c>
      <c r="P2022" s="45"/>
      <c r="Q2022" s="45"/>
      <c r="R2022" s="48">
        <f t="shared" si="276"/>
        <v>2.1136192430033471</v>
      </c>
      <c r="U2022" s="94">
        <v>2.6269167000826368</v>
      </c>
      <c r="V2022" s="105">
        <v>2.1136192430033471</v>
      </c>
      <c r="W2022" s="49">
        <f t="shared" si="277"/>
        <v>1.0736420302735354</v>
      </c>
    </row>
    <row r="2023" spans="1:23" hidden="1">
      <c r="A2023" s="22" t="s">
        <v>150</v>
      </c>
      <c r="B2023" s="23" t="s">
        <v>252</v>
      </c>
      <c r="C2023" s="28" t="s">
        <v>255</v>
      </c>
      <c r="D2023" s="23"/>
      <c r="H2023" s="104">
        <v>472.79967420000003</v>
      </c>
      <c r="I2023" s="104"/>
      <c r="J2023" s="104"/>
      <c r="K2023" s="67">
        <v>128.44014361000001</v>
      </c>
      <c r="O2023" s="94">
        <f t="shared" si="275"/>
        <v>2.6746771686067206</v>
      </c>
      <c r="P2023" s="45"/>
      <c r="Q2023" s="45"/>
      <c r="R2023" s="48">
        <f t="shared" si="276"/>
        <v>2.1087007824830328</v>
      </c>
      <c r="U2023" s="94">
        <v>2.6746771686067206</v>
      </c>
      <c r="V2023" s="105">
        <v>2.1087007824830328</v>
      </c>
      <c r="W2023" s="49">
        <f t="shared" si="277"/>
        <v>1.0640283145333747</v>
      </c>
    </row>
    <row r="2024" spans="1:23" hidden="1">
      <c r="A2024" s="22" t="s">
        <v>150</v>
      </c>
      <c r="B2024" s="23" t="s">
        <v>252</v>
      </c>
      <c r="C2024" s="28" t="s">
        <v>255</v>
      </c>
      <c r="D2024" s="23"/>
      <c r="H2024" s="104">
        <v>462.31714072</v>
      </c>
      <c r="I2024" s="104"/>
      <c r="J2024" s="104"/>
      <c r="K2024" s="67">
        <v>140.00462429000001</v>
      </c>
      <c r="O2024" s="94">
        <f t="shared" si="275"/>
        <v>2.6649399954975936</v>
      </c>
      <c r="P2024" s="45"/>
      <c r="Q2024" s="45"/>
      <c r="R2024" s="48">
        <f t="shared" si="276"/>
        <v>2.146142380467257</v>
      </c>
      <c r="U2024" s="94">
        <v>2.6649399954975936</v>
      </c>
      <c r="V2024" s="105">
        <v>2.146142380467257</v>
      </c>
      <c r="W2024" s="49">
        <f t="shared" si="277"/>
        <v>1.0312292970968651</v>
      </c>
    </row>
    <row r="2025" spans="1:23" hidden="1">
      <c r="A2025" s="22" t="s">
        <v>150</v>
      </c>
      <c r="B2025" s="23" t="s">
        <v>252</v>
      </c>
      <c r="C2025" s="28" t="s">
        <v>255</v>
      </c>
      <c r="D2025" s="23"/>
      <c r="H2025" s="104">
        <v>490.74726901999998</v>
      </c>
      <c r="I2025" s="104"/>
      <c r="J2025" s="104"/>
      <c r="K2025" s="67">
        <v>146.49724347</v>
      </c>
      <c r="O2025" s="94">
        <f t="shared" si="275"/>
        <v>2.6908578914552441</v>
      </c>
      <c r="P2025" s="45"/>
      <c r="Q2025" s="45"/>
      <c r="R2025" s="48">
        <f t="shared" si="276"/>
        <v>2.1658294529697799</v>
      </c>
      <c r="U2025" s="94">
        <v>2.6908578914552441</v>
      </c>
      <c r="V2025" s="105">
        <v>2.1658294529697799</v>
      </c>
      <c r="W2025" s="49">
        <f t="shared" si="277"/>
        <v>1.0046867512171516</v>
      </c>
    </row>
    <row r="2026" spans="1:23" hidden="1">
      <c r="A2026" s="22" t="s">
        <v>150</v>
      </c>
      <c r="B2026" s="23" t="s">
        <v>252</v>
      </c>
      <c r="C2026" s="28" t="s">
        <v>255</v>
      </c>
      <c r="D2026" s="23"/>
      <c r="H2026" s="104">
        <v>418.25306248999999</v>
      </c>
      <c r="I2026" s="104"/>
      <c r="J2026" s="104"/>
      <c r="K2026" s="67">
        <v>142.18817346</v>
      </c>
      <c r="O2026" s="94">
        <f t="shared" si="275"/>
        <v>2.6214391295929227</v>
      </c>
      <c r="P2026" s="45"/>
      <c r="Q2026" s="45"/>
      <c r="R2026" s="48">
        <f t="shared" si="276"/>
        <v>2.1528634753342639</v>
      </c>
      <c r="U2026" s="94">
        <v>2.6214391295929227</v>
      </c>
      <c r="V2026" s="105">
        <v>2.1528634753342639</v>
      </c>
      <c r="W2026" s="49">
        <f t="shared" si="277"/>
        <v>1.0378476241629775</v>
      </c>
    </row>
    <row r="2027" spans="1:23" hidden="1">
      <c r="A2027" s="22" t="s">
        <v>150</v>
      </c>
      <c r="B2027" s="23" t="s">
        <v>252</v>
      </c>
      <c r="C2027" s="28" t="s">
        <v>255</v>
      </c>
      <c r="D2027" s="23"/>
      <c r="H2027" s="104">
        <v>389.71062132999998</v>
      </c>
      <c r="I2027" s="104"/>
      <c r="J2027" s="104"/>
      <c r="K2027" s="67">
        <v>146.53374514999999</v>
      </c>
      <c r="O2027" s="94">
        <f t="shared" si="275"/>
        <v>2.5907422423904567</v>
      </c>
      <c r="P2027" s="45"/>
      <c r="Q2027" s="45"/>
      <c r="R2027" s="48">
        <f t="shared" si="276"/>
        <v>2.1659376495694693</v>
      </c>
      <c r="U2027" s="94">
        <v>2.5907422423904567</v>
      </c>
      <c r="V2027" s="105">
        <v>2.1659376495694693</v>
      </c>
      <c r="W2027" s="49">
        <f t="shared" si="277"/>
        <v>1.0345706422205787</v>
      </c>
    </row>
    <row r="2028" spans="1:23" hidden="1">
      <c r="A2028" s="22" t="s">
        <v>150</v>
      </c>
      <c r="B2028" s="23" t="s">
        <v>252</v>
      </c>
      <c r="C2028" s="28" t="s">
        <v>255</v>
      </c>
      <c r="D2028" s="23"/>
      <c r="H2028" s="104">
        <v>451.75973199999999</v>
      </c>
      <c r="I2028" s="104"/>
      <c r="J2028" s="104"/>
      <c r="K2028" s="67">
        <v>158.79456554999999</v>
      </c>
      <c r="O2028" s="94">
        <f t="shared" si="275"/>
        <v>2.6549075170899088</v>
      </c>
      <c r="P2028" s="45"/>
      <c r="Q2028" s="45"/>
      <c r="R2028" s="48">
        <f t="shared" si="276"/>
        <v>2.2008356354208467</v>
      </c>
      <c r="U2028" s="94">
        <v>2.6549075170899088</v>
      </c>
      <c r="V2028" s="105">
        <v>2.2008356354208467</v>
      </c>
      <c r="W2028" s="49">
        <f t="shared" si="277"/>
        <v>0.98206237527870621</v>
      </c>
    </row>
    <row r="2029" spans="1:23" hidden="1">
      <c r="A2029" s="22" t="s">
        <v>150</v>
      </c>
      <c r="B2029" s="23" t="s">
        <v>252</v>
      </c>
      <c r="C2029" s="28" t="s">
        <v>255</v>
      </c>
      <c r="D2029" s="23"/>
      <c r="H2029" s="104">
        <v>506.13413065999998</v>
      </c>
      <c r="I2029" s="104"/>
      <c r="J2029" s="104"/>
      <c r="K2029" s="67">
        <v>161.66509503</v>
      </c>
      <c r="O2029" s="94">
        <f t="shared" si="275"/>
        <v>2.7042656245198358</v>
      </c>
      <c r="P2029" s="45"/>
      <c r="Q2029" s="45"/>
      <c r="R2029" s="48">
        <f t="shared" si="276"/>
        <v>2.208616261883944</v>
      </c>
      <c r="U2029" s="94">
        <v>2.7042656245198358</v>
      </c>
      <c r="V2029" s="105">
        <v>2.208616261883944</v>
      </c>
      <c r="W2029" s="49">
        <f t="shared" si="277"/>
        <v>0.9598564683108517</v>
      </c>
    </row>
    <row r="2030" spans="1:23" hidden="1">
      <c r="A2030" s="22" t="s">
        <v>150</v>
      </c>
      <c r="B2030" s="23" t="s">
        <v>252</v>
      </c>
      <c r="C2030" s="28" t="s">
        <v>255</v>
      </c>
      <c r="D2030" s="23"/>
      <c r="H2030" s="104">
        <v>461.92030195000001</v>
      </c>
      <c r="I2030" s="104"/>
      <c r="J2030" s="104"/>
      <c r="K2030" s="67">
        <v>178.29956534999999</v>
      </c>
      <c r="O2030" s="94">
        <f t="shared" si="275"/>
        <v>2.6645670504281762</v>
      </c>
      <c r="P2030" s="45"/>
      <c r="Q2030" s="45"/>
      <c r="R2030" s="48">
        <f t="shared" si="276"/>
        <v>2.2511502844747002</v>
      </c>
      <c r="U2030" s="94">
        <v>2.6645670504281762</v>
      </c>
      <c r="V2030" s="105">
        <v>2.2511502844747002</v>
      </c>
      <c r="W2030" s="49">
        <f t="shared" si="277"/>
        <v>0.93117396368690397</v>
      </c>
    </row>
    <row r="2031" spans="1:23" hidden="1">
      <c r="A2031" s="22" t="s">
        <v>150</v>
      </c>
      <c r="B2031" s="23" t="s">
        <v>252</v>
      </c>
      <c r="C2031" s="28" t="s">
        <v>255</v>
      </c>
      <c r="D2031" s="23"/>
      <c r="H2031" s="104">
        <v>425.74058639999998</v>
      </c>
      <c r="I2031" s="104"/>
      <c r="J2031" s="104"/>
      <c r="K2031" s="67">
        <v>169.64211581999999</v>
      </c>
      <c r="O2031" s="94">
        <f t="shared" si="275"/>
        <v>2.6291450540046148</v>
      </c>
      <c r="P2031" s="45"/>
      <c r="Q2031" s="45"/>
      <c r="R2031" s="48">
        <f t="shared" si="276"/>
        <v>2.2295336804536725</v>
      </c>
      <c r="U2031" s="94">
        <v>2.6291450540046148</v>
      </c>
      <c r="V2031" s="105">
        <v>2.2295336804536725</v>
      </c>
      <c r="W2031" s="49">
        <f t="shared" si="277"/>
        <v>0.96240380157253114</v>
      </c>
    </row>
    <row r="2032" spans="1:23" hidden="1">
      <c r="A2032" s="22" t="s">
        <v>150</v>
      </c>
      <c r="B2032" s="23" t="s">
        <v>252</v>
      </c>
      <c r="C2032" s="28" t="s">
        <v>255</v>
      </c>
      <c r="D2032" s="23"/>
      <c r="H2032" s="104">
        <v>422.91778988999999</v>
      </c>
      <c r="I2032" s="104"/>
      <c r="J2032" s="104"/>
      <c r="K2032" s="67">
        <v>192.04197955000001</v>
      </c>
      <c r="O2032" s="94">
        <f t="shared" si="275"/>
        <v>2.6262559539777386</v>
      </c>
      <c r="P2032" s="45"/>
      <c r="Q2032" s="45"/>
      <c r="R2032" s="48">
        <f t="shared" si="276"/>
        <v>2.2833961739853739</v>
      </c>
      <c r="U2032" s="94">
        <v>2.6262559539777386</v>
      </c>
      <c r="V2032" s="105">
        <v>2.2833961739853739</v>
      </c>
      <c r="W2032" s="49">
        <f t="shared" si="277"/>
        <v>0.91188972552255143</v>
      </c>
    </row>
    <row r="2033" spans="1:23" hidden="1">
      <c r="A2033" s="22" t="s">
        <v>150</v>
      </c>
      <c r="B2033" s="23" t="s">
        <v>252</v>
      </c>
      <c r="C2033" s="28" t="s">
        <v>255</v>
      </c>
      <c r="D2033" s="23"/>
      <c r="H2033" s="104">
        <v>404.93275745</v>
      </c>
      <c r="I2033" s="104"/>
      <c r="J2033" s="104"/>
      <c r="K2033" s="67">
        <v>177.59760997999999</v>
      </c>
      <c r="O2033" s="94">
        <f t="shared" si="275"/>
        <v>2.6073829108862991</v>
      </c>
      <c r="P2033" s="45"/>
      <c r="Q2033" s="45"/>
      <c r="R2033" s="48">
        <f t="shared" si="276"/>
        <v>2.2494371169635174</v>
      </c>
      <c r="U2033" s="94">
        <v>2.6073829108862991</v>
      </c>
      <c r="V2033" s="105">
        <v>2.2494371169635174</v>
      </c>
      <c r="W2033" s="49">
        <f t="shared" si="277"/>
        <v>0.94993621069844658</v>
      </c>
    </row>
    <row r="2034" spans="1:23" hidden="1">
      <c r="A2034" s="22" t="s">
        <v>150</v>
      </c>
      <c r="B2034" s="23" t="s">
        <v>252</v>
      </c>
      <c r="C2034" s="28" t="s">
        <v>255</v>
      </c>
      <c r="D2034" s="23"/>
      <c r="H2034" s="104">
        <v>479.97272211000001</v>
      </c>
      <c r="I2034" s="104"/>
      <c r="J2034" s="104"/>
      <c r="K2034" s="67">
        <v>186.2410204</v>
      </c>
      <c r="O2034" s="94">
        <f t="shared" si="275"/>
        <v>2.681216556180309</v>
      </c>
      <c r="P2034" s="45"/>
      <c r="Q2034" s="45"/>
      <c r="R2034" s="48">
        <f t="shared" si="276"/>
        <v>2.2700753424418485</v>
      </c>
      <c r="U2034" s="94">
        <v>2.681216556180309</v>
      </c>
      <c r="V2034" s="105">
        <v>2.2700753424418485</v>
      </c>
      <c r="W2034" s="49">
        <f t="shared" si="277"/>
        <v>0.90813441434143627</v>
      </c>
    </row>
    <row r="2035" spans="1:23" hidden="1">
      <c r="A2035" s="22" t="s">
        <v>150</v>
      </c>
      <c r="B2035" s="23" t="s">
        <v>252</v>
      </c>
      <c r="C2035" s="28" t="s">
        <v>255</v>
      </c>
      <c r="D2035" s="23"/>
      <c r="H2035" s="104">
        <v>355.78465047999998</v>
      </c>
      <c r="I2035" s="104"/>
      <c r="J2035" s="104"/>
      <c r="K2035" s="67">
        <v>170.38993227</v>
      </c>
      <c r="O2035" s="94">
        <f t="shared" si="275"/>
        <v>2.551187207503856</v>
      </c>
      <c r="P2035" s="45"/>
      <c r="Q2035" s="45"/>
      <c r="R2035" s="48">
        <f t="shared" si="276"/>
        <v>2.2314439302854039</v>
      </c>
      <c r="U2035" s="94">
        <v>2.551187207503856</v>
      </c>
      <c r="V2035" s="105">
        <v>2.2314439302854039</v>
      </c>
      <c r="W2035" s="49">
        <f t="shared" si="277"/>
        <v>0.98393190704804401</v>
      </c>
    </row>
    <row r="2036" spans="1:23" hidden="1">
      <c r="A2036" s="22" t="s">
        <v>150</v>
      </c>
      <c r="B2036" s="23" t="s">
        <v>252</v>
      </c>
      <c r="C2036" s="28" t="s">
        <v>255</v>
      </c>
      <c r="D2036" s="23"/>
      <c r="H2036" s="104">
        <v>337.64986756000002</v>
      </c>
      <c r="I2036" s="104"/>
      <c r="J2036" s="104"/>
      <c r="K2036" s="67">
        <v>170.39648385999999</v>
      </c>
      <c r="O2036" s="94">
        <f t="shared" si="275"/>
        <v>2.5284665837082891</v>
      </c>
      <c r="P2036" s="45"/>
      <c r="Q2036" s="45"/>
      <c r="R2036" s="48">
        <f t="shared" si="276"/>
        <v>2.2314606288347028</v>
      </c>
      <c r="U2036" s="94">
        <v>2.5284665837082891</v>
      </c>
      <c r="V2036" s="105">
        <v>2.2314606288347028</v>
      </c>
      <c r="W2036" s="49">
        <f t="shared" si="277"/>
        <v>0.99072136405598532</v>
      </c>
    </row>
    <row r="2037" spans="1:23" hidden="1">
      <c r="A2037" s="22" t="s">
        <v>150</v>
      </c>
      <c r="B2037" s="23" t="s">
        <v>252</v>
      </c>
      <c r="C2037" s="28" t="s">
        <v>255</v>
      </c>
      <c r="D2037" s="23"/>
      <c r="H2037" s="104">
        <v>776.32891858999994</v>
      </c>
      <c r="I2037" s="104"/>
      <c r="J2037" s="104"/>
      <c r="K2037" s="67">
        <v>87.868059349999996</v>
      </c>
      <c r="O2037" s="94">
        <f t="shared" si="275"/>
        <v>2.8900457641231503</v>
      </c>
      <c r="P2037" s="45"/>
      <c r="Q2037" s="45"/>
      <c r="R2037" s="48">
        <f t="shared" si="276"/>
        <v>1.943831034698821</v>
      </c>
      <c r="U2037" s="94">
        <v>2.8900457641231503</v>
      </c>
      <c r="V2037" s="105">
        <v>1.943831034698821</v>
      </c>
      <c r="W2037" s="49">
        <f t="shared" si="277"/>
        <v>1.1567893745201137</v>
      </c>
    </row>
    <row r="2038" spans="1:23" hidden="1">
      <c r="A2038" s="22" t="s">
        <v>150</v>
      </c>
      <c r="B2038" s="23" t="s">
        <v>252</v>
      </c>
      <c r="C2038" s="28" t="s">
        <v>255</v>
      </c>
      <c r="D2038" s="23"/>
      <c r="H2038" s="104">
        <v>822.90131732999998</v>
      </c>
      <c r="I2038" s="104"/>
      <c r="J2038" s="104"/>
      <c r="K2038" s="67">
        <v>93.631580880000001</v>
      </c>
      <c r="O2038" s="94">
        <f t="shared" si="275"/>
        <v>2.9153477575589615</v>
      </c>
      <c r="P2038" s="45"/>
      <c r="Q2038" s="45"/>
      <c r="R2038" s="48">
        <f t="shared" si="276"/>
        <v>1.9714223560952857</v>
      </c>
      <c r="U2038" s="94">
        <v>2.9153477575589615</v>
      </c>
      <c r="V2038" s="105">
        <v>1.9714223560952857</v>
      </c>
      <c r="W2038" s="49">
        <f t="shared" si="277"/>
        <v>1.1228914435769621</v>
      </c>
    </row>
    <row r="2039" spans="1:23" hidden="1">
      <c r="A2039" s="22" t="s">
        <v>150</v>
      </c>
      <c r="B2039" s="23" t="s">
        <v>252</v>
      </c>
      <c r="C2039" s="28" t="s">
        <v>255</v>
      </c>
      <c r="D2039" s="23"/>
      <c r="H2039" s="104">
        <v>789.02775914999995</v>
      </c>
      <c r="I2039" s="104"/>
      <c r="J2039" s="104"/>
      <c r="K2039" s="67">
        <v>112.4299456</v>
      </c>
      <c r="O2039" s="94">
        <f t="shared" ref="O2039:O2102" si="278">LOG10(H2039)</f>
        <v>2.8970922825929404</v>
      </c>
      <c r="P2039" s="45"/>
      <c r="Q2039" s="45"/>
      <c r="R2039" s="48">
        <f t="shared" ref="R2039:R2102" si="279">LOG10(K2039)</f>
        <v>2.0508820005277175</v>
      </c>
      <c r="U2039" s="94">
        <v>2.8970922825929404</v>
      </c>
      <c r="V2039" s="105">
        <v>2.0508820005277175</v>
      </c>
      <c r="W2039" s="49">
        <f t="shared" si="277"/>
        <v>1.0525628525898731</v>
      </c>
    </row>
    <row r="2040" spans="1:23" hidden="1">
      <c r="A2040" s="22" t="s">
        <v>150</v>
      </c>
      <c r="B2040" s="23" t="s">
        <v>252</v>
      </c>
      <c r="C2040" s="28" t="s">
        <v>255</v>
      </c>
      <c r="D2040" s="23"/>
      <c r="H2040" s="104">
        <v>729.47948147</v>
      </c>
      <c r="I2040" s="104"/>
      <c r="J2040" s="104"/>
      <c r="K2040" s="67">
        <v>108.83874195</v>
      </c>
      <c r="O2040" s="94">
        <f t="shared" si="278"/>
        <v>2.8630130807261414</v>
      </c>
      <c r="P2040" s="45"/>
      <c r="Q2040" s="45"/>
      <c r="R2040" s="48">
        <f t="shared" si="279"/>
        <v>2.0367835131947229</v>
      </c>
      <c r="U2040" s="94">
        <v>2.8630130807261414</v>
      </c>
      <c r="V2040" s="105">
        <v>2.0367835131947229</v>
      </c>
      <c r="W2040" s="49">
        <f t="shared" si="277"/>
        <v>1.0762189589642885</v>
      </c>
    </row>
    <row r="2041" spans="1:23" hidden="1">
      <c r="A2041" s="22" t="s">
        <v>150</v>
      </c>
      <c r="B2041" s="23" t="s">
        <v>252</v>
      </c>
      <c r="C2041" s="28" t="s">
        <v>255</v>
      </c>
      <c r="D2041" s="23"/>
      <c r="H2041" s="104">
        <v>667.20574508000004</v>
      </c>
      <c r="I2041" s="104"/>
      <c r="J2041" s="104"/>
      <c r="K2041" s="67">
        <v>118.25430326999999</v>
      </c>
      <c r="O2041" s="94">
        <f t="shared" si="278"/>
        <v>2.8242597772067208</v>
      </c>
      <c r="P2041" s="45"/>
      <c r="Q2041" s="45"/>
      <c r="R2041" s="48">
        <f t="shared" si="279"/>
        <v>2.0728169536585628</v>
      </c>
      <c r="U2041" s="94">
        <v>2.8242597772067208</v>
      </c>
      <c r="V2041" s="105">
        <v>2.0728169536585628</v>
      </c>
      <c r="W2041" s="49">
        <f t="shared" si="277"/>
        <v>1.0534542278411647</v>
      </c>
    </row>
    <row r="2042" spans="1:23" hidden="1">
      <c r="A2042" s="22" t="s">
        <v>150</v>
      </c>
      <c r="B2042" s="23" t="s">
        <v>252</v>
      </c>
      <c r="C2042" s="28" t="s">
        <v>255</v>
      </c>
      <c r="D2042" s="23"/>
      <c r="H2042" s="104">
        <v>913.57523191999996</v>
      </c>
      <c r="I2042" s="104"/>
      <c r="J2042" s="104"/>
      <c r="K2042" s="67">
        <v>93.598822960000007</v>
      </c>
      <c r="O2042" s="94">
        <f t="shared" si="278"/>
        <v>2.9607443168362271</v>
      </c>
      <c r="P2042" s="45"/>
      <c r="Q2042" s="45"/>
      <c r="R2042" s="48">
        <f t="shared" si="279"/>
        <v>1.9712703873578583</v>
      </c>
      <c r="U2042" s="94">
        <v>2.9607443168362271</v>
      </c>
      <c r="V2042" s="105">
        <v>1.9712703873578583</v>
      </c>
      <c r="W2042" s="49">
        <f t="shared" si="277"/>
        <v>1.1094390202966951</v>
      </c>
    </row>
    <row r="2043" spans="1:23" hidden="1">
      <c r="A2043" s="22" t="s">
        <v>150</v>
      </c>
      <c r="B2043" s="23" t="s">
        <v>252</v>
      </c>
      <c r="C2043" s="28" t="s">
        <v>255</v>
      </c>
      <c r="D2043" s="23"/>
      <c r="H2043" s="104">
        <v>884.99535315000003</v>
      </c>
      <c r="I2043" s="104"/>
      <c r="J2043" s="104"/>
      <c r="K2043" s="67">
        <v>101.55712493999999</v>
      </c>
      <c r="O2043" s="94">
        <f t="shared" si="278"/>
        <v>2.9469409903513717</v>
      </c>
      <c r="P2043" s="45"/>
      <c r="Q2043" s="45"/>
      <c r="R2043" s="48">
        <f t="shared" si="279"/>
        <v>2.0067103975938951</v>
      </c>
      <c r="U2043" s="94">
        <v>2.9469409903513717</v>
      </c>
      <c r="V2043" s="105">
        <v>2.0067103975938951</v>
      </c>
      <c r="W2043" s="49">
        <f t="shared" si="277"/>
        <v>1.0797672303765848</v>
      </c>
    </row>
    <row r="2044" spans="1:23" hidden="1">
      <c r="A2044" s="22" t="s">
        <v>150</v>
      </c>
      <c r="B2044" s="23" t="s">
        <v>252</v>
      </c>
      <c r="C2044" s="28" t="s">
        <v>255</v>
      </c>
      <c r="D2044" s="23"/>
      <c r="H2044" s="104">
        <v>848.61347445000001</v>
      </c>
      <c r="I2044" s="104"/>
      <c r="J2044" s="104"/>
      <c r="K2044" s="67">
        <v>112.40841897</v>
      </c>
      <c r="O2044" s="94">
        <f t="shared" si="278"/>
        <v>2.9287099232976992</v>
      </c>
      <c r="P2044" s="45"/>
      <c r="Q2044" s="45"/>
      <c r="R2044" s="48">
        <f t="shared" si="279"/>
        <v>2.0507988394829431</v>
      </c>
      <c r="U2044" s="94">
        <v>2.9287099232976992</v>
      </c>
      <c r="V2044" s="105">
        <v>2.0507988394829431</v>
      </c>
      <c r="W2044" s="49">
        <f t="shared" si="277"/>
        <v>1.0431719187254467</v>
      </c>
    </row>
    <row r="2045" spans="1:23" hidden="1">
      <c r="A2045" s="22" t="s">
        <v>150</v>
      </c>
      <c r="B2045" s="23" t="s">
        <v>252</v>
      </c>
      <c r="C2045" s="28" t="s">
        <v>255</v>
      </c>
      <c r="D2045" s="23"/>
      <c r="H2045" s="104">
        <v>817.38301220999995</v>
      </c>
      <c r="I2045" s="104"/>
      <c r="J2045" s="104"/>
      <c r="K2045" s="67">
        <v>126.14802535</v>
      </c>
      <c r="O2045" s="94">
        <f t="shared" si="278"/>
        <v>2.9124256074639989</v>
      </c>
      <c r="P2045" s="45"/>
      <c r="Q2045" s="45"/>
      <c r="R2045" s="48">
        <f t="shared" si="279"/>
        <v>2.100880456706065</v>
      </c>
      <c r="U2045" s="94">
        <v>2.9124256074639989</v>
      </c>
      <c r="V2045" s="105">
        <v>2.100880456706065</v>
      </c>
      <c r="W2045" s="49">
        <f t="shared" si="277"/>
        <v>1.0002766172426731</v>
      </c>
    </row>
    <row r="2046" spans="1:23" hidden="1">
      <c r="A2046" s="22" t="s">
        <v>150</v>
      </c>
      <c r="B2046" s="23" t="s">
        <v>252</v>
      </c>
      <c r="C2046" s="28" t="s">
        <v>255</v>
      </c>
      <c r="D2046" s="23"/>
      <c r="H2046" s="104">
        <v>791.50612956999998</v>
      </c>
      <c r="I2046" s="104"/>
      <c r="J2046" s="104"/>
      <c r="K2046" s="67">
        <v>123.26720053</v>
      </c>
      <c r="O2046" s="94">
        <f t="shared" si="278"/>
        <v>2.8984542824682671</v>
      </c>
      <c r="P2046" s="45"/>
      <c r="Q2046" s="45"/>
      <c r="R2046" s="48">
        <f t="shared" si="279"/>
        <v>2.0908475330126133</v>
      </c>
      <c r="U2046" s="94">
        <v>2.8984542824682671</v>
      </c>
      <c r="V2046" s="105">
        <v>2.0908475330126133</v>
      </c>
      <c r="W2046" s="49">
        <f t="shared" si="277"/>
        <v>1.0140317786846733</v>
      </c>
    </row>
    <row r="2047" spans="1:23" hidden="1">
      <c r="A2047" s="22" t="s">
        <v>150</v>
      </c>
      <c r="B2047" s="23" t="s">
        <v>252</v>
      </c>
      <c r="C2047" s="28" t="s">
        <v>255</v>
      </c>
      <c r="D2047" s="23"/>
      <c r="H2047" s="104">
        <v>737.06434319000005</v>
      </c>
      <c r="I2047" s="104"/>
      <c r="J2047" s="104"/>
      <c r="K2047" s="67">
        <v>126.89958557</v>
      </c>
      <c r="O2047" s="94">
        <f t="shared" si="278"/>
        <v>2.8675054019331716</v>
      </c>
      <c r="P2047" s="45"/>
      <c r="Q2047" s="45"/>
      <c r="R2047" s="48">
        <f t="shared" si="279"/>
        <v>2.1034602037735382</v>
      </c>
      <c r="U2047" s="94">
        <v>2.8675054019331716</v>
      </c>
      <c r="V2047" s="105">
        <v>2.1034602037735382</v>
      </c>
      <c r="W2047" s="49">
        <f t="shared" ref="W2047:W2110" si="280">0.9539*(4.064-0.314*U2047-V2047)</f>
        <v>1.0112705031085496</v>
      </c>
    </row>
    <row r="2048" spans="1:23" hidden="1">
      <c r="A2048" s="22" t="s">
        <v>150</v>
      </c>
      <c r="B2048" s="23" t="s">
        <v>252</v>
      </c>
      <c r="C2048" s="28" t="s">
        <v>255</v>
      </c>
      <c r="D2048" s="23"/>
      <c r="H2048" s="104">
        <v>814.67252855000004</v>
      </c>
      <c r="I2048" s="104"/>
      <c r="J2048" s="104"/>
      <c r="K2048" s="67">
        <v>137.70969821</v>
      </c>
      <c r="O2048" s="94">
        <f t="shared" si="278"/>
        <v>2.9109830717785461</v>
      </c>
      <c r="P2048" s="45"/>
      <c r="Q2048" s="45"/>
      <c r="R2048" s="48">
        <f t="shared" si="279"/>
        <v>2.1389645265370469</v>
      </c>
      <c r="U2048" s="94">
        <v>2.9109830717785461</v>
      </c>
      <c r="V2048" s="105">
        <v>2.1389645265370469</v>
      </c>
      <c r="W2048" s="49">
        <f t="shared" si="280"/>
        <v>0.96438029795507063</v>
      </c>
    </row>
    <row r="2049" spans="1:23" hidden="1">
      <c r="A2049" s="22" t="s">
        <v>150</v>
      </c>
      <c r="B2049" s="23" t="s">
        <v>252</v>
      </c>
      <c r="C2049" s="28" t="s">
        <v>255</v>
      </c>
      <c r="D2049" s="23"/>
      <c r="H2049" s="104">
        <v>768.03274209999995</v>
      </c>
      <c r="I2049" s="104"/>
      <c r="J2049" s="104"/>
      <c r="K2049" s="67">
        <v>138.4490912</v>
      </c>
      <c r="O2049" s="94">
        <f t="shared" si="278"/>
        <v>2.885379734888609</v>
      </c>
      <c r="P2049" s="45"/>
      <c r="Q2049" s="45"/>
      <c r="R2049" s="48">
        <f t="shared" si="279"/>
        <v>2.1412901093187147</v>
      </c>
      <c r="U2049" s="94">
        <v>2.885379734888609</v>
      </c>
      <c r="V2049" s="105">
        <v>2.1412901093187147</v>
      </c>
      <c r="W2049" s="49">
        <f t="shared" si="280"/>
        <v>0.96983075378026151</v>
      </c>
    </row>
    <row r="2050" spans="1:23" hidden="1">
      <c r="A2050" s="22" t="s">
        <v>150</v>
      </c>
      <c r="B2050" s="23" t="s">
        <v>252</v>
      </c>
      <c r="C2050" s="28" t="s">
        <v>255</v>
      </c>
      <c r="D2050" s="23"/>
      <c r="H2050" s="104">
        <v>741.93872125999997</v>
      </c>
      <c r="I2050" s="104"/>
      <c r="J2050" s="104"/>
      <c r="K2050" s="67">
        <v>156.52210205</v>
      </c>
      <c r="O2050" s="94">
        <f t="shared" si="278"/>
        <v>2.8703680371959668</v>
      </c>
      <c r="P2050" s="45"/>
      <c r="Q2050" s="45"/>
      <c r="R2050" s="48">
        <f t="shared" si="279"/>
        <v>2.1945756717266338</v>
      </c>
      <c r="U2050" s="94">
        <v>2.8703680371959668</v>
      </c>
      <c r="V2050" s="105">
        <v>2.1945756717266338</v>
      </c>
      <c r="W2050" s="49">
        <f t="shared" si="280"/>
        <v>0.92349802854605711</v>
      </c>
    </row>
    <row r="2051" spans="1:23" hidden="1">
      <c r="A2051" s="22" t="s">
        <v>150</v>
      </c>
      <c r="B2051" s="23" t="s">
        <v>252</v>
      </c>
      <c r="C2051" s="28" t="s">
        <v>255</v>
      </c>
      <c r="D2051" s="23"/>
      <c r="H2051" s="104">
        <v>793.76736179</v>
      </c>
      <c r="I2051" s="104"/>
      <c r="J2051" s="104"/>
      <c r="K2051" s="67">
        <v>155.05829112000001</v>
      </c>
      <c r="O2051" s="94">
        <f t="shared" si="278"/>
        <v>2.8996932375720084</v>
      </c>
      <c r="P2051" s="45"/>
      <c r="Q2051" s="45"/>
      <c r="R2051" s="48">
        <f t="shared" si="279"/>
        <v>2.1904949933491866</v>
      </c>
      <c r="U2051" s="94">
        <v>2.8996932375720084</v>
      </c>
      <c r="V2051" s="105">
        <v>2.1904949933491866</v>
      </c>
      <c r="W2051" s="49">
        <f t="shared" si="280"/>
        <v>0.91860696873775005</v>
      </c>
    </row>
    <row r="2052" spans="1:23" hidden="1">
      <c r="A2052" s="22" t="s">
        <v>150</v>
      </c>
      <c r="B2052" s="23" t="s">
        <v>252</v>
      </c>
      <c r="C2052" s="28" t="s">
        <v>255</v>
      </c>
      <c r="D2052" s="23"/>
      <c r="H2052" s="104">
        <v>848.04442262999999</v>
      </c>
      <c r="I2052" s="104"/>
      <c r="J2052" s="104"/>
      <c r="K2052" s="67">
        <v>167.32191935</v>
      </c>
      <c r="O2052" s="94">
        <f t="shared" si="278"/>
        <v>2.928418602254093</v>
      </c>
      <c r="P2052" s="45"/>
      <c r="Q2052" s="45"/>
      <c r="R2052" s="48">
        <f t="shared" si="279"/>
        <v>2.223552837729851</v>
      </c>
      <c r="U2052" s="94">
        <v>2.928418602254093</v>
      </c>
      <c r="V2052" s="105">
        <v>2.223552837729851</v>
      </c>
      <c r="W2052" s="49">
        <f t="shared" si="280"/>
        <v>0.87846913761677881</v>
      </c>
    </row>
    <row r="2053" spans="1:23" hidden="1">
      <c r="A2053" s="22" t="s">
        <v>150</v>
      </c>
      <c r="B2053" s="23" t="s">
        <v>252</v>
      </c>
      <c r="C2053" s="28" t="s">
        <v>255</v>
      </c>
      <c r="D2053" s="23"/>
      <c r="H2053" s="104">
        <v>871.45790991000001</v>
      </c>
      <c r="I2053" s="104"/>
      <c r="J2053" s="104"/>
      <c r="K2053" s="67">
        <v>157.92039714000001</v>
      </c>
      <c r="O2053" s="94">
        <f t="shared" si="278"/>
        <v>2.9402464161904085</v>
      </c>
      <c r="P2053" s="45"/>
      <c r="Q2053" s="45"/>
      <c r="R2053" s="48">
        <f t="shared" si="279"/>
        <v>2.1984382274956076</v>
      </c>
      <c r="U2053" s="94">
        <v>2.9402464161904085</v>
      </c>
      <c r="V2053" s="105">
        <v>2.1984382274956076</v>
      </c>
      <c r="W2053" s="49">
        <f t="shared" si="280"/>
        <v>0.89888324308107426</v>
      </c>
    </row>
    <row r="2054" spans="1:23" hidden="1">
      <c r="A2054" s="22" t="s">
        <v>150</v>
      </c>
      <c r="B2054" s="23" t="s">
        <v>252</v>
      </c>
      <c r="C2054" s="28" t="s">
        <v>255</v>
      </c>
      <c r="D2054" s="23"/>
      <c r="H2054" s="104">
        <v>930.91633731000002</v>
      </c>
      <c r="I2054" s="104"/>
      <c r="J2054" s="104"/>
      <c r="K2054" s="67">
        <v>170.18215348999999</v>
      </c>
      <c r="O2054" s="94">
        <f t="shared" si="278"/>
        <v>2.9689106521121023</v>
      </c>
      <c r="P2054" s="45"/>
      <c r="Q2054" s="45"/>
      <c r="R2054" s="48">
        <f t="shared" si="279"/>
        <v>2.2309140149307449</v>
      </c>
      <c r="U2054" s="94">
        <v>2.9689106521121023</v>
      </c>
      <c r="V2054" s="105">
        <v>2.2309140149307449</v>
      </c>
      <c r="W2054" s="49">
        <f t="shared" si="280"/>
        <v>0.85931894564794609</v>
      </c>
    </row>
    <row r="2055" spans="1:23" hidden="1">
      <c r="A2055" s="22" t="s">
        <v>150</v>
      </c>
      <c r="B2055" s="23" t="s">
        <v>252</v>
      </c>
      <c r="C2055" s="28" t="s">
        <v>255</v>
      </c>
      <c r="D2055" s="23"/>
      <c r="H2055" s="104">
        <v>956.68090709000001</v>
      </c>
      <c r="I2055" s="104"/>
      <c r="J2055" s="104"/>
      <c r="K2055" s="67">
        <v>183.90116918000001</v>
      </c>
      <c r="O2055" s="94">
        <f t="shared" si="278"/>
        <v>2.9807671066393238</v>
      </c>
      <c r="P2055" s="45"/>
      <c r="Q2055" s="45"/>
      <c r="R2055" s="48">
        <f t="shared" si="279"/>
        <v>2.2645844903408956</v>
      </c>
      <c r="U2055" s="94">
        <v>2.9807671066393238</v>
      </c>
      <c r="V2055" s="105">
        <v>2.2645844903408956</v>
      </c>
      <c r="W2055" s="49">
        <f t="shared" si="280"/>
        <v>0.82364937935451898</v>
      </c>
    </row>
    <row r="2056" spans="1:23" hidden="1">
      <c r="A2056" s="22" t="s">
        <v>150</v>
      </c>
      <c r="B2056" s="23" t="s">
        <v>252</v>
      </c>
      <c r="C2056" s="28" t="s">
        <v>255</v>
      </c>
      <c r="D2056" s="23"/>
      <c r="H2056" s="104">
        <v>933.66425858000002</v>
      </c>
      <c r="I2056" s="104"/>
      <c r="J2056" s="104"/>
      <c r="K2056" s="67">
        <v>155.00775034</v>
      </c>
      <c r="O2056" s="94">
        <f t="shared" si="278"/>
        <v>2.9701907339824136</v>
      </c>
      <c r="P2056" s="45"/>
      <c r="Q2056" s="45"/>
      <c r="R2056" s="48">
        <f t="shared" si="279"/>
        <v>2.1903534133041349</v>
      </c>
      <c r="U2056" s="94">
        <v>2.9701907339824136</v>
      </c>
      <c r="V2056" s="105">
        <v>2.1903534133041349</v>
      </c>
      <c r="W2056" s="49">
        <f t="shared" si="280"/>
        <v>0.89762628752939699</v>
      </c>
    </row>
    <row r="2057" spans="1:23" hidden="1">
      <c r="A2057" s="22" t="s">
        <v>150</v>
      </c>
      <c r="B2057" s="23" t="s">
        <v>252</v>
      </c>
      <c r="C2057" s="28" t="s">
        <v>255</v>
      </c>
      <c r="D2057" s="23"/>
      <c r="H2057" s="104">
        <v>975.14514106000001</v>
      </c>
      <c r="I2057" s="104"/>
      <c r="J2057" s="104"/>
      <c r="K2057" s="67">
        <v>152.10259106000001</v>
      </c>
      <c r="O2057" s="94">
        <f t="shared" si="278"/>
        <v>2.9890692611038912</v>
      </c>
      <c r="P2057" s="45"/>
      <c r="Q2057" s="45"/>
      <c r="R2057" s="48">
        <f t="shared" si="279"/>
        <v>2.1821366123007016</v>
      </c>
      <c r="U2057" s="94">
        <v>2.9890692611038912</v>
      </c>
      <c r="V2057" s="105">
        <v>2.1821366123007016</v>
      </c>
      <c r="W2057" s="49">
        <f t="shared" si="280"/>
        <v>0.89980971072192217</v>
      </c>
    </row>
    <row r="2058" spans="1:23" hidden="1">
      <c r="A2058" s="22" t="s">
        <v>150</v>
      </c>
      <c r="B2058" s="23" t="s">
        <v>252</v>
      </c>
      <c r="C2058" s="28" t="s">
        <v>255</v>
      </c>
      <c r="D2058" s="23"/>
      <c r="H2058" s="104">
        <v>988.09855743000003</v>
      </c>
      <c r="I2058" s="104"/>
      <c r="J2058" s="104"/>
      <c r="K2058" s="67">
        <v>152.09791135</v>
      </c>
      <c r="O2058" s="94">
        <f t="shared" si="278"/>
        <v>2.994800265248811</v>
      </c>
      <c r="P2058" s="45"/>
      <c r="Q2058" s="45"/>
      <c r="R2058" s="48">
        <f t="shared" si="279"/>
        <v>2.1821232502436771</v>
      </c>
      <c r="U2058" s="94">
        <v>2.994800265248811</v>
      </c>
      <c r="V2058" s="105">
        <v>2.1821232502436771</v>
      </c>
      <c r="W2058" s="49">
        <f t="shared" si="280"/>
        <v>0.8981058800640126</v>
      </c>
    </row>
    <row r="2059" spans="1:23" hidden="1">
      <c r="A2059" s="22" t="s">
        <v>150</v>
      </c>
      <c r="B2059" s="23" t="s">
        <v>252</v>
      </c>
      <c r="C2059" s="28" t="s">
        <v>255</v>
      </c>
      <c r="D2059" s="23"/>
      <c r="H2059" s="104">
        <v>1032.06529785</v>
      </c>
      <c r="I2059" s="104"/>
      <c r="J2059" s="104"/>
      <c r="K2059" s="67">
        <v>159.30746094</v>
      </c>
      <c r="O2059" s="94">
        <f t="shared" si="278"/>
        <v>3.013707175584611</v>
      </c>
      <c r="P2059" s="45"/>
      <c r="Q2059" s="45"/>
      <c r="R2059" s="48">
        <f t="shared" si="279"/>
        <v>2.2022361158462944</v>
      </c>
      <c r="U2059" s="94">
        <v>3.013707175584611</v>
      </c>
      <c r="V2059" s="105">
        <v>2.2022361158462944</v>
      </c>
      <c r="W2059" s="49">
        <f t="shared" si="280"/>
        <v>0.87325713281010942</v>
      </c>
    </row>
    <row r="2060" spans="1:23" hidden="1">
      <c r="A2060" s="22" t="s">
        <v>150</v>
      </c>
      <c r="B2060" s="23" t="s">
        <v>252</v>
      </c>
      <c r="C2060" s="28" t="s">
        <v>255</v>
      </c>
      <c r="D2060" s="23"/>
      <c r="H2060" s="104">
        <v>1060.6077390099999</v>
      </c>
      <c r="I2060" s="104"/>
      <c r="J2060" s="104"/>
      <c r="K2060" s="67">
        <v>154.96188925000001</v>
      </c>
      <c r="O2060" s="94">
        <f t="shared" si="278"/>
        <v>3.0255547917407526</v>
      </c>
      <c r="P2060" s="45"/>
      <c r="Q2060" s="45"/>
      <c r="R2060" s="48">
        <f t="shared" si="279"/>
        <v>2.1902249025345464</v>
      </c>
      <c r="U2060" s="94">
        <v>3.0255547917407526</v>
      </c>
      <c r="V2060" s="105">
        <v>2.1902249025345464</v>
      </c>
      <c r="W2060" s="49">
        <f t="shared" si="280"/>
        <v>0.88116597669806385</v>
      </c>
    </row>
    <row r="2061" spans="1:23" hidden="1">
      <c r="A2061" s="22" t="s">
        <v>150</v>
      </c>
      <c r="B2061" s="23" t="s">
        <v>252</v>
      </c>
      <c r="C2061" s="28" t="s">
        <v>255</v>
      </c>
      <c r="D2061" s="23"/>
      <c r="H2061" s="104">
        <v>1138.4330625600001</v>
      </c>
      <c r="I2061" s="104"/>
      <c r="J2061" s="104"/>
      <c r="K2061" s="67">
        <v>144.81816623</v>
      </c>
      <c r="O2061" s="94">
        <f t="shared" si="278"/>
        <v>3.0563075001110636</v>
      </c>
      <c r="P2061" s="45"/>
      <c r="Q2061" s="45"/>
      <c r="R2061" s="48">
        <f t="shared" si="279"/>
        <v>2.1608230438955878</v>
      </c>
      <c r="U2061" s="94">
        <v>3.0563075001110636</v>
      </c>
      <c r="V2061" s="105">
        <v>2.1608230438955878</v>
      </c>
      <c r="W2061" s="49">
        <f t="shared" si="280"/>
        <v>0.90000121698023283</v>
      </c>
    </row>
    <row r="2062" spans="1:23" hidden="1">
      <c r="A2062" s="22" t="s">
        <v>150</v>
      </c>
      <c r="B2062" s="23" t="s">
        <v>252</v>
      </c>
      <c r="C2062" s="28" t="s">
        <v>255</v>
      </c>
      <c r="D2062" s="23"/>
      <c r="H2062" s="104">
        <v>1335.68439253</v>
      </c>
      <c r="I2062" s="104"/>
      <c r="J2062" s="104"/>
      <c r="K2062" s="67">
        <v>110.06482398999999</v>
      </c>
      <c r="O2062" s="94">
        <f t="shared" si="278"/>
        <v>3.1257038512719721</v>
      </c>
      <c r="P2062" s="45"/>
      <c r="Q2062" s="45"/>
      <c r="R2062" s="48">
        <f t="shared" si="279"/>
        <v>2.0416485434226743</v>
      </c>
      <c r="U2062" s="94">
        <v>3.1257038512719721</v>
      </c>
      <c r="V2062" s="105">
        <v>2.0416485434226743</v>
      </c>
      <c r="W2062" s="49">
        <f t="shared" si="280"/>
        <v>0.9928958586584139</v>
      </c>
    </row>
    <row r="2063" spans="1:23" hidden="1">
      <c r="A2063" s="22" t="s">
        <v>150</v>
      </c>
      <c r="B2063" s="23" t="s">
        <v>252</v>
      </c>
      <c r="C2063" s="28" t="s">
        <v>255</v>
      </c>
      <c r="D2063" s="23"/>
      <c r="H2063" s="104">
        <v>669.63919035000004</v>
      </c>
      <c r="I2063" s="104"/>
      <c r="J2063" s="104"/>
      <c r="K2063" s="67">
        <v>133.42683453999999</v>
      </c>
      <c r="O2063" s="94">
        <f t="shared" si="278"/>
        <v>2.8258408626296041</v>
      </c>
      <c r="P2063" s="45"/>
      <c r="Q2063" s="45"/>
      <c r="R2063" s="48">
        <f t="shared" si="279"/>
        <v>2.1252431828087448</v>
      </c>
      <c r="U2063" s="94">
        <v>2.8258408626296041</v>
      </c>
      <c r="V2063" s="105">
        <v>2.1252431828087448</v>
      </c>
      <c r="W2063" s="49">
        <f t="shared" si="280"/>
        <v>1.0029712738759513</v>
      </c>
    </row>
    <row r="2064" spans="1:23" hidden="1">
      <c r="A2064" s="22" t="s">
        <v>150</v>
      </c>
      <c r="B2064" s="23" t="s">
        <v>252</v>
      </c>
      <c r="C2064" s="28" t="s">
        <v>255</v>
      </c>
      <c r="D2064" s="23"/>
      <c r="H2064" s="104">
        <v>669.45948978000001</v>
      </c>
      <c r="I2064" s="104"/>
      <c r="J2064" s="104"/>
      <c r="K2064" s="67">
        <v>150.76793992</v>
      </c>
      <c r="O2064" s="94">
        <f t="shared" si="278"/>
        <v>2.8257243021885068</v>
      </c>
      <c r="P2064" s="45"/>
      <c r="Q2064" s="45"/>
      <c r="R2064" s="48">
        <f t="shared" si="279"/>
        <v>2.1783090007107253</v>
      </c>
      <c r="U2064" s="94">
        <v>2.8257243021885068</v>
      </c>
      <c r="V2064" s="105">
        <v>2.1783090007107253</v>
      </c>
      <c r="W2064" s="49">
        <f t="shared" si="280"/>
        <v>0.95238670289874772</v>
      </c>
    </row>
    <row r="2065" spans="1:23" hidden="1">
      <c r="A2065" s="22" t="s">
        <v>150</v>
      </c>
      <c r="B2065" s="23" t="s">
        <v>252</v>
      </c>
      <c r="C2065" s="28" t="s">
        <v>255</v>
      </c>
      <c r="D2065" s="23"/>
      <c r="H2065" s="104">
        <v>625.47028679000005</v>
      </c>
      <c r="I2065" s="104"/>
      <c r="J2065" s="104"/>
      <c r="K2065" s="67">
        <v>145.72602850000001</v>
      </c>
      <c r="O2065" s="94">
        <f t="shared" si="278"/>
        <v>2.7962066831906709</v>
      </c>
      <c r="P2065" s="45"/>
      <c r="Q2065" s="45"/>
      <c r="R2065" s="48">
        <f t="shared" si="279"/>
        <v>2.1635371291505039</v>
      </c>
      <c r="U2065" s="94">
        <v>2.7962066831906709</v>
      </c>
      <c r="V2065" s="105">
        <v>2.1635371291505039</v>
      </c>
      <c r="W2065" s="49">
        <f t="shared" si="280"/>
        <v>0.97531884420332204</v>
      </c>
    </row>
    <row r="2066" spans="1:23" hidden="1">
      <c r="A2066" s="22" t="s">
        <v>150</v>
      </c>
      <c r="B2066" s="23" t="s">
        <v>252</v>
      </c>
      <c r="C2066" s="28" t="s">
        <v>255</v>
      </c>
      <c r="D2066" s="23"/>
      <c r="H2066" s="104">
        <v>604.84964592999995</v>
      </c>
      <c r="I2066" s="104"/>
      <c r="J2066" s="104"/>
      <c r="K2066" s="67">
        <v>135.61787122000001</v>
      </c>
      <c r="O2066" s="94">
        <f t="shared" si="278"/>
        <v>2.7816474307546657</v>
      </c>
      <c r="P2066" s="45"/>
      <c r="Q2066" s="45"/>
      <c r="R2066" s="48">
        <f t="shared" si="279"/>
        <v>2.1323169230179619</v>
      </c>
      <c r="U2066" s="94">
        <v>2.7816474307546657</v>
      </c>
      <c r="V2066" s="105">
        <v>2.1323169230179619</v>
      </c>
      <c r="W2066" s="49">
        <f t="shared" si="280"/>
        <v>1.0094606530953472</v>
      </c>
    </row>
    <row r="2067" spans="1:23" hidden="1">
      <c r="A2067" s="22" t="s">
        <v>150</v>
      </c>
      <c r="B2067" s="23" t="s">
        <v>252</v>
      </c>
      <c r="C2067" s="28" t="s">
        <v>255</v>
      </c>
      <c r="D2067" s="23"/>
      <c r="H2067" s="104">
        <v>534.96858525000005</v>
      </c>
      <c r="I2067" s="104"/>
      <c r="J2067" s="104"/>
      <c r="K2067" s="67">
        <v>129.1402271</v>
      </c>
      <c r="O2067" s="94">
        <f t="shared" si="278"/>
        <v>2.7283282798658055</v>
      </c>
      <c r="P2067" s="45"/>
      <c r="Q2067" s="45"/>
      <c r="R2067" s="48">
        <f t="shared" si="279"/>
        <v>2.1110615458005788</v>
      </c>
      <c r="U2067" s="94">
        <v>2.7283282798658055</v>
      </c>
      <c r="V2067" s="105">
        <v>2.1110615458005788</v>
      </c>
      <c r="W2067" s="49">
        <f t="shared" si="280"/>
        <v>1.0457065547653346</v>
      </c>
    </row>
    <row r="2068" spans="1:23" hidden="1">
      <c r="A2068" s="22" t="s">
        <v>150</v>
      </c>
      <c r="B2068" s="23" t="s">
        <v>252</v>
      </c>
      <c r="C2068" s="28" t="s">
        <v>255</v>
      </c>
      <c r="D2068" s="23"/>
      <c r="H2068" s="104">
        <v>547.84712637999996</v>
      </c>
      <c r="I2068" s="104"/>
      <c r="J2068" s="104"/>
      <c r="K2068" s="67">
        <v>136.36100797</v>
      </c>
      <c r="O2068" s="94">
        <f t="shared" si="278"/>
        <v>2.7386593879881804</v>
      </c>
      <c r="P2068" s="45"/>
      <c r="Q2068" s="45"/>
      <c r="R2068" s="48">
        <f t="shared" si="279"/>
        <v>2.1346902028398618</v>
      </c>
      <c r="U2068" s="94">
        <v>2.7386593879881804</v>
      </c>
      <c r="V2068" s="105">
        <v>2.1346902028398618</v>
      </c>
      <c r="W2068" s="49">
        <f t="shared" si="280"/>
        <v>1.0200727577876514</v>
      </c>
    </row>
    <row r="2069" spans="1:23" hidden="1">
      <c r="A2069" s="22" t="s">
        <v>150</v>
      </c>
      <c r="B2069" s="23" t="s">
        <v>252</v>
      </c>
      <c r="C2069" s="28" t="s">
        <v>255</v>
      </c>
      <c r="D2069" s="23"/>
      <c r="H2069" s="104">
        <v>550.26559659999998</v>
      </c>
      <c r="I2069" s="104"/>
      <c r="J2069" s="104"/>
      <c r="K2069" s="67">
        <v>152.97863136000001</v>
      </c>
      <c r="O2069" s="94">
        <f t="shared" si="278"/>
        <v>2.7405723609415547</v>
      </c>
      <c r="P2069" s="45"/>
      <c r="Q2069" s="45"/>
      <c r="R2069" s="48">
        <f t="shared" si="279"/>
        <v>2.1846307711407342</v>
      </c>
      <c r="U2069" s="94">
        <v>2.7405723609415547</v>
      </c>
      <c r="V2069" s="105">
        <v>2.1846307711407342</v>
      </c>
      <c r="W2069" s="49">
        <f t="shared" si="280"/>
        <v>0.9718614672267788</v>
      </c>
    </row>
    <row r="2070" spans="1:23" hidden="1">
      <c r="A2070" s="22" t="s">
        <v>150</v>
      </c>
      <c r="B2070" s="23" t="s">
        <v>252</v>
      </c>
      <c r="C2070" s="28" t="s">
        <v>255</v>
      </c>
      <c r="D2070" s="23"/>
      <c r="H2070" s="104">
        <v>596.89040800999999</v>
      </c>
      <c r="I2070" s="104"/>
      <c r="J2070" s="104"/>
      <c r="K2070" s="67">
        <v>153.68433048</v>
      </c>
      <c r="O2070" s="94">
        <f t="shared" si="278"/>
        <v>2.7758945998636984</v>
      </c>
      <c r="P2070" s="45"/>
      <c r="Q2070" s="45"/>
      <c r="R2070" s="48">
        <f t="shared" si="279"/>
        <v>2.1866295894712242</v>
      </c>
      <c r="U2070" s="94">
        <v>2.7758945998636984</v>
      </c>
      <c r="V2070" s="105">
        <v>2.1866295894712242</v>
      </c>
      <c r="W2070" s="49">
        <f t="shared" si="280"/>
        <v>0.95937491493706495</v>
      </c>
    </row>
    <row r="2071" spans="1:23" hidden="1">
      <c r="A2071" s="22" t="s">
        <v>150</v>
      </c>
      <c r="B2071" s="23" t="s">
        <v>252</v>
      </c>
      <c r="C2071" s="28" t="s">
        <v>255</v>
      </c>
      <c r="D2071" s="23"/>
      <c r="H2071" s="104">
        <v>542.35877134999998</v>
      </c>
      <c r="I2071" s="104"/>
      <c r="J2071" s="104"/>
      <c r="K2071" s="67">
        <v>165.98726821</v>
      </c>
      <c r="O2071" s="94">
        <f t="shared" si="278"/>
        <v>2.7342866682193807</v>
      </c>
      <c r="P2071" s="45"/>
      <c r="Q2071" s="45"/>
      <c r="R2071" s="48">
        <f t="shared" si="279"/>
        <v>2.2200747774485117</v>
      </c>
      <c r="U2071" s="94">
        <v>2.7342866682193807</v>
      </c>
      <c r="V2071" s="105">
        <v>2.2200747774485117</v>
      </c>
      <c r="W2071" s="49">
        <f t="shared" si="280"/>
        <v>0.93993414920812213</v>
      </c>
    </row>
    <row r="2072" spans="1:23" hidden="1">
      <c r="A2072" s="22" t="s">
        <v>150</v>
      </c>
      <c r="B2072" s="23" t="s">
        <v>252</v>
      </c>
      <c r="C2072" s="28" t="s">
        <v>255</v>
      </c>
      <c r="D2072" s="23"/>
      <c r="H2072" s="104">
        <v>635.64583178999999</v>
      </c>
      <c r="I2072" s="104"/>
      <c r="J2072" s="104"/>
      <c r="K2072" s="67">
        <v>163.78593617999999</v>
      </c>
      <c r="O2072" s="94">
        <f t="shared" si="278"/>
        <v>2.8032152034753852</v>
      </c>
      <c r="P2072" s="45"/>
      <c r="Q2072" s="45"/>
      <c r="R2072" s="48">
        <f t="shared" si="279"/>
        <v>2.2142766074265721</v>
      </c>
      <c r="U2072" s="94">
        <v>2.8032152034753852</v>
      </c>
      <c r="V2072" s="105">
        <v>2.2142766074265721</v>
      </c>
      <c r="W2072" s="49">
        <f t="shared" si="280"/>
        <v>0.9248192316409094</v>
      </c>
    </row>
    <row r="2073" spans="1:23" hidden="1">
      <c r="A2073" s="22" t="s">
        <v>150</v>
      </c>
      <c r="B2073" s="23" t="s">
        <v>252</v>
      </c>
      <c r="C2073" s="28" t="s">
        <v>255</v>
      </c>
      <c r="D2073" s="23"/>
      <c r="H2073" s="104">
        <v>700.37547601999995</v>
      </c>
      <c r="I2073" s="104"/>
      <c r="J2073" s="104"/>
      <c r="K2073" s="67">
        <v>167.37526796</v>
      </c>
      <c r="O2073" s="94">
        <f t="shared" si="278"/>
        <v>2.8453309306500514</v>
      </c>
      <c r="P2073" s="45"/>
      <c r="Q2073" s="45"/>
      <c r="R2073" s="48">
        <f t="shared" si="279"/>
        <v>2.2236912853058382</v>
      </c>
      <c r="U2073" s="94">
        <v>2.8453309306500514</v>
      </c>
      <c r="V2073" s="105">
        <v>2.2236912853058382</v>
      </c>
      <c r="W2073" s="49">
        <f t="shared" si="280"/>
        <v>0.90322387407617666</v>
      </c>
    </row>
    <row r="2074" spans="1:23" hidden="1">
      <c r="A2074" s="22" t="s">
        <v>150</v>
      </c>
      <c r="B2074" s="23" t="s">
        <v>252</v>
      </c>
      <c r="C2074" s="28" t="s">
        <v>255</v>
      </c>
      <c r="D2074" s="23"/>
      <c r="H2074" s="104">
        <v>718.43538369999999</v>
      </c>
      <c r="I2074" s="104"/>
      <c r="J2074" s="104"/>
      <c r="K2074" s="67">
        <v>174.59417694999999</v>
      </c>
      <c r="O2074" s="94">
        <f t="shared" si="278"/>
        <v>2.8563877136470457</v>
      </c>
      <c r="P2074" s="45"/>
      <c r="Q2074" s="45"/>
      <c r="R2074" s="48">
        <f t="shared" si="279"/>
        <v>2.2420297550588146</v>
      </c>
      <c r="U2074" s="94">
        <v>2.8563877136470457</v>
      </c>
      <c r="V2074" s="105">
        <v>2.2420297550588146</v>
      </c>
      <c r="W2074" s="49">
        <f t="shared" si="280"/>
        <v>0.8824190292743509</v>
      </c>
    </row>
    <row r="2075" spans="1:23" hidden="1">
      <c r="A2075" s="22" t="s">
        <v>150</v>
      </c>
      <c r="B2075" s="23" t="s">
        <v>252</v>
      </c>
      <c r="C2075" s="28" t="s">
        <v>255</v>
      </c>
      <c r="D2075" s="23"/>
      <c r="H2075" s="104">
        <v>751.94205321000004</v>
      </c>
      <c r="I2075" s="104"/>
      <c r="J2075" s="104"/>
      <c r="K2075" s="67">
        <v>191.20056905000001</v>
      </c>
      <c r="O2075" s="94">
        <f t="shared" si="278"/>
        <v>2.8761843739150508</v>
      </c>
      <c r="P2075" s="45"/>
      <c r="Q2075" s="45"/>
      <c r="R2075" s="48">
        <f t="shared" si="279"/>
        <v>2.281489180486667</v>
      </c>
      <c r="U2075" s="94">
        <v>2.8761843739150508</v>
      </c>
      <c r="V2075" s="105">
        <v>2.281489180486667</v>
      </c>
      <c r="W2075" s="49">
        <f t="shared" si="280"/>
        <v>0.83884909661061258</v>
      </c>
    </row>
    <row r="2076" spans="1:23" hidden="1">
      <c r="A2076" s="22" t="s">
        <v>150</v>
      </c>
      <c r="B2076" s="23" t="s">
        <v>252</v>
      </c>
      <c r="C2076" s="28" t="s">
        <v>255</v>
      </c>
      <c r="D2076" s="23"/>
      <c r="H2076" s="104">
        <v>715.64253728000006</v>
      </c>
      <c r="I2076" s="104"/>
      <c r="J2076" s="104"/>
      <c r="K2076" s="67">
        <v>194.10385644999999</v>
      </c>
      <c r="O2076" s="94">
        <f t="shared" si="278"/>
        <v>2.8546961468155931</v>
      </c>
      <c r="P2076" s="45"/>
      <c r="Q2076" s="45"/>
      <c r="R2076" s="48">
        <f t="shared" si="279"/>
        <v>2.2880341640247197</v>
      </c>
      <c r="U2076" s="94">
        <v>2.8546961468155931</v>
      </c>
      <c r="V2076" s="105">
        <v>2.2880341640247197</v>
      </c>
      <c r="W2076" s="49">
        <f t="shared" si="280"/>
        <v>0.8390420894403382</v>
      </c>
    </row>
    <row r="2077" spans="1:23" hidden="1">
      <c r="A2077" s="22" t="s">
        <v>150</v>
      </c>
      <c r="B2077" s="23" t="s">
        <v>252</v>
      </c>
      <c r="C2077" s="28" t="s">
        <v>255</v>
      </c>
      <c r="D2077" s="23"/>
      <c r="H2077" s="104">
        <v>682.08345510000004</v>
      </c>
      <c r="I2077" s="104"/>
      <c r="J2077" s="104"/>
      <c r="K2077" s="67">
        <v>182.55528674999999</v>
      </c>
      <c r="O2077" s="94">
        <f t="shared" si="278"/>
        <v>2.8338375152313118</v>
      </c>
      <c r="P2077" s="45"/>
      <c r="Q2077" s="45"/>
      <c r="R2077" s="48">
        <f t="shared" si="279"/>
        <v>2.2613944145144838</v>
      </c>
      <c r="U2077" s="94">
        <v>2.8338375152313118</v>
      </c>
      <c r="V2077" s="105">
        <v>2.2613944145144838</v>
      </c>
      <c r="W2077" s="49">
        <f t="shared" si="280"/>
        <v>0.87070141977998139</v>
      </c>
    </row>
    <row r="2078" spans="1:23" hidden="1">
      <c r="A2078" s="22" t="s">
        <v>150</v>
      </c>
      <c r="B2078" s="23" t="s">
        <v>252</v>
      </c>
      <c r="C2078" s="28" t="s">
        <v>255</v>
      </c>
      <c r="D2078" s="23"/>
      <c r="H2078" s="104">
        <v>617.38376096000002</v>
      </c>
      <c r="I2078" s="104"/>
      <c r="J2078" s="104"/>
      <c r="K2078" s="67">
        <v>176.07577075</v>
      </c>
      <c r="O2078" s="94">
        <f t="shared" si="278"/>
        <v>2.7905552020521118</v>
      </c>
      <c r="P2078" s="45"/>
      <c r="Q2078" s="45"/>
      <c r="R2078" s="48">
        <f t="shared" si="279"/>
        <v>2.2456995981391343</v>
      </c>
      <c r="U2078" s="94">
        <v>2.7905552020521118</v>
      </c>
      <c r="V2078" s="105">
        <v>2.2456995981391343</v>
      </c>
      <c r="W2078" s="49">
        <f t="shared" si="280"/>
        <v>0.898636822662502</v>
      </c>
    </row>
    <row r="2079" spans="1:23" hidden="1">
      <c r="A2079" s="22" t="s">
        <v>150</v>
      </c>
      <c r="B2079" s="23" t="s">
        <v>252</v>
      </c>
      <c r="C2079" s="28" t="s">
        <v>255</v>
      </c>
      <c r="D2079" s="23"/>
      <c r="H2079" s="104">
        <v>557.72317041999997</v>
      </c>
      <c r="I2079" s="104"/>
      <c r="J2079" s="104"/>
      <c r="K2079" s="67">
        <v>183.32275795000001</v>
      </c>
      <c r="O2079" s="94">
        <f t="shared" si="278"/>
        <v>2.7464186874833469</v>
      </c>
      <c r="P2079" s="45"/>
      <c r="Q2079" s="45"/>
      <c r="R2079" s="48">
        <f t="shared" si="279"/>
        <v>2.263216382248598</v>
      </c>
      <c r="U2079" s="94">
        <v>2.7464186874833469</v>
      </c>
      <c r="V2079" s="105">
        <v>2.263216382248598</v>
      </c>
      <c r="W2079" s="49">
        <f t="shared" si="280"/>
        <v>0.89514753417208781</v>
      </c>
    </row>
    <row r="2080" spans="1:23" hidden="1">
      <c r="A2080" s="22" t="s">
        <v>150</v>
      </c>
      <c r="B2080" s="23" t="s">
        <v>252</v>
      </c>
      <c r="C2080" s="28" t="s">
        <v>255</v>
      </c>
      <c r="D2080" s="23"/>
      <c r="H2080" s="104">
        <v>596.50105676999999</v>
      </c>
      <c r="I2080" s="104"/>
      <c r="J2080" s="104"/>
      <c r="K2080" s="67">
        <v>191.25672548</v>
      </c>
      <c r="O2080" s="94">
        <f t="shared" si="278"/>
        <v>2.7756112174095007</v>
      </c>
      <c r="P2080" s="45"/>
      <c r="Q2080" s="45"/>
      <c r="R2080" s="48">
        <f t="shared" si="279"/>
        <v>2.2816167159171394</v>
      </c>
      <c r="U2080" s="94">
        <v>2.7756112174095007</v>
      </c>
      <c r="V2080" s="105">
        <v>2.2816167159171394</v>
      </c>
      <c r="W2080" s="49">
        <f t="shared" si="280"/>
        <v>0.86885157503654697</v>
      </c>
    </row>
    <row r="2081" spans="1:23" hidden="1">
      <c r="A2081" s="22" t="s">
        <v>150</v>
      </c>
      <c r="B2081" s="23" t="s">
        <v>252</v>
      </c>
      <c r="C2081" s="28" t="s">
        <v>255</v>
      </c>
      <c r="D2081" s="23"/>
      <c r="H2081" s="104">
        <v>619.71238089999997</v>
      </c>
      <c r="I2081" s="104"/>
      <c r="J2081" s="104"/>
      <c r="K2081" s="67">
        <v>201.36394682</v>
      </c>
      <c r="O2081" s="94">
        <f t="shared" si="278"/>
        <v>2.7921901727719782</v>
      </c>
      <c r="P2081" s="45"/>
      <c r="Q2081" s="45"/>
      <c r="R2081" s="48">
        <f t="shared" si="279"/>
        <v>2.3039817149824429</v>
      </c>
      <c r="U2081" s="94">
        <v>2.7921901727719782</v>
      </c>
      <c r="V2081" s="105">
        <v>2.3039817149824429</v>
      </c>
      <c r="W2081" s="49">
        <f t="shared" si="280"/>
        <v>0.84255179745479025</v>
      </c>
    </row>
    <row r="2082" spans="1:23" hidden="1">
      <c r="A2082" s="22" t="s">
        <v>150</v>
      </c>
      <c r="B2082" s="23" t="s">
        <v>252</v>
      </c>
      <c r="C2082" s="28" t="s">
        <v>255</v>
      </c>
      <c r="D2082" s="23"/>
      <c r="H2082" s="104">
        <v>658.52770486999998</v>
      </c>
      <c r="I2082" s="104"/>
      <c r="J2082" s="104"/>
      <c r="K2082" s="67">
        <v>205.68518406000001</v>
      </c>
      <c r="O2082" s="94">
        <f t="shared" si="278"/>
        <v>2.8185740508529418</v>
      </c>
      <c r="P2082" s="45"/>
      <c r="Q2082" s="45"/>
      <c r="R2082" s="48">
        <f t="shared" si="279"/>
        <v>2.3132030096688352</v>
      </c>
      <c r="U2082" s="94">
        <v>2.8185740508529418</v>
      </c>
      <c r="V2082" s="105">
        <v>2.3132030096688352</v>
      </c>
      <c r="W2082" s="49">
        <f t="shared" si="280"/>
        <v>0.82585298392479101</v>
      </c>
    </row>
    <row r="2083" spans="1:23" hidden="1">
      <c r="A2083" s="22" t="s">
        <v>150</v>
      </c>
      <c r="B2083" s="23" t="s">
        <v>252</v>
      </c>
      <c r="C2083" s="28" t="s">
        <v>255</v>
      </c>
      <c r="D2083" s="23"/>
      <c r="H2083" s="104">
        <v>518.72065836000002</v>
      </c>
      <c r="I2083" s="104"/>
      <c r="J2083" s="104"/>
      <c r="K2083" s="67">
        <v>197.06517216</v>
      </c>
      <c r="O2083" s="94">
        <f t="shared" si="278"/>
        <v>2.7149335443751097</v>
      </c>
      <c r="P2083" s="45"/>
      <c r="Q2083" s="45"/>
      <c r="R2083" s="48">
        <f t="shared" si="279"/>
        <v>2.2946098770686985</v>
      </c>
      <c r="U2083" s="94">
        <v>2.7149335443751097</v>
      </c>
      <c r="V2083" s="105">
        <v>2.2946098770686985</v>
      </c>
      <c r="W2083" s="49">
        <f t="shared" si="280"/>
        <v>0.87463185435863178</v>
      </c>
    </row>
    <row r="2084" spans="1:23" hidden="1">
      <c r="A2084" s="22" t="s">
        <v>150</v>
      </c>
      <c r="B2084" s="23" t="s">
        <v>252</v>
      </c>
      <c r="C2084" s="28" t="s">
        <v>255</v>
      </c>
      <c r="D2084" s="23"/>
      <c r="H2084" s="104">
        <v>513.46441657000003</v>
      </c>
      <c r="I2084" s="104"/>
      <c r="J2084" s="104"/>
      <c r="K2084" s="67">
        <v>204.29250461000001</v>
      </c>
      <c r="O2084" s="94">
        <f t="shared" si="278"/>
        <v>2.7105103520759273</v>
      </c>
      <c r="P2084" s="45"/>
      <c r="Q2084" s="45"/>
      <c r="R2084" s="48">
        <f t="shared" si="279"/>
        <v>2.3102524328770295</v>
      </c>
      <c r="U2084" s="94">
        <v>2.7105103520759273</v>
      </c>
      <c r="V2084" s="105">
        <v>2.3102524328770295</v>
      </c>
      <c r="W2084" s="49">
        <f t="shared" si="280"/>
        <v>0.86103527527720025</v>
      </c>
    </row>
    <row r="2085" spans="1:23" hidden="1">
      <c r="A2085" s="22" t="s">
        <v>150</v>
      </c>
      <c r="B2085" s="23" t="s">
        <v>252</v>
      </c>
      <c r="C2085" s="28" t="s">
        <v>255</v>
      </c>
      <c r="D2085" s="23"/>
      <c r="H2085" s="104">
        <v>451.24309284999998</v>
      </c>
      <c r="I2085" s="104"/>
      <c r="J2085" s="104"/>
      <c r="K2085" s="67">
        <v>208.65024353000001</v>
      </c>
      <c r="O2085" s="94">
        <f t="shared" si="278"/>
        <v>2.6544105672459271</v>
      </c>
      <c r="P2085" s="45"/>
      <c r="Q2085" s="45"/>
      <c r="R2085" s="48">
        <f t="shared" si="279"/>
        <v>2.3194188959428796</v>
      </c>
      <c r="U2085" s="94">
        <v>2.6544105672459271</v>
      </c>
      <c r="V2085" s="105">
        <v>2.3194188959428796</v>
      </c>
      <c r="W2085" s="49">
        <f t="shared" si="280"/>
        <v>0.8690946517699778</v>
      </c>
    </row>
    <row r="2086" spans="1:23" hidden="1">
      <c r="A2086" s="22" t="s">
        <v>150</v>
      </c>
      <c r="B2086" s="23" t="s">
        <v>252</v>
      </c>
      <c r="C2086" s="28" t="s">
        <v>255</v>
      </c>
      <c r="D2086" s="23"/>
      <c r="H2086" s="104">
        <v>404.44606838999999</v>
      </c>
      <c r="I2086" s="104"/>
      <c r="J2086" s="104"/>
      <c r="K2086" s="67">
        <v>224.56310372999999</v>
      </c>
      <c r="O2086" s="94">
        <f t="shared" si="278"/>
        <v>2.6068606180071487</v>
      </c>
      <c r="P2086" s="45"/>
      <c r="Q2086" s="45"/>
      <c r="R2086" s="48">
        <f t="shared" si="279"/>
        <v>2.3513384021357222</v>
      </c>
      <c r="U2086" s="94">
        <v>2.6068606180071487</v>
      </c>
      <c r="V2086" s="105">
        <v>2.3513384021357222</v>
      </c>
      <c r="W2086" s="49">
        <f t="shared" si="280"/>
        <v>0.85288901433839059</v>
      </c>
    </row>
    <row r="2087" spans="1:23" hidden="1">
      <c r="A2087" s="22" t="s">
        <v>150</v>
      </c>
      <c r="B2087" s="23" t="s">
        <v>252</v>
      </c>
      <c r="C2087" s="28" t="s">
        <v>255</v>
      </c>
      <c r="D2087" s="23"/>
      <c r="H2087" s="104">
        <v>202.77709931000001</v>
      </c>
      <c r="I2087" s="104"/>
      <c r="J2087" s="104"/>
      <c r="K2087" s="67">
        <v>185.61861997</v>
      </c>
      <c r="O2087" s="94">
        <f t="shared" si="278"/>
        <v>2.3070189062585138</v>
      </c>
      <c r="P2087" s="45"/>
      <c r="Q2087" s="45"/>
      <c r="R2087" s="48">
        <f t="shared" si="279"/>
        <v>2.2686215394723765</v>
      </c>
      <c r="U2087" s="94">
        <v>2.3070189062585138</v>
      </c>
      <c r="V2087" s="105">
        <v>2.2686215394723765</v>
      </c>
      <c r="W2087" s="49">
        <f t="shared" si="280"/>
        <v>1.021602598407781</v>
      </c>
    </row>
    <row r="2088" spans="1:23" hidden="1">
      <c r="A2088" s="22" t="s">
        <v>150</v>
      </c>
      <c r="B2088" s="23" t="s">
        <v>252</v>
      </c>
      <c r="C2088" s="28" t="s">
        <v>255</v>
      </c>
      <c r="D2088" s="23"/>
      <c r="H2088" s="104">
        <v>249.25964776999999</v>
      </c>
      <c r="I2088" s="104"/>
      <c r="J2088" s="104"/>
      <c r="K2088" s="67">
        <v>200.05269419999999</v>
      </c>
      <c r="O2088" s="94">
        <f t="shared" si="278"/>
        <v>2.3966519769824282</v>
      </c>
      <c r="P2088" s="45"/>
      <c r="Q2088" s="45"/>
      <c r="R2088" s="48">
        <f t="shared" si="279"/>
        <v>2.3011444045943668</v>
      </c>
      <c r="U2088" s="94">
        <v>2.3966519769824282</v>
      </c>
      <c r="V2088" s="105">
        <v>2.3011444045943668</v>
      </c>
      <c r="W2088" s="49">
        <f t="shared" si="280"/>
        <v>0.96373172771256244</v>
      </c>
    </row>
    <row r="2089" spans="1:23" hidden="1">
      <c r="A2089" s="22" t="s">
        <v>150</v>
      </c>
      <c r="B2089" s="23" t="s">
        <v>252</v>
      </c>
      <c r="C2089" s="28" t="s">
        <v>255</v>
      </c>
      <c r="D2089" s="23"/>
      <c r="H2089" s="104">
        <v>259.68228104999997</v>
      </c>
      <c r="I2089" s="104"/>
      <c r="J2089" s="104"/>
      <c r="K2089" s="67">
        <v>194.26858197000001</v>
      </c>
      <c r="O2089" s="94">
        <f t="shared" si="278"/>
        <v>2.4144423173430507</v>
      </c>
      <c r="P2089" s="45"/>
      <c r="Q2089" s="45"/>
      <c r="R2089" s="48">
        <f t="shared" si="279"/>
        <v>2.288402570129672</v>
      </c>
      <c r="U2089" s="94">
        <v>2.4144423173430507</v>
      </c>
      <c r="V2089" s="105">
        <v>2.288402570129672</v>
      </c>
      <c r="W2089" s="49">
        <f t="shared" si="280"/>
        <v>0.97055751902805565</v>
      </c>
    </row>
    <row r="2090" spans="1:23" hidden="1">
      <c r="A2090" s="22" t="s">
        <v>150</v>
      </c>
      <c r="B2090" s="23" t="s">
        <v>252</v>
      </c>
      <c r="C2090" s="28" t="s">
        <v>255</v>
      </c>
      <c r="D2090" s="23"/>
      <c r="H2090" s="104">
        <v>314.14652999999998</v>
      </c>
      <c r="I2090" s="104"/>
      <c r="J2090" s="104"/>
      <c r="K2090" s="67">
        <v>188.46855876000001</v>
      </c>
      <c r="O2090" s="94">
        <f t="shared" si="278"/>
        <v>2.4971322669481055</v>
      </c>
      <c r="P2090" s="45"/>
      <c r="Q2090" s="45"/>
      <c r="R2090" s="48">
        <f t="shared" si="279"/>
        <v>2.2752389094704628</v>
      </c>
      <c r="U2090" s="94">
        <v>2.4971322669481055</v>
      </c>
      <c r="V2090" s="105">
        <v>2.2752389094704628</v>
      </c>
      <c r="W2090" s="49">
        <f t="shared" si="280"/>
        <v>0.95834666085140097</v>
      </c>
    </row>
    <row r="2091" spans="1:23" hidden="1">
      <c r="A2091" s="22" t="s">
        <v>150</v>
      </c>
      <c r="B2091" s="23" t="s">
        <v>252</v>
      </c>
      <c r="C2091" s="28" t="s">
        <v>255</v>
      </c>
      <c r="D2091" s="23"/>
      <c r="H2091" s="104">
        <v>334.75968332999997</v>
      </c>
      <c r="I2091" s="104"/>
      <c r="J2091" s="104"/>
      <c r="K2091" s="67">
        <v>199.29926209999999</v>
      </c>
      <c r="O2091" s="94">
        <f t="shared" si="278"/>
        <v>2.5247331483605557</v>
      </c>
      <c r="P2091" s="45"/>
      <c r="Q2091" s="45"/>
      <c r="R2091" s="48">
        <f t="shared" si="279"/>
        <v>2.2995056907401694</v>
      </c>
      <c r="U2091" s="94">
        <v>2.5247331483605557</v>
      </c>
      <c r="V2091" s="105">
        <v>2.2995056907401694</v>
      </c>
      <c r="W2091" s="49">
        <f t="shared" si="280"/>
        <v>0.92693143523351651</v>
      </c>
    </row>
    <row r="2092" spans="1:23" hidden="1">
      <c r="A2092" s="22" t="s">
        <v>150</v>
      </c>
      <c r="B2092" s="23" t="s">
        <v>252</v>
      </c>
      <c r="C2092" s="28" t="s">
        <v>255</v>
      </c>
      <c r="D2092" s="23"/>
      <c r="H2092" s="104">
        <v>306.10492932</v>
      </c>
      <c r="I2092" s="104"/>
      <c r="J2092" s="104"/>
      <c r="K2092" s="67">
        <v>214.48302466000001</v>
      </c>
      <c r="O2092" s="94">
        <f t="shared" si="278"/>
        <v>2.4858703232570489</v>
      </c>
      <c r="P2092" s="45"/>
      <c r="Q2092" s="45"/>
      <c r="R2092" s="48">
        <f t="shared" si="279"/>
        <v>2.33139292548007</v>
      </c>
      <c r="U2092" s="94">
        <v>2.4858703232570489</v>
      </c>
      <c r="V2092" s="105">
        <v>2.33139292548007</v>
      </c>
      <c r="W2092" s="49">
        <f t="shared" si="280"/>
        <v>0.90815457415912282</v>
      </c>
    </row>
    <row r="2093" spans="1:23" hidden="1">
      <c r="A2093" s="22" t="s">
        <v>150</v>
      </c>
      <c r="B2093" s="23" t="s">
        <v>252</v>
      </c>
      <c r="C2093" s="28" t="s">
        <v>255</v>
      </c>
      <c r="D2093" s="23"/>
      <c r="H2093" s="104">
        <v>290.41856672</v>
      </c>
      <c r="I2093" s="104"/>
      <c r="J2093" s="104"/>
      <c r="K2093" s="67">
        <v>228.21701540000001</v>
      </c>
      <c r="O2093" s="94">
        <f t="shared" si="278"/>
        <v>2.4630243777521836</v>
      </c>
      <c r="P2093" s="45"/>
      <c r="Q2093" s="45"/>
      <c r="R2093" s="48">
        <f t="shared" si="279"/>
        <v>2.3583480214092782</v>
      </c>
      <c r="U2093" s="94">
        <v>2.4630243777521836</v>
      </c>
      <c r="V2093" s="105">
        <v>2.3583480214092782</v>
      </c>
      <c r="W2093" s="49">
        <f t="shared" si="280"/>
        <v>0.88928503084121768</v>
      </c>
    </row>
    <row r="2094" spans="1:23" hidden="1">
      <c r="A2094" s="22" t="s">
        <v>150</v>
      </c>
      <c r="B2094" s="23" t="s">
        <v>252</v>
      </c>
      <c r="C2094" s="28" t="s">
        <v>255</v>
      </c>
      <c r="D2094" s="23"/>
      <c r="H2094" s="104">
        <v>256.76963425000002</v>
      </c>
      <c r="I2094" s="104"/>
      <c r="J2094" s="104"/>
      <c r="K2094" s="67">
        <v>225.33899839</v>
      </c>
      <c r="O2094" s="94">
        <f t="shared" si="278"/>
        <v>2.4095436624753792</v>
      </c>
      <c r="P2094" s="45"/>
      <c r="Q2094" s="45"/>
      <c r="R2094" s="48">
        <f t="shared" si="279"/>
        <v>2.352836359588498</v>
      </c>
      <c r="U2094" s="94">
        <v>2.4095436624753792</v>
      </c>
      <c r="V2094" s="105">
        <v>2.352836359588498</v>
      </c>
      <c r="W2094" s="49">
        <f t="shared" si="280"/>
        <v>0.91056139490305887</v>
      </c>
    </row>
    <row r="2095" spans="1:23" hidden="1">
      <c r="A2095" s="22" t="s">
        <v>150</v>
      </c>
      <c r="B2095" s="23" t="s">
        <v>252</v>
      </c>
      <c r="C2095" s="28" t="s">
        <v>255</v>
      </c>
      <c r="D2095" s="23"/>
      <c r="H2095" s="104">
        <v>230.87777656</v>
      </c>
      <c r="I2095" s="104"/>
      <c r="J2095" s="104"/>
      <c r="K2095" s="67">
        <v>223.90326568</v>
      </c>
      <c r="O2095" s="94">
        <f t="shared" si="278"/>
        <v>2.363382131350023</v>
      </c>
      <c r="P2095" s="45"/>
      <c r="Q2095" s="45"/>
      <c r="R2095" s="48">
        <f t="shared" si="279"/>
        <v>2.3500604279089128</v>
      </c>
      <c r="U2095" s="94">
        <v>2.363382131350023</v>
      </c>
      <c r="V2095" s="105">
        <v>2.3500604279089128</v>
      </c>
      <c r="W2095" s="49">
        <f t="shared" si="280"/>
        <v>0.92703587027792511</v>
      </c>
    </row>
    <row r="2096" spans="1:23" hidden="1">
      <c r="A2096" s="22" t="s">
        <v>150</v>
      </c>
      <c r="B2096" s="23" t="s">
        <v>252</v>
      </c>
      <c r="C2096" s="28" t="s">
        <v>255</v>
      </c>
      <c r="D2096" s="23"/>
      <c r="H2096" s="104">
        <v>274.70225402</v>
      </c>
      <c r="I2096" s="104"/>
      <c r="J2096" s="104"/>
      <c r="K2096" s="67">
        <v>244.84119036999999</v>
      </c>
      <c r="O2096" s="94">
        <f t="shared" si="278"/>
        <v>2.4388622229605401</v>
      </c>
      <c r="P2096" s="45"/>
      <c r="Q2096" s="45"/>
      <c r="R2096" s="48">
        <f t="shared" si="279"/>
        <v>2.3888844822871471</v>
      </c>
      <c r="U2096" s="94">
        <v>2.4388622229605401</v>
      </c>
      <c r="V2096" s="105">
        <v>2.3888844822871471</v>
      </c>
      <c r="W2096" s="49">
        <f t="shared" si="280"/>
        <v>0.86739346055892363</v>
      </c>
    </row>
    <row r="2097" spans="1:23" hidden="1">
      <c r="A2097" s="22" t="s">
        <v>150</v>
      </c>
      <c r="B2097" s="23" t="s">
        <v>252</v>
      </c>
      <c r="C2097" s="28" t="s">
        <v>255</v>
      </c>
      <c r="D2097" s="23"/>
      <c r="H2097" s="104">
        <v>342.00760647999999</v>
      </c>
      <c r="I2097" s="104"/>
      <c r="J2097" s="104"/>
      <c r="K2097" s="67">
        <v>249.87467831999999</v>
      </c>
      <c r="O2097" s="94">
        <f t="shared" si="278"/>
        <v>2.5340357651659446</v>
      </c>
      <c r="P2097" s="45"/>
      <c r="Q2097" s="45"/>
      <c r="R2097" s="48">
        <f t="shared" si="279"/>
        <v>2.3977222480308704</v>
      </c>
      <c r="U2097" s="94">
        <v>2.5340357651659446</v>
      </c>
      <c r="V2097" s="105">
        <v>2.3977222480308704</v>
      </c>
      <c r="W2097" s="49">
        <f t="shared" si="280"/>
        <v>0.83045629865632908</v>
      </c>
    </row>
    <row r="2098" spans="1:23" hidden="1">
      <c r="A2098" s="22" t="s">
        <v>150</v>
      </c>
      <c r="B2098" s="23" t="s">
        <v>252</v>
      </c>
      <c r="C2098" s="28" t="s">
        <v>255</v>
      </c>
      <c r="D2098" s="23"/>
      <c r="H2098" s="104">
        <v>365.19646804000001</v>
      </c>
      <c r="I2098" s="104"/>
      <c r="J2098" s="104"/>
      <c r="K2098" s="67">
        <v>262.14953782999999</v>
      </c>
      <c r="O2098" s="94">
        <f t="shared" si="278"/>
        <v>2.562526568648253</v>
      </c>
      <c r="P2098" s="45"/>
      <c r="Q2098" s="45"/>
      <c r="R2098" s="48">
        <f t="shared" si="279"/>
        <v>2.4185490963886411</v>
      </c>
      <c r="U2098" s="94">
        <v>2.562526568648253</v>
      </c>
      <c r="V2098" s="105">
        <v>2.4185490963886411</v>
      </c>
      <c r="W2098" s="49">
        <f t="shared" si="280"/>
        <v>0.80205587149113478</v>
      </c>
    </row>
    <row r="2099" spans="1:23" hidden="1">
      <c r="A2099" s="22" t="s">
        <v>150</v>
      </c>
      <c r="B2099" s="23" t="s">
        <v>252</v>
      </c>
      <c r="C2099" s="28" t="s">
        <v>255</v>
      </c>
      <c r="D2099" s="23"/>
      <c r="H2099" s="104">
        <v>422.05672464000003</v>
      </c>
      <c r="I2099" s="104"/>
      <c r="J2099" s="104"/>
      <c r="K2099" s="67">
        <v>275.13477618000002</v>
      </c>
      <c r="O2099" s="94">
        <f t="shared" si="278"/>
        <v>2.6253708242853091</v>
      </c>
      <c r="P2099" s="45"/>
      <c r="Q2099" s="45"/>
      <c r="R2099" s="48">
        <f t="shared" si="279"/>
        <v>2.4395454873309514</v>
      </c>
      <c r="U2099" s="94">
        <v>2.6253708242853091</v>
      </c>
      <c r="V2099" s="105">
        <v>2.4395454873309514</v>
      </c>
      <c r="W2099" s="49">
        <f t="shared" si="280"/>
        <v>0.76320401363927814</v>
      </c>
    </row>
    <row r="2100" spans="1:23" hidden="1">
      <c r="A2100" s="22" t="s">
        <v>150</v>
      </c>
      <c r="B2100" s="23" t="s">
        <v>252</v>
      </c>
      <c r="C2100" s="28" t="s">
        <v>255</v>
      </c>
      <c r="D2100" s="23"/>
      <c r="H2100" s="104">
        <v>562.26809744000002</v>
      </c>
      <c r="I2100" s="104"/>
      <c r="J2100" s="104"/>
      <c r="K2100" s="67">
        <v>244.73730097000001</v>
      </c>
      <c r="O2100" s="94">
        <f t="shared" si="278"/>
        <v>2.7499434427503386</v>
      </c>
      <c r="P2100" s="45"/>
      <c r="Q2100" s="45"/>
      <c r="R2100" s="48">
        <f t="shared" si="279"/>
        <v>2.3887001662086282</v>
      </c>
      <c r="U2100" s="94">
        <v>2.7499434427503386</v>
      </c>
      <c r="V2100" s="105">
        <v>2.3887001662086282</v>
      </c>
      <c r="W2100" s="49">
        <f t="shared" si="280"/>
        <v>0.77439280174117153</v>
      </c>
    </row>
    <row r="2101" spans="1:23" hidden="1">
      <c r="A2101" s="22" t="s">
        <v>150</v>
      </c>
      <c r="B2101" s="23" t="s">
        <v>252</v>
      </c>
      <c r="C2101" s="28" t="s">
        <v>255</v>
      </c>
      <c r="D2101" s="23"/>
      <c r="H2101" s="104">
        <v>777.64672280000002</v>
      </c>
      <c r="I2101" s="104"/>
      <c r="J2101" s="104"/>
      <c r="K2101" s="67">
        <v>210.69995320000001</v>
      </c>
      <c r="O2101" s="94">
        <f t="shared" si="278"/>
        <v>2.890782346111413</v>
      </c>
      <c r="P2101" s="45"/>
      <c r="Q2101" s="45"/>
      <c r="R2101" s="48">
        <f t="shared" si="279"/>
        <v>2.3236644391440091</v>
      </c>
      <c r="U2101" s="94">
        <v>2.890782346111413</v>
      </c>
      <c r="V2101" s="105">
        <v>2.3236644391440091</v>
      </c>
      <c r="W2101" s="49">
        <f t="shared" si="280"/>
        <v>0.79424566559444731</v>
      </c>
    </row>
    <row r="2102" spans="1:23" hidden="1">
      <c r="A2102" s="22" t="s">
        <v>150</v>
      </c>
      <c r="B2102" s="23" t="s">
        <v>252</v>
      </c>
      <c r="C2102" s="28" t="s">
        <v>255</v>
      </c>
      <c r="D2102" s="23"/>
      <c r="H2102" s="104">
        <v>723.12257366999995</v>
      </c>
      <c r="I2102" s="104"/>
      <c r="J2102" s="104"/>
      <c r="K2102" s="67">
        <v>222.28034486999999</v>
      </c>
      <c r="O2102" s="94">
        <f t="shared" si="278"/>
        <v>2.8592119190878758</v>
      </c>
      <c r="P2102" s="45"/>
      <c r="Q2102" s="45"/>
      <c r="R2102" s="48">
        <f t="shared" si="279"/>
        <v>2.3469010619257484</v>
      </c>
      <c r="U2102" s="94">
        <v>2.8592119190878758</v>
      </c>
      <c r="V2102" s="105">
        <v>2.3469010619257484</v>
      </c>
      <c r="W2102" s="49">
        <f t="shared" si="280"/>
        <v>0.78153637064900017</v>
      </c>
    </row>
    <row r="2103" spans="1:23" hidden="1">
      <c r="A2103" s="22" t="s">
        <v>150</v>
      </c>
      <c r="B2103" s="23" t="s">
        <v>252</v>
      </c>
      <c r="C2103" s="28" t="s">
        <v>255</v>
      </c>
      <c r="D2103" s="23"/>
      <c r="H2103" s="104">
        <v>774.81643875999998</v>
      </c>
      <c r="I2103" s="104"/>
      <c r="J2103" s="104"/>
      <c r="K2103" s="67">
        <v>233.82236298999999</v>
      </c>
      <c r="O2103" s="94">
        <f t="shared" ref="O2103:O2166" si="281">LOG10(H2103)</f>
        <v>2.8891988262791619</v>
      </c>
      <c r="P2103" s="45"/>
      <c r="Q2103" s="45"/>
      <c r="R2103" s="48">
        <f t="shared" ref="R2103:R2166" si="282">LOG10(K2103)</f>
        <v>2.368886045143626</v>
      </c>
      <c r="U2103" s="94">
        <v>2.8891988262791619</v>
      </c>
      <c r="V2103" s="105">
        <v>2.368886045143626</v>
      </c>
      <c r="W2103" s="49">
        <f t="shared" si="280"/>
        <v>0.75158307877575969</v>
      </c>
    </row>
    <row r="2104" spans="1:23" hidden="1">
      <c r="A2104" s="22" t="s">
        <v>150</v>
      </c>
      <c r="B2104" s="23" t="s">
        <v>252</v>
      </c>
      <c r="C2104" s="28" t="s">
        <v>255</v>
      </c>
      <c r="D2104" s="23"/>
      <c r="H2104" s="104">
        <v>746.22158493999996</v>
      </c>
      <c r="I2104" s="104"/>
      <c r="J2104" s="104"/>
      <c r="K2104" s="67">
        <v>243.22575707999999</v>
      </c>
      <c r="O2104" s="94">
        <f t="shared" si="281"/>
        <v>2.8728678071341256</v>
      </c>
      <c r="P2104" s="45"/>
      <c r="Q2104" s="45"/>
      <c r="R2104" s="48">
        <f t="shared" si="282"/>
        <v>2.3860095638794725</v>
      </c>
      <c r="U2104" s="94">
        <v>2.8728678071341256</v>
      </c>
      <c r="V2104" s="105">
        <v>2.3860095638794725</v>
      </c>
      <c r="W2104" s="49">
        <f t="shared" si="280"/>
        <v>0.74014049623064504</v>
      </c>
    </row>
    <row r="2105" spans="1:23" hidden="1">
      <c r="A2105" s="22" t="s">
        <v>150</v>
      </c>
      <c r="B2105" s="23" t="s">
        <v>252</v>
      </c>
      <c r="C2105" s="28" t="s">
        <v>255</v>
      </c>
      <c r="D2105" s="23"/>
      <c r="H2105" s="104">
        <v>792.71162091999997</v>
      </c>
      <c r="I2105" s="104"/>
      <c r="J2105" s="104"/>
      <c r="K2105" s="67">
        <v>256.93728525</v>
      </c>
      <c r="O2105" s="94">
        <f t="shared" si="281"/>
        <v>2.8991152248698691</v>
      </c>
      <c r="P2105" s="45"/>
      <c r="Q2105" s="45"/>
      <c r="R2105" s="48">
        <f t="shared" si="282"/>
        <v>2.4098271311381776</v>
      </c>
      <c r="U2105" s="94">
        <v>2.8991152248698691</v>
      </c>
      <c r="V2105" s="105">
        <v>2.4098271311381776</v>
      </c>
      <c r="W2105" s="49">
        <f t="shared" si="280"/>
        <v>0.70955917152423464</v>
      </c>
    </row>
    <row r="2106" spans="1:23" hidden="1">
      <c r="A2106" s="22" t="s">
        <v>150</v>
      </c>
      <c r="B2106" s="23" t="s">
        <v>252</v>
      </c>
      <c r="C2106" s="28" t="s">
        <v>255</v>
      </c>
      <c r="D2106" s="23"/>
      <c r="H2106" s="104">
        <v>847.03360691</v>
      </c>
      <c r="I2106" s="104"/>
      <c r="J2106" s="104"/>
      <c r="K2106" s="67">
        <v>264.86563712999998</v>
      </c>
      <c r="O2106" s="94">
        <f t="shared" si="281"/>
        <v>2.9279006417427746</v>
      </c>
      <c r="P2106" s="45"/>
      <c r="Q2106" s="45"/>
      <c r="R2106" s="48">
        <f t="shared" si="282"/>
        <v>2.4230256178938587</v>
      </c>
      <c r="U2106" s="94">
        <v>2.9279006417427746</v>
      </c>
      <c r="V2106" s="105">
        <v>2.4230256178938587</v>
      </c>
      <c r="W2106" s="49">
        <f t="shared" si="280"/>
        <v>0.68834719453330018</v>
      </c>
    </row>
    <row r="2107" spans="1:23" hidden="1">
      <c r="A2107" s="22" t="s">
        <v>150</v>
      </c>
      <c r="B2107" s="23" t="s">
        <v>252</v>
      </c>
      <c r="C2107" s="28" t="s">
        <v>255</v>
      </c>
      <c r="D2107" s="23"/>
      <c r="H2107" s="104">
        <v>846.47204261000002</v>
      </c>
      <c r="I2107" s="104"/>
      <c r="J2107" s="104"/>
      <c r="K2107" s="67">
        <v>319.05659144999998</v>
      </c>
      <c r="O2107" s="94">
        <f t="shared" si="281"/>
        <v>2.9276126187465339</v>
      </c>
      <c r="P2107" s="45"/>
      <c r="Q2107" s="45"/>
      <c r="R2107" s="48">
        <f t="shared" si="282"/>
        <v>2.5038677212222957</v>
      </c>
      <c r="U2107" s="94">
        <v>2.9276126187465339</v>
      </c>
      <c r="V2107" s="105">
        <v>2.5038677212222957</v>
      </c>
      <c r="W2107" s="49">
        <f t="shared" si="280"/>
        <v>0.61131818214104416</v>
      </c>
    </row>
    <row r="2108" spans="1:23" hidden="1">
      <c r="A2108" s="22" t="s">
        <v>150</v>
      </c>
      <c r="B2108" s="23" t="s">
        <v>252</v>
      </c>
      <c r="C2108" s="28" t="s">
        <v>255</v>
      </c>
      <c r="D2108" s="23"/>
      <c r="H2108" s="104">
        <v>833.36138824</v>
      </c>
      <c r="I2108" s="104"/>
      <c r="J2108" s="104"/>
      <c r="K2108" s="67">
        <v>334.23473837</v>
      </c>
      <c r="O2108" s="94">
        <f t="shared" si="281"/>
        <v>2.9208333746156545</v>
      </c>
      <c r="P2108" s="45"/>
      <c r="Q2108" s="45"/>
      <c r="R2108" s="48">
        <f t="shared" si="282"/>
        <v>2.5240515858876065</v>
      </c>
      <c r="U2108" s="94">
        <v>2.9208333746156545</v>
      </c>
      <c r="V2108" s="105">
        <v>2.5240515858876065</v>
      </c>
      <c r="W2108" s="49">
        <f t="shared" si="280"/>
        <v>0.59409534402340813</v>
      </c>
    </row>
    <row r="2109" spans="1:23" hidden="1">
      <c r="A2109" s="22" t="s">
        <v>150</v>
      </c>
      <c r="B2109" s="23" t="s">
        <v>252</v>
      </c>
      <c r="C2109" s="28" t="s">
        <v>255</v>
      </c>
      <c r="D2109" s="23"/>
      <c r="H2109" s="104">
        <v>333.30710369000002</v>
      </c>
      <c r="I2109" s="104"/>
      <c r="J2109" s="104"/>
      <c r="K2109" s="67">
        <v>339.47319728000002</v>
      </c>
      <c r="O2109" s="94">
        <f t="shared" si="281"/>
        <v>2.5228445697676167</v>
      </c>
      <c r="P2109" s="45"/>
      <c r="Q2109" s="45"/>
      <c r="R2109" s="48">
        <f t="shared" si="282"/>
        <v>2.5308054907434538</v>
      </c>
      <c r="U2109" s="94">
        <v>2.5228445697676167</v>
      </c>
      <c r="V2109" s="105">
        <v>2.5308054907434538</v>
      </c>
      <c r="W2109" s="49">
        <f t="shared" si="280"/>
        <v>0.70686023175800172</v>
      </c>
    </row>
    <row r="2110" spans="1:23" hidden="1">
      <c r="A2110" s="22" t="s">
        <v>150</v>
      </c>
      <c r="B2110" s="23" t="s">
        <v>252</v>
      </c>
      <c r="C2110" s="28" t="s">
        <v>255</v>
      </c>
      <c r="D2110" s="23"/>
      <c r="H2110" s="104">
        <v>302.76549365</v>
      </c>
      <c r="I2110" s="104"/>
      <c r="J2110" s="104"/>
      <c r="K2110" s="67">
        <v>286.73856635999999</v>
      </c>
      <c r="O2110" s="94">
        <f t="shared" si="281"/>
        <v>2.4811063768672037</v>
      </c>
      <c r="P2110" s="45"/>
      <c r="Q2110" s="45"/>
      <c r="R2110" s="48">
        <f t="shared" si="282"/>
        <v>2.4574861095174754</v>
      </c>
      <c r="U2110" s="94">
        <v>2.4811063768672037</v>
      </c>
      <c r="V2110" s="105">
        <v>2.4574861095174754</v>
      </c>
      <c r="W2110" s="49">
        <f t="shared" si="280"/>
        <v>0.78930120504268175</v>
      </c>
    </row>
    <row r="2111" spans="1:23" hidden="1">
      <c r="A2111" s="22" t="s">
        <v>150</v>
      </c>
      <c r="B2111" s="23" t="s">
        <v>252</v>
      </c>
      <c r="C2111" s="28" t="s">
        <v>255</v>
      </c>
      <c r="D2111" s="23"/>
      <c r="H2111" s="104">
        <v>123.67140917</v>
      </c>
      <c r="I2111" s="104"/>
      <c r="J2111" s="104"/>
      <c r="K2111" s="67">
        <v>319.31771885000001</v>
      </c>
      <c r="O2111" s="94">
        <f t="shared" si="281"/>
        <v>2.0922693093714186</v>
      </c>
      <c r="P2111" s="45"/>
      <c r="Q2111" s="45"/>
      <c r="R2111" s="48">
        <f t="shared" si="282"/>
        <v>2.5042230180861864</v>
      </c>
      <c r="U2111" s="94">
        <v>2.0922693093714186</v>
      </c>
      <c r="V2111" s="105">
        <v>2.5042230180861864</v>
      </c>
      <c r="W2111" s="49">
        <f t="shared" ref="W2111:W2174" si="283">0.9539*(4.064-0.314*U2111-V2111)</f>
        <v>0.86118513506583627</v>
      </c>
    </row>
    <row r="2112" spans="1:23" hidden="1">
      <c r="A2112" s="22" t="s">
        <v>150</v>
      </c>
      <c r="B2112" s="23" t="s">
        <v>252</v>
      </c>
      <c r="C2112" s="28" t="s">
        <v>255</v>
      </c>
      <c r="D2112" s="23"/>
      <c r="H2112" s="104">
        <v>358.40528384999999</v>
      </c>
      <c r="I2112" s="104"/>
      <c r="J2112" s="104"/>
      <c r="K2112" s="67">
        <v>417.49881210000001</v>
      </c>
      <c r="O2112" s="94">
        <f t="shared" si="281"/>
        <v>2.5543744036965128</v>
      </c>
      <c r="P2112" s="45"/>
      <c r="Q2112" s="45"/>
      <c r="R2112" s="48">
        <f t="shared" si="282"/>
        <v>2.6206552441330366</v>
      </c>
      <c r="U2112" s="94">
        <v>2.5543744036965128</v>
      </c>
      <c r="V2112" s="105">
        <v>2.6206552441330366</v>
      </c>
      <c r="W2112" s="49">
        <f t="shared" si="283"/>
        <v>0.61170859110405973</v>
      </c>
    </row>
    <row r="2113" spans="1:23" hidden="1">
      <c r="A2113" s="22" t="s">
        <v>150</v>
      </c>
      <c r="B2113" s="23" t="s">
        <v>252</v>
      </c>
      <c r="C2113" s="28" t="s">
        <v>255</v>
      </c>
      <c r="D2113" s="23"/>
      <c r="H2113" s="104">
        <v>1119.19761363</v>
      </c>
      <c r="I2113" s="104"/>
      <c r="J2113" s="104"/>
      <c r="K2113" s="67">
        <v>251.03898828999999</v>
      </c>
      <c r="O2113" s="94">
        <f t="shared" si="281"/>
        <v>3.0489067754755261</v>
      </c>
      <c r="P2113" s="45"/>
      <c r="Q2113" s="45"/>
      <c r="R2113" s="48">
        <f t="shared" si="282"/>
        <v>2.3997411760000489</v>
      </c>
      <c r="U2113" s="94">
        <v>3.0489067754755261</v>
      </c>
      <c r="V2113" s="105">
        <v>2.3997411760000489</v>
      </c>
      <c r="W2113" s="49">
        <f t="shared" si="283"/>
        <v>0.67431390985195649</v>
      </c>
    </row>
    <row r="2114" spans="1:23" hidden="1">
      <c r="A2114" s="22" t="s">
        <v>150</v>
      </c>
      <c r="B2114" s="23" t="s">
        <v>252</v>
      </c>
      <c r="C2114" s="28" t="s">
        <v>255</v>
      </c>
      <c r="D2114" s="23"/>
      <c r="H2114" s="104">
        <v>1129.62024692</v>
      </c>
      <c r="I2114" s="104"/>
      <c r="J2114" s="104"/>
      <c r="K2114" s="67">
        <v>245.25487605999999</v>
      </c>
      <c r="O2114" s="94">
        <f t="shared" si="281"/>
        <v>3.0529324679205727</v>
      </c>
      <c r="P2114" s="45"/>
      <c r="Q2114" s="45"/>
      <c r="R2114" s="48">
        <f t="shared" si="282"/>
        <v>2.3896176506081539</v>
      </c>
      <c r="U2114" s="94">
        <v>3.0529324679205727</v>
      </c>
      <c r="V2114" s="105">
        <v>2.3896176506081539</v>
      </c>
      <c r="W2114" s="49">
        <f t="shared" si="283"/>
        <v>0.68276494680395949</v>
      </c>
    </row>
    <row r="2115" spans="1:23" hidden="1">
      <c r="A2115" s="22" t="s">
        <v>150</v>
      </c>
      <c r="B2115" s="23" t="s">
        <v>252</v>
      </c>
      <c r="C2115" s="28" t="s">
        <v>255</v>
      </c>
      <c r="D2115" s="23"/>
      <c r="H2115" s="104">
        <v>1311.10285153</v>
      </c>
      <c r="I2115" s="104"/>
      <c r="J2115" s="104"/>
      <c r="K2115" s="67">
        <v>232.18353119</v>
      </c>
      <c r="O2115" s="94">
        <f t="shared" si="281"/>
        <v>3.1176367619417</v>
      </c>
      <c r="P2115" s="45"/>
      <c r="Q2115" s="45"/>
      <c r="R2115" s="48">
        <f t="shared" si="282"/>
        <v>2.3658314119272847</v>
      </c>
      <c r="U2115" s="94">
        <v>3.1176367619417</v>
      </c>
      <c r="V2115" s="105">
        <v>2.3658314119272847</v>
      </c>
      <c r="W2115" s="49">
        <f t="shared" si="283"/>
        <v>0.68607411209668034</v>
      </c>
    </row>
    <row r="2116" spans="1:23" hidden="1">
      <c r="A2116" s="22" t="s">
        <v>150</v>
      </c>
      <c r="B2116" s="23" t="s">
        <v>252</v>
      </c>
      <c r="C2116" s="28" t="s">
        <v>255</v>
      </c>
      <c r="D2116" s="23"/>
      <c r="H2116" s="104">
        <v>1205.0046376800001</v>
      </c>
      <c r="I2116" s="104"/>
      <c r="J2116" s="104"/>
      <c r="K2116" s="67">
        <v>220.66116783000001</v>
      </c>
      <c r="O2116" s="94">
        <f t="shared" si="281"/>
        <v>3.0809887183755817</v>
      </c>
      <c r="P2116" s="45"/>
      <c r="Q2116" s="45"/>
      <c r="R2116" s="48">
        <f t="shared" si="282"/>
        <v>2.3437259123144032</v>
      </c>
      <c r="U2116" s="94">
        <v>3.0809887183755817</v>
      </c>
      <c r="V2116" s="105">
        <v>2.3437259123144032</v>
      </c>
      <c r="W2116" s="49">
        <f t="shared" si="283"/>
        <v>0.71813753876733233</v>
      </c>
    </row>
    <row r="2117" spans="1:23" hidden="1">
      <c r="A2117" s="22" t="s">
        <v>150</v>
      </c>
      <c r="B2117" s="23" t="s">
        <v>252</v>
      </c>
      <c r="C2117" s="28" t="s">
        <v>255</v>
      </c>
      <c r="D2117" s="23"/>
      <c r="H2117" s="104">
        <v>1148.1668436499999</v>
      </c>
      <c r="I2117" s="104"/>
      <c r="J2117" s="104"/>
      <c r="K2117" s="67">
        <v>205.50829131</v>
      </c>
      <c r="O2117" s="94">
        <f t="shared" si="281"/>
        <v>3.0600050013125126</v>
      </c>
      <c r="P2117" s="45"/>
      <c r="Q2117" s="45"/>
      <c r="R2117" s="48">
        <f t="shared" si="282"/>
        <v>2.3128293483412392</v>
      </c>
      <c r="U2117" s="94">
        <v>3.0600050013125126</v>
      </c>
      <c r="V2117" s="105">
        <v>2.3128293483412392</v>
      </c>
      <c r="W2117" s="49">
        <f t="shared" si="283"/>
        <v>0.7538949106011622</v>
      </c>
    </row>
    <row r="2118" spans="1:23" hidden="1">
      <c r="A2118" s="22" t="s">
        <v>150</v>
      </c>
      <c r="B2118" s="23" t="s">
        <v>252</v>
      </c>
      <c r="C2118" s="28" t="s">
        <v>256</v>
      </c>
      <c r="D2118" s="23"/>
      <c r="H2118" s="104">
        <v>25.869227469999998</v>
      </c>
      <c r="I2118" s="104"/>
      <c r="J2118" s="104"/>
      <c r="K2118" s="67">
        <v>2.8883246800000002</v>
      </c>
      <c r="O2118" s="94">
        <f t="shared" si="281"/>
        <v>1.412783459620075</v>
      </c>
      <c r="P2118" s="45"/>
      <c r="Q2118" s="45"/>
      <c r="R2118" s="48">
        <f t="shared" si="282"/>
        <v>0.46064601119909754</v>
      </c>
      <c r="U2118" s="94">
        <v>1.412783459620075</v>
      </c>
      <c r="V2118" s="105">
        <v>0.46064601119909754</v>
      </c>
      <c r="W2118" s="49">
        <f t="shared" si="283"/>
        <v>3.0140759692878611</v>
      </c>
    </row>
    <row r="2119" spans="1:23" hidden="1">
      <c r="A2119" s="22" t="s">
        <v>150</v>
      </c>
      <c r="B2119" s="23" t="s">
        <v>252</v>
      </c>
      <c r="C2119" s="28" t="s">
        <v>256</v>
      </c>
      <c r="D2119" s="23"/>
      <c r="H2119" s="104">
        <v>59.592782669999998</v>
      </c>
      <c r="I2119" s="104"/>
      <c r="J2119" s="104"/>
      <c r="K2119" s="67">
        <v>7.2114014299999996</v>
      </c>
      <c r="O2119" s="94">
        <f t="shared" si="281"/>
        <v>1.7751936651698825</v>
      </c>
      <c r="P2119" s="45"/>
      <c r="Q2119" s="45"/>
      <c r="R2119" s="48">
        <f t="shared" si="282"/>
        <v>0.8580196716781624</v>
      </c>
      <c r="U2119" s="94">
        <v>1.7751936651698825</v>
      </c>
      <c r="V2119" s="105">
        <v>0.8580196716781624</v>
      </c>
      <c r="W2119" s="49">
        <f t="shared" si="283"/>
        <v>2.5264704627036578</v>
      </c>
    </row>
    <row r="2120" spans="1:23" hidden="1">
      <c r="A2120" s="22" t="s">
        <v>150</v>
      </c>
      <c r="B2120" s="23" t="s">
        <v>252</v>
      </c>
      <c r="C2120" s="28" t="s">
        <v>256</v>
      </c>
      <c r="D2120" s="23"/>
      <c r="H2120" s="104">
        <v>77.727429810000004</v>
      </c>
      <c r="I2120" s="104"/>
      <c r="J2120" s="104"/>
      <c r="K2120" s="67">
        <v>7.2048499000000001</v>
      </c>
      <c r="O2120" s="94">
        <f t="shared" si="281"/>
        <v>1.8905743072553511</v>
      </c>
      <c r="P2120" s="45"/>
      <c r="Q2120" s="45"/>
      <c r="R2120" s="48">
        <f t="shared" si="282"/>
        <v>0.85762493750521118</v>
      </c>
      <c r="U2120" s="94">
        <v>1.8905743072553511</v>
      </c>
      <c r="V2120" s="105">
        <v>0.85762493750521118</v>
      </c>
      <c r="W2120" s="49">
        <f t="shared" si="283"/>
        <v>2.4922876589628427</v>
      </c>
    </row>
    <row r="2121" spans="1:23" hidden="1">
      <c r="A2121" s="22" t="s">
        <v>150</v>
      </c>
      <c r="B2121" s="23" t="s">
        <v>252</v>
      </c>
      <c r="C2121" s="28" t="s">
        <v>256</v>
      </c>
      <c r="D2121" s="23"/>
      <c r="H2121" s="104">
        <v>124.37435452</v>
      </c>
      <c r="I2121" s="104"/>
      <c r="J2121" s="104"/>
      <c r="K2121" s="67">
        <v>8.6330843900000005</v>
      </c>
      <c r="O2121" s="94">
        <f t="shared" si="281"/>
        <v>2.0947308398512323</v>
      </c>
      <c r="P2121" s="45"/>
      <c r="Q2121" s="45"/>
      <c r="R2121" s="48">
        <f t="shared" si="282"/>
        <v>0.93616598624096148</v>
      </c>
      <c r="U2121" s="94">
        <v>2.0947308398512323</v>
      </c>
      <c r="V2121" s="105">
        <v>0.93616598624096148</v>
      </c>
      <c r="W2121" s="49">
        <f t="shared" si="283"/>
        <v>2.3562174488106424</v>
      </c>
    </row>
    <row r="2122" spans="1:23" hidden="1">
      <c r="A2122" s="22" t="s">
        <v>150</v>
      </c>
      <c r="B2122" s="23" t="s">
        <v>252</v>
      </c>
      <c r="C2122" s="28" t="s">
        <v>256</v>
      </c>
      <c r="D2122" s="23"/>
      <c r="H2122" s="104">
        <v>160.69606106000001</v>
      </c>
      <c r="I2122" s="104"/>
      <c r="J2122" s="104"/>
      <c r="K2122" s="67">
        <v>13.677765859999999</v>
      </c>
      <c r="O2122" s="94">
        <f t="shared" si="281"/>
        <v>2.2060052315805692</v>
      </c>
      <c r="P2122" s="45"/>
      <c r="Q2122" s="45"/>
      <c r="R2122" s="48">
        <f t="shared" si="282"/>
        <v>1.1360151650805663</v>
      </c>
      <c r="U2122" s="94">
        <v>2.2060052315805692</v>
      </c>
      <c r="V2122" s="105">
        <v>1.1360151650805663</v>
      </c>
      <c r="W2122" s="49">
        <f t="shared" si="283"/>
        <v>2.1322518994425699</v>
      </c>
    </row>
    <row r="2123" spans="1:23" hidden="1">
      <c r="A2123" s="22" t="s">
        <v>150</v>
      </c>
      <c r="B2123" s="23" t="s">
        <v>252</v>
      </c>
      <c r="C2123" s="28" t="s">
        <v>256</v>
      </c>
      <c r="D2123" s="23"/>
      <c r="H2123" s="104">
        <v>225.50758278000001</v>
      </c>
      <c r="I2123" s="104"/>
      <c r="J2123" s="104"/>
      <c r="K2123" s="67">
        <v>17.989611409999998</v>
      </c>
      <c r="O2123" s="94">
        <f t="shared" si="281"/>
        <v>2.353161149780028</v>
      </c>
      <c r="P2123" s="45"/>
      <c r="Q2123" s="45"/>
      <c r="R2123" s="48">
        <f t="shared" si="282"/>
        <v>1.2550217823385801</v>
      </c>
      <c r="U2123" s="94">
        <v>2.353161149780028</v>
      </c>
      <c r="V2123" s="105">
        <v>1.2550217823385801</v>
      </c>
      <c r="W2123" s="49">
        <f t="shared" si="283"/>
        <v>1.9746546697038256</v>
      </c>
    </row>
    <row r="2124" spans="1:23" hidden="1">
      <c r="A2124" s="22" t="s">
        <v>150</v>
      </c>
      <c r="B2124" s="23" t="s">
        <v>252</v>
      </c>
      <c r="C2124" s="28" t="s">
        <v>256</v>
      </c>
      <c r="D2124" s="23"/>
      <c r="H2124" s="104">
        <v>181.57860890000001</v>
      </c>
      <c r="I2124" s="104"/>
      <c r="J2124" s="104"/>
      <c r="K2124" s="67">
        <v>28.843631989999999</v>
      </c>
      <c r="O2124" s="94">
        <f t="shared" si="281"/>
        <v>2.2590646845821882</v>
      </c>
      <c r="P2124" s="45"/>
      <c r="Q2124" s="45"/>
      <c r="R2124" s="48">
        <f t="shared" si="282"/>
        <v>1.460049945849784</v>
      </c>
      <c r="U2124" s="94">
        <v>2.2590646845821882</v>
      </c>
      <c r="V2124" s="105">
        <v>1.460049945849784</v>
      </c>
      <c r="W2124" s="49">
        <f t="shared" si="283"/>
        <v>1.8072625106302849</v>
      </c>
    </row>
    <row r="2125" spans="1:23" hidden="1">
      <c r="A2125" s="22" t="s">
        <v>150</v>
      </c>
      <c r="B2125" s="23" t="s">
        <v>252</v>
      </c>
      <c r="C2125" s="28" t="s">
        <v>256</v>
      </c>
      <c r="D2125" s="23"/>
      <c r="H2125" s="104">
        <v>127.2195923</v>
      </c>
      <c r="I2125" s="104"/>
      <c r="J2125" s="104"/>
      <c r="K2125" s="67">
        <v>33.198530480000002</v>
      </c>
      <c r="O2125" s="94">
        <f t="shared" si="281"/>
        <v>2.1045539994613596</v>
      </c>
      <c r="P2125" s="45"/>
      <c r="Q2125" s="45"/>
      <c r="R2125" s="48">
        <f t="shared" si="282"/>
        <v>1.5211188602536818</v>
      </c>
      <c r="U2125" s="94">
        <v>2.1045539994613596</v>
      </c>
      <c r="V2125" s="105">
        <v>1.5211188602536818</v>
      </c>
      <c r="W2125" s="49">
        <f t="shared" si="283"/>
        <v>1.7952886243369488</v>
      </c>
    </row>
    <row r="2126" spans="1:23" hidden="1">
      <c r="A2126" s="22" t="s">
        <v>150</v>
      </c>
      <c r="B2126" s="23" t="s">
        <v>252</v>
      </c>
      <c r="C2126" s="28" t="s">
        <v>256</v>
      </c>
      <c r="D2126" s="23"/>
      <c r="H2126" s="104">
        <v>83.515242459999996</v>
      </c>
      <c r="I2126" s="104"/>
      <c r="J2126" s="104"/>
      <c r="K2126" s="67">
        <v>65.728770490000002</v>
      </c>
      <c r="O2126" s="94">
        <f t="shared" si="281"/>
        <v>1.9217657462877455</v>
      </c>
      <c r="P2126" s="45"/>
      <c r="Q2126" s="45"/>
      <c r="R2126" s="48">
        <f t="shared" si="282"/>
        <v>1.8177555085255743</v>
      </c>
      <c r="U2126" s="94">
        <v>1.9217657462877455</v>
      </c>
      <c r="V2126" s="105">
        <v>1.8177555085255743</v>
      </c>
      <c r="W2126" s="49">
        <f t="shared" si="283"/>
        <v>1.5670765039669163</v>
      </c>
    </row>
    <row r="2127" spans="1:23" hidden="1">
      <c r="A2127" s="22" t="s">
        <v>150</v>
      </c>
      <c r="B2127" s="23" t="s">
        <v>252</v>
      </c>
      <c r="C2127" s="28" t="s">
        <v>256</v>
      </c>
      <c r="D2127" s="23"/>
      <c r="H2127" s="104">
        <v>212.87622450999999</v>
      </c>
      <c r="I2127" s="104"/>
      <c r="J2127" s="104"/>
      <c r="K2127" s="67">
        <v>49.063538919999999</v>
      </c>
      <c r="O2127" s="94">
        <f t="shared" si="281"/>
        <v>2.3281271591334596</v>
      </c>
      <c r="P2127" s="45"/>
      <c r="Q2127" s="45"/>
      <c r="R2127" s="48">
        <f t="shared" si="282"/>
        <v>1.690758870368483</v>
      </c>
      <c r="U2127" s="94">
        <v>2.3281271591334596</v>
      </c>
      <c r="V2127" s="105">
        <v>1.690758870368483</v>
      </c>
      <c r="W2127" s="49">
        <f t="shared" si="283"/>
        <v>1.5665033574669183</v>
      </c>
    </row>
    <row r="2128" spans="1:23" hidden="1">
      <c r="A2128" s="22" t="s">
        <v>150</v>
      </c>
      <c r="B2128" s="23" t="s">
        <v>252</v>
      </c>
      <c r="C2128" s="28" t="s">
        <v>256</v>
      </c>
      <c r="D2128" s="23"/>
      <c r="H2128" s="104">
        <v>189.74743631999999</v>
      </c>
      <c r="I2128" s="104"/>
      <c r="J2128" s="104"/>
      <c r="K2128" s="67">
        <v>67.135478509999999</v>
      </c>
      <c r="O2128" s="94">
        <f t="shared" si="281"/>
        <v>2.278175916848947</v>
      </c>
      <c r="P2128" s="45"/>
      <c r="Q2128" s="45"/>
      <c r="R2128" s="48">
        <f t="shared" si="282"/>
        <v>1.826952088710021</v>
      </c>
      <c r="U2128" s="94">
        <v>2.278175916848947</v>
      </c>
      <c r="V2128" s="105">
        <v>1.826952088710021</v>
      </c>
      <c r="W2128" s="49">
        <f t="shared" si="283"/>
        <v>1.4515502723556968</v>
      </c>
    </row>
    <row r="2129" spans="1:23" hidden="1">
      <c r="A2129" s="22" t="s">
        <v>150</v>
      </c>
      <c r="B2129" s="23" t="s">
        <v>252</v>
      </c>
      <c r="C2129" s="28" t="s">
        <v>256</v>
      </c>
      <c r="D2129" s="23"/>
      <c r="H2129" s="104">
        <v>184.67093312</v>
      </c>
      <c r="I2129" s="104"/>
      <c r="J2129" s="104"/>
      <c r="K2129" s="67">
        <v>77.252919439999999</v>
      </c>
      <c r="O2129" s="94">
        <f t="shared" si="281"/>
        <v>2.2663985436318868</v>
      </c>
      <c r="P2129" s="45"/>
      <c r="Q2129" s="45"/>
      <c r="R2129" s="48">
        <f t="shared" si="282"/>
        <v>1.8879149006887765</v>
      </c>
      <c r="U2129" s="94">
        <v>2.2663985436318868</v>
      </c>
      <c r="V2129" s="105">
        <v>1.8879149006887765</v>
      </c>
      <c r="W2129" s="49">
        <f t="shared" si="283"/>
        <v>1.3969254590110527</v>
      </c>
    </row>
    <row r="2130" spans="1:23" hidden="1">
      <c r="A2130" s="22" t="s">
        <v>150</v>
      </c>
      <c r="B2130" s="23" t="s">
        <v>252</v>
      </c>
      <c r="C2130" s="28" t="s">
        <v>256</v>
      </c>
      <c r="D2130" s="23"/>
      <c r="H2130" s="104">
        <v>218.24473896000001</v>
      </c>
      <c r="I2130" s="104"/>
      <c r="J2130" s="104"/>
      <c r="K2130" s="67">
        <v>67.125183239999998</v>
      </c>
      <c r="O2130" s="94">
        <f t="shared" si="281"/>
        <v>2.3389437833366902</v>
      </c>
      <c r="P2130" s="45"/>
      <c r="Q2130" s="45"/>
      <c r="R2130" s="48">
        <f t="shared" si="282"/>
        <v>1.8268854842571427</v>
      </c>
      <c r="U2130" s="94">
        <v>2.3389437833366902</v>
      </c>
      <c r="V2130" s="105">
        <v>1.8268854842571427</v>
      </c>
      <c r="W2130" s="49">
        <f t="shared" si="283"/>
        <v>1.4334123354407029</v>
      </c>
    </row>
    <row r="2131" spans="1:23" hidden="1">
      <c r="A2131" s="22" t="s">
        <v>150</v>
      </c>
      <c r="B2131" s="23" t="s">
        <v>252</v>
      </c>
      <c r="C2131" s="28" t="s">
        <v>256</v>
      </c>
      <c r="D2131" s="23"/>
      <c r="H2131" s="104">
        <v>179.63186725</v>
      </c>
      <c r="I2131" s="104"/>
      <c r="J2131" s="104"/>
      <c r="K2131" s="67">
        <v>90.983063610000002</v>
      </c>
      <c r="O2131" s="94">
        <f t="shared" si="281"/>
        <v>2.2543833843532606</v>
      </c>
      <c r="P2131" s="45"/>
      <c r="Q2131" s="45"/>
      <c r="R2131" s="48">
        <f t="shared" si="282"/>
        <v>1.9589605564389441</v>
      </c>
      <c r="U2131" s="94">
        <v>2.2543833843532606</v>
      </c>
      <c r="V2131" s="105">
        <v>1.9589605564389441</v>
      </c>
      <c r="W2131" s="49">
        <f t="shared" si="283"/>
        <v>1.3327538437678348</v>
      </c>
    </row>
    <row r="2132" spans="1:23" hidden="1">
      <c r="A2132" s="22" t="s">
        <v>150</v>
      </c>
      <c r="B2132" s="23" t="s">
        <v>252</v>
      </c>
      <c r="C2132" s="28" t="s">
        <v>256</v>
      </c>
      <c r="D2132" s="23"/>
      <c r="H2132" s="104">
        <v>151.22441423000001</v>
      </c>
      <c r="I2132" s="104"/>
      <c r="J2132" s="104"/>
      <c r="K2132" s="67">
        <v>99.663846649999996</v>
      </c>
      <c r="O2132" s="94">
        <f t="shared" si="281"/>
        <v>2.1796219109365622</v>
      </c>
      <c r="P2132" s="45"/>
      <c r="Q2132" s="45"/>
      <c r="R2132" s="48">
        <f t="shared" si="282"/>
        <v>1.9985376452936912</v>
      </c>
      <c r="U2132" s="94">
        <v>2.1796219109365622</v>
      </c>
      <c r="V2132" s="105">
        <v>1.9985376452936912</v>
      </c>
      <c r="W2132" s="49">
        <f t="shared" si="283"/>
        <v>1.3173941591298386</v>
      </c>
    </row>
    <row r="2133" spans="1:23" hidden="1">
      <c r="A2133" s="22" t="s">
        <v>150</v>
      </c>
      <c r="B2133" s="23" t="s">
        <v>252</v>
      </c>
      <c r="C2133" s="28" t="s">
        <v>256</v>
      </c>
      <c r="D2133" s="23"/>
      <c r="H2133" s="104">
        <v>133.15715431000001</v>
      </c>
      <c r="I2133" s="104"/>
      <c r="J2133" s="104"/>
      <c r="K2133" s="67">
        <v>106.17326402</v>
      </c>
      <c r="O2133" s="94">
        <f t="shared" si="281"/>
        <v>2.1243645053140838</v>
      </c>
      <c r="P2133" s="45"/>
      <c r="Q2133" s="45"/>
      <c r="R2133" s="48">
        <f t="shared" si="282"/>
        <v>2.0260151688131933</v>
      </c>
      <c r="U2133" s="94">
        <v>2.1243645053140838</v>
      </c>
      <c r="V2133" s="105">
        <v>2.0260151688131933</v>
      </c>
      <c r="W2133" s="49">
        <f t="shared" si="283"/>
        <v>1.3077343017606959</v>
      </c>
    </row>
    <row r="2134" spans="1:23" hidden="1">
      <c r="A2134" s="22" t="s">
        <v>150</v>
      </c>
      <c r="B2134" s="23" t="s">
        <v>252</v>
      </c>
      <c r="C2134" s="28" t="s">
        <v>256</v>
      </c>
      <c r="D2134" s="23"/>
      <c r="H2134" s="104">
        <v>94.244783889999994</v>
      </c>
      <c r="I2134" s="104"/>
      <c r="J2134" s="104"/>
      <c r="K2134" s="67">
        <v>101.12951849</v>
      </c>
      <c r="O2134" s="94">
        <f t="shared" si="281"/>
        <v>1.9742573229045921</v>
      </c>
      <c r="P2134" s="45"/>
      <c r="Q2134" s="45"/>
      <c r="R2134" s="48">
        <f t="shared" si="282"/>
        <v>2.0048779394305503</v>
      </c>
      <c r="U2134" s="94">
        <v>1.9742573229045921</v>
      </c>
      <c r="V2134" s="105">
        <v>2.0048779394305503</v>
      </c>
      <c r="W2134" s="49">
        <f t="shared" si="283"/>
        <v>1.3728578986371294</v>
      </c>
    </row>
    <row r="2135" spans="1:23" hidden="1">
      <c r="A2135" s="22" t="s">
        <v>150</v>
      </c>
      <c r="B2135" s="23" t="s">
        <v>252</v>
      </c>
      <c r="C2135" s="28" t="s">
        <v>256</v>
      </c>
      <c r="D2135" s="23"/>
      <c r="H2135" s="104">
        <v>318.88379434000001</v>
      </c>
      <c r="I2135" s="104"/>
      <c r="J2135" s="104"/>
      <c r="K2135" s="67">
        <v>28.794027509999999</v>
      </c>
      <c r="O2135" s="94">
        <f t="shared" si="281"/>
        <v>2.5036324489778394</v>
      </c>
      <c r="P2135" s="45"/>
      <c r="Q2135" s="45"/>
      <c r="R2135" s="48">
        <f t="shared" si="282"/>
        <v>1.4593024152440184</v>
      </c>
      <c r="U2135" s="94">
        <v>2.5036324489778394</v>
      </c>
      <c r="V2135" s="105">
        <v>1.4593024152440184</v>
      </c>
      <c r="W2135" s="49">
        <f t="shared" si="283"/>
        <v>1.7347215182716231</v>
      </c>
    </row>
    <row r="2136" spans="1:23" hidden="1">
      <c r="A2136" s="22" t="s">
        <v>150</v>
      </c>
      <c r="B2136" s="23" t="s">
        <v>252</v>
      </c>
      <c r="C2136" s="28" t="s">
        <v>256</v>
      </c>
      <c r="D2136" s="23"/>
      <c r="H2136" s="104">
        <v>360.41677850999997</v>
      </c>
      <c r="I2136" s="104"/>
      <c r="J2136" s="104"/>
      <c r="K2136" s="67">
        <v>36.7269997</v>
      </c>
      <c r="O2136" s="94">
        <f t="shared" si="281"/>
        <v>2.5568050005220448</v>
      </c>
      <c r="P2136" s="45"/>
      <c r="Q2136" s="45"/>
      <c r="R2136" s="48">
        <f t="shared" si="282"/>
        <v>1.5649854514339008</v>
      </c>
      <c r="U2136" s="94">
        <v>2.5568050005220448</v>
      </c>
      <c r="V2136" s="105">
        <v>1.5649854514339008</v>
      </c>
      <c r="W2136" s="49">
        <f t="shared" si="283"/>
        <v>1.6179839828178368</v>
      </c>
    </row>
    <row r="2137" spans="1:23" hidden="1">
      <c r="A2137" s="22" t="s">
        <v>150</v>
      </c>
      <c r="B2137" s="23" t="s">
        <v>252</v>
      </c>
      <c r="C2137" s="28" t="s">
        <v>256</v>
      </c>
      <c r="D2137" s="23"/>
      <c r="H2137" s="104">
        <v>319.13088077999998</v>
      </c>
      <c r="I2137" s="104"/>
      <c r="J2137" s="104"/>
      <c r="K2137" s="67">
        <v>52.637868879999999</v>
      </c>
      <c r="O2137" s="94">
        <f t="shared" si="281"/>
        <v>2.5039688308417509</v>
      </c>
      <c r="P2137" s="45"/>
      <c r="Q2137" s="45"/>
      <c r="R2137" s="48">
        <f t="shared" si="282"/>
        <v>1.7212982979236839</v>
      </c>
      <c r="U2137" s="94">
        <v>2.5039688308417509</v>
      </c>
      <c r="V2137" s="105">
        <v>1.7212982979236839</v>
      </c>
      <c r="W2137" s="49">
        <f t="shared" si="283"/>
        <v>1.4847028911402547</v>
      </c>
    </row>
    <row r="2138" spans="1:23" hidden="1">
      <c r="A2138" s="22" t="s">
        <v>150</v>
      </c>
      <c r="B2138" s="23" t="s">
        <v>252</v>
      </c>
      <c r="C2138" s="28" t="s">
        <v>256</v>
      </c>
      <c r="D2138" s="23"/>
      <c r="H2138" s="104">
        <v>347.72552050000002</v>
      </c>
      <c r="I2138" s="104"/>
      <c r="J2138" s="104"/>
      <c r="K2138" s="67">
        <v>62.020602029999999</v>
      </c>
      <c r="O2138" s="94">
        <f t="shared" si="281"/>
        <v>2.5412365658791023</v>
      </c>
      <c r="P2138" s="45"/>
      <c r="Q2138" s="45"/>
      <c r="R2138" s="48">
        <f t="shared" si="282"/>
        <v>1.7925359775904073</v>
      </c>
      <c r="U2138" s="94">
        <v>2.5412365658791023</v>
      </c>
      <c r="V2138" s="105">
        <v>1.7925359775904073</v>
      </c>
      <c r="W2138" s="49">
        <f t="shared" si="283"/>
        <v>1.405586665076199</v>
      </c>
    </row>
    <row r="2139" spans="1:23" hidden="1">
      <c r="A2139" s="22" t="s">
        <v>150</v>
      </c>
      <c r="B2139" s="23" t="s">
        <v>252</v>
      </c>
      <c r="C2139" s="28" t="s">
        <v>256</v>
      </c>
      <c r="D2139" s="23"/>
      <c r="H2139" s="104">
        <v>293.41142871</v>
      </c>
      <c r="I2139" s="104"/>
      <c r="J2139" s="104"/>
      <c r="K2139" s="67">
        <v>70.710744410000004</v>
      </c>
      <c r="O2139" s="94">
        <f t="shared" si="281"/>
        <v>2.4674770261024292</v>
      </c>
      <c r="P2139" s="45"/>
      <c r="Q2139" s="45"/>
      <c r="R2139" s="48">
        <f t="shared" si="282"/>
        <v>1.8494854093194144</v>
      </c>
      <c r="U2139" s="94">
        <v>2.4674770261024292</v>
      </c>
      <c r="V2139" s="105">
        <v>1.8494854093194144</v>
      </c>
      <c r="W2139" s="49">
        <f t="shared" si="283"/>
        <v>1.373355398797691</v>
      </c>
    </row>
    <row r="2140" spans="1:23" hidden="1">
      <c r="A2140" s="22" t="s">
        <v>150</v>
      </c>
      <c r="B2140" s="23" t="s">
        <v>252</v>
      </c>
      <c r="C2140" s="28" t="s">
        <v>256</v>
      </c>
      <c r="D2140" s="23"/>
      <c r="H2140" s="104">
        <v>221.01510207000001</v>
      </c>
      <c r="I2140" s="104"/>
      <c r="J2140" s="104"/>
      <c r="K2140" s="67">
        <v>84.465222850000004</v>
      </c>
      <c r="O2140" s="94">
        <f t="shared" si="281"/>
        <v>2.3444219502533463</v>
      </c>
      <c r="P2140" s="45"/>
      <c r="Q2140" s="45"/>
      <c r="R2140" s="48">
        <f t="shared" si="282"/>
        <v>1.9266779322251115</v>
      </c>
      <c r="U2140" s="94">
        <v>2.3444219502533463</v>
      </c>
      <c r="V2140" s="105">
        <v>1.9266779322251115</v>
      </c>
      <c r="W2140" s="49">
        <f t="shared" si="283"/>
        <v>1.3365794735696128</v>
      </c>
    </row>
    <row r="2141" spans="1:23" hidden="1">
      <c r="A2141" s="22" t="s">
        <v>150</v>
      </c>
      <c r="B2141" s="23" t="s">
        <v>252</v>
      </c>
      <c r="C2141" s="28" t="s">
        <v>256</v>
      </c>
      <c r="D2141" s="23"/>
      <c r="H2141" s="104">
        <v>262.37587446999999</v>
      </c>
      <c r="I2141" s="104"/>
      <c r="J2141" s="104"/>
      <c r="K2141" s="67">
        <v>75.779760139999993</v>
      </c>
      <c r="O2141" s="94">
        <f t="shared" si="281"/>
        <v>2.4189238990487234</v>
      </c>
      <c r="P2141" s="45"/>
      <c r="Q2141" s="45"/>
      <c r="R2141" s="48">
        <f t="shared" si="282"/>
        <v>1.8795532263013484</v>
      </c>
      <c r="U2141" s="94">
        <v>2.4189238990487234</v>
      </c>
      <c r="V2141" s="105">
        <v>1.8795532263013484</v>
      </c>
      <c r="W2141" s="49">
        <f t="shared" si="283"/>
        <v>1.3592165641381344</v>
      </c>
    </row>
    <row r="2142" spans="1:23" hidden="1">
      <c r="A2142" s="22" t="s">
        <v>150</v>
      </c>
      <c r="B2142" s="23" t="s">
        <v>252</v>
      </c>
      <c r="C2142" s="28" t="s">
        <v>256</v>
      </c>
      <c r="D2142" s="23"/>
      <c r="H2142" s="104">
        <v>283.28837218000001</v>
      </c>
      <c r="I2142" s="104"/>
      <c r="J2142" s="104"/>
      <c r="K2142" s="67">
        <v>93.835788870000002</v>
      </c>
      <c r="O2142" s="94">
        <f t="shared" si="281"/>
        <v>2.4522287488878924</v>
      </c>
      <c r="P2142" s="45"/>
      <c r="Q2142" s="45"/>
      <c r="R2142" s="48">
        <f t="shared" si="282"/>
        <v>1.9723685094276064</v>
      </c>
      <c r="U2142" s="94">
        <v>2.4522287488878924</v>
      </c>
      <c r="V2142" s="105">
        <v>1.9723685094276064</v>
      </c>
      <c r="W2142" s="49">
        <f t="shared" si="283"/>
        <v>1.2607044437378601</v>
      </c>
    </row>
    <row r="2143" spans="1:23" hidden="1">
      <c r="A2143" s="22" t="s">
        <v>150</v>
      </c>
      <c r="B2143" s="23" t="s">
        <v>252</v>
      </c>
      <c r="C2143" s="28" t="s">
        <v>256</v>
      </c>
      <c r="D2143" s="23"/>
      <c r="H2143" s="104">
        <v>479.43756746000003</v>
      </c>
      <c r="I2143" s="104"/>
      <c r="J2143" s="104"/>
      <c r="K2143" s="67">
        <v>22.233133810000002</v>
      </c>
      <c r="O2143" s="94">
        <f t="shared" si="281"/>
        <v>2.68073206119815</v>
      </c>
      <c r="P2143" s="45"/>
      <c r="Q2143" s="45"/>
      <c r="R2143" s="48">
        <f t="shared" si="282"/>
        <v>1.3470006817933713</v>
      </c>
      <c r="U2143" s="94">
        <v>2.68073206119815</v>
      </c>
      <c r="V2143" s="105">
        <v>1.3470006817933713</v>
      </c>
      <c r="W2143" s="49">
        <f t="shared" si="283"/>
        <v>1.788800451299752</v>
      </c>
    </row>
    <row r="2144" spans="1:23" hidden="1">
      <c r="A2144" s="22" t="s">
        <v>150</v>
      </c>
      <c r="B2144" s="23" t="s">
        <v>252</v>
      </c>
      <c r="C2144" s="28" t="s">
        <v>256</v>
      </c>
      <c r="D2144" s="23"/>
      <c r="H2144" s="104">
        <v>438.05433264999999</v>
      </c>
      <c r="I2144" s="104"/>
      <c r="J2144" s="104"/>
      <c r="K2144" s="67">
        <v>28.75097457</v>
      </c>
      <c r="O2144" s="94">
        <f t="shared" si="281"/>
        <v>2.6415279801540357</v>
      </c>
      <c r="P2144" s="45"/>
      <c r="Q2144" s="45"/>
      <c r="R2144" s="48">
        <f t="shared" si="282"/>
        <v>1.4586525705282476</v>
      </c>
      <c r="U2144" s="94">
        <v>2.6415279801540357</v>
      </c>
      <c r="V2144" s="105">
        <v>1.4586525705282476</v>
      </c>
      <c r="W2144" s="49">
        <f t="shared" si="283"/>
        <v>1.6940383013286593</v>
      </c>
    </row>
    <row r="2145" spans="1:23" hidden="1">
      <c r="A2145" s="22" t="s">
        <v>150</v>
      </c>
      <c r="B2145" s="23" t="s">
        <v>252</v>
      </c>
      <c r="C2145" s="28" t="s">
        <v>256</v>
      </c>
      <c r="D2145" s="23"/>
      <c r="H2145" s="104">
        <v>479.60977922000001</v>
      </c>
      <c r="I2145" s="104"/>
      <c r="J2145" s="104"/>
      <c r="K2145" s="67">
        <v>38.851568700000001</v>
      </c>
      <c r="O2145" s="94">
        <f t="shared" si="281"/>
        <v>2.6808880297603896</v>
      </c>
      <c r="P2145" s="45"/>
      <c r="Q2145" s="45"/>
      <c r="R2145" s="48">
        <f t="shared" si="282"/>
        <v>1.5894085588898208</v>
      </c>
      <c r="U2145" s="94">
        <v>2.6808880297603896</v>
      </c>
      <c r="V2145" s="105">
        <v>1.5894085588898208</v>
      </c>
      <c r="W2145" s="49">
        <f t="shared" si="283"/>
        <v>1.557520860916231</v>
      </c>
    </row>
    <row r="2146" spans="1:23" hidden="1">
      <c r="A2146" s="22" t="s">
        <v>150</v>
      </c>
      <c r="B2146" s="23" t="s">
        <v>252</v>
      </c>
      <c r="C2146" s="28" t="s">
        <v>256</v>
      </c>
      <c r="D2146" s="23"/>
      <c r="H2146" s="104">
        <v>469.41933547999997</v>
      </c>
      <c r="I2146" s="104"/>
      <c r="J2146" s="104"/>
      <c r="K2146" s="67">
        <v>55.473747330000002</v>
      </c>
      <c r="O2146" s="94">
        <f t="shared" si="281"/>
        <v>2.6715609743109834</v>
      </c>
      <c r="P2146" s="45"/>
      <c r="Q2146" s="45"/>
      <c r="R2146" s="48">
        <f t="shared" si="282"/>
        <v>1.7440875040755461</v>
      </c>
      <c r="U2146" s="94">
        <v>2.6715609743109834</v>
      </c>
      <c r="V2146" s="105">
        <v>1.7440875040755461</v>
      </c>
      <c r="W2146" s="49">
        <f t="shared" si="283"/>
        <v>1.412766297656229</v>
      </c>
    </row>
    <row r="2147" spans="1:23" hidden="1">
      <c r="A2147" s="22" t="s">
        <v>150</v>
      </c>
      <c r="B2147" s="23" t="s">
        <v>252</v>
      </c>
      <c r="C2147" s="28" t="s">
        <v>256</v>
      </c>
      <c r="D2147" s="23"/>
      <c r="H2147" s="104">
        <v>438.24151934999998</v>
      </c>
      <c r="I2147" s="104"/>
      <c r="J2147" s="104"/>
      <c r="K2147" s="67">
        <v>46.814490759999998</v>
      </c>
      <c r="O2147" s="94">
        <f t="shared" si="281"/>
        <v>2.6417135205784175</v>
      </c>
      <c r="P2147" s="45"/>
      <c r="Q2147" s="45"/>
      <c r="R2147" s="48">
        <f t="shared" si="282"/>
        <v>1.6703803035658322</v>
      </c>
      <c r="U2147" s="94">
        <v>2.6417135205784175</v>
      </c>
      <c r="V2147" s="105">
        <v>1.6703803035658322</v>
      </c>
      <c r="W2147" s="49">
        <f t="shared" si="283"/>
        <v>1.4920156428627105</v>
      </c>
    </row>
    <row r="2148" spans="1:23" hidden="1">
      <c r="A2148" s="22" t="s">
        <v>150</v>
      </c>
      <c r="B2148" s="23" t="s">
        <v>252</v>
      </c>
      <c r="C2148" s="28" t="s">
        <v>256</v>
      </c>
      <c r="D2148" s="23"/>
      <c r="H2148" s="104">
        <v>642.6194418</v>
      </c>
      <c r="I2148" s="104"/>
      <c r="J2148" s="104"/>
      <c r="K2148" s="67">
        <v>19.284007410000001</v>
      </c>
      <c r="O2148" s="94">
        <f t="shared" si="281"/>
        <v>2.8079538605537078</v>
      </c>
      <c r="P2148" s="45"/>
      <c r="Q2148" s="45"/>
      <c r="R2148" s="48">
        <f t="shared" si="282"/>
        <v>1.2851972896913622</v>
      </c>
      <c r="U2148" s="94">
        <v>2.8079538605537078</v>
      </c>
      <c r="V2148" s="105">
        <v>1.2851972896913622</v>
      </c>
      <c r="W2148" s="49">
        <f t="shared" si="283"/>
        <v>1.8096486484626046</v>
      </c>
    </row>
    <row r="2149" spans="1:23" hidden="1">
      <c r="A2149" s="22" t="s">
        <v>150</v>
      </c>
      <c r="B2149" s="23" t="s">
        <v>252</v>
      </c>
      <c r="C2149" s="28" t="s">
        <v>256</v>
      </c>
      <c r="D2149" s="23"/>
      <c r="H2149" s="104">
        <v>629.89074645999995</v>
      </c>
      <c r="I2149" s="104"/>
      <c r="J2149" s="104"/>
      <c r="K2149" s="67">
        <v>40.964906509999999</v>
      </c>
      <c r="O2149" s="94">
        <f t="shared" si="281"/>
        <v>2.7992652283040256</v>
      </c>
      <c r="P2149" s="45"/>
      <c r="Q2149" s="45"/>
      <c r="R2149" s="48">
        <f t="shared" si="282"/>
        <v>1.6124119680508413</v>
      </c>
      <c r="U2149" s="94">
        <v>2.7992652283040256</v>
      </c>
      <c r="V2149" s="105">
        <v>1.6124119680508413</v>
      </c>
      <c r="W2149" s="49">
        <f t="shared" si="283"/>
        <v>1.5001210258746305</v>
      </c>
    </row>
    <row r="2150" spans="1:23" hidden="1">
      <c r="A2150" s="22" t="s">
        <v>150</v>
      </c>
      <c r="B2150" s="23" t="s">
        <v>252</v>
      </c>
      <c r="C2150" s="28" t="s">
        <v>256</v>
      </c>
      <c r="D2150" s="23"/>
      <c r="H2150" s="104">
        <v>598.81775488000005</v>
      </c>
      <c r="I2150" s="104"/>
      <c r="J2150" s="104"/>
      <c r="K2150" s="67">
        <v>42.421219000000001</v>
      </c>
      <c r="O2150" s="94">
        <f t="shared" si="281"/>
        <v>2.7772946686451245</v>
      </c>
      <c r="P2150" s="45"/>
      <c r="Q2150" s="45"/>
      <c r="R2150" s="48">
        <f t="shared" si="282"/>
        <v>1.6275831440807547</v>
      </c>
      <c r="U2150" s="94">
        <v>2.7772946686451245</v>
      </c>
      <c r="V2150" s="105">
        <v>1.6275831440807547</v>
      </c>
      <c r="W2150" s="49">
        <f t="shared" si="283"/>
        <v>1.4922299641533046</v>
      </c>
    </row>
    <row r="2151" spans="1:23" hidden="1">
      <c r="A2151" s="22" t="s">
        <v>150</v>
      </c>
      <c r="B2151" s="23" t="s">
        <v>252</v>
      </c>
      <c r="C2151" s="28" t="s">
        <v>256</v>
      </c>
      <c r="D2151" s="23"/>
      <c r="H2151" s="104">
        <v>526.40645328999994</v>
      </c>
      <c r="I2151" s="104"/>
      <c r="J2151" s="104"/>
      <c r="K2151" s="67">
        <v>54.730616150000003</v>
      </c>
      <c r="O2151" s="94">
        <f t="shared" si="281"/>
        <v>2.7213212047150521</v>
      </c>
      <c r="P2151" s="45"/>
      <c r="Q2151" s="45"/>
      <c r="R2151" s="48">
        <f t="shared" si="282"/>
        <v>1.7382303373995629</v>
      </c>
      <c r="U2151" s="94">
        <v>2.7213212047150521</v>
      </c>
      <c r="V2151" s="105">
        <v>1.7382303373995629</v>
      </c>
      <c r="W2151" s="49">
        <f t="shared" si="283"/>
        <v>1.4034490358407627</v>
      </c>
    </row>
    <row r="2152" spans="1:23" hidden="1">
      <c r="A2152" s="22" t="s">
        <v>150</v>
      </c>
      <c r="B2152" s="23" t="s">
        <v>252</v>
      </c>
      <c r="C2152" s="28" t="s">
        <v>256</v>
      </c>
      <c r="D2152" s="23"/>
      <c r="H2152" s="104">
        <v>549.78981538999994</v>
      </c>
      <c r="I2152" s="104"/>
      <c r="J2152" s="104"/>
      <c r="K2152" s="67">
        <v>61.225058580000002</v>
      </c>
      <c r="O2152" s="94">
        <f t="shared" si="281"/>
        <v>2.7401966904712705</v>
      </c>
      <c r="P2152" s="45"/>
      <c r="Q2152" s="45"/>
      <c r="R2152" s="48">
        <f t="shared" si="282"/>
        <v>1.7869292093289457</v>
      </c>
      <c r="U2152" s="94">
        <v>2.7401966904712705</v>
      </c>
      <c r="V2152" s="105">
        <v>1.7869292093289457</v>
      </c>
      <c r="W2152" s="49">
        <f t="shared" si="283"/>
        <v>1.3513415095863877</v>
      </c>
    </row>
    <row r="2153" spans="1:23" hidden="1">
      <c r="A2153" s="22" t="s">
        <v>150</v>
      </c>
      <c r="B2153" s="23" t="s">
        <v>252</v>
      </c>
      <c r="C2153" s="28" t="s">
        <v>256</v>
      </c>
      <c r="D2153" s="23"/>
      <c r="H2153" s="104">
        <v>593.87602608999998</v>
      </c>
      <c r="I2153" s="104"/>
      <c r="J2153" s="104"/>
      <c r="K2153" s="67">
        <v>65.544391590000004</v>
      </c>
      <c r="O2153" s="94">
        <f t="shared" si="281"/>
        <v>2.7736957937953357</v>
      </c>
      <c r="P2153" s="45"/>
      <c r="Q2153" s="45"/>
      <c r="R2153" s="48">
        <f t="shared" si="282"/>
        <v>1.8165355365185576</v>
      </c>
      <c r="U2153" s="94">
        <v>2.7736957937953357</v>
      </c>
      <c r="V2153" s="105">
        <v>1.8165355365185576</v>
      </c>
      <c r="W2153" s="49">
        <f t="shared" si="283"/>
        <v>1.3130662285567176</v>
      </c>
    </row>
    <row r="2154" spans="1:23" hidden="1">
      <c r="A2154" s="22" t="s">
        <v>150</v>
      </c>
      <c r="B2154" s="23" t="s">
        <v>252</v>
      </c>
      <c r="C2154" s="28" t="s">
        <v>256</v>
      </c>
      <c r="D2154" s="23"/>
      <c r="H2154" s="104">
        <v>570.73226296999997</v>
      </c>
      <c r="I2154" s="104"/>
      <c r="J2154" s="104"/>
      <c r="K2154" s="67">
        <v>82.171249889999999</v>
      </c>
      <c r="O2154" s="94">
        <f t="shared" si="281"/>
        <v>2.7564324235105859</v>
      </c>
      <c r="P2154" s="45"/>
      <c r="Q2154" s="45"/>
      <c r="R2154" s="48">
        <f t="shared" si="282"/>
        <v>1.9147198929880038</v>
      </c>
      <c r="U2154" s="94">
        <v>2.7564324235105859</v>
      </c>
      <c r="V2154" s="105">
        <v>1.9147198929880038</v>
      </c>
      <c r="W2154" s="49">
        <f t="shared" si="283"/>
        <v>1.2245789749997043</v>
      </c>
    </row>
    <row r="2155" spans="1:23" hidden="1">
      <c r="A2155" s="22" t="s">
        <v>150</v>
      </c>
      <c r="B2155" s="23" t="s">
        <v>252</v>
      </c>
      <c r="C2155" s="28" t="s">
        <v>256</v>
      </c>
      <c r="D2155" s="23"/>
      <c r="H2155" s="104">
        <v>570.81462510999995</v>
      </c>
      <c r="I2155" s="104"/>
      <c r="J2155" s="104"/>
      <c r="K2155" s="67">
        <v>90.119197009999993</v>
      </c>
      <c r="O2155" s="94">
        <f t="shared" si="281"/>
        <v>2.7564950918483571</v>
      </c>
      <c r="P2155" s="45"/>
      <c r="Q2155" s="45"/>
      <c r="R2155" s="48">
        <f t="shared" si="282"/>
        <v>1.9548173133704829</v>
      </c>
      <c r="U2155" s="94">
        <v>2.7564950918483571</v>
      </c>
      <c r="V2155" s="105">
        <v>1.9548173133704829</v>
      </c>
      <c r="W2155" s="49">
        <f t="shared" si="283"/>
        <v>1.186311274988054</v>
      </c>
    </row>
    <row r="2156" spans="1:23" hidden="1">
      <c r="A2156" s="22" t="s">
        <v>150</v>
      </c>
      <c r="B2156" s="23" t="s">
        <v>252</v>
      </c>
      <c r="C2156" s="28" t="s">
        <v>256</v>
      </c>
      <c r="D2156" s="23"/>
      <c r="H2156" s="104">
        <v>570.97186194000005</v>
      </c>
      <c r="I2156" s="104"/>
      <c r="J2156" s="104"/>
      <c r="K2156" s="67">
        <v>105.29255061000001</v>
      </c>
      <c r="O2156" s="94">
        <f t="shared" si="281"/>
        <v>2.7566147063101276</v>
      </c>
      <c r="P2156" s="45"/>
      <c r="Q2156" s="45"/>
      <c r="R2156" s="48">
        <f t="shared" si="282"/>
        <v>2.0223976461768145</v>
      </c>
      <c r="U2156" s="94">
        <v>2.7566147063101276</v>
      </c>
      <c r="V2156" s="105">
        <v>2.0223976461768145</v>
      </c>
      <c r="W2156" s="49">
        <f t="shared" si="283"/>
        <v>1.1218105680502783</v>
      </c>
    </row>
    <row r="2157" spans="1:23" hidden="1">
      <c r="A2157" s="22" t="s">
        <v>150</v>
      </c>
      <c r="B2157" s="23" t="s">
        <v>252</v>
      </c>
      <c r="C2157" s="28" t="s">
        <v>256</v>
      </c>
      <c r="D2157" s="23"/>
      <c r="H2157" s="104">
        <v>586.59820734000004</v>
      </c>
      <c r="I2157" s="104"/>
      <c r="J2157" s="104"/>
      <c r="K2157" s="67">
        <v>113.23488213</v>
      </c>
      <c r="O2157" s="94">
        <f t="shared" si="281"/>
        <v>2.768340731430869</v>
      </c>
      <c r="P2157" s="45"/>
      <c r="Q2157" s="45"/>
      <c r="R2157" s="48">
        <f t="shared" si="282"/>
        <v>2.0539802323556571</v>
      </c>
      <c r="U2157" s="94">
        <v>2.768340731430869</v>
      </c>
      <c r="V2157" s="105">
        <v>2.0539802323556571</v>
      </c>
      <c r="W2157" s="49">
        <f t="shared" si="283"/>
        <v>1.0881717061104006</v>
      </c>
    </row>
    <row r="2158" spans="1:23" hidden="1">
      <c r="A2158" s="22" t="s">
        <v>150</v>
      </c>
      <c r="B2158" s="23" t="s">
        <v>252</v>
      </c>
      <c r="C2158" s="28" t="s">
        <v>256</v>
      </c>
      <c r="D2158" s="23"/>
      <c r="H2158" s="104">
        <v>524.13775052999995</v>
      </c>
      <c r="I2158" s="104"/>
      <c r="J2158" s="104"/>
      <c r="K2158" s="67">
        <v>85.800799929999997</v>
      </c>
      <c r="O2158" s="94">
        <f t="shared" si="281"/>
        <v>2.7194454404819139</v>
      </c>
      <c r="P2158" s="45"/>
      <c r="Q2158" s="45"/>
      <c r="R2158" s="48">
        <f t="shared" si="282"/>
        <v>1.9334913368413098</v>
      </c>
      <c r="U2158" s="94">
        <v>2.7194454404819139</v>
      </c>
      <c r="V2158" s="105">
        <v>1.9334913368413098</v>
      </c>
      <c r="W2158" s="49">
        <f t="shared" si="283"/>
        <v>1.2177514060049057</v>
      </c>
    </row>
    <row r="2159" spans="1:23" hidden="1">
      <c r="A2159" s="22" t="s">
        <v>150</v>
      </c>
      <c r="B2159" s="23" t="s">
        <v>252</v>
      </c>
      <c r="C2159" s="28" t="s">
        <v>256</v>
      </c>
      <c r="D2159" s="23"/>
      <c r="H2159" s="104">
        <v>420.36893358999998</v>
      </c>
      <c r="I2159" s="104"/>
      <c r="J2159" s="104"/>
      <c r="K2159" s="67">
        <v>72.109964959999999</v>
      </c>
      <c r="O2159" s="94">
        <f t="shared" si="281"/>
        <v>2.6236306129961426</v>
      </c>
      <c r="P2159" s="45"/>
      <c r="Q2159" s="45"/>
      <c r="R2159" s="48">
        <f t="shared" si="282"/>
        <v>1.8579952845266383</v>
      </c>
      <c r="U2159" s="94">
        <v>2.6236306129961426</v>
      </c>
      <c r="V2159" s="105">
        <v>1.8579952845266383</v>
      </c>
      <c r="W2159" s="49">
        <f t="shared" si="283"/>
        <v>1.3184659881846152</v>
      </c>
    </row>
    <row r="2160" spans="1:23" hidden="1">
      <c r="A2160" s="22" t="s">
        <v>150</v>
      </c>
      <c r="B2160" s="23" t="s">
        <v>252</v>
      </c>
      <c r="C2160" s="28" t="s">
        <v>256</v>
      </c>
      <c r="D2160" s="23"/>
      <c r="H2160" s="104">
        <v>436.10759101000002</v>
      </c>
      <c r="I2160" s="104"/>
      <c r="J2160" s="104"/>
      <c r="K2160" s="67">
        <v>90.890406200000001</v>
      </c>
      <c r="O2160" s="94">
        <f t="shared" si="281"/>
        <v>2.6395936461897369</v>
      </c>
      <c r="P2160" s="45"/>
      <c r="Q2160" s="45"/>
      <c r="R2160" s="48">
        <f t="shared" si="282"/>
        <v>1.9585180443409016</v>
      </c>
      <c r="U2160" s="94">
        <v>2.6395936461897369</v>
      </c>
      <c r="V2160" s="105">
        <v>1.9585180443409016</v>
      </c>
      <c r="W2160" s="49">
        <f t="shared" si="283"/>
        <v>1.2177960064656914</v>
      </c>
    </row>
    <row r="2161" spans="1:23" hidden="1">
      <c r="A2161" s="22" t="s">
        <v>150</v>
      </c>
      <c r="B2161" s="23" t="s">
        <v>252</v>
      </c>
      <c r="C2161" s="28" t="s">
        <v>256</v>
      </c>
      <c r="D2161" s="23"/>
      <c r="H2161" s="104">
        <v>482.86682774000002</v>
      </c>
      <c r="I2161" s="104"/>
      <c r="J2161" s="104"/>
      <c r="K2161" s="67">
        <v>103.15675041</v>
      </c>
      <c r="O2161" s="94">
        <f t="shared" si="281"/>
        <v>2.6838273710157678</v>
      </c>
      <c r="P2161" s="45"/>
      <c r="Q2161" s="45"/>
      <c r="R2161" s="48">
        <f t="shared" si="282"/>
        <v>2.0134976527637489</v>
      </c>
      <c r="U2161" s="94">
        <v>2.6838273710157678</v>
      </c>
      <c r="V2161" s="105">
        <v>2.0134976527637489</v>
      </c>
      <c r="W2161" s="49">
        <f t="shared" si="283"/>
        <v>1.1521018692561105</v>
      </c>
    </row>
    <row r="2162" spans="1:23" hidden="1">
      <c r="A2162" s="22" t="s">
        <v>150</v>
      </c>
      <c r="B2162" s="23" t="s">
        <v>252</v>
      </c>
      <c r="C2162" s="28" t="s">
        <v>256</v>
      </c>
      <c r="D2162" s="23"/>
      <c r="H2162" s="104">
        <v>534.74000501</v>
      </c>
      <c r="I2162" s="104"/>
      <c r="J2162" s="104"/>
      <c r="K2162" s="67">
        <v>108.91835691999999</v>
      </c>
      <c r="O2162" s="94">
        <f t="shared" si="281"/>
        <v>2.728142675787613</v>
      </c>
      <c r="P2162" s="45"/>
      <c r="Q2162" s="45"/>
      <c r="R2162" s="48">
        <f t="shared" si="282"/>
        <v>2.0371010811993293</v>
      </c>
      <c r="U2162" s="94">
        <v>2.728142675787613</v>
      </c>
      <c r="V2162" s="105">
        <v>2.0371010811993293</v>
      </c>
      <c r="W2162" s="49">
        <f t="shared" si="283"/>
        <v>1.1163130349357453</v>
      </c>
    </row>
    <row r="2163" spans="1:23" hidden="1">
      <c r="A2163" s="22" t="s">
        <v>150</v>
      </c>
      <c r="B2163" s="23" t="s">
        <v>252</v>
      </c>
      <c r="C2163" s="28" t="s">
        <v>256</v>
      </c>
      <c r="D2163" s="23"/>
      <c r="H2163" s="104">
        <v>521.94392244999995</v>
      </c>
      <c r="I2163" s="104"/>
      <c r="J2163" s="104"/>
      <c r="K2163" s="67">
        <v>124.09639018</v>
      </c>
      <c r="O2163" s="94">
        <f t="shared" si="281"/>
        <v>2.7176238449969357</v>
      </c>
      <c r="P2163" s="45"/>
      <c r="Q2163" s="45"/>
      <c r="R2163" s="48">
        <f t="shared" si="282"/>
        <v>2.0937591485599056</v>
      </c>
      <c r="U2163" s="94">
        <v>2.7176238449969357</v>
      </c>
      <c r="V2163" s="105">
        <v>2.0937591485599056</v>
      </c>
      <c r="W2163" s="49">
        <f t="shared" si="283"/>
        <v>1.0654175530655368</v>
      </c>
    </row>
    <row r="2164" spans="1:23" hidden="1">
      <c r="A2164" s="22" t="s">
        <v>150</v>
      </c>
      <c r="B2164" s="23" t="s">
        <v>252</v>
      </c>
      <c r="C2164" s="28" t="s">
        <v>256</v>
      </c>
      <c r="D2164" s="23"/>
      <c r="H2164" s="104">
        <v>503.86168758999997</v>
      </c>
      <c r="I2164" s="104"/>
      <c r="J2164" s="104"/>
      <c r="K2164" s="67">
        <v>129.16072625000001</v>
      </c>
      <c r="O2164" s="94">
        <f t="shared" si="281"/>
        <v>2.7023113369213081</v>
      </c>
      <c r="P2164" s="45"/>
      <c r="Q2164" s="45"/>
      <c r="R2164" s="48">
        <f t="shared" si="282"/>
        <v>2.1111304783200446</v>
      </c>
      <c r="U2164" s="94">
        <v>2.7023113369213081</v>
      </c>
      <c r="V2164" s="105">
        <v>2.1111304783200446</v>
      </c>
      <c r="W2164" s="49">
        <f t="shared" si="283"/>
        <v>1.0534335144636893</v>
      </c>
    </row>
    <row r="2165" spans="1:23" hidden="1">
      <c r="A2165" s="22" t="s">
        <v>150</v>
      </c>
      <c r="B2165" s="23" t="s">
        <v>252</v>
      </c>
      <c r="C2165" s="28" t="s">
        <v>256</v>
      </c>
      <c r="D2165" s="23"/>
      <c r="H2165" s="104">
        <v>436.45201452999999</v>
      </c>
      <c r="I2165" s="104"/>
      <c r="J2165" s="104"/>
      <c r="K2165" s="67">
        <v>124.12727599</v>
      </c>
      <c r="O2165" s="94">
        <f t="shared" si="281"/>
        <v>2.6399365024049288</v>
      </c>
      <c r="P2165" s="45"/>
      <c r="Q2165" s="45"/>
      <c r="R2165" s="48">
        <f t="shared" si="282"/>
        <v>2.0938672247730103</v>
      </c>
      <c r="U2165" s="94">
        <v>2.6399365024049288</v>
      </c>
      <c r="V2165" s="105">
        <v>2.0938672247730103</v>
      </c>
      <c r="W2165" s="49">
        <f t="shared" si="283"/>
        <v>1.0885837293807898</v>
      </c>
    </row>
    <row r="2166" spans="1:23" hidden="1">
      <c r="A2166" s="22" t="s">
        <v>150</v>
      </c>
      <c r="B2166" s="23" t="s">
        <v>252</v>
      </c>
      <c r="C2166" s="28" t="s">
        <v>256</v>
      </c>
      <c r="D2166" s="23"/>
      <c r="H2166" s="104">
        <v>457.28963756000002</v>
      </c>
      <c r="I2166" s="104"/>
      <c r="J2166" s="104"/>
      <c r="K2166" s="67">
        <v>134.95789823999999</v>
      </c>
      <c r="O2166" s="94">
        <f t="shared" si="281"/>
        <v>2.6601913601353266</v>
      </c>
      <c r="P2166" s="45"/>
      <c r="Q2166" s="45"/>
      <c r="R2166" s="48">
        <f t="shared" si="282"/>
        <v>2.1301983061705929</v>
      </c>
      <c r="U2166" s="94">
        <v>2.6601913601353266</v>
      </c>
      <c r="V2166" s="105">
        <v>2.1301983061705929</v>
      </c>
      <c r="W2166" s="49">
        <f t="shared" si="283"/>
        <v>1.0478606826758818</v>
      </c>
    </row>
    <row r="2167" spans="1:23" hidden="1">
      <c r="A2167" s="22" t="s">
        <v>150</v>
      </c>
      <c r="B2167" s="23" t="s">
        <v>252</v>
      </c>
      <c r="C2167" s="28" t="s">
        <v>256</v>
      </c>
      <c r="D2167" s="23"/>
      <c r="H2167" s="104">
        <v>408.14189858999998</v>
      </c>
      <c r="I2167" s="104"/>
      <c r="J2167" s="104"/>
      <c r="K2167" s="67">
        <v>142.20108744999999</v>
      </c>
      <c r="O2167" s="94">
        <f t="shared" ref="O2167:O2230" si="284">LOG10(H2167)</f>
        <v>2.6108111803954595</v>
      </c>
      <c r="P2167" s="45"/>
      <c r="Q2167" s="45"/>
      <c r="R2167" s="48">
        <f t="shared" ref="R2167:R2230" si="285">LOG10(K2167)</f>
        <v>2.152902917573273</v>
      </c>
      <c r="U2167" s="94">
        <v>2.6108111803954595</v>
      </c>
      <c r="V2167" s="105">
        <v>2.152902917573273</v>
      </c>
      <c r="W2167" s="49">
        <f t="shared" si="283"/>
        <v>1.0409933324433769</v>
      </c>
    </row>
    <row r="2168" spans="1:23" hidden="1">
      <c r="A2168" s="22" t="s">
        <v>150</v>
      </c>
      <c r="B2168" s="23" t="s">
        <v>252</v>
      </c>
      <c r="C2168" s="28" t="s">
        <v>256</v>
      </c>
      <c r="D2168" s="23"/>
      <c r="H2168" s="104">
        <v>387.46151239</v>
      </c>
      <c r="I2168" s="104"/>
      <c r="J2168" s="104"/>
      <c r="K2168" s="67">
        <v>146.5438188</v>
      </c>
      <c r="O2168" s="94">
        <f t="shared" si="284"/>
        <v>2.5882285693280367</v>
      </c>
      <c r="P2168" s="45"/>
      <c r="Q2168" s="45"/>
      <c r="R2168" s="48">
        <f t="shared" si="285"/>
        <v>2.1659675046736977</v>
      </c>
      <c r="U2168" s="94">
        <v>2.5882285693280367</v>
      </c>
      <c r="V2168" s="105">
        <v>2.1659675046736977</v>
      </c>
      <c r="W2168" s="49">
        <f t="shared" si="283"/>
        <v>1.0352950703552071</v>
      </c>
    </row>
    <row r="2169" spans="1:23" hidden="1">
      <c r="A2169" s="22" t="s">
        <v>150</v>
      </c>
      <c r="B2169" s="23" t="s">
        <v>252</v>
      </c>
      <c r="C2169" s="28" t="s">
        <v>256</v>
      </c>
      <c r="D2169" s="23"/>
      <c r="H2169" s="104">
        <v>462.61322719999998</v>
      </c>
      <c r="I2169" s="104"/>
      <c r="J2169" s="104"/>
      <c r="K2169" s="67">
        <v>148.68429867</v>
      </c>
      <c r="O2169" s="94">
        <f t="shared" si="284"/>
        <v>2.6652180461126074</v>
      </c>
      <c r="P2169" s="45"/>
      <c r="Q2169" s="45"/>
      <c r="R2169" s="48">
        <f t="shared" si="285"/>
        <v>2.1722651086630824</v>
      </c>
      <c r="U2169" s="94">
        <v>2.6652180461126074</v>
      </c>
      <c r="V2169" s="105">
        <v>2.1722651086630824</v>
      </c>
      <c r="W2169" s="49">
        <f t="shared" si="283"/>
        <v>1.0062275436716255</v>
      </c>
    </row>
    <row r="2170" spans="1:23" hidden="1">
      <c r="A2170" s="22" t="s">
        <v>150</v>
      </c>
      <c r="B2170" s="23" t="s">
        <v>252</v>
      </c>
      <c r="C2170" s="28" t="s">
        <v>256</v>
      </c>
      <c r="D2170" s="23"/>
      <c r="H2170" s="104">
        <v>426.53111962999998</v>
      </c>
      <c r="I2170" s="104"/>
      <c r="J2170" s="104"/>
      <c r="K2170" s="67">
        <v>166.76091793000001</v>
      </c>
      <c r="O2170" s="94">
        <f t="shared" si="284"/>
        <v>2.6299507227029486</v>
      </c>
      <c r="P2170" s="45"/>
      <c r="Q2170" s="45"/>
      <c r="R2170" s="48">
        <f t="shared" si="285"/>
        <v>2.2220942770205623</v>
      </c>
      <c r="U2170" s="94">
        <v>2.6299507227029486</v>
      </c>
      <c r="V2170" s="105">
        <v>2.2220942770205623</v>
      </c>
      <c r="W2170" s="49">
        <f t="shared" si="283"/>
        <v>0.96925893091277415</v>
      </c>
    </row>
    <row r="2171" spans="1:23" hidden="1">
      <c r="A2171" s="22" t="s">
        <v>150</v>
      </c>
      <c r="B2171" s="23" t="s">
        <v>252</v>
      </c>
      <c r="C2171" s="28" t="s">
        <v>256</v>
      </c>
      <c r="D2171" s="23"/>
      <c r="H2171" s="104">
        <v>457.63406107999998</v>
      </c>
      <c r="I2171" s="104"/>
      <c r="J2171" s="104"/>
      <c r="K2171" s="67">
        <v>168.19476802</v>
      </c>
      <c r="O2171" s="94">
        <f t="shared" si="284"/>
        <v>2.660518340934845</v>
      </c>
      <c r="P2171" s="45"/>
      <c r="Q2171" s="45"/>
      <c r="R2171" s="48">
        <f t="shared" si="285"/>
        <v>2.2258124822146659</v>
      </c>
      <c r="U2171" s="94">
        <v>2.660518340934845</v>
      </c>
      <c r="V2171" s="105">
        <v>2.2258124822146659</v>
      </c>
      <c r="W2171" s="49">
        <f t="shared" si="283"/>
        <v>0.95655638135425736</v>
      </c>
    </row>
    <row r="2172" spans="1:23" hidden="1">
      <c r="A2172" s="22" t="s">
        <v>150</v>
      </c>
      <c r="B2172" s="23" t="s">
        <v>252</v>
      </c>
      <c r="C2172" s="28" t="s">
        <v>256</v>
      </c>
      <c r="D2172" s="23"/>
      <c r="H2172" s="104">
        <v>499.15955778</v>
      </c>
      <c r="I2172" s="104"/>
      <c r="J2172" s="104"/>
      <c r="K2172" s="67">
        <v>175.40519956</v>
      </c>
      <c r="O2172" s="94">
        <f t="shared" si="284"/>
        <v>2.6982393912887925</v>
      </c>
      <c r="P2172" s="45"/>
      <c r="Q2172" s="45"/>
      <c r="R2172" s="48">
        <f t="shared" si="285"/>
        <v>2.2440424630707674</v>
      </c>
      <c r="U2172" s="94">
        <v>2.6982393912887925</v>
      </c>
      <c r="V2172" s="105">
        <v>2.2440424630707674</v>
      </c>
      <c r="W2172" s="49">
        <f t="shared" si="283"/>
        <v>0.92786842009677606</v>
      </c>
    </row>
    <row r="2173" spans="1:23" hidden="1">
      <c r="A2173" s="22" t="s">
        <v>150</v>
      </c>
      <c r="B2173" s="23" t="s">
        <v>252</v>
      </c>
      <c r="C2173" s="28" t="s">
        <v>256</v>
      </c>
      <c r="D2173" s="23"/>
      <c r="H2173" s="104">
        <v>506.85667473000001</v>
      </c>
      <c r="I2173" s="104"/>
      <c r="J2173" s="104"/>
      <c r="K2173" s="67">
        <v>168.17698529</v>
      </c>
      <c r="O2173" s="94">
        <f t="shared" si="284"/>
        <v>2.7048851700361021</v>
      </c>
      <c r="P2173" s="45"/>
      <c r="Q2173" s="45"/>
      <c r="R2173" s="48">
        <f t="shared" si="285"/>
        <v>2.2257665631299428</v>
      </c>
      <c r="U2173" s="94">
        <v>2.7048851700361021</v>
      </c>
      <c r="V2173" s="105">
        <v>2.2257665631299428</v>
      </c>
      <c r="W2173" s="49">
        <f t="shared" si="283"/>
        <v>0.94331122682935187</v>
      </c>
    </row>
    <row r="2174" spans="1:23" hidden="1">
      <c r="A2174" s="22" t="s">
        <v>150</v>
      </c>
      <c r="B2174" s="23" t="s">
        <v>252</v>
      </c>
      <c r="C2174" s="28" t="s">
        <v>256</v>
      </c>
      <c r="D2174" s="23"/>
      <c r="H2174" s="104">
        <v>418.19008044999998</v>
      </c>
      <c r="I2174" s="104"/>
      <c r="J2174" s="104"/>
      <c r="K2174" s="67">
        <v>111.85063651</v>
      </c>
      <c r="O2174" s="94">
        <f t="shared" si="284"/>
        <v>2.6213737270542956</v>
      </c>
      <c r="P2174" s="45"/>
      <c r="Q2174" s="45"/>
      <c r="R2174" s="48">
        <f t="shared" si="285"/>
        <v>2.0486384598854346</v>
      </c>
      <c r="U2174" s="94">
        <v>2.6213737270542956</v>
      </c>
      <c r="V2174" s="105">
        <v>2.0486384598854346</v>
      </c>
      <c r="W2174" s="49">
        <f t="shared" si="283"/>
        <v>1.1372874560688369</v>
      </c>
    </row>
    <row r="2175" spans="1:23" hidden="1">
      <c r="A2175" s="22" t="s">
        <v>150</v>
      </c>
      <c r="B2175" s="23" t="s">
        <v>252</v>
      </c>
      <c r="C2175" s="28" t="s">
        <v>256</v>
      </c>
      <c r="D2175" s="23"/>
      <c r="H2175" s="104">
        <v>366.25700343</v>
      </c>
      <c r="I2175" s="104"/>
      <c r="J2175" s="104"/>
      <c r="K2175" s="67">
        <v>100.30870482</v>
      </c>
      <c r="O2175" s="94">
        <f t="shared" si="284"/>
        <v>2.5637859378588854</v>
      </c>
      <c r="P2175" s="45"/>
      <c r="Q2175" s="45"/>
      <c r="R2175" s="48">
        <f t="shared" si="285"/>
        <v>2.001338622863416</v>
      </c>
      <c r="U2175" s="94">
        <v>2.5637859378588854</v>
      </c>
      <c r="V2175" s="105">
        <v>2.001338622863416</v>
      </c>
      <c r="W2175" s="49">
        <f t="shared" ref="W2175:W2238" si="286">0.9539*(4.064-0.314*U2175-V2175)</f>
        <v>1.1996557301277799</v>
      </c>
    </row>
    <row r="2176" spans="1:23" hidden="1">
      <c r="A2176" s="22" t="s">
        <v>150</v>
      </c>
      <c r="B2176" s="23" t="s">
        <v>252</v>
      </c>
      <c r="C2176" s="28" t="s">
        <v>256</v>
      </c>
      <c r="D2176" s="23"/>
      <c r="H2176" s="104">
        <v>348.06245655999999</v>
      </c>
      <c r="I2176" s="104"/>
      <c r="J2176" s="104"/>
      <c r="K2176" s="67">
        <v>94.534931180000001</v>
      </c>
      <c r="O2176" s="94">
        <f t="shared" si="284"/>
        <v>2.5416571810316335</v>
      </c>
      <c r="P2176" s="45"/>
      <c r="Q2176" s="45"/>
      <c r="R2176" s="48">
        <f t="shared" si="285"/>
        <v>1.9755923123780277</v>
      </c>
      <c r="U2176" s="94">
        <v>2.5416571810316335</v>
      </c>
      <c r="V2176" s="105">
        <v>1.9755923123780277</v>
      </c>
      <c r="W2176" s="49">
        <f t="shared" si="286"/>
        <v>1.2308432427369718</v>
      </c>
    </row>
    <row r="2177" spans="1:23" hidden="1">
      <c r="A2177" s="22" t="s">
        <v>150</v>
      </c>
      <c r="B2177" s="23" t="s">
        <v>252</v>
      </c>
      <c r="C2177" s="28" t="s">
        <v>256</v>
      </c>
      <c r="D2177" s="23"/>
      <c r="H2177" s="104">
        <v>343.12821523999997</v>
      </c>
      <c r="I2177" s="104"/>
      <c r="J2177" s="104"/>
      <c r="K2177" s="67">
        <v>118.38064441</v>
      </c>
      <c r="O2177" s="94">
        <f t="shared" si="284"/>
        <v>2.5354564313153265</v>
      </c>
      <c r="P2177" s="45"/>
      <c r="Q2177" s="45"/>
      <c r="R2177" s="48">
        <f t="shared" si="285"/>
        <v>2.0732806997424857</v>
      </c>
      <c r="U2177" s="94">
        <v>2.5354564313153265</v>
      </c>
      <c r="V2177" s="105">
        <v>2.0732806997424857</v>
      </c>
      <c r="W2177" s="49">
        <f t="shared" si="286"/>
        <v>1.139515567108492</v>
      </c>
    </row>
    <row r="2178" spans="1:23" hidden="1">
      <c r="A2178" s="22" t="s">
        <v>150</v>
      </c>
      <c r="B2178" s="23" t="s">
        <v>252</v>
      </c>
      <c r="C2178" s="28" t="s">
        <v>256</v>
      </c>
      <c r="D2178" s="23"/>
      <c r="H2178" s="104">
        <v>319.72239073999998</v>
      </c>
      <c r="I2178" s="104"/>
      <c r="J2178" s="104"/>
      <c r="K2178" s="67">
        <v>109.71858004000001</v>
      </c>
      <c r="O2178" s="94">
        <f t="shared" si="284"/>
        <v>2.504773051768463</v>
      </c>
      <c r="P2178" s="45"/>
      <c r="Q2178" s="45"/>
      <c r="R2178" s="48">
        <f t="shared" si="285"/>
        <v>2.040280178400383</v>
      </c>
      <c r="U2178" s="94">
        <v>2.504773051768463</v>
      </c>
      <c r="V2178" s="105">
        <v>2.040280178400383</v>
      </c>
      <c r="W2178" s="49">
        <f t="shared" si="286"/>
        <v>1.1801851914021466</v>
      </c>
    </row>
    <row r="2179" spans="1:23" hidden="1">
      <c r="A2179" s="22" t="s">
        <v>150</v>
      </c>
      <c r="B2179" s="23" t="s">
        <v>252</v>
      </c>
      <c r="C2179" s="28" t="s">
        <v>256</v>
      </c>
      <c r="D2179" s="23"/>
      <c r="H2179" s="104">
        <v>291.35986251999998</v>
      </c>
      <c r="I2179" s="104"/>
      <c r="J2179" s="104"/>
      <c r="K2179" s="67">
        <v>122.73460697</v>
      </c>
      <c r="O2179" s="94">
        <f t="shared" si="284"/>
        <v>2.464429723526286</v>
      </c>
      <c r="P2179" s="45"/>
      <c r="Q2179" s="45"/>
      <c r="R2179" s="48">
        <f t="shared" si="285"/>
        <v>2.0889670362150876</v>
      </c>
      <c r="U2179" s="94">
        <v>2.464429723526286</v>
      </c>
      <c r="V2179" s="105">
        <v>2.0889670362150876</v>
      </c>
      <c r="W2179" s="49">
        <f t="shared" si="286"/>
        <v>1.1458266169871065</v>
      </c>
    </row>
    <row r="2180" spans="1:23" hidden="1">
      <c r="A2180" s="22" t="s">
        <v>150</v>
      </c>
      <c r="B2180" s="23" t="s">
        <v>252</v>
      </c>
      <c r="C2180" s="28" t="s">
        <v>256</v>
      </c>
      <c r="D2180" s="23"/>
      <c r="H2180" s="104">
        <v>234.29787003000001</v>
      </c>
      <c r="I2180" s="104"/>
      <c r="J2180" s="104"/>
      <c r="K2180" s="67">
        <v>116.25233168</v>
      </c>
      <c r="O2180" s="94">
        <f t="shared" si="284"/>
        <v>2.3697683405029708</v>
      </c>
      <c r="P2180" s="45"/>
      <c r="Q2180" s="45"/>
      <c r="R2180" s="48">
        <f t="shared" si="285"/>
        <v>2.0654016723198603</v>
      </c>
      <c r="U2180" s="94">
        <v>2.3697683405029708</v>
      </c>
      <c r="V2180" s="105">
        <v>2.0654016723198603</v>
      </c>
      <c r="W2180" s="49">
        <f t="shared" si="286"/>
        <v>1.1966590304922691</v>
      </c>
    </row>
    <row r="2181" spans="1:23" hidden="1">
      <c r="A2181" s="22" t="s">
        <v>150</v>
      </c>
      <c r="B2181" s="23" t="s">
        <v>252</v>
      </c>
      <c r="C2181" s="28" t="s">
        <v>256</v>
      </c>
      <c r="D2181" s="23"/>
      <c r="H2181" s="104">
        <v>185.02284410999999</v>
      </c>
      <c r="I2181" s="104"/>
      <c r="J2181" s="104"/>
      <c r="K2181" s="67">
        <v>111.21232988</v>
      </c>
      <c r="O2181" s="94">
        <f t="shared" si="284"/>
        <v>2.2672253525026473</v>
      </c>
      <c r="P2181" s="45"/>
      <c r="Q2181" s="45"/>
      <c r="R2181" s="48">
        <f t="shared" si="285"/>
        <v>2.0461529392424223</v>
      </c>
      <c r="U2181" s="94">
        <v>2.2672253525026473</v>
      </c>
      <c r="V2181" s="105">
        <v>2.0461529392424223</v>
      </c>
      <c r="W2181" s="49">
        <f t="shared" si="286"/>
        <v>1.2457345444384389</v>
      </c>
    </row>
    <row r="2182" spans="1:23" hidden="1">
      <c r="A2182" s="22" t="s">
        <v>150</v>
      </c>
      <c r="B2182" s="23" t="s">
        <v>252</v>
      </c>
      <c r="C2182" s="28" t="s">
        <v>256</v>
      </c>
      <c r="D2182" s="23"/>
      <c r="H2182" s="104">
        <v>237.00833338999999</v>
      </c>
      <c r="I2182" s="104"/>
      <c r="J2182" s="104"/>
      <c r="K2182" s="67">
        <v>127.81204611</v>
      </c>
      <c r="O2182" s="94">
        <f t="shared" si="284"/>
        <v>2.3747636163968795</v>
      </c>
      <c r="P2182" s="45"/>
      <c r="Q2182" s="45"/>
      <c r="R2182" s="48">
        <f t="shared" si="285"/>
        <v>2.1065717874104881</v>
      </c>
      <c r="U2182" s="94">
        <v>2.3747636163968795</v>
      </c>
      <c r="V2182" s="105">
        <v>2.1065717874104881</v>
      </c>
      <c r="W2182" s="49">
        <f t="shared" si="286"/>
        <v>1.1558906496933066</v>
      </c>
    </row>
    <row r="2183" spans="1:23" hidden="1">
      <c r="A2183" s="22" t="s">
        <v>150</v>
      </c>
      <c r="B2183" s="23" t="s">
        <v>252</v>
      </c>
      <c r="C2183" s="28" t="s">
        <v>256</v>
      </c>
      <c r="D2183" s="23"/>
      <c r="H2183" s="104">
        <v>193.06438458</v>
      </c>
      <c r="I2183" s="104"/>
      <c r="J2183" s="104"/>
      <c r="K2183" s="67">
        <v>137.22098539000001</v>
      </c>
      <c r="O2183" s="94">
        <f t="shared" si="284"/>
        <v>2.2857021649913336</v>
      </c>
      <c r="P2183" s="45"/>
      <c r="Q2183" s="45"/>
      <c r="R2183" s="48">
        <f t="shared" si="285"/>
        <v>2.1374205336895828</v>
      </c>
      <c r="U2183" s="94">
        <v>2.2857021649913336</v>
      </c>
      <c r="V2183" s="105">
        <v>2.1374205336895828</v>
      </c>
      <c r="W2183" s="49">
        <f t="shared" si="286"/>
        <v>1.1531401262253438</v>
      </c>
    </row>
    <row r="2184" spans="1:23" hidden="1">
      <c r="A2184" s="22" t="s">
        <v>150</v>
      </c>
      <c r="B2184" s="23" t="s">
        <v>252</v>
      </c>
      <c r="C2184" s="28" t="s">
        <v>256</v>
      </c>
      <c r="D2184" s="23"/>
      <c r="H2184" s="104">
        <v>200.94120075999999</v>
      </c>
      <c r="I2184" s="104"/>
      <c r="J2184" s="104"/>
      <c r="K2184" s="67">
        <v>147.33374666</v>
      </c>
      <c r="O2184" s="94">
        <f t="shared" si="284"/>
        <v>2.3030689931354345</v>
      </c>
      <c r="P2184" s="45"/>
      <c r="Q2184" s="45"/>
      <c r="R2184" s="48">
        <f t="shared" si="285"/>
        <v>2.1683022329907784</v>
      </c>
      <c r="U2184" s="94">
        <v>2.3030689931354345</v>
      </c>
      <c r="V2184" s="105">
        <v>2.1683022329907784</v>
      </c>
      <c r="W2184" s="49">
        <f t="shared" si="286"/>
        <v>1.1184802810088028</v>
      </c>
    </row>
    <row r="2185" spans="1:23" hidden="1">
      <c r="A2185" s="22" t="s">
        <v>150</v>
      </c>
      <c r="B2185" s="23" t="s">
        <v>252</v>
      </c>
      <c r="C2185" s="28" t="s">
        <v>256</v>
      </c>
      <c r="D2185" s="23"/>
      <c r="H2185" s="104">
        <v>234.67224343000001</v>
      </c>
      <c r="I2185" s="104"/>
      <c r="J2185" s="104"/>
      <c r="K2185" s="67">
        <v>152.37936406</v>
      </c>
      <c r="O2185" s="94">
        <f t="shared" si="284"/>
        <v>2.3704617251416171</v>
      </c>
      <c r="P2185" s="45"/>
      <c r="Q2185" s="45"/>
      <c r="R2185" s="48">
        <f t="shared" si="285"/>
        <v>2.1829261567562921</v>
      </c>
      <c r="U2185" s="94">
        <v>2.3704617251416171</v>
      </c>
      <c r="V2185" s="105">
        <v>2.1829261567562921</v>
      </c>
      <c r="W2185" s="49">
        <f t="shared" si="286"/>
        <v>1.0843447390318202</v>
      </c>
    </row>
    <row r="2186" spans="1:23" hidden="1">
      <c r="A2186" s="22" t="s">
        <v>150</v>
      </c>
      <c r="B2186" s="23" t="s">
        <v>252</v>
      </c>
      <c r="C2186" s="28" t="s">
        <v>256</v>
      </c>
      <c r="D2186" s="23"/>
      <c r="H2186" s="104">
        <v>214.07421937000001</v>
      </c>
      <c r="I2186" s="104"/>
      <c r="J2186" s="104"/>
      <c r="K2186" s="67">
        <v>164.67004252999999</v>
      </c>
      <c r="O2186" s="94">
        <f t="shared" si="284"/>
        <v>2.3305643690249207</v>
      </c>
      <c r="P2186" s="45"/>
      <c r="Q2186" s="45"/>
      <c r="R2186" s="48">
        <f t="shared" si="285"/>
        <v>2.2166145976682898</v>
      </c>
      <c r="U2186" s="94">
        <v>2.3305643690249207</v>
      </c>
      <c r="V2186" s="105">
        <v>2.2166145976682898</v>
      </c>
      <c r="W2186" s="49">
        <f t="shared" si="286"/>
        <v>1.0641595748777768</v>
      </c>
    </row>
    <row r="2187" spans="1:23" hidden="1">
      <c r="A2187" s="22" t="s">
        <v>150</v>
      </c>
      <c r="B2187" s="23" t="s">
        <v>252</v>
      </c>
      <c r="C2187" s="28" t="s">
        <v>256</v>
      </c>
      <c r="D2187" s="23"/>
      <c r="H2187" s="104">
        <v>328.09337979999998</v>
      </c>
      <c r="I2187" s="104"/>
      <c r="J2187" s="104"/>
      <c r="K2187" s="67">
        <v>167.51902405000001</v>
      </c>
      <c r="O2187" s="94">
        <f t="shared" si="284"/>
        <v>2.5159974673707</v>
      </c>
      <c r="P2187" s="45"/>
      <c r="Q2187" s="45"/>
      <c r="R2187" s="48">
        <f t="shared" si="285"/>
        <v>2.2240641341835357</v>
      </c>
      <c r="U2187" s="94">
        <v>2.5159974673707</v>
      </c>
      <c r="V2187" s="105">
        <v>2.2240641341835357</v>
      </c>
      <c r="W2187" s="49">
        <f t="shared" si="286"/>
        <v>1.0015116873871035</v>
      </c>
    </row>
    <row r="2188" spans="1:23" hidden="1">
      <c r="A2188" s="22" t="s">
        <v>150</v>
      </c>
      <c r="B2188" s="23" t="s">
        <v>252</v>
      </c>
      <c r="C2188" s="28" t="s">
        <v>256</v>
      </c>
      <c r="D2188" s="23"/>
      <c r="H2188" s="104">
        <v>315.21493508999998</v>
      </c>
      <c r="I2188" s="104"/>
      <c r="J2188" s="104"/>
      <c r="K2188" s="67">
        <v>174.74911019000001</v>
      </c>
      <c r="O2188" s="94">
        <f t="shared" si="284"/>
        <v>2.4986067864619037</v>
      </c>
      <c r="P2188" s="45"/>
      <c r="Q2188" s="45"/>
      <c r="R2188" s="48">
        <f t="shared" si="285"/>
        <v>2.2424149730268361</v>
      </c>
      <c r="U2188" s="94">
        <v>2.4986067864619037</v>
      </c>
      <c r="V2188" s="105">
        <v>2.2424149730268361</v>
      </c>
      <c r="W2188" s="49">
        <f t="shared" si="286"/>
        <v>0.98921575895741387</v>
      </c>
    </row>
    <row r="2189" spans="1:23" hidden="1">
      <c r="A2189" s="22" t="s">
        <v>150</v>
      </c>
      <c r="B2189" s="23" t="s">
        <v>252</v>
      </c>
      <c r="C2189" s="28" t="s">
        <v>256</v>
      </c>
      <c r="D2189" s="23"/>
      <c r="H2189" s="104">
        <v>237.66723056999999</v>
      </c>
      <c r="I2189" s="104"/>
      <c r="J2189" s="104"/>
      <c r="K2189" s="67">
        <v>191.39562308999999</v>
      </c>
      <c r="O2189" s="94">
        <f t="shared" si="284"/>
        <v>2.3759693055662092</v>
      </c>
      <c r="P2189" s="45"/>
      <c r="Q2189" s="45"/>
      <c r="R2189" s="48">
        <f t="shared" si="285"/>
        <v>2.2819320019382356</v>
      </c>
      <c r="U2189" s="94">
        <v>2.3759693055662092</v>
      </c>
      <c r="V2189" s="105">
        <v>2.2819320019382356</v>
      </c>
      <c r="W2189" s="49">
        <f t="shared" si="286"/>
        <v>0.98825340748912016</v>
      </c>
    </row>
    <row r="2190" spans="1:23" hidden="1">
      <c r="A2190" s="22" t="s">
        <v>150</v>
      </c>
      <c r="B2190" s="23" t="s">
        <v>252</v>
      </c>
      <c r="C2190" s="28" t="s">
        <v>256</v>
      </c>
      <c r="D2190" s="23"/>
      <c r="H2190" s="104">
        <v>255.94413958999999</v>
      </c>
      <c r="I2190" s="104"/>
      <c r="J2190" s="104"/>
      <c r="K2190" s="67">
        <v>205.11734386000001</v>
      </c>
      <c r="O2190" s="94">
        <f t="shared" si="284"/>
        <v>2.4081451898625765</v>
      </c>
      <c r="P2190" s="45"/>
      <c r="Q2190" s="45"/>
      <c r="R2190" s="48">
        <f t="shared" si="285"/>
        <v>2.3120023840360031</v>
      </c>
      <c r="U2190" s="94">
        <v>2.4081451898625765</v>
      </c>
      <c r="V2190" s="105">
        <v>2.3120023840360031</v>
      </c>
      <c r="W2190" s="49">
        <f t="shared" si="286"/>
        <v>0.94993180113254427</v>
      </c>
    </row>
    <row r="2191" spans="1:23" hidden="1">
      <c r="A2191" s="22" t="s">
        <v>150</v>
      </c>
      <c r="B2191" s="23" t="s">
        <v>252</v>
      </c>
      <c r="C2191" s="28" t="s">
        <v>256</v>
      </c>
      <c r="D2191" s="23"/>
      <c r="H2191" s="104">
        <v>209.34962715</v>
      </c>
      <c r="I2191" s="104"/>
      <c r="J2191" s="104"/>
      <c r="K2191" s="67">
        <v>208.7468939</v>
      </c>
      <c r="O2191" s="94">
        <f t="shared" si="284"/>
        <v>2.3208721917529633</v>
      </c>
      <c r="P2191" s="45"/>
      <c r="Q2191" s="45"/>
      <c r="R2191" s="48">
        <f t="shared" si="285"/>
        <v>2.3196200220137175</v>
      </c>
      <c r="U2191" s="94">
        <v>2.3208721917529633</v>
      </c>
      <c r="V2191" s="105">
        <v>2.3196200220137175</v>
      </c>
      <c r="W2191" s="49">
        <f t="shared" si="286"/>
        <v>0.96880574611518533</v>
      </c>
    </row>
    <row r="2192" spans="1:23" hidden="1">
      <c r="A2192" s="22" t="s">
        <v>150</v>
      </c>
      <c r="B2192" s="23" t="s">
        <v>252</v>
      </c>
      <c r="C2192" s="28" t="s">
        <v>256</v>
      </c>
      <c r="D2192" s="23"/>
      <c r="H2192" s="104">
        <v>235.36109046999999</v>
      </c>
      <c r="I2192" s="104"/>
      <c r="J2192" s="104"/>
      <c r="K2192" s="67">
        <v>218.85310364</v>
      </c>
      <c r="O2192" s="94">
        <f t="shared" si="284"/>
        <v>2.3717346675520754</v>
      </c>
      <c r="P2192" s="45"/>
      <c r="Q2192" s="45"/>
      <c r="R2192" s="48">
        <f t="shared" si="285"/>
        <v>2.3401527098898147</v>
      </c>
      <c r="U2192" s="94">
        <v>2.3717346675520754</v>
      </c>
      <c r="V2192" s="105">
        <v>2.3401527098898147</v>
      </c>
      <c r="W2192" s="49">
        <f t="shared" si="286"/>
        <v>0.9339850524314377</v>
      </c>
    </row>
    <row r="2193" spans="1:23" hidden="1">
      <c r="A2193" s="22" t="s">
        <v>150</v>
      </c>
      <c r="B2193" s="23" t="s">
        <v>252</v>
      </c>
      <c r="C2193" s="28" t="s">
        <v>256</v>
      </c>
      <c r="D2193" s="23"/>
      <c r="H2193" s="104">
        <v>320.89043572999998</v>
      </c>
      <c r="I2193" s="104"/>
      <c r="J2193" s="104"/>
      <c r="K2193" s="67">
        <v>222.43492107</v>
      </c>
      <c r="O2193" s="94">
        <f t="shared" si="284"/>
        <v>2.5063567729646681</v>
      </c>
      <c r="P2193" s="45"/>
      <c r="Q2193" s="45"/>
      <c r="R2193" s="48">
        <f t="shared" si="285"/>
        <v>2.3472029701287656</v>
      </c>
      <c r="U2193" s="94">
        <v>2.5063567729646681</v>
      </c>
      <c r="V2193" s="105">
        <v>2.3472029701287656</v>
      </c>
      <c r="W2193" s="49">
        <f t="shared" si="286"/>
        <v>0.88693717691463758</v>
      </c>
    </row>
    <row r="2194" spans="1:23" hidden="1">
      <c r="A2194" s="22" t="s">
        <v>150</v>
      </c>
      <c r="B2194" s="23" t="s">
        <v>252</v>
      </c>
      <c r="C2194" s="28" t="s">
        <v>256</v>
      </c>
      <c r="D2194" s="23"/>
      <c r="H2194" s="104">
        <v>326.00437627000002</v>
      </c>
      <c r="I2194" s="104"/>
      <c r="J2194" s="104"/>
      <c r="K2194" s="67">
        <v>215.93018337000001</v>
      </c>
      <c r="O2194" s="94">
        <f t="shared" si="284"/>
        <v>2.5132234300592136</v>
      </c>
      <c r="P2194" s="45"/>
      <c r="Q2194" s="45"/>
      <c r="R2194" s="48">
        <f t="shared" si="285"/>
        <v>2.3343133535654621</v>
      </c>
      <c r="U2194" s="94">
        <v>2.5132234300592136</v>
      </c>
      <c r="V2194" s="105">
        <v>2.3343133535654621</v>
      </c>
      <c r="W2194" s="49">
        <f t="shared" si="286"/>
        <v>0.89717584943479156</v>
      </c>
    </row>
    <row r="2195" spans="1:23" hidden="1">
      <c r="A2195" s="22" t="s">
        <v>150</v>
      </c>
      <c r="B2195" s="23" t="s">
        <v>252</v>
      </c>
      <c r="C2195" s="28" t="s">
        <v>256</v>
      </c>
      <c r="D2195" s="23"/>
      <c r="H2195" s="104">
        <v>315.52192128000002</v>
      </c>
      <c r="I2195" s="104"/>
      <c r="J2195" s="104"/>
      <c r="K2195" s="67">
        <v>204.37327675</v>
      </c>
      <c r="O2195" s="94">
        <f t="shared" si="284"/>
        <v>2.4990295377805194</v>
      </c>
      <c r="P2195" s="45"/>
      <c r="Q2195" s="45"/>
      <c r="R2195" s="48">
        <f t="shared" si="285"/>
        <v>2.3104241081028514</v>
      </c>
      <c r="U2195" s="94">
        <v>2.4990295377805194</v>
      </c>
      <c r="V2195" s="105">
        <v>2.3104241081028514</v>
      </c>
      <c r="W2195" s="49">
        <f t="shared" si="286"/>
        <v>0.92421522058879513</v>
      </c>
    </row>
    <row r="2196" spans="1:23" hidden="1">
      <c r="A2196" s="22" t="s">
        <v>150</v>
      </c>
      <c r="B2196" s="23" t="s">
        <v>252</v>
      </c>
      <c r="C2196" s="28" t="s">
        <v>256</v>
      </c>
      <c r="D2196" s="23"/>
      <c r="H2196" s="104">
        <v>756.63860222999995</v>
      </c>
      <c r="I2196" s="104"/>
      <c r="J2196" s="104"/>
      <c r="K2196" s="67">
        <v>22.13298893</v>
      </c>
      <c r="O2196" s="94">
        <f t="shared" si="284"/>
        <v>2.8788884943818096</v>
      </c>
      <c r="P2196" s="45"/>
      <c r="Q2196" s="45"/>
      <c r="R2196" s="48">
        <f t="shared" si="285"/>
        <v>1.345040066803584</v>
      </c>
      <c r="U2196" s="94">
        <v>2.8788884943818096</v>
      </c>
      <c r="V2196" s="105">
        <v>1.345040066803584</v>
      </c>
      <c r="W2196" s="49">
        <f t="shared" si="286"/>
        <v>1.7313179555517473</v>
      </c>
    </row>
    <row r="2197" spans="1:23" hidden="1">
      <c r="A2197" s="22" t="s">
        <v>150</v>
      </c>
      <c r="B2197" s="23" t="s">
        <v>252</v>
      </c>
      <c r="C2197" s="28" t="s">
        <v>256</v>
      </c>
      <c r="D2197" s="23"/>
      <c r="H2197" s="104">
        <v>808.58665417999998</v>
      </c>
      <c r="I2197" s="104"/>
      <c r="J2197" s="104"/>
      <c r="K2197" s="67">
        <v>35.120001909999999</v>
      </c>
      <c r="O2197" s="94">
        <f t="shared" si="284"/>
        <v>2.9077265689741405</v>
      </c>
      <c r="P2197" s="45"/>
      <c r="Q2197" s="45"/>
      <c r="R2197" s="48">
        <f t="shared" si="285"/>
        <v>1.5455545308531549</v>
      </c>
      <c r="U2197" s="94">
        <v>2.9077265689741405</v>
      </c>
      <c r="V2197" s="105">
        <v>1.5455545308531549</v>
      </c>
      <c r="W2197" s="49">
        <f t="shared" si="286"/>
        <v>1.5314094955378237</v>
      </c>
    </row>
    <row r="2198" spans="1:23" hidden="1">
      <c r="A2198" s="22" t="s">
        <v>150</v>
      </c>
      <c r="B2198" s="23" t="s">
        <v>252</v>
      </c>
      <c r="C2198" s="28" t="s">
        <v>256</v>
      </c>
      <c r="D2198" s="23"/>
      <c r="H2198" s="104">
        <v>777.58104980999997</v>
      </c>
      <c r="I2198" s="104"/>
      <c r="J2198" s="104"/>
      <c r="K2198" s="67">
        <v>43.079180239999999</v>
      </c>
      <c r="O2198" s="94">
        <f t="shared" si="284"/>
        <v>2.8907456679891643</v>
      </c>
      <c r="P2198" s="45"/>
      <c r="Q2198" s="45"/>
      <c r="R2198" s="48">
        <f t="shared" si="285"/>
        <v>1.634267430451575</v>
      </c>
      <c r="U2198" s="94">
        <v>2.8907456679891643</v>
      </c>
      <c r="V2198" s="105">
        <v>1.634267430451575</v>
      </c>
      <c r="W2198" s="49">
        <f t="shared" si="286"/>
        <v>1.4518724581860551</v>
      </c>
    </row>
    <row r="2199" spans="1:23" hidden="1">
      <c r="A2199" s="22" t="s">
        <v>150</v>
      </c>
      <c r="B2199" s="23" t="s">
        <v>252</v>
      </c>
      <c r="C2199" s="28" t="s">
        <v>256</v>
      </c>
      <c r="D2199" s="23"/>
      <c r="H2199" s="104">
        <v>702.50420967000002</v>
      </c>
      <c r="I2199" s="104"/>
      <c r="J2199" s="104"/>
      <c r="K2199" s="67">
        <v>48.164106840000002</v>
      </c>
      <c r="O2199" s="94">
        <f t="shared" si="284"/>
        <v>2.8466489310411371</v>
      </c>
      <c r="P2199" s="45"/>
      <c r="Q2199" s="45"/>
      <c r="R2199" s="48">
        <f t="shared" si="285"/>
        <v>1.6827235110966774</v>
      </c>
      <c r="U2199" s="94">
        <v>2.8466489310411371</v>
      </c>
      <c r="V2199" s="105">
        <v>1.6827235110966774</v>
      </c>
      <c r="W2199" s="49">
        <f t="shared" si="286"/>
        <v>1.4188582603543554</v>
      </c>
    </row>
    <row r="2200" spans="1:23" hidden="1">
      <c r="A2200" s="22" t="s">
        <v>150</v>
      </c>
      <c r="B2200" s="23" t="s">
        <v>252</v>
      </c>
      <c r="C2200" s="28" t="s">
        <v>256</v>
      </c>
      <c r="D2200" s="23"/>
      <c r="H2200" s="104">
        <v>650.81821909999996</v>
      </c>
      <c r="I2200" s="104"/>
      <c r="J2200" s="104"/>
      <c r="K2200" s="67">
        <v>60.466016519999997</v>
      </c>
      <c r="O2200" s="94">
        <f t="shared" si="284"/>
        <v>2.8134597021379664</v>
      </c>
      <c r="P2200" s="45"/>
      <c r="Q2200" s="45"/>
      <c r="R2200" s="48">
        <f t="shared" si="285"/>
        <v>1.78151135837992</v>
      </c>
      <c r="U2200" s="94">
        <v>2.8134597021379664</v>
      </c>
      <c r="V2200" s="105">
        <v>1.78151135837992</v>
      </c>
      <c r="W2200" s="49">
        <f t="shared" si="286"/>
        <v>1.3345655233424008</v>
      </c>
    </row>
    <row r="2201" spans="1:23" hidden="1">
      <c r="A2201" s="22" t="s">
        <v>150</v>
      </c>
      <c r="B2201" s="23" t="s">
        <v>252</v>
      </c>
      <c r="C2201" s="28" t="s">
        <v>256</v>
      </c>
      <c r="D2201" s="23"/>
      <c r="H2201" s="104">
        <v>666.42210209999996</v>
      </c>
      <c r="I2201" s="104"/>
      <c r="J2201" s="104"/>
      <c r="K2201" s="67">
        <v>66.240726100000003</v>
      </c>
      <c r="O2201" s="94">
        <f t="shared" si="284"/>
        <v>2.8237493921515715</v>
      </c>
      <c r="P2201" s="45"/>
      <c r="Q2201" s="45"/>
      <c r="R2201" s="48">
        <f t="shared" si="285"/>
        <v>1.8211250843368327</v>
      </c>
      <c r="U2201" s="94">
        <v>2.8237493921515715</v>
      </c>
      <c r="V2201" s="105">
        <v>1.8211250843368327</v>
      </c>
      <c r="W2201" s="49">
        <f t="shared" si="286"/>
        <v>1.2936959748666526</v>
      </c>
    </row>
    <row r="2202" spans="1:23" hidden="1">
      <c r="A2202" s="22" t="s">
        <v>150</v>
      </c>
      <c r="B2202" s="23" t="s">
        <v>252</v>
      </c>
      <c r="C2202" s="28" t="s">
        <v>256</v>
      </c>
      <c r="D2202" s="23"/>
      <c r="H2202" s="104">
        <v>751.83913533999998</v>
      </c>
      <c r="I2202" s="104"/>
      <c r="J2202" s="104"/>
      <c r="K2202" s="67">
        <v>58.98443382</v>
      </c>
      <c r="O2202" s="94">
        <f t="shared" si="284"/>
        <v>2.8761249282145189</v>
      </c>
      <c r="P2202" s="45"/>
      <c r="Q2202" s="45"/>
      <c r="R2202" s="48">
        <f t="shared" si="285"/>
        <v>1.7707374150653135</v>
      </c>
      <c r="U2202" s="94">
        <v>2.8761249282145189</v>
      </c>
      <c r="V2202" s="105">
        <v>1.7707374150653135</v>
      </c>
      <c r="W2202" s="49">
        <f t="shared" si="286"/>
        <v>1.3260730110957153</v>
      </c>
    </row>
    <row r="2203" spans="1:23" hidden="1">
      <c r="A2203" s="22" t="s">
        <v>150</v>
      </c>
      <c r="B2203" s="23" t="s">
        <v>252</v>
      </c>
      <c r="C2203" s="28" t="s">
        <v>256</v>
      </c>
      <c r="D2203" s="23"/>
      <c r="H2203" s="104">
        <v>876.14607660000001</v>
      </c>
      <c r="I2203" s="104"/>
      <c r="J2203" s="104"/>
      <c r="K2203" s="67">
        <v>54.604265130000002</v>
      </c>
      <c r="O2203" s="94">
        <f t="shared" si="284"/>
        <v>2.9425765205201824</v>
      </c>
      <c r="P2203" s="45"/>
      <c r="Q2203" s="45"/>
      <c r="R2203" s="48">
        <f t="shared" si="285"/>
        <v>1.7372265666988658</v>
      </c>
      <c r="U2203" s="94">
        <v>2.9425765205201824</v>
      </c>
      <c r="V2203" s="105">
        <v>1.7372265666988658</v>
      </c>
      <c r="W2203" s="49">
        <f t="shared" si="286"/>
        <v>1.3381351227477525</v>
      </c>
    </row>
    <row r="2204" spans="1:23" hidden="1">
      <c r="A2204" s="22" t="s">
        <v>150</v>
      </c>
      <c r="B2204" s="23" t="s">
        <v>252</v>
      </c>
      <c r="C2204" s="28" t="s">
        <v>256</v>
      </c>
      <c r="D2204" s="23"/>
      <c r="H2204" s="104">
        <v>819.28624574000003</v>
      </c>
      <c r="I2204" s="104"/>
      <c r="J2204" s="104"/>
      <c r="K2204" s="67">
        <v>67.630587320000004</v>
      </c>
      <c r="O2204" s="94">
        <f t="shared" si="284"/>
        <v>2.9134356639410979</v>
      </c>
      <c r="P2204" s="45"/>
      <c r="Q2204" s="45"/>
      <c r="R2204" s="48">
        <f t="shared" si="285"/>
        <v>1.8301431589576149</v>
      </c>
      <c r="U2204" s="94">
        <v>2.9134356639410979</v>
      </c>
      <c r="V2204" s="105">
        <v>1.8301431589576149</v>
      </c>
      <c r="W2204" s="49">
        <f t="shared" si="286"/>
        <v>1.2582303888026392</v>
      </c>
    </row>
    <row r="2205" spans="1:23" hidden="1">
      <c r="A2205" s="22" t="s">
        <v>150</v>
      </c>
      <c r="B2205" s="23" t="s">
        <v>252</v>
      </c>
      <c r="C2205" s="28" t="s">
        <v>256</v>
      </c>
      <c r="D2205" s="23"/>
      <c r="H2205" s="104">
        <v>728.65044740999997</v>
      </c>
      <c r="I2205" s="104"/>
      <c r="J2205" s="104"/>
      <c r="K2205" s="67">
        <v>71.276048230000001</v>
      </c>
      <c r="O2205" s="94">
        <f t="shared" si="284"/>
        <v>2.8625192359058236</v>
      </c>
      <c r="P2205" s="45"/>
      <c r="Q2205" s="45"/>
      <c r="R2205" s="48">
        <f t="shared" si="285"/>
        <v>1.8529436130338612</v>
      </c>
      <c r="U2205" s="94">
        <v>2.8625192359058236</v>
      </c>
      <c r="V2205" s="105">
        <v>1.8529436130338612</v>
      </c>
      <c r="W2205" s="49">
        <f t="shared" si="286"/>
        <v>1.2517317584000023</v>
      </c>
    </row>
    <row r="2206" spans="1:23" hidden="1">
      <c r="A2206" s="22" t="s">
        <v>150</v>
      </c>
      <c r="B2206" s="23" t="s">
        <v>252</v>
      </c>
      <c r="C2206" s="28" t="s">
        <v>256</v>
      </c>
      <c r="D2206" s="23"/>
      <c r="H2206" s="104">
        <v>759.83575099999996</v>
      </c>
      <c r="I2206" s="104"/>
      <c r="J2206" s="104"/>
      <c r="K2206" s="67">
        <v>80.657845449999996</v>
      </c>
      <c r="O2206" s="94">
        <f t="shared" si="284"/>
        <v>2.8807197236708593</v>
      </c>
      <c r="P2206" s="45"/>
      <c r="Q2206" s="45"/>
      <c r="R2206" s="48">
        <f t="shared" si="285"/>
        <v>1.9066466168574006</v>
      </c>
      <c r="U2206" s="94">
        <v>2.8807197236708593</v>
      </c>
      <c r="V2206" s="105">
        <v>1.9066466168574006</v>
      </c>
      <c r="W2206" s="49">
        <f t="shared" si="286"/>
        <v>1.1950529692351011</v>
      </c>
    </row>
    <row r="2207" spans="1:23" hidden="1">
      <c r="A2207" s="22" t="s">
        <v>150</v>
      </c>
      <c r="B2207" s="23" t="s">
        <v>252</v>
      </c>
      <c r="C2207" s="28" t="s">
        <v>256</v>
      </c>
      <c r="D2207" s="23"/>
      <c r="H2207" s="104">
        <v>658.88222197000005</v>
      </c>
      <c r="I2207" s="104"/>
      <c r="J2207" s="104"/>
      <c r="K2207" s="67">
        <v>88.642293980000005</v>
      </c>
      <c r="O2207" s="94">
        <f t="shared" si="284"/>
        <v>2.8188077895258483</v>
      </c>
      <c r="P2207" s="45"/>
      <c r="Q2207" s="45"/>
      <c r="R2207" s="48">
        <f t="shared" si="285"/>
        <v>1.9476409866664428</v>
      </c>
      <c r="U2207" s="94">
        <v>2.8188077895258483</v>
      </c>
      <c r="V2207" s="105">
        <v>1.9476409866664428</v>
      </c>
      <c r="W2207" s="49">
        <f t="shared" si="286"/>
        <v>1.1744925871842662</v>
      </c>
    </row>
    <row r="2208" spans="1:23" hidden="1">
      <c r="A2208" s="22" t="s">
        <v>150</v>
      </c>
      <c r="B2208" s="23" t="s">
        <v>252</v>
      </c>
      <c r="C2208" s="28" t="s">
        <v>256</v>
      </c>
      <c r="D2208" s="23"/>
      <c r="H2208" s="104">
        <v>718.41507884999999</v>
      </c>
      <c r="I2208" s="104"/>
      <c r="J2208" s="104"/>
      <c r="K2208" s="67">
        <v>83.562982969999993</v>
      </c>
      <c r="O2208" s="94">
        <f t="shared" si="284"/>
        <v>2.8563754391835001</v>
      </c>
      <c r="P2208" s="45"/>
      <c r="Q2208" s="45"/>
      <c r="R2208" s="48">
        <f t="shared" si="285"/>
        <v>1.9220139347104697</v>
      </c>
      <c r="U2208" s="94">
        <v>2.8563754391835001</v>
      </c>
      <c r="V2208" s="105">
        <v>1.9220139347104697</v>
      </c>
      <c r="W2208" s="49">
        <f t="shared" si="286"/>
        <v>1.1876857968084211</v>
      </c>
    </row>
    <row r="2209" spans="1:23" hidden="1">
      <c r="A2209" s="22" t="s">
        <v>150</v>
      </c>
      <c r="B2209" s="23" t="s">
        <v>252</v>
      </c>
      <c r="C2209" s="28" t="s">
        <v>256</v>
      </c>
      <c r="D2209" s="23"/>
      <c r="H2209" s="104">
        <v>684.87871035000001</v>
      </c>
      <c r="I2209" s="104"/>
      <c r="J2209" s="104"/>
      <c r="K2209" s="67">
        <v>97.303422409999996</v>
      </c>
      <c r="O2209" s="94">
        <f t="shared" si="284"/>
        <v>2.8356136662519154</v>
      </c>
      <c r="P2209" s="45"/>
      <c r="Q2209" s="45"/>
      <c r="R2209" s="48">
        <f t="shared" si="285"/>
        <v>1.9881281157836492</v>
      </c>
      <c r="U2209" s="94">
        <v>2.8356136662519154</v>
      </c>
      <c r="V2209" s="105">
        <v>1.9881281157836492</v>
      </c>
      <c r="W2209" s="49">
        <f t="shared" si="286"/>
        <v>1.1308381412153383</v>
      </c>
    </row>
    <row r="2210" spans="1:23" hidden="1">
      <c r="A2210" s="22" t="s">
        <v>150</v>
      </c>
      <c r="B2210" s="23" t="s">
        <v>252</v>
      </c>
      <c r="C2210" s="28" t="s">
        <v>256</v>
      </c>
      <c r="D2210" s="23"/>
      <c r="H2210" s="104">
        <v>723.77610584000001</v>
      </c>
      <c r="I2210" s="104"/>
      <c r="J2210" s="104"/>
      <c r="K2210" s="67">
        <v>100.90208665</v>
      </c>
      <c r="O2210" s="94">
        <f t="shared" si="284"/>
        <v>2.8596042415614504</v>
      </c>
      <c r="P2210" s="45"/>
      <c r="Q2210" s="45"/>
      <c r="R2210" s="48">
        <f t="shared" si="285"/>
        <v>2.0039001475174882</v>
      </c>
      <c r="U2210" s="94">
        <v>2.8596042415614504</v>
      </c>
      <c r="V2210" s="105">
        <v>2.0039001475174882</v>
      </c>
      <c r="W2210" s="49">
        <f t="shared" si="286"/>
        <v>1.1086074326710713</v>
      </c>
    </row>
    <row r="2211" spans="1:23" hidden="1">
      <c r="A2211" s="22" t="s">
        <v>150</v>
      </c>
      <c r="B2211" s="23" t="s">
        <v>252</v>
      </c>
      <c r="C2211" s="28" t="s">
        <v>256</v>
      </c>
      <c r="D2211" s="23"/>
      <c r="H2211" s="104">
        <v>788.55019020999998</v>
      </c>
      <c r="I2211" s="104"/>
      <c r="J2211" s="104"/>
      <c r="K2211" s="67">
        <v>101.60122896</v>
      </c>
      <c r="O2211" s="94">
        <f t="shared" si="284"/>
        <v>2.8968293408323889</v>
      </c>
      <c r="P2211" s="45"/>
      <c r="Q2211" s="45"/>
      <c r="R2211" s="48">
        <f t="shared" si="285"/>
        <v>2.0068989611695391</v>
      </c>
      <c r="U2211" s="94">
        <v>2.8968293408323889</v>
      </c>
      <c r="V2211" s="105">
        <v>2.0068989611695391</v>
      </c>
      <c r="W2211" s="49">
        <f t="shared" si="286"/>
        <v>1.0945970313592919</v>
      </c>
    </row>
    <row r="2212" spans="1:23" hidden="1">
      <c r="A2212" s="22" t="s">
        <v>150</v>
      </c>
      <c r="B2212" s="23" t="s">
        <v>252</v>
      </c>
      <c r="C2212" s="28" t="s">
        <v>256</v>
      </c>
      <c r="D2212" s="23"/>
      <c r="H2212" s="104">
        <v>749.59289497999998</v>
      </c>
      <c r="I2212" s="104"/>
      <c r="J2212" s="104"/>
      <c r="K2212" s="67">
        <v>92.222239540000004</v>
      </c>
      <c r="O2212" s="94">
        <f t="shared" si="284"/>
        <v>2.8748254614368141</v>
      </c>
      <c r="P2212" s="45"/>
      <c r="Q2212" s="45"/>
      <c r="R2212" s="48">
        <f t="shared" si="285"/>
        <v>1.9648356644899196</v>
      </c>
      <c r="U2212" s="94">
        <v>2.8748254614368141</v>
      </c>
      <c r="V2212" s="105">
        <v>1.9648356644899196</v>
      </c>
      <c r="W2212" s="49">
        <f t="shared" si="286"/>
        <v>1.1413119132363885</v>
      </c>
    </row>
    <row r="2213" spans="1:23" hidden="1">
      <c r="A2213" s="22" t="s">
        <v>150</v>
      </c>
      <c r="B2213" s="23" t="s">
        <v>252</v>
      </c>
      <c r="C2213" s="28" t="s">
        <v>256</v>
      </c>
      <c r="D2213" s="23"/>
      <c r="H2213" s="104">
        <v>866.15779448000001</v>
      </c>
      <c r="I2213" s="104"/>
      <c r="J2213" s="104"/>
      <c r="K2213" s="67">
        <v>90.735041240000001</v>
      </c>
      <c r="O2213" s="94">
        <f t="shared" si="284"/>
        <v>2.9375970179172466</v>
      </c>
      <c r="P2213" s="45"/>
      <c r="Q2213" s="45"/>
      <c r="R2213" s="48">
        <f t="shared" si="285"/>
        <v>1.9577750409543404</v>
      </c>
      <c r="U2213" s="94">
        <v>2.9375970179172466</v>
      </c>
      <c r="V2213" s="105">
        <v>1.9577750409543404</v>
      </c>
      <c r="W2213" s="49">
        <f t="shared" si="286"/>
        <v>1.1292454166807988</v>
      </c>
    </row>
    <row r="2214" spans="1:23" hidden="1">
      <c r="A2214" s="22" t="s">
        <v>150</v>
      </c>
      <c r="B2214" s="23" t="s">
        <v>252</v>
      </c>
      <c r="C2214" s="28" t="s">
        <v>256</v>
      </c>
      <c r="D2214" s="23"/>
      <c r="H2214" s="104">
        <v>845.58223282999995</v>
      </c>
      <c r="I2214" s="104"/>
      <c r="J2214" s="104"/>
      <c r="K2214" s="67">
        <v>105.19334166</v>
      </c>
      <c r="O2214" s="94">
        <f t="shared" si="284"/>
        <v>2.9271558491042957</v>
      </c>
      <c r="P2214" s="45"/>
      <c r="Q2214" s="45"/>
      <c r="R2214" s="48">
        <f t="shared" si="285"/>
        <v>2.0219882514922936</v>
      </c>
      <c r="U2214" s="94">
        <v>2.9271558491042957</v>
      </c>
      <c r="V2214" s="105">
        <v>2.0219882514922936</v>
      </c>
      <c r="W2214" s="49">
        <f t="shared" si="286"/>
        <v>1.0711198220608764</v>
      </c>
    </row>
    <row r="2215" spans="1:23" hidden="1">
      <c r="A2215" s="22" t="s">
        <v>150</v>
      </c>
      <c r="B2215" s="23" t="s">
        <v>252</v>
      </c>
      <c r="C2215" s="28" t="s">
        <v>256</v>
      </c>
      <c r="D2215" s="23"/>
      <c r="H2215" s="104">
        <v>899.76903766999999</v>
      </c>
      <c r="I2215" s="104"/>
      <c r="J2215" s="104"/>
      <c r="K2215" s="67">
        <v>84.220008280000002</v>
      </c>
      <c r="O2215" s="94">
        <f t="shared" si="284"/>
        <v>2.9541310443969802</v>
      </c>
      <c r="P2215" s="45"/>
      <c r="Q2215" s="45"/>
      <c r="R2215" s="48">
        <f t="shared" si="285"/>
        <v>1.9254152797814457</v>
      </c>
      <c r="U2215" s="94">
        <v>2.9541310443969802</v>
      </c>
      <c r="V2215" s="105">
        <v>1.9254152797814457</v>
      </c>
      <c r="W2215" s="49">
        <f t="shared" si="286"/>
        <v>1.1551610451958914</v>
      </c>
    </row>
    <row r="2216" spans="1:23" hidden="1">
      <c r="A2216" s="22" t="s">
        <v>150</v>
      </c>
      <c r="B2216" s="23" t="s">
        <v>252</v>
      </c>
      <c r="C2216" s="28" t="s">
        <v>256</v>
      </c>
      <c r="D2216" s="23"/>
      <c r="H2216" s="104">
        <v>933.38028084999996</v>
      </c>
      <c r="I2216" s="104"/>
      <c r="J2216" s="104"/>
      <c r="K2216" s="67">
        <v>77.704975320000003</v>
      </c>
      <c r="O2216" s="94">
        <f t="shared" si="284"/>
        <v>2.9700586214811113</v>
      </c>
      <c r="P2216" s="45"/>
      <c r="Q2216" s="45"/>
      <c r="R2216" s="48">
        <f t="shared" si="285"/>
        <v>1.8904488268426838</v>
      </c>
      <c r="U2216" s="94">
        <v>2.9700586214811113</v>
      </c>
      <c r="V2216" s="105">
        <v>1.8904488268426838</v>
      </c>
      <c r="W2216" s="49">
        <f t="shared" si="286"/>
        <v>1.1837448434990827</v>
      </c>
    </row>
    <row r="2217" spans="1:23" hidden="1">
      <c r="A2217" s="22" t="s">
        <v>150</v>
      </c>
      <c r="B2217" s="23" t="s">
        <v>252</v>
      </c>
      <c r="C2217" s="28" t="s">
        <v>256</v>
      </c>
      <c r="D2217" s="23"/>
      <c r="H2217" s="104">
        <v>954.10559186</v>
      </c>
      <c r="I2217" s="104"/>
      <c r="J2217" s="104"/>
      <c r="K2217" s="67">
        <v>77.697487850000002</v>
      </c>
      <c r="O2217" s="94">
        <f t="shared" si="284"/>
        <v>2.9795964411867617</v>
      </c>
      <c r="P2217" s="45"/>
      <c r="Q2217" s="45"/>
      <c r="R2217" s="48">
        <f t="shared" si="285"/>
        <v>1.8904069772240792</v>
      </c>
      <c r="U2217" s="94">
        <v>2.9795964411867617</v>
      </c>
      <c r="V2217" s="105">
        <v>1.8904069772240792</v>
      </c>
      <c r="W2217" s="49">
        <f t="shared" si="286"/>
        <v>1.1809279522180622</v>
      </c>
    </row>
    <row r="2218" spans="1:23" hidden="1">
      <c r="A2218" s="22" t="s">
        <v>150</v>
      </c>
      <c r="B2218" s="23" t="s">
        <v>252</v>
      </c>
      <c r="C2218" s="28" t="s">
        <v>256</v>
      </c>
      <c r="D2218" s="23"/>
      <c r="H2218" s="104">
        <v>985.27592052</v>
      </c>
      <c r="I2218" s="104"/>
      <c r="J2218" s="104"/>
      <c r="K2218" s="67">
        <v>85.634203769999999</v>
      </c>
      <c r="O2218" s="94">
        <f t="shared" si="284"/>
        <v>2.9935578690547451</v>
      </c>
      <c r="P2218" s="45"/>
      <c r="Q2218" s="45"/>
      <c r="R2218" s="48">
        <f t="shared" si="285"/>
        <v>1.9326472639949508</v>
      </c>
      <c r="U2218" s="94">
        <v>2.9935578690547451</v>
      </c>
      <c r="V2218" s="105">
        <v>1.9326472639949508</v>
      </c>
      <c r="W2218" s="49">
        <f t="shared" si="286"/>
        <v>1.1364531515697414</v>
      </c>
    </row>
    <row r="2219" spans="1:23" hidden="1">
      <c r="A2219" s="22" t="s">
        <v>150</v>
      </c>
      <c r="B2219" s="23" t="s">
        <v>252</v>
      </c>
      <c r="C2219" s="28" t="s">
        <v>256</v>
      </c>
      <c r="D2219" s="23"/>
      <c r="H2219" s="104">
        <v>1039.6573995199999</v>
      </c>
      <c r="I2219" s="104"/>
      <c r="J2219" s="104"/>
      <c r="K2219" s="67">
        <v>83.446927220000006</v>
      </c>
      <c r="O2219" s="94">
        <f t="shared" si="284"/>
        <v>3.0168902489038509</v>
      </c>
      <c r="P2219" s="45"/>
      <c r="Q2219" s="45"/>
      <c r="R2219" s="48">
        <f t="shared" si="285"/>
        <v>1.921410349212175</v>
      </c>
      <c r="U2219" s="94">
        <v>3.0168902489038509</v>
      </c>
      <c r="V2219" s="105">
        <v>1.921410349212175</v>
      </c>
      <c r="W2219" s="49">
        <f t="shared" si="286"/>
        <v>1.1401834228396801</v>
      </c>
    </row>
    <row r="2220" spans="1:23" hidden="1">
      <c r="A2220" s="22" t="s">
        <v>150</v>
      </c>
      <c r="B2220" s="23" t="s">
        <v>252</v>
      </c>
      <c r="C2220" s="28" t="s">
        <v>256</v>
      </c>
      <c r="D2220" s="23"/>
      <c r="H2220" s="104">
        <v>1075.8593065800001</v>
      </c>
      <c r="I2220" s="104"/>
      <c r="J2220" s="104"/>
      <c r="K2220" s="67">
        <v>76.930958329999996</v>
      </c>
      <c r="O2220" s="94">
        <f t="shared" si="284"/>
        <v>3.0317554810227083</v>
      </c>
      <c r="P2220" s="45"/>
      <c r="Q2220" s="45"/>
      <c r="R2220" s="48">
        <f t="shared" si="285"/>
        <v>1.8861011424837444</v>
      </c>
      <c r="U2220" s="94">
        <v>3.0317554810227083</v>
      </c>
      <c r="V2220" s="105">
        <v>1.8861011424837444</v>
      </c>
      <c r="W2220" s="49">
        <f t="shared" si="286"/>
        <v>1.1694123724336218</v>
      </c>
    </row>
    <row r="2221" spans="1:23" hidden="1">
      <c r="A2221" s="22" t="s">
        <v>150</v>
      </c>
      <c r="B2221" s="23" t="s">
        <v>252</v>
      </c>
      <c r="C2221" s="28" t="s">
        <v>256</v>
      </c>
      <c r="D2221" s="23"/>
      <c r="H2221" s="104">
        <v>1080.98822206</v>
      </c>
      <c r="I2221" s="104"/>
      <c r="J2221" s="104"/>
      <c r="K2221" s="67">
        <v>71.871301930000001</v>
      </c>
      <c r="O2221" s="94">
        <f t="shared" si="284"/>
        <v>3.0338209621103722</v>
      </c>
      <c r="P2221" s="45"/>
      <c r="Q2221" s="45"/>
      <c r="R2221" s="48">
        <f t="shared" si="285"/>
        <v>1.856555512059942</v>
      </c>
      <c r="U2221" s="94">
        <v>3.0338209621103722</v>
      </c>
      <c r="V2221" s="105">
        <v>1.856555512059942</v>
      </c>
      <c r="W2221" s="49">
        <f t="shared" si="286"/>
        <v>1.1969772868982971</v>
      </c>
    </row>
    <row r="2222" spans="1:23" hidden="1">
      <c r="A2222" s="22" t="s">
        <v>150</v>
      </c>
      <c r="B2222" s="23" t="s">
        <v>252</v>
      </c>
      <c r="C2222" s="28" t="s">
        <v>256</v>
      </c>
      <c r="D2222" s="23"/>
      <c r="H2222" s="104">
        <v>1119.5262190799999</v>
      </c>
      <c r="I2222" s="104"/>
      <c r="J2222" s="104"/>
      <c r="K2222" s="67">
        <v>40.788015080000001</v>
      </c>
      <c r="O2222" s="94">
        <f t="shared" si="284"/>
        <v>3.0490342691240042</v>
      </c>
      <c r="P2222" s="45"/>
      <c r="Q2222" s="45"/>
      <c r="R2222" s="48">
        <f t="shared" si="285"/>
        <v>1.6105325711965268</v>
      </c>
      <c r="U2222" s="94">
        <v>3.0490342691240042</v>
      </c>
      <c r="V2222" s="105">
        <v>1.6105325711965268</v>
      </c>
      <c r="W2222" s="49">
        <f t="shared" si="286"/>
        <v>1.4271018104899733</v>
      </c>
    </row>
    <row r="2223" spans="1:23" hidden="1">
      <c r="A2223" s="22" t="s">
        <v>150</v>
      </c>
      <c r="B2223" s="23" t="s">
        <v>252</v>
      </c>
      <c r="C2223" s="28" t="s">
        <v>256</v>
      </c>
      <c r="D2223" s="23"/>
      <c r="H2223" s="104">
        <v>1029.4370059</v>
      </c>
      <c r="I2223" s="104"/>
      <c r="J2223" s="104"/>
      <c r="K2223" s="67">
        <v>97.178943259999997</v>
      </c>
      <c r="O2223" s="94">
        <f t="shared" si="284"/>
        <v>3.0125997760856085</v>
      </c>
      <c r="P2223" s="45"/>
      <c r="Q2223" s="45"/>
      <c r="R2223" s="48">
        <f t="shared" si="285"/>
        <v>1.9875721721621997</v>
      </c>
      <c r="U2223" s="94">
        <v>3.0125997760856085</v>
      </c>
      <c r="V2223" s="105">
        <v>1.9875721721621997</v>
      </c>
      <c r="W2223" s="49">
        <f t="shared" si="286"/>
        <v>1.0783567620823462</v>
      </c>
    </row>
    <row r="2224" spans="1:23" hidden="1">
      <c r="A2224" s="22" t="s">
        <v>150</v>
      </c>
      <c r="B2224" s="23" t="s">
        <v>252</v>
      </c>
      <c r="C2224" s="28" t="s">
        <v>256</v>
      </c>
      <c r="D2224" s="23"/>
      <c r="H2224" s="104">
        <v>1013.95292239</v>
      </c>
      <c r="I2224" s="104"/>
      <c r="J2224" s="104"/>
      <c r="K2224" s="67">
        <v>102.96488404</v>
      </c>
      <c r="O2224" s="94">
        <f t="shared" si="284"/>
        <v>3.0060177912686408</v>
      </c>
      <c r="P2224" s="45"/>
      <c r="Q2224" s="45"/>
      <c r="R2224" s="48">
        <f t="shared" si="285"/>
        <v>2.0126891347249449</v>
      </c>
      <c r="U2224" s="94">
        <v>3.0060177912686408</v>
      </c>
      <c r="V2224" s="105">
        <v>2.0126891347249449</v>
      </c>
      <c r="W2224" s="49">
        <f t="shared" si="286"/>
        <v>1.0563691578632517</v>
      </c>
    </row>
    <row r="2225" spans="1:23" hidden="1">
      <c r="A2225" s="22" t="s">
        <v>150</v>
      </c>
      <c r="B2225" s="23" t="s">
        <v>252</v>
      </c>
      <c r="C2225" s="28" t="s">
        <v>256</v>
      </c>
      <c r="D2225" s="23"/>
      <c r="H2225" s="104">
        <v>1057.99420829</v>
      </c>
      <c r="I2225" s="104"/>
      <c r="J2225" s="104"/>
      <c r="K2225" s="67">
        <v>102.94897317</v>
      </c>
      <c r="O2225" s="94">
        <f t="shared" si="284"/>
        <v>3.0244832902751799</v>
      </c>
      <c r="P2225" s="45"/>
      <c r="Q2225" s="45"/>
      <c r="R2225" s="48">
        <f t="shared" si="285"/>
        <v>2.0126220192510216</v>
      </c>
      <c r="U2225" s="94">
        <v>3.0244832902751799</v>
      </c>
      <c r="V2225" s="105">
        <v>2.0126220192510216</v>
      </c>
      <c r="W2225" s="49">
        <f t="shared" si="286"/>
        <v>1.0509023081100934</v>
      </c>
    </row>
    <row r="2226" spans="1:23" hidden="1">
      <c r="A2226" s="22" t="s">
        <v>150</v>
      </c>
      <c r="B2226" s="23" t="s">
        <v>252</v>
      </c>
      <c r="C2226" s="28" t="s">
        <v>256</v>
      </c>
      <c r="D2226" s="23"/>
      <c r="H2226" s="104">
        <v>1096.92155364</v>
      </c>
      <c r="I2226" s="104"/>
      <c r="J2226" s="104"/>
      <c r="K2226" s="67">
        <v>109.4378</v>
      </c>
      <c r="O2226" s="94">
        <f t="shared" si="284"/>
        <v>3.0401755701093869</v>
      </c>
      <c r="P2226" s="45"/>
      <c r="Q2226" s="45"/>
      <c r="R2226" s="48">
        <f t="shared" si="285"/>
        <v>2.0391673539533102</v>
      </c>
      <c r="U2226" s="94">
        <v>3.0401755701093869</v>
      </c>
      <c r="V2226" s="105">
        <v>2.0391673539533102</v>
      </c>
      <c r="W2226" s="49">
        <f t="shared" si="286"/>
        <v>1.0208804894971513</v>
      </c>
    </row>
    <row r="2227" spans="1:23" hidden="1">
      <c r="A2227" s="22" t="s">
        <v>150</v>
      </c>
      <c r="B2227" s="23" t="s">
        <v>252</v>
      </c>
      <c r="C2227" s="28" t="s">
        <v>256</v>
      </c>
      <c r="D2227" s="23"/>
      <c r="H2227" s="104">
        <v>1060.6672343099999</v>
      </c>
      <c r="I2227" s="104"/>
      <c r="J2227" s="104"/>
      <c r="K2227" s="67">
        <v>110.89598436</v>
      </c>
      <c r="O2227" s="94">
        <f t="shared" si="284"/>
        <v>3.0255791530148173</v>
      </c>
      <c r="P2227" s="45"/>
      <c r="Q2227" s="45"/>
      <c r="R2227" s="48">
        <f t="shared" si="285"/>
        <v>2.0449158202531432</v>
      </c>
      <c r="U2227" s="94">
        <v>3.0255791530148173</v>
      </c>
      <c r="V2227" s="105">
        <v>2.0449158202531432</v>
      </c>
      <c r="W2227" s="49">
        <f t="shared" si="286"/>
        <v>1.0197690134854247</v>
      </c>
    </row>
    <row r="2228" spans="1:23" hidden="1">
      <c r="A2228" s="22" t="s">
        <v>150</v>
      </c>
      <c r="B2228" s="23" t="s">
        <v>252</v>
      </c>
      <c r="C2228" s="28" t="s">
        <v>256</v>
      </c>
      <c r="D2228" s="23"/>
      <c r="H2228" s="104">
        <v>1110.06205972</v>
      </c>
      <c r="I2228" s="104"/>
      <c r="J2228" s="104"/>
      <c r="K2228" s="67">
        <v>127.49663652</v>
      </c>
      <c r="O2228" s="94">
        <f t="shared" si="284"/>
        <v>3.0453472593637101</v>
      </c>
      <c r="P2228" s="45"/>
      <c r="Q2228" s="45"/>
      <c r="R2228" s="48">
        <f t="shared" si="285"/>
        <v>2.1054987278282353</v>
      </c>
      <c r="U2228" s="94">
        <v>3.0453472593637101</v>
      </c>
      <c r="V2228" s="105">
        <v>2.1054987278282353</v>
      </c>
      <c r="W2228" s="49">
        <f t="shared" si="286"/>
        <v>0.95605794380263487</v>
      </c>
    </row>
    <row r="2229" spans="1:23" hidden="1">
      <c r="A2229" s="22" t="s">
        <v>150</v>
      </c>
      <c r="B2229" s="23" t="s">
        <v>252</v>
      </c>
      <c r="C2229" s="28" t="s">
        <v>256</v>
      </c>
      <c r="D2229" s="23"/>
      <c r="H2229" s="104">
        <v>1066.0207738199999</v>
      </c>
      <c r="I2229" s="104"/>
      <c r="J2229" s="104"/>
      <c r="K2229" s="67">
        <v>127.51254738999999</v>
      </c>
      <c r="O2229" s="94">
        <f t="shared" si="284"/>
        <v>3.0277656679808786</v>
      </c>
      <c r="P2229" s="45"/>
      <c r="Q2229" s="45"/>
      <c r="R2229" s="48">
        <f t="shared" si="285"/>
        <v>2.1055529219787856</v>
      </c>
      <c r="U2229" s="94">
        <v>3.0277656679808786</v>
      </c>
      <c r="V2229" s="105">
        <v>2.1055529219787856</v>
      </c>
      <c r="W2229" s="49">
        <f t="shared" si="286"/>
        <v>0.96127236712873088</v>
      </c>
    </row>
    <row r="2230" spans="1:23" hidden="1">
      <c r="A2230" s="22" t="s">
        <v>150</v>
      </c>
      <c r="B2230" s="23" t="s">
        <v>252</v>
      </c>
      <c r="C2230" s="28" t="s">
        <v>256</v>
      </c>
      <c r="D2230" s="23"/>
      <c r="H2230" s="104">
        <v>1050.54417777</v>
      </c>
      <c r="I2230" s="104"/>
      <c r="J2230" s="104"/>
      <c r="K2230" s="67">
        <v>134.02102882</v>
      </c>
      <c r="O2230" s="94">
        <f t="shared" si="284"/>
        <v>3.0214143201958668</v>
      </c>
      <c r="P2230" s="45"/>
      <c r="Q2230" s="45"/>
      <c r="R2230" s="48">
        <f t="shared" si="285"/>
        <v>2.1271729474988206</v>
      </c>
      <c r="U2230" s="94">
        <v>3.0214143201958668</v>
      </c>
      <c r="V2230" s="105">
        <v>2.1271729474988206</v>
      </c>
      <c r="W2230" s="49">
        <f t="shared" si="286"/>
        <v>0.94255140968993611</v>
      </c>
    </row>
    <row r="2231" spans="1:23" hidden="1">
      <c r="A2231" s="22" t="s">
        <v>150</v>
      </c>
      <c r="B2231" s="23" t="s">
        <v>252</v>
      </c>
      <c r="C2231" s="28" t="s">
        <v>256</v>
      </c>
      <c r="D2231" s="23"/>
      <c r="H2231" s="104">
        <v>1097.0263781900001</v>
      </c>
      <c r="I2231" s="104"/>
      <c r="J2231" s="104"/>
      <c r="K2231" s="67">
        <v>119.55336907</v>
      </c>
      <c r="O2231" s="94">
        <f t="shared" ref="O2231:O2294" si="287">LOG10(H2231)</f>
        <v>3.0402170703865878</v>
      </c>
      <c r="P2231" s="45"/>
      <c r="Q2231" s="45"/>
      <c r="R2231" s="48">
        <f t="shared" ref="R2231:R2294" si="288">LOG10(K2231)</f>
        <v>2.0775618192463865</v>
      </c>
      <c r="U2231" s="94">
        <v>3.0402170703865878</v>
      </c>
      <c r="V2231" s="105">
        <v>2.0775618192463865</v>
      </c>
      <c r="W2231" s="49">
        <f t="shared" si="286"/>
        <v>0.98424357870015733</v>
      </c>
    </row>
    <row r="2232" spans="1:23" hidden="1">
      <c r="A2232" s="22" t="s">
        <v>150</v>
      </c>
      <c r="B2232" s="23" t="s">
        <v>252</v>
      </c>
      <c r="C2232" s="28" t="s">
        <v>256</v>
      </c>
      <c r="D2232" s="23"/>
      <c r="H2232" s="104">
        <v>811.97847711999998</v>
      </c>
      <c r="I2232" s="104"/>
      <c r="J2232" s="104"/>
      <c r="K2232" s="67">
        <v>112.43091527</v>
      </c>
      <c r="O2232" s="94">
        <f t="shared" si="287"/>
        <v>2.9095445176747958</v>
      </c>
      <c r="P2232" s="45"/>
      <c r="Q2232" s="45"/>
      <c r="R2232" s="48">
        <f t="shared" si="288"/>
        <v>2.0508857461536008</v>
      </c>
      <c r="U2232" s="94">
        <v>2.9095445176747958</v>
      </c>
      <c r="V2232" s="105">
        <v>2.0508857461536008</v>
      </c>
      <c r="W2232" s="49">
        <f t="shared" si="286"/>
        <v>1.0488295289053444</v>
      </c>
    </row>
    <row r="2233" spans="1:23" hidden="1">
      <c r="A2233" s="22" t="s">
        <v>150</v>
      </c>
      <c r="B2233" s="23" t="s">
        <v>252</v>
      </c>
      <c r="C2233" s="28" t="s">
        <v>256</v>
      </c>
      <c r="D2233" s="23"/>
      <c r="H2233" s="104">
        <v>861.27596544999994</v>
      </c>
      <c r="I2233" s="104"/>
      <c r="J2233" s="104"/>
      <c r="K2233" s="67">
        <v>119.63853901</v>
      </c>
      <c r="O2233" s="94">
        <f t="shared" si="287"/>
        <v>2.9351423280729203</v>
      </c>
      <c r="P2233" s="45"/>
      <c r="Q2233" s="45"/>
      <c r="R2233" s="48">
        <f t="shared" si="288"/>
        <v>2.077871100917545</v>
      </c>
      <c r="U2233" s="94">
        <v>2.9351423280729203</v>
      </c>
      <c r="V2233" s="105">
        <v>2.077871100917545</v>
      </c>
      <c r="W2233" s="49">
        <f t="shared" si="286"/>
        <v>1.0154210250756437</v>
      </c>
    </row>
    <row r="2234" spans="1:23" hidden="1">
      <c r="A2234" s="22" t="s">
        <v>150</v>
      </c>
      <c r="B2234" s="23" t="s">
        <v>252</v>
      </c>
      <c r="C2234" s="28" t="s">
        <v>256</v>
      </c>
      <c r="D2234" s="23"/>
      <c r="H2234" s="104">
        <v>889.69090593999999</v>
      </c>
      <c r="I2234" s="104"/>
      <c r="J2234" s="104"/>
      <c r="K2234" s="67">
        <v>111.68029661999999</v>
      </c>
      <c r="O2234" s="94">
        <f t="shared" si="287"/>
        <v>2.9492391514087042</v>
      </c>
      <c r="P2234" s="45"/>
      <c r="Q2234" s="45"/>
      <c r="R2234" s="48">
        <f t="shared" si="288"/>
        <v>2.0479765587556096</v>
      </c>
      <c r="U2234" s="94">
        <v>2.9492391514087042</v>
      </c>
      <c r="V2234" s="105">
        <v>2.0479765587556096</v>
      </c>
      <c r="W2234" s="49">
        <f t="shared" si="286"/>
        <v>1.0397150834729925</v>
      </c>
    </row>
    <row r="2235" spans="1:23" hidden="1">
      <c r="A2235" s="22" t="s">
        <v>150</v>
      </c>
      <c r="B2235" s="23" t="s">
        <v>252</v>
      </c>
      <c r="C2235" s="28" t="s">
        <v>256</v>
      </c>
      <c r="D2235" s="23"/>
      <c r="H2235" s="104">
        <v>793.94116706</v>
      </c>
      <c r="I2235" s="104"/>
      <c r="J2235" s="104"/>
      <c r="K2235" s="67">
        <v>121.83049523</v>
      </c>
      <c r="O2235" s="94">
        <f t="shared" si="287"/>
        <v>2.899788321359261</v>
      </c>
      <c r="P2235" s="45"/>
      <c r="Q2235" s="45"/>
      <c r="R2235" s="48">
        <f t="shared" si="288"/>
        <v>2.0857560095812757</v>
      </c>
      <c r="U2235" s="94">
        <v>2.899788321359261</v>
      </c>
      <c r="V2235" s="105">
        <v>2.0857560095812757</v>
      </c>
      <c r="W2235" s="49">
        <f t="shared" si="286"/>
        <v>1.0184890054206168</v>
      </c>
    </row>
    <row r="2236" spans="1:23" hidden="1">
      <c r="A2236" s="22" t="s">
        <v>150</v>
      </c>
      <c r="B2236" s="23" t="s">
        <v>252</v>
      </c>
      <c r="C2236" s="28" t="s">
        <v>256</v>
      </c>
      <c r="D2236" s="23"/>
      <c r="H2236" s="104">
        <v>778.44959607999999</v>
      </c>
      <c r="I2236" s="104"/>
      <c r="J2236" s="104"/>
      <c r="K2236" s="67">
        <v>126.89389536</v>
      </c>
      <c r="O2236" s="94">
        <f t="shared" si="287"/>
        <v>2.8912304976324745</v>
      </c>
      <c r="P2236" s="45"/>
      <c r="Q2236" s="45"/>
      <c r="R2236" s="48">
        <f t="shared" si="288"/>
        <v>2.1034407294608393</v>
      </c>
      <c r="U2236" s="94">
        <v>2.8912304976324745</v>
      </c>
      <c r="V2236" s="105">
        <v>2.1034407294608393</v>
      </c>
      <c r="W2236" s="49">
        <f t="shared" si="286"/>
        <v>1.0041828298561375</v>
      </c>
    </row>
    <row r="2237" spans="1:23" hidden="1">
      <c r="A2237" s="22" t="s">
        <v>150</v>
      </c>
      <c r="B2237" s="23" t="s">
        <v>252</v>
      </c>
      <c r="C2237" s="28" t="s">
        <v>256</v>
      </c>
      <c r="D2237" s="23"/>
      <c r="H2237" s="104">
        <v>750.00470571999995</v>
      </c>
      <c r="I2237" s="104"/>
      <c r="J2237" s="104"/>
      <c r="K2237" s="67">
        <v>131.96197516000001</v>
      </c>
      <c r="O2237" s="94">
        <f t="shared" si="287"/>
        <v>2.8750639882741242</v>
      </c>
      <c r="P2237" s="45"/>
      <c r="Q2237" s="45"/>
      <c r="R2237" s="48">
        <f t="shared" si="288"/>
        <v>2.1204488072875924</v>
      </c>
      <c r="U2237" s="94">
        <v>2.8750639882741242</v>
      </c>
      <c r="V2237" s="105">
        <v>2.1204488072875924</v>
      </c>
      <c r="W2237" s="49">
        <f t="shared" si="286"/>
        <v>0.9928010916661536</v>
      </c>
    </row>
    <row r="2238" spans="1:23" hidden="1">
      <c r="A2238" s="22" t="s">
        <v>150</v>
      </c>
      <c r="B2238" s="23" t="s">
        <v>252</v>
      </c>
      <c r="C2238" s="28" t="s">
        <v>256</v>
      </c>
      <c r="D2238" s="23"/>
      <c r="H2238" s="104">
        <v>711.06238542000006</v>
      </c>
      <c r="I2238" s="104"/>
      <c r="J2238" s="104"/>
      <c r="K2238" s="67">
        <v>124.02806704</v>
      </c>
      <c r="O2238" s="94">
        <f t="shared" si="287"/>
        <v>2.8519077054485922</v>
      </c>
      <c r="P2238" s="45"/>
      <c r="Q2238" s="45"/>
      <c r="R2238" s="48">
        <f t="shared" si="288"/>
        <v>2.0935199753339311</v>
      </c>
      <c r="U2238" s="94">
        <v>2.8519077054485922</v>
      </c>
      <c r="V2238" s="105">
        <v>2.0935199753339311</v>
      </c>
      <c r="W2238" s="49">
        <f t="shared" si="286"/>
        <v>1.0254243808175558</v>
      </c>
    </row>
    <row r="2239" spans="1:23" hidden="1">
      <c r="A2239" s="22" t="s">
        <v>150</v>
      </c>
      <c r="B2239" s="23" t="s">
        <v>252</v>
      </c>
      <c r="C2239" s="28" t="s">
        <v>256</v>
      </c>
      <c r="D2239" s="23"/>
      <c r="H2239" s="104">
        <v>830.34523575000003</v>
      </c>
      <c r="I2239" s="104"/>
      <c r="J2239" s="104"/>
      <c r="K2239" s="67">
        <v>134.82312381</v>
      </c>
      <c r="O2239" s="94">
        <f t="shared" si="287"/>
        <v>2.9192586981683069</v>
      </c>
      <c r="P2239" s="45"/>
      <c r="Q2239" s="45"/>
      <c r="R2239" s="48">
        <f t="shared" si="288"/>
        <v>2.1297643853879138</v>
      </c>
      <c r="U2239" s="94">
        <v>2.9192586981683069</v>
      </c>
      <c r="V2239" s="105">
        <v>2.1297643853879138</v>
      </c>
      <c r="W2239" s="49">
        <f t="shared" ref="W2239:W2302" si="289">0.9539*(4.064-0.314*U2239-V2239)</f>
        <v>0.97067755891308616</v>
      </c>
    </row>
    <row r="2240" spans="1:23" hidden="1">
      <c r="A2240" s="22" t="s">
        <v>150</v>
      </c>
      <c r="B2240" s="23" t="s">
        <v>252</v>
      </c>
      <c r="C2240" s="28" t="s">
        <v>256</v>
      </c>
      <c r="D2240" s="23"/>
      <c r="H2240" s="104">
        <v>856.21443718</v>
      </c>
      <c r="I2240" s="104"/>
      <c r="J2240" s="104"/>
      <c r="K2240" s="67">
        <v>131.20106124</v>
      </c>
      <c r="O2240" s="94">
        <f t="shared" si="287"/>
        <v>2.9325825464774389</v>
      </c>
      <c r="P2240" s="45"/>
      <c r="Q2240" s="45"/>
      <c r="R2240" s="48">
        <f t="shared" si="288"/>
        <v>2.1179373479116839</v>
      </c>
      <c r="U2240" s="94">
        <v>2.9325825464774389</v>
      </c>
      <c r="V2240" s="105">
        <v>2.1179373479116839</v>
      </c>
      <c r="W2240" s="49">
        <f t="shared" si="289"/>
        <v>0.97796854962640856</v>
      </c>
    </row>
    <row r="2241" spans="1:23" hidden="1">
      <c r="A2241" s="22" t="s">
        <v>150</v>
      </c>
      <c r="B2241" s="23" t="s">
        <v>252</v>
      </c>
      <c r="C2241" s="28" t="s">
        <v>256</v>
      </c>
      <c r="D2241" s="23"/>
      <c r="H2241" s="104">
        <v>939.16809350000005</v>
      </c>
      <c r="I2241" s="104"/>
      <c r="J2241" s="104"/>
      <c r="K2241" s="67">
        <v>136.2288959</v>
      </c>
      <c r="O2241" s="94">
        <f t="shared" si="287"/>
        <v>2.9727433298018955</v>
      </c>
      <c r="P2241" s="45"/>
      <c r="Q2241" s="45"/>
      <c r="R2241" s="48">
        <f t="shared" si="288"/>
        <v>2.1342692367903378</v>
      </c>
      <c r="U2241" s="94">
        <v>2.9727433298018955</v>
      </c>
      <c r="V2241" s="105">
        <v>2.1342692367903378</v>
      </c>
      <c r="W2241" s="49">
        <f t="shared" si="289"/>
        <v>0.9503604182641161</v>
      </c>
    </row>
    <row r="2242" spans="1:23" hidden="1">
      <c r="A2242" s="22" t="s">
        <v>150</v>
      </c>
      <c r="B2242" s="23" t="s">
        <v>252</v>
      </c>
      <c r="C2242" s="28" t="s">
        <v>256</v>
      </c>
      <c r="D2242" s="23"/>
      <c r="H2242" s="104">
        <v>936.54747974999998</v>
      </c>
      <c r="I2242" s="104"/>
      <c r="J2242" s="104"/>
      <c r="K2242" s="67">
        <v>133.33966924999999</v>
      </c>
      <c r="O2242" s="94">
        <f t="shared" si="287"/>
        <v>2.971529799512358</v>
      </c>
      <c r="P2242" s="45"/>
      <c r="Q2242" s="45"/>
      <c r="R2242" s="48">
        <f t="shared" si="288"/>
        <v>2.1249593735203232</v>
      </c>
      <c r="U2242" s="94">
        <v>2.971529799512358</v>
      </c>
      <c r="V2242" s="105">
        <v>2.1249593735203232</v>
      </c>
      <c r="W2242" s="49">
        <f t="shared" si="289"/>
        <v>0.95960457901194463</v>
      </c>
    </row>
    <row r="2243" spans="1:23" hidden="1">
      <c r="A2243" s="22" t="s">
        <v>150</v>
      </c>
      <c r="B2243" s="23" t="s">
        <v>252</v>
      </c>
      <c r="C2243" s="28" t="s">
        <v>256</v>
      </c>
      <c r="D2243" s="23"/>
      <c r="H2243" s="104">
        <v>926.05753729000003</v>
      </c>
      <c r="I2243" s="104"/>
      <c r="J2243" s="104"/>
      <c r="K2243" s="67">
        <v>121.06022197</v>
      </c>
      <c r="O2243" s="94">
        <f t="shared" si="287"/>
        <v>2.966637970862561</v>
      </c>
      <c r="P2243" s="45"/>
      <c r="Q2243" s="45"/>
      <c r="R2243" s="48">
        <f t="shared" si="288"/>
        <v>2.0830014658780183</v>
      </c>
      <c r="U2243" s="94">
        <v>2.966637970862561</v>
      </c>
      <c r="V2243" s="105">
        <v>2.0830014658780183</v>
      </c>
      <c r="W2243" s="49">
        <f t="shared" si="289"/>
        <v>1.0010934501315381</v>
      </c>
    </row>
    <row r="2244" spans="1:23" hidden="1">
      <c r="A2244" s="22" t="s">
        <v>150</v>
      </c>
      <c r="B2244" s="23" t="s">
        <v>252</v>
      </c>
      <c r="C2244" s="28" t="s">
        <v>256</v>
      </c>
      <c r="D2244" s="23"/>
      <c r="H2244" s="104">
        <v>954.57730232999995</v>
      </c>
      <c r="I2244" s="104"/>
      <c r="J2244" s="104"/>
      <c r="K2244" s="67">
        <v>123.21754865</v>
      </c>
      <c r="O2244" s="94">
        <f t="shared" si="287"/>
        <v>2.9798111036212305</v>
      </c>
      <c r="P2244" s="45"/>
      <c r="Q2244" s="45"/>
      <c r="R2244" s="48">
        <f t="shared" si="288"/>
        <v>2.0906725644771273</v>
      </c>
      <c r="U2244" s="94">
        <v>2.9798111036212305</v>
      </c>
      <c r="V2244" s="105">
        <v>2.0906725644771273</v>
      </c>
      <c r="W2244" s="49">
        <f t="shared" si="289"/>
        <v>0.98983031185756076</v>
      </c>
    </row>
    <row r="2245" spans="1:23" hidden="1">
      <c r="A2245" s="22" t="s">
        <v>150</v>
      </c>
      <c r="B2245" s="23" t="s">
        <v>252</v>
      </c>
      <c r="C2245" s="28" t="s">
        <v>256</v>
      </c>
      <c r="D2245" s="23"/>
      <c r="H2245" s="104">
        <v>584.24714243999995</v>
      </c>
      <c r="I2245" s="104"/>
      <c r="J2245" s="104"/>
      <c r="K2245" s="67">
        <v>136.35711878999999</v>
      </c>
      <c r="O2245" s="94">
        <f t="shared" si="287"/>
        <v>2.7665965969297766</v>
      </c>
      <c r="P2245" s="45"/>
      <c r="Q2245" s="45"/>
      <c r="R2245" s="48">
        <f t="shared" si="288"/>
        <v>2.1346778160621045</v>
      </c>
      <c r="U2245" s="94">
        <v>2.7665965969297766</v>
      </c>
      <c r="V2245" s="105">
        <v>2.1346778160621045</v>
      </c>
      <c r="W2245" s="49">
        <f t="shared" si="289"/>
        <v>1.0117166922016059</v>
      </c>
    </row>
    <row r="2246" spans="1:23" hidden="1">
      <c r="A2246" s="22" t="s">
        <v>150</v>
      </c>
      <c r="B2246" s="23" t="s">
        <v>252</v>
      </c>
      <c r="C2246" s="28" t="s">
        <v>256</v>
      </c>
      <c r="D2246" s="23"/>
      <c r="H2246" s="104">
        <v>561.10337931000004</v>
      </c>
      <c r="I2246" s="104"/>
      <c r="J2246" s="104"/>
      <c r="K2246" s="67">
        <v>152.98397709</v>
      </c>
      <c r="O2246" s="94">
        <f t="shared" si="287"/>
        <v>2.7490428843000823</v>
      </c>
      <c r="P2246" s="45"/>
      <c r="Q2246" s="45"/>
      <c r="R2246" s="48">
        <f t="shared" si="288"/>
        <v>2.1846459469888728</v>
      </c>
      <c r="U2246" s="94">
        <v>2.7490428843000823</v>
      </c>
      <c r="V2246" s="105">
        <v>2.1846459469888728</v>
      </c>
      <c r="W2246" s="49">
        <f t="shared" si="289"/>
        <v>0.96930986086448589</v>
      </c>
    </row>
    <row r="2247" spans="1:23" hidden="1">
      <c r="A2247" s="22" t="s">
        <v>150</v>
      </c>
      <c r="B2247" s="23" t="s">
        <v>252</v>
      </c>
      <c r="C2247" s="28" t="s">
        <v>256</v>
      </c>
      <c r="D2247" s="23"/>
      <c r="H2247" s="104">
        <v>587.17474236999999</v>
      </c>
      <c r="I2247" s="104"/>
      <c r="J2247" s="104"/>
      <c r="K2247" s="67">
        <v>168.87051199999999</v>
      </c>
      <c r="O2247" s="94">
        <f t="shared" si="287"/>
        <v>2.7687673659045133</v>
      </c>
      <c r="P2247" s="45"/>
      <c r="Q2247" s="45"/>
      <c r="R2247" s="48">
        <f t="shared" si="288"/>
        <v>2.2275538201231444</v>
      </c>
      <c r="U2247" s="94">
        <v>2.7687673659045133</v>
      </c>
      <c r="V2247" s="105">
        <v>2.2275538201231444</v>
      </c>
      <c r="W2247" s="49">
        <f t="shared" si="289"/>
        <v>0.92247207321892932</v>
      </c>
    </row>
    <row r="2248" spans="1:23" hidden="1">
      <c r="A2248" s="22" t="s">
        <v>150</v>
      </c>
      <c r="B2248" s="23" t="s">
        <v>252</v>
      </c>
      <c r="C2248" s="28" t="s">
        <v>256</v>
      </c>
      <c r="D2248" s="23"/>
      <c r="H2248" s="104">
        <v>537.73499215000004</v>
      </c>
      <c r="I2248" s="104"/>
      <c r="J2248" s="104"/>
      <c r="K2248" s="67">
        <v>147.93461594999999</v>
      </c>
      <c r="O2248" s="94">
        <f t="shared" si="287"/>
        <v>2.7305682983391031</v>
      </c>
      <c r="P2248" s="45"/>
      <c r="Q2248" s="45"/>
      <c r="R2248" s="48">
        <f t="shared" si="288"/>
        <v>2.1700698085949339</v>
      </c>
      <c r="U2248" s="94">
        <v>2.7305682983391031</v>
      </c>
      <c r="V2248" s="105">
        <v>2.1700698085949339</v>
      </c>
      <c r="W2248" s="49">
        <f t="shared" si="289"/>
        <v>0.98874763224859197</v>
      </c>
    </row>
    <row r="2249" spans="1:23" hidden="1">
      <c r="A2249" s="22" t="s">
        <v>150</v>
      </c>
      <c r="B2249" s="23" t="s">
        <v>252</v>
      </c>
      <c r="C2249" s="28" t="s">
        <v>256</v>
      </c>
      <c r="D2249" s="23"/>
      <c r="H2249" s="104">
        <v>615.53727059000005</v>
      </c>
      <c r="I2249" s="104"/>
      <c r="J2249" s="104"/>
      <c r="K2249" s="67">
        <v>155.85448507000001</v>
      </c>
      <c r="O2249" s="94">
        <f t="shared" si="287"/>
        <v>2.7892543544590871</v>
      </c>
      <c r="P2249" s="45"/>
      <c r="Q2249" s="45"/>
      <c r="R2249" s="48">
        <f t="shared" si="288"/>
        <v>2.1927193046117353</v>
      </c>
      <c r="U2249" s="94">
        <v>2.7892543544590871</v>
      </c>
      <c r="V2249" s="105">
        <v>2.1927193046117353</v>
      </c>
      <c r="W2249" s="49">
        <f t="shared" si="289"/>
        <v>0.94956436051324955</v>
      </c>
    </row>
    <row r="2250" spans="1:23" hidden="1">
      <c r="A2250" s="22" t="s">
        <v>150</v>
      </c>
      <c r="B2250" s="23" t="s">
        <v>252</v>
      </c>
      <c r="C2250" s="28" t="s">
        <v>256</v>
      </c>
      <c r="D2250" s="23"/>
      <c r="H2250" s="104">
        <v>612.82680721999998</v>
      </c>
      <c r="I2250" s="104"/>
      <c r="J2250" s="104"/>
      <c r="K2250" s="67">
        <v>144.29477065</v>
      </c>
      <c r="O2250" s="94">
        <f t="shared" si="287"/>
        <v>2.7873377546223956</v>
      </c>
      <c r="P2250" s="45"/>
      <c r="Q2250" s="45"/>
      <c r="R2250" s="48">
        <f t="shared" si="288"/>
        <v>2.1592505922230769</v>
      </c>
      <c r="U2250" s="94">
        <v>2.7873377546223956</v>
      </c>
      <c r="V2250" s="105">
        <v>2.1592505922230769</v>
      </c>
      <c r="W2250" s="49">
        <f t="shared" si="289"/>
        <v>0.98206423406023591</v>
      </c>
    </row>
    <row r="2251" spans="1:23" hidden="1">
      <c r="A2251" s="22" t="s">
        <v>150</v>
      </c>
      <c r="B2251" s="23" t="s">
        <v>252</v>
      </c>
      <c r="C2251" s="28" t="s">
        <v>256</v>
      </c>
      <c r="D2251" s="23"/>
      <c r="H2251" s="104">
        <v>659.39885726</v>
      </c>
      <c r="I2251" s="104"/>
      <c r="J2251" s="104"/>
      <c r="K2251" s="67">
        <v>138.49759865999999</v>
      </c>
      <c r="O2251" s="94">
        <f t="shared" si="287"/>
        <v>2.8191481901742765</v>
      </c>
      <c r="P2251" s="45"/>
      <c r="Q2251" s="45"/>
      <c r="R2251" s="48">
        <f t="shared" si="288"/>
        <v>2.141442243452798</v>
      </c>
      <c r="U2251" s="94">
        <v>2.8191481901742765</v>
      </c>
      <c r="V2251" s="105">
        <v>2.141442243452798</v>
      </c>
      <c r="W2251" s="49">
        <f t="shared" si="289"/>
        <v>0.98952360996770172</v>
      </c>
    </row>
    <row r="2252" spans="1:23" hidden="1">
      <c r="A2252" s="22" t="s">
        <v>150</v>
      </c>
      <c r="B2252" s="23" t="s">
        <v>252</v>
      </c>
      <c r="C2252" s="28" t="s">
        <v>256</v>
      </c>
      <c r="D2252" s="23"/>
      <c r="H2252" s="104">
        <v>675.18992694999997</v>
      </c>
      <c r="I2252" s="104"/>
      <c r="J2252" s="104"/>
      <c r="K2252" s="67">
        <v>162.33582443</v>
      </c>
      <c r="O2252" s="94">
        <f t="shared" si="287"/>
        <v>2.8294259544963558</v>
      </c>
      <c r="P2252" s="45"/>
      <c r="Q2252" s="45"/>
      <c r="R2252" s="48">
        <f t="shared" si="288"/>
        <v>2.2104143709379001</v>
      </c>
      <c r="U2252" s="94">
        <v>2.8294259544963558</v>
      </c>
      <c r="V2252" s="105">
        <v>2.2104143709379001</v>
      </c>
      <c r="W2252" s="49">
        <f t="shared" si="289"/>
        <v>0.920652654312198</v>
      </c>
    </row>
    <row r="2253" spans="1:23" hidden="1">
      <c r="A2253" s="22" t="s">
        <v>150</v>
      </c>
      <c r="B2253" s="23" t="s">
        <v>252</v>
      </c>
      <c r="C2253" s="28" t="s">
        <v>256</v>
      </c>
      <c r="D2253" s="23"/>
      <c r="H2253" s="104">
        <v>698.47595196999998</v>
      </c>
      <c r="I2253" s="104"/>
      <c r="J2253" s="104"/>
      <c r="K2253" s="67">
        <v>159.43723843999999</v>
      </c>
      <c r="O2253" s="94">
        <f t="shared" si="287"/>
        <v>2.8441514582576222</v>
      </c>
      <c r="P2253" s="45"/>
      <c r="Q2253" s="45"/>
      <c r="R2253" s="48">
        <f t="shared" si="288"/>
        <v>2.2025897634856073</v>
      </c>
      <c r="U2253" s="94">
        <v>2.8441514582576222</v>
      </c>
      <c r="V2253" s="105">
        <v>2.2025897634856073</v>
      </c>
      <c r="W2253" s="49">
        <f t="shared" si="289"/>
        <v>0.92370589673704817</v>
      </c>
    </row>
    <row r="2254" spans="1:23" hidden="1">
      <c r="A2254" s="22" t="s">
        <v>150</v>
      </c>
      <c r="B2254" s="23" t="s">
        <v>252</v>
      </c>
      <c r="C2254" s="28" t="s">
        <v>256</v>
      </c>
      <c r="D2254" s="23"/>
      <c r="H2254" s="104">
        <v>685.61248220000004</v>
      </c>
      <c r="I2254" s="104"/>
      <c r="J2254" s="104"/>
      <c r="K2254" s="67">
        <v>168.11240588000001</v>
      </c>
      <c r="O2254" s="94">
        <f t="shared" si="287"/>
        <v>2.8360787157139091</v>
      </c>
      <c r="P2254" s="45"/>
      <c r="Q2254" s="45"/>
      <c r="R2254" s="48">
        <f t="shared" si="288"/>
        <v>2.2255997634479501</v>
      </c>
      <c r="U2254" s="94">
        <v>2.8360787157139091</v>
      </c>
      <c r="V2254" s="105">
        <v>2.2255997634479501</v>
      </c>
      <c r="W2254" s="49">
        <f t="shared" si="289"/>
        <v>0.90417464275427828</v>
      </c>
    </row>
    <row r="2255" spans="1:23" hidden="1">
      <c r="A2255" s="22" t="s">
        <v>150</v>
      </c>
      <c r="B2255" s="23" t="s">
        <v>252</v>
      </c>
      <c r="C2255" s="28" t="s">
        <v>256</v>
      </c>
      <c r="D2255" s="23"/>
      <c r="H2255" s="104">
        <v>644.22924738999995</v>
      </c>
      <c r="I2255" s="104"/>
      <c r="J2255" s="104"/>
      <c r="K2255" s="67">
        <v>174.63024664</v>
      </c>
      <c r="O2255" s="94">
        <f t="shared" si="287"/>
        <v>2.8090404374842217</v>
      </c>
      <c r="P2255" s="45"/>
      <c r="Q2255" s="45"/>
      <c r="R2255" s="48">
        <f t="shared" si="288"/>
        <v>2.242119467383203</v>
      </c>
      <c r="U2255" s="94">
        <v>2.8090404374842217</v>
      </c>
      <c r="V2255" s="105">
        <v>2.242119467383203</v>
      </c>
      <c r="W2255" s="49">
        <f t="shared" si="289"/>
        <v>0.89651512664187594</v>
      </c>
    </row>
    <row r="2256" spans="1:23" hidden="1">
      <c r="A2256" s="22" t="s">
        <v>150</v>
      </c>
      <c r="B2256" s="23" t="s">
        <v>252</v>
      </c>
      <c r="C2256" s="28" t="s">
        <v>256</v>
      </c>
      <c r="D2256" s="23"/>
      <c r="H2256" s="104">
        <v>633.97141642999998</v>
      </c>
      <c r="I2256" s="104"/>
      <c r="J2256" s="104"/>
      <c r="K2256" s="67">
        <v>184.74955944000001</v>
      </c>
      <c r="O2256" s="94">
        <f t="shared" si="287"/>
        <v>2.8020696774928289</v>
      </c>
      <c r="P2256" s="45"/>
      <c r="Q2256" s="45"/>
      <c r="R2256" s="48">
        <f t="shared" si="288"/>
        <v>2.2665834114349011</v>
      </c>
      <c r="U2256" s="94">
        <v>2.8020696774928289</v>
      </c>
      <c r="V2256" s="105">
        <v>2.2665834114349011</v>
      </c>
      <c r="W2256" s="49">
        <f t="shared" si="289"/>
        <v>0.87526688450907963</v>
      </c>
    </row>
    <row r="2257" spans="1:23" hidden="1">
      <c r="A2257" s="22" t="s">
        <v>150</v>
      </c>
      <c r="B2257" s="23" t="s">
        <v>252</v>
      </c>
      <c r="C2257" s="28" t="s">
        <v>256</v>
      </c>
      <c r="D2257" s="23"/>
      <c r="H2257" s="104">
        <v>628.93235057000004</v>
      </c>
      <c r="I2257" s="104"/>
      <c r="J2257" s="104"/>
      <c r="K2257" s="67">
        <v>198.47970361</v>
      </c>
      <c r="O2257" s="94">
        <f t="shared" si="287"/>
        <v>2.7986039342303646</v>
      </c>
      <c r="P2257" s="45"/>
      <c r="Q2257" s="45"/>
      <c r="R2257" s="48">
        <f t="shared" si="288"/>
        <v>2.2977161027321213</v>
      </c>
      <c r="U2257" s="94">
        <v>2.7986039342303646</v>
      </c>
      <c r="V2257" s="105">
        <v>2.2977161027321213</v>
      </c>
      <c r="W2257" s="49">
        <f t="shared" si="289"/>
        <v>0.84660748564505295</v>
      </c>
    </row>
    <row r="2258" spans="1:23" hidden="1">
      <c r="A2258" s="22" t="s">
        <v>150</v>
      </c>
      <c r="B2258" s="23" t="s">
        <v>252</v>
      </c>
      <c r="C2258" s="28" t="s">
        <v>256</v>
      </c>
      <c r="D2258" s="23"/>
      <c r="H2258" s="104">
        <v>675.56430034000005</v>
      </c>
      <c r="I2258" s="104"/>
      <c r="J2258" s="104"/>
      <c r="K2258" s="67">
        <v>198.46285681000001</v>
      </c>
      <c r="O2258" s="94">
        <f t="shared" si="287"/>
        <v>2.8296666915576609</v>
      </c>
      <c r="P2258" s="45"/>
      <c r="Q2258" s="45"/>
      <c r="R2258" s="48">
        <f t="shared" si="288"/>
        <v>2.297679238596039</v>
      </c>
      <c r="U2258" s="94">
        <v>2.8296666915576609</v>
      </c>
      <c r="V2258" s="105">
        <v>2.297679238596039</v>
      </c>
      <c r="W2258" s="49">
        <f t="shared" si="289"/>
        <v>0.83733859038110692</v>
      </c>
    </row>
    <row r="2259" spans="1:23" hidden="1">
      <c r="A2259" s="22" t="s">
        <v>150</v>
      </c>
      <c r="B2259" s="23" t="s">
        <v>252</v>
      </c>
      <c r="C2259" s="28" t="s">
        <v>256</v>
      </c>
      <c r="D2259" s="23"/>
      <c r="H2259" s="104">
        <v>704.08406538999998</v>
      </c>
      <c r="I2259" s="104"/>
      <c r="J2259" s="104"/>
      <c r="K2259" s="67">
        <v>200.62018348999999</v>
      </c>
      <c r="O2259" s="94">
        <f t="shared" si="287"/>
        <v>2.8476245156128113</v>
      </c>
      <c r="P2259" s="45"/>
      <c r="Q2259" s="45"/>
      <c r="R2259" s="48">
        <f t="shared" si="288"/>
        <v>2.3023746232875157</v>
      </c>
      <c r="U2259" s="94">
        <v>2.8476245156128113</v>
      </c>
      <c r="V2259" s="105">
        <v>2.3023746232875157</v>
      </c>
      <c r="W2259" s="49">
        <f t="shared" si="289"/>
        <v>0.82748085285691797</v>
      </c>
    </row>
    <row r="2260" spans="1:23" hidden="1">
      <c r="A2260" s="22" t="s">
        <v>150</v>
      </c>
      <c r="B2260" s="23" t="s">
        <v>252</v>
      </c>
      <c r="C2260" s="28" t="s">
        <v>256</v>
      </c>
      <c r="D2260" s="23"/>
      <c r="H2260" s="104">
        <v>574.41609715000004</v>
      </c>
      <c r="I2260" s="104"/>
      <c r="J2260" s="104"/>
      <c r="K2260" s="67">
        <v>187.6612485</v>
      </c>
      <c r="O2260" s="94">
        <f t="shared" si="287"/>
        <v>2.7592266018565694</v>
      </c>
      <c r="P2260" s="45"/>
      <c r="Q2260" s="45"/>
      <c r="R2260" s="48">
        <f t="shared" si="288"/>
        <v>2.2733746013367235</v>
      </c>
      <c r="U2260" s="94">
        <v>2.7592266018565694</v>
      </c>
      <c r="V2260" s="105">
        <v>2.2733746013367235</v>
      </c>
      <c r="W2260" s="49">
        <f t="shared" si="289"/>
        <v>0.88162132355445122</v>
      </c>
    </row>
    <row r="2261" spans="1:23" hidden="1">
      <c r="A2261" s="22" t="s">
        <v>150</v>
      </c>
      <c r="B2261" s="23" t="s">
        <v>252</v>
      </c>
      <c r="C2261" s="28" t="s">
        <v>256</v>
      </c>
      <c r="D2261" s="23"/>
      <c r="H2261" s="104">
        <v>566.70400526000003</v>
      </c>
      <c r="I2261" s="104"/>
      <c r="J2261" s="104"/>
      <c r="K2261" s="67">
        <v>193.44438148</v>
      </c>
      <c r="O2261" s="94">
        <f t="shared" si="287"/>
        <v>2.753356282089475</v>
      </c>
      <c r="P2261" s="45"/>
      <c r="Q2261" s="45"/>
      <c r="R2261" s="48">
        <f t="shared" si="288"/>
        <v>2.2865561203189961</v>
      </c>
      <c r="U2261" s="94">
        <v>2.753356282089475</v>
      </c>
      <c r="V2261" s="105">
        <v>2.2865561203189961</v>
      </c>
      <c r="W2261" s="49">
        <f t="shared" si="289"/>
        <v>0.87080577777737234</v>
      </c>
    </row>
    <row r="2262" spans="1:23" hidden="1">
      <c r="A2262" s="22" t="s">
        <v>150</v>
      </c>
      <c r="B2262" s="23" t="s">
        <v>252</v>
      </c>
      <c r="C2262" s="28" t="s">
        <v>256</v>
      </c>
      <c r="D2262" s="23"/>
      <c r="H2262" s="104">
        <v>530.48712326999998</v>
      </c>
      <c r="I2262" s="104"/>
      <c r="J2262" s="104"/>
      <c r="K2262" s="67">
        <v>198.51526909</v>
      </c>
      <c r="O2262" s="94">
        <f t="shared" si="287"/>
        <v>2.7246748465584614</v>
      </c>
      <c r="P2262" s="45"/>
      <c r="Q2262" s="45"/>
      <c r="R2262" s="48">
        <f t="shared" si="288"/>
        <v>2.297793916774181</v>
      </c>
      <c r="U2262" s="94">
        <v>2.7246748465584614</v>
      </c>
      <c r="V2262" s="105">
        <v>2.297793916774181</v>
      </c>
      <c r="W2262" s="49">
        <f t="shared" si="289"/>
        <v>0.86867683924362415</v>
      </c>
    </row>
    <row r="2263" spans="1:23" hidden="1">
      <c r="A2263" s="22" t="s">
        <v>150</v>
      </c>
      <c r="B2263" s="23" t="s">
        <v>252</v>
      </c>
      <c r="C2263" s="28" t="s">
        <v>256</v>
      </c>
      <c r="D2263" s="23"/>
      <c r="H2263" s="104">
        <v>533.28743625000004</v>
      </c>
      <c r="I2263" s="104"/>
      <c r="J2263" s="104"/>
      <c r="K2263" s="67">
        <v>218.74547129000001</v>
      </c>
      <c r="O2263" s="94">
        <f t="shared" si="287"/>
        <v>2.7269613522342175</v>
      </c>
      <c r="P2263" s="45"/>
      <c r="Q2263" s="45"/>
      <c r="R2263" s="48">
        <f t="shared" si="288"/>
        <v>2.339939070544077</v>
      </c>
      <c r="U2263" s="94">
        <v>2.7269613522342175</v>
      </c>
      <c r="V2263" s="105">
        <v>2.339939070544077</v>
      </c>
      <c r="W2263" s="49">
        <f t="shared" si="289"/>
        <v>0.82778971236459198</v>
      </c>
    </row>
    <row r="2264" spans="1:23" hidden="1">
      <c r="A2264" s="22" t="s">
        <v>150</v>
      </c>
      <c r="B2264" s="23" t="s">
        <v>252</v>
      </c>
      <c r="C2264" s="28" t="s">
        <v>256</v>
      </c>
      <c r="D2264" s="23"/>
      <c r="H2264" s="104">
        <v>525.42559500000004</v>
      </c>
      <c r="I2264" s="104"/>
      <c r="J2264" s="104"/>
      <c r="K2264" s="67">
        <v>210.07779131000001</v>
      </c>
      <c r="O2264" s="94">
        <f t="shared" si="287"/>
        <v>2.7205112247053225</v>
      </c>
      <c r="P2264" s="45"/>
      <c r="Q2264" s="45"/>
      <c r="R2264" s="48">
        <f t="shared" si="288"/>
        <v>2.3223801427375896</v>
      </c>
      <c r="U2264" s="94">
        <v>2.7205112247053225</v>
      </c>
      <c r="V2264" s="105">
        <v>2.3223801427375896</v>
      </c>
      <c r="W2264" s="49">
        <f t="shared" si="289"/>
        <v>0.84647114546724156</v>
      </c>
    </row>
    <row r="2265" spans="1:23" hidden="1">
      <c r="A2265" s="22" t="s">
        <v>150</v>
      </c>
      <c r="B2265" s="23" t="s">
        <v>252</v>
      </c>
      <c r="C2265" s="28" t="s">
        <v>256</v>
      </c>
      <c r="D2265" s="23"/>
      <c r="H2265" s="104">
        <v>432.07933330999998</v>
      </c>
      <c r="I2265" s="104"/>
      <c r="J2265" s="104"/>
      <c r="K2265" s="67">
        <v>202.1635378</v>
      </c>
      <c r="O2265" s="94">
        <f t="shared" si="287"/>
        <v>2.6355634941657229</v>
      </c>
      <c r="P2265" s="45"/>
      <c r="Q2265" s="45"/>
      <c r="R2265" s="48">
        <f t="shared" si="288"/>
        <v>2.3057028289987911</v>
      </c>
      <c r="U2265" s="94">
        <v>2.6355634941657229</v>
      </c>
      <c r="V2265" s="105">
        <v>2.3057028289987911</v>
      </c>
      <c r="W2265" s="49">
        <f t="shared" si="289"/>
        <v>0.88782357005346269</v>
      </c>
    </row>
    <row r="2266" spans="1:23" hidden="1">
      <c r="A2266" s="22" t="s">
        <v>150</v>
      </c>
      <c r="B2266" s="23" t="s">
        <v>252</v>
      </c>
      <c r="C2266" s="28" t="s">
        <v>256</v>
      </c>
      <c r="D2266" s="23"/>
      <c r="H2266" s="104">
        <v>445.17491458000001</v>
      </c>
      <c r="I2266" s="104"/>
      <c r="J2266" s="104"/>
      <c r="K2266" s="67">
        <v>215.88713043000001</v>
      </c>
      <c r="O2266" s="94">
        <f t="shared" si="287"/>
        <v>2.6485306840399718</v>
      </c>
      <c r="P2266" s="45"/>
      <c r="Q2266" s="45"/>
      <c r="R2266" s="48">
        <f t="shared" si="288"/>
        <v>2.3342267537292067</v>
      </c>
      <c r="U2266" s="94">
        <v>2.6485306840399718</v>
      </c>
      <c r="V2266" s="105">
        <v>2.3342267537292067</v>
      </c>
      <c r="W2266" s="49">
        <f t="shared" si="289"/>
        <v>0.85673060589291061</v>
      </c>
    </row>
    <row r="2267" spans="1:23" hidden="1">
      <c r="A2267" s="22" t="s">
        <v>150</v>
      </c>
      <c r="B2267" s="23" t="s">
        <v>252</v>
      </c>
      <c r="C2267" s="28" t="s">
        <v>256</v>
      </c>
      <c r="D2267" s="23"/>
      <c r="H2267" s="104">
        <v>450.43860447999998</v>
      </c>
      <c r="I2267" s="104"/>
      <c r="J2267" s="104"/>
      <c r="K2267" s="67">
        <v>223.83320569</v>
      </c>
      <c r="O2267" s="94">
        <f t="shared" si="287"/>
        <v>2.6536356042992715</v>
      </c>
      <c r="P2267" s="45"/>
      <c r="Q2267" s="45"/>
      <c r="R2267" s="48">
        <f t="shared" si="288"/>
        <v>2.3499245146239649</v>
      </c>
      <c r="U2267" s="94">
        <v>2.6536356042992715</v>
      </c>
      <c r="V2267" s="105">
        <v>2.3499245146239649</v>
      </c>
      <c r="W2267" s="49">
        <f t="shared" si="289"/>
        <v>0.84022746257670233</v>
      </c>
    </row>
    <row r="2268" spans="1:23" hidden="1">
      <c r="A2268" s="22" t="s">
        <v>150</v>
      </c>
      <c r="B2268" s="23" t="s">
        <v>252</v>
      </c>
      <c r="C2268" s="28" t="s">
        <v>256</v>
      </c>
      <c r="D2268" s="23"/>
      <c r="H2268" s="104">
        <v>760.82409675999997</v>
      </c>
      <c r="I2268" s="104"/>
      <c r="J2268" s="104"/>
      <c r="K2268" s="67">
        <v>176.03321093</v>
      </c>
      <c r="O2268" s="94">
        <f t="shared" si="287"/>
        <v>2.8812842590873138</v>
      </c>
      <c r="P2268" s="45"/>
      <c r="Q2268" s="45"/>
      <c r="R2268" s="48">
        <f t="shared" si="288"/>
        <v>2.2455946107856244</v>
      </c>
      <c r="U2268" s="94">
        <v>2.8812842590873138</v>
      </c>
      <c r="V2268" s="105">
        <v>2.2455946107856244</v>
      </c>
      <c r="W2268" s="49">
        <f t="shared" si="289"/>
        <v>0.87156138558216889</v>
      </c>
    </row>
    <row r="2269" spans="1:23" hidden="1">
      <c r="A2269" s="22" t="s">
        <v>150</v>
      </c>
      <c r="B2269" s="23" t="s">
        <v>252</v>
      </c>
      <c r="C2269" s="28" t="s">
        <v>256</v>
      </c>
      <c r="D2269" s="23"/>
      <c r="H2269" s="104">
        <v>763.32491101999994</v>
      </c>
      <c r="I2269" s="104"/>
      <c r="J2269" s="104"/>
      <c r="K2269" s="67">
        <v>167.36178723</v>
      </c>
      <c r="O2269" s="94">
        <f t="shared" si="287"/>
        <v>2.882709435762953</v>
      </c>
      <c r="P2269" s="45"/>
      <c r="Q2269" s="45"/>
      <c r="R2269" s="48">
        <f t="shared" si="288"/>
        <v>2.2236563049738827</v>
      </c>
      <c r="U2269" s="94">
        <v>2.882709435762953</v>
      </c>
      <c r="V2269" s="105">
        <v>2.2236563049738827</v>
      </c>
      <c r="W2269" s="49">
        <f t="shared" si="289"/>
        <v>0.89206146002228925</v>
      </c>
    </row>
    <row r="2270" spans="1:23" hidden="1">
      <c r="A2270" s="22" t="s">
        <v>150</v>
      </c>
      <c r="B2270" s="23" t="s">
        <v>252</v>
      </c>
      <c r="C2270" s="28" t="s">
        <v>256</v>
      </c>
      <c r="D2270" s="23"/>
      <c r="H2270" s="104">
        <v>825.46340671999997</v>
      </c>
      <c r="I2270" s="104"/>
      <c r="J2270" s="104"/>
      <c r="K2270" s="67">
        <v>163.72662158</v>
      </c>
      <c r="O2270" s="94">
        <f t="shared" si="287"/>
        <v>2.9166978254948388</v>
      </c>
      <c r="P2270" s="45"/>
      <c r="Q2270" s="45"/>
      <c r="R2270" s="48">
        <f t="shared" si="288"/>
        <v>2.2141193004583499</v>
      </c>
      <c r="U2270" s="94">
        <v>2.9166978254948388</v>
      </c>
      <c r="V2270" s="105">
        <v>2.2141193004583499</v>
      </c>
      <c r="W2270" s="49">
        <f t="shared" si="289"/>
        <v>0.89097844979056862</v>
      </c>
    </row>
    <row r="2271" spans="1:23" hidden="1">
      <c r="A2271" s="22" t="s">
        <v>150</v>
      </c>
      <c r="B2271" s="23" t="s">
        <v>252</v>
      </c>
      <c r="C2271" s="28" t="s">
        <v>256</v>
      </c>
      <c r="D2271" s="23"/>
      <c r="H2271" s="104">
        <v>869.41484300000002</v>
      </c>
      <c r="I2271" s="104"/>
      <c r="J2271" s="104"/>
      <c r="K2271" s="67">
        <v>155.04022294000001</v>
      </c>
      <c r="O2271" s="94">
        <f t="shared" si="287"/>
        <v>2.9392270503682392</v>
      </c>
      <c r="P2271" s="45"/>
      <c r="Q2271" s="45"/>
      <c r="R2271" s="48">
        <f t="shared" si="288"/>
        <v>2.1904443842006414</v>
      </c>
      <c r="U2271" s="94">
        <v>2.9392270503682392</v>
      </c>
      <c r="V2271" s="105">
        <v>2.1904443842006414</v>
      </c>
      <c r="W2271" s="49">
        <f t="shared" si="289"/>
        <v>0.90681389534028167</v>
      </c>
    </row>
    <row r="2272" spans="1:23" hidden="1">
      <c r="A2272" s="22" t="s">
        <v>150</v>
      </c>
      <c r="B2272" s="23" t="s">
        <v>252</v>
      </c>
      <c r="C2272" s="28" t="s">
        <v>256</v>
      </c>
      <c r="D2272" s="23"/>
      <c r="H2272" s="104">
        <v>897.93460803999994</v>
      </c>
      <c r="I2272" s="104"/>
      <c r="J2272" s="104"/>
      <c r="K2272" s="67">
        <v>157.19754961999999</v>
      </c>
      <c r="O2272" s="94">
        <f t="shared" si="287"/>
        <v>2.9532447103850621</v>
      </c>
      <c r="P2272" s="45"/>
      <c r="Q2272" s="45"/>
      <c r="R2272" s="48">
        <f t="shared" si="288"/>
        <v>2.1964457720163231</v>
      </c>
      <c r="U2272" s="94">
        <v>2.9532447103850621</v>
      </c>
      <c r="V2272" s="105">
        <v>2.1964457720163231</v>
      </c>
      <c r="W2272" s="49">
        <f t="shared" si="289"/>
        <v>0.89689053749342806</v>
      </c>
    </row>
    <row r="2273" spans="1:23" hidden="1">
      <c r="A2273" s="22" t="s">
        <v>150</v>
      </c>
      <c r="B2273" s="23" t="s">
        <v>252</v>
      </c>
      <c r="C2273" s="28" t="s">
        <v>256</v>
      </c>
      <c r="D2273" s="23"/>
      <c r="H2273" s="104">
        <v>887.63185227999998</v>
      </c>
      <c r="I2273" s="104"/>
      <c r="J2273" s="104"/>
      <c r="K2273" s="67">
        <v>162.98161852999999</v>
      </c>
      <c r="O2273" s="94">
        <f t="shared" si="287"/>
        <v>2.9482328783067446</v>
      </c>
      <c r="P2273" s="45"/>
      <c r="Q2273" s="45"/>
      <c r="R2273" s="48">
        <f t="shared" si="288"/>
        <v>2.2121386263601361</v>
      </c>
      <c r="U2273" s="94">
        <v>2.9482328783067446</v>
      </c>
      <c r="V2273" s="105">
        <v>2.2121386263601361</v>
      </c>
      <c r="W2273" s="49">
        <f t="shared" si="289"/>
        <v>0.88342229073338974</v>
      </c>
    </row>
    <row r="2274" spans="1:23" hidden="1">
      <c r="A2274" s="22" t="s">
        <v>150</v>
      </c>
      <c r="B2274" s="23" t="s">
        <v>252</v>
      </c>
      <c r="C2274" s="28" t="s">
        <v>256</v>
      </c>
      <c r="D2274" s="23"/>
      <c r="H2274" s="104">
        <v>936.99672782000005</v>
      </c>
      <c r="I2274" s="104"/>
      <c r="J2274" s="104"/>
      <c r="K2274" s="67">
        <v>176.69210810000001</v>
      </c>
      <c r="O2274" s="94">
        <f t="shared" si="287"/>
        <v>2.9717380742472241</v>
      </c>
      <c r="P2274" s="45"/>
      <c r="Q2274" s="45"/>
      <c r="R2274" s="48">
        <f t="shared" si="288"/>
        <v>2.2472171523072015</v>
      </c>
      <c r="U2274" s="94">
        <v>2.9717380742472241</v>
      </c>
      <c r="V2274" s="105">
        <v>2.2472171523072015</v>
      </c>
      <c r="W2274" s="49">
        <f t="shared" si="289"/>
        <v>0.84292050042049027</v>
      </c>
    </row>
    <row r="2275" spans="1:23" hidden="1">
      <c r="A2275" s="22" t="s">
        <v>150</v>
      </c>
      <c r="B2275" s="23" t="s">
        <v>252</v>
      </c>
      <c r="C2275" s="28" t="s">
        <v>256</v>
      </c>
      <c r="D2275" s="23"/>
      <c r="H2275" s="104">
        <v>864.51803901999995</v>
      </c>
      <c r="I2275" s="104"/>
      <c r="J2275" s="104"/>
      <c r="K2275" s="67">
        <v>182.49863941999999</v>
      </c>
      <c r="O2275" s="94">
        <f t="shared" si="287"/>
        <v>2.9367740596864129</v>
      </c>
      <c r="P2275" s="45"/>
      <c r="Q2275" s="45"/>
      <c r="R2275" s="48">
        <f t="shared" si="288"/>
        <v>2.2612596310139246</v>
      </c>
      <c r="U2275" s="94">
        <v>2.9367740596864129</v>
      </c>
      <c r="V2275" s="105">
        <v>2.2612596310139246</v>
      </c>
      <c r="W2275" s="49">
        <f t="shared" si="289"/>
        <v>0.83999796245786829</v>
      </c>
    </row>
    <row r="2276" spans="1:23" hidden="1">
      <c r="A2276" s="22" t="s">
        <v>150</v>
      </c>
      <c r="B2276" s="23" t="s">
        <v>252</v>
      </c>
      <c r="C2276" s="28" t="s">
        <v>256</v>
      </c>
      <c r="D2276" s="23"/>
      <c r="H2276" s="104">
        <v>890.53698981000002</v>
      </c>
      <c r="I2276" s="104"/>
      <c r="J2276" s="104"/>
      <c r="K2276" s="67">
        <v>193.32738979999999</v>
      </c>
      <c r="O2276" s="94">
        <f t="shared" si="287"/>
        <v>2.9496519632565716</v>
      </c>
      <c r="P2276" s="45"/>
      <c r="Q2276" s="45"/>
      <c r="R2276" s="48">
        <f t="shared" si="288"/>
        <v>2.2862933873773748</v>
      </c>
      <c r="U2276" s="94">
        <v>2.9496519632565716</v>
      </c>
      <c r="V2276" s="105">
        <v>2.2862933873773748</v>
      </c>
      <c r="W2276" s="49">
        <f t="shared" si="289"/>
        <v>0.81226101334708289</v>
      </c>
    </row>
    <row r="2277" spans="1:23" hidden="1">
      <c r="A2277" s="22" t="s">
        <v>150</v>
      </c>
      <c r="B2277" s="23" t="s">
        <v>252</v>
      </c>
      <c r="C2277" s="28" t="s">
        <v>256</v>
      </c>
      <c r="D2277" s="23"/>
      <c r="H2277" s="104">
        <v>906.21574749000001</v>
      </c>
      <c r="I2277" s="104"/>
      <c r="J2277" s="104"/>
      <c r="K2277" s="67">
        <v>206.32750584999999</v>
      </c>
      <c r="O2277" s="94">
        <f t="shared" si="287"/>
        <v>2.957231604729714</v>
      </c>
      <c r="P2277" s="45"/>
      <c r="Q2277" s="45"/>
      <c r="R2277" s="48">
        <f t="shared" si="288"/>
        <v>2.3145571283250348</v>
      </c>
      <c r="U2277" s="94">
        <v>2.957231604729714</v>
      </c>
      <c r="V2277" s="105">
        <v>2.3145571283250348</v>
      </c>
      <c r="W2277" s="49">
        <f t="shared" si="289"/>
        <v>0.78302994177672369</v>
      </c>
    </row>
    <row r="2278" spans="1:23" hidden="1">
      <c r="A2278" s="22" t="s">
        <v>150</v>
      </c>
      <c r="B2278" s="23" t="s">
        <v>252</v>
      </c>
      <c r="C2278" s="28" t="s">
        <v>256</v>
      </c>
      <c r="D2278" s="23"/>
      <c r="H2278" s="104">
        <v>1030.3654519199999</v>
      </c>
      <c r="I2278" s="104"/>
      <c r="J2278" s="104"/>
      <c r="K2278" s="67">
        <v>186.77398356</v>
      </c>
      <c r="O2278" s="94">
        <f t="shared" si="287"/>
        <v>3.0129912883969054</v>
      </c>
      <c r="P2278" s="45"/>
      <c r="Q2278" s="45"/>
      <c r="R2278" s="48">
        <f t="shared" si="288"/>
        <v>2.2713163816198785</v>
      </c>
      <c r="U2278" s="94">
        <v>3.0129912883969054</v>
      </c>
      <c r="V2278" s="105">
        <v>2.2713163816198785</v>
      </c>
      <c r="W2278" s="49">
        <f t="shared" si="289"/>
        <v>0.80757589311223021</v>
      </c>
    </row>
    <row r="2279" spans="1:23" hidden="1">
      <c r="A2279" s="22" t="s">
        <v>150</v>
      </c>
      <c r="B2279" s="23" t="s">
        <v>252</v>
      </c>
      <c r="C2279" s="28" t="s">
        <v>256</v>
      </c>
      <c r="D2279" s="23"/>
      <c r="H2279" s="104">
        <v>1038.1374435499999</v>
      </c>
      <c r="I2279" s="104"/>
      <c r="J2279" s="104"/>
      <c r="K2279" s="67">
        <v>186.77117576000001</v>
      </c>
      <c r="O2279" s="94">
        <f t="shared" si="287"/>
        <v>3.0162548554621398</v>
      </c>
      <c r="P2279" s="45"/>
      <c r="Q2279" s="45"/>
      <c r="R2279" s="48">
        <f t="shared" si="288"/>
        <v>2.2713098527597615</v>
      </c>
      <c r="U2279" s="94">
        <v>3.0162548554621398</v>
      </c>
      <c r="V2279" s="105">
        <v>2.2713098527597615</v>
      </c>
      <c r="W2279" s="49">
        <f t="shared" si="289"/>
        <v>0.80660460237210807</v>
      </c>
    </row>
    <row r="2280" spans="1:23" hidden="1">
      <c r="A2280" s="22" t="s">
        <v>150</v>
      </c>
      <c r="B2280" s="23" t="s">
        <v>252</v>
      </c>
      <c r="C2280" s="28" t="s">
        <v>256</v>
      </c>
      <c r="D2280" s="23"/>
      <c r="H2280" s="104">
        <v>1071.5240626899999</v>
      </c>
      <c r="I2280" s="104"/>
      <c r="J2280" s="104"/>
      <c r="K2280" s="67">
        <v>158.57992336999999</v>
      </c>
      <c r="O2280" s="94">
        <f t="shared" si="287"/>
        <v>3.0300019282253952</v>
      </c>
      <c r="P2280" s="45"/>
      <c r="Q2280" s="45"/>
      <c r="R2280" s="48">
        <f t="shared" si="288"/>
        <v>2.2002482036528606</v>
      </c>
      <c r="U2280" s="94">
        <v>3.0300019282253952</v>
      </c>
      <c r="V2280" s="105">
        <v>2.2002482036528606</v>
      </c>
      <c r="W2280" s="49">
        <f t="shared" si="289"/>
        <v>0.87027272298459635</v>
      </c>
    </row>
    <row r="2281" spans="1:23" hidden="1">
      <c r="A2281" s="22" t="s">
        <v>150</v>
      </c>
      <c r="B2281" s="23" t="s">
        <v>252</v>
      </c>
      <c r="C2281" s="28" t="s">
        <v>256</v>
      </c>
      <c r="D2281" s="23"/>
      <c r="H2281" s="104">
        <v>1115.66268567</v>
      </c>
      <c r="I2281" s="104"/>
      <c r="J2281" s="104"/>
      <c r="K2281" s="67">
        <v>167.95704092</v>
      </c>
      <c r="O2281" s="94">
        <f t="shared" si="287"/>
        <v>3.0475329079566364</v>
      </c>
      <c r="P2281" s="45"/>
      <c r="Q2281" s="45"/>
      <c r="R2281" s="48">
        <f t="shared" si="288"/>
        <v>2.2251982145998861</v>
      </c>
      <c r="U2281" s="94">
        <v>3.0475329079566364</v>
      </c>
      <c r="V2281" s="105">
        <v>2.2251982145998861</v>
      </c>
      <c r="W2281" s="49">
        <f t="shared" si="289"/>
        <v>0.84122194785062021</v>
      </c>
    </row>
    <row r="2282" spans="1:23" hidden="1">
      <c r="A2282" s="22" t="s">
        <v>150</v>
      </c>
      <c r="B2282" s="23" t="s">
        <v>252</v>
      </c>
      <c r="C2282" s="28" t="s">
        <v>256</v>
      </c>
      <c r="D2282" s="23"/>
      <c r="H2282" s="104">
        <v>1193.14300299</v>
      </c>
      <c r="I2282" s="104"/>
      <c r="J2282" s="104"/>
      <c r="K2282" s="67">
        <v>144.80766219</v>
      </c>
      <c r="O2282" s="94">
        <f t="shared" si="287"/>
        <v>3.0766924987311235</v>
      </c>
      <c r="P2282" s="45"/>
      <c r="Q2282" s="45"/>
      <c r="R2282" s="48">
        <f t="shared" si="288"/>
        <v>2.1607915422395609</v>
      </c>
      <c r="U2282" s="94">
        <v>3.0766924987311235</v>
      </c>
      <c r="V2282" s="105">
        <v>2.1607915422395609</v>
      </c>
      <c r="W2282" s="49">
        <f t="shared" si="289"/>
        <v>0.89392545785224253</v>
      </c>
    </row>
    <row r="2283" spans="1:23" hidden="1">
      <c r="A2283" s="22" t="s">
        <v>150</v>
      </c>
      <c r="B2283" s="23" t="s">
        <v>252</v>
      </c>
      <c r="C2283" s="28" t="s">
        <v>256</v>
      </c>
      <c r="D2283" s="23"/>
      <c r="H2283" s="104">
        <v>1226.9713827400001</v>
      </c>
      <c r="I2283" s="104"/>
      <c r="J2283" s="104"/>
      <c r="K2283" s="67">
        <v>159.24630801000001</v>
      </c>
      <c r="O2283" s="94">
        <f t="shared" si="287"/>
        <v>3.0888344335802724</v>
      </c>
      <c r="P2283" s="45"/>
      <c r="Q2283" s="45"/>
      <c r="R2283" s="48">
        <f t="shared" si="288"/>
        <v>2.2020693723764873</v>
      </c>
      <c r="U2283" s="94">
        <v>3.0888344335802724</v>
      </c>
      <c r="V2283" s="105">
        <v>2.2020693723764873</v>
      </c>
      <c r="W2283" s="49">
        <f t="shared" si="289"/>
        <v>0.85091372750571104</v>
      </c>
    </row>
    <row r="2284" spans="1:23" hidden="1">
      <c r="A2284" s="22" t="s">
        <v>150</v>
      </c>
      <c r="B2284" s="23" t="s">
        <v>252</v>
      </c>
      <c r="C2284" s="28" t="s">
        <v>256</v>
      </c>
      <c r="D2284" s="23"/>
      <c r="H2284" s="104">
        <v>1255.19164907</v>
      </c>
      <c r="I2284" s="104"/>
      <c r="J2284" s="104"/>
      <c r="K2284" s="67">
        <v>132.50200878000001</v>
      </c>
      <c r="O2284" s="94">
        <f t="shared" si="287"/>
        <v>3.0987100411788786</v>
      </c>
      <c r="P2284" s="45"/>
      <c r="Q2284" s="45"/>
      <c r="R2284" s="48">
        <f t="shared" si="288"/>
        <v>2.1222224623894785</v>
      </c>
      <c r="U2284" s="94">
        <v>3.0987100411788786</v>
      </c>
      <c r="V2284" s="105">
        <v>2.1222224623894785</v>
      </c>
      <c r="W2284" s="49">
        <f t="shared" si="289"/>
        <v>0.92412170752658918</v>
      </c>
    </row>
    <row r="2285" spans="1:23" hidden="1">
      <c r="A2285" s="22" t="s">
        <v>150</v>
      </c>
      <c r="B2285" s="23" t="s">
        <v>252</v>
      </c>
      <c r="C2285" s="28" t="s">
        <v>256</v>
      </c>
      <c r="D2285" s="23"/>
      <c r="H2285" s="104">
        <v>1224.0512702799999</v>
      </c>
      <c r="I2285" s="104"/>
      <c r="J2285" s="104"/>
      <c r="K2285" s="67">
        <v>127.45545545</v>
      </c>
      <c r="O2285" s="94">
        <f t="shared" si="287"/>
        <v>3.0877996089315691</v>
      </c>
      <c r="P2285" s="45"/>
      <c r="Q2285" s="45"/>
      <c r="R2285" s="48">
        <f t="shared" si="288"/>
        <v>2.1053584292217229</v>
      </c>
      <c r="U2285" s="94">
        <v>3.0877996089315691</v>
      </c>
      <c r="V2285" s="105">
        <v>2.1053584292217229</v>
      </c>
      <c r="W2285" s="49">
        <f t="shared" si="289"/>
        <v>0.9434762516200137</v>
      </c>
    </row>
    <row r="2286" spans="1:23" hidden="1">
      <c r="A2286" s="22" t="s">
        <v>150</v>
      </c>
      <c r="B2286" s="23" t="s">
        <v>252</v>
      </c>
      <c r="C2286" s="28" t="s">
        <v>256</v>
      </c>
      <c r="D2286" s="23"/>
      <c r="H2286" s="104">
        <v>1208.3874875399999</v>
      </c>
      <c r="I2286" s="104"/>
      <c r="J2286" s="104"/>
      <c r="K2286" s="67">
        <v>115.90042069</v>
      </c>
      <c r="O2286" s="94">
        <f t="shared" si="287"/>
        <v>3.0822062196462054</v>
      </c>
      <c r="P2286" s="45"/>
      <c r="Q2286" s="45"/>
      <c r="R2286" s="48">
        <f t="shared" si="288"/>
        <v>2.0640850123485315</v>
      </c>
      <c r="U2286" s="94">
        <v>3.0822062196462054</v>
      </c>
      <c r="V2286" s="105">
        <v>2.0640850123485315</v>
      </c>
      <c r="W2286" s="49">
        <f t="shared" si="289"/>
        <v>0.98452232166369402</v>
      </c>
    </row>
    <row r="2287" spans="1:23" hidden="1">
      <c r="A2287" s="22" t="s">
        <v>150</v>
      </c>
      <c r="B2287" s="23" t="s">
        <v>252</v>
      </c>
      <c r="C2287" s="28" t="s">
        <v>256</v>
      </c>
      <c r="D2287" s="23"/>
      <c r="H2287" s="104">
        <v>1203.0414354899999</v>
      </c>
      <c r="I2287" s="104"/>
      <c r="J2287" s="104"/>
      <c r="K2287" s="67">
        <v>100.00639830999999</v>
      </c>
      <c r="O2287" s="94">
        <f t="shared" si="287"/>
        <v>3.0802805856896041</v>
      </c>
      <c r="P2287" s="45"/>
      <c r="Q2287" s="45"/>
      <c r="R2287" s="48">
        <f t="shared" si="288"/>
        <v>2.0000277866183374</v>
      </c>
      <c r="U2287" s="94">
        <v>3.0802805856896041</v>
      </c>
      <c r="V2287" s="105">
        <v>2.0000277866183374</v>
      </c>
      <c r="W2287" s="49">
        <f t="shared" si="289"/>
        <v>1.0462032840283237</v>
      </c>
    </row>
    <row r="2288" spans="1:23" hidden="1">
      <c r="A2288" s="22" t="s">
        <v>150</v>
      </c>
      <c r="B2288" s="23" t="s">
        <v>252</v>
      </c>
      <c r="C2288" s="28" t="s">
        <v>256</v>
      </c>
      <c r="D2288" s="23"/>
      <c r="H2288" s="104">
        <v>1239.31072976</v>
      </c>
      <c r="I2288" s="104"/>
      <c r="J2288" s="104"/>
      <c r="K2288" s="67">
        <v>99.993295239999995</v>
      </c>
      <c r="O2288" s="94">
        <f t="shared" si="287"/>
        <v>3.0931802097667624</v>
      </c>
      <c r="P2288" s="45"/>
      <c r="Q2288" s="45"/>
      <c r="R2288" s="48">
        <f t="shared" si="288"/>
        <v>1.9999708806210921</v>
      </c>
      <c r="U2288" s="94">
        <v>3.0931802097667624</v>
      </c>
      <c r="V2288" s="105">
        <v>1.9999708806210921</v>
      </c>
      <c r="W2288" s="49">
        <f t="shared" si="289"/>
        <v>1.0423938119172349</v>
      </c>
    </row>
    <row r="2289" spans="1:23" hidden="1">
      <c r="A2289" s="22" t="s">
        <v>150</v>
      </c>
      <c r="B2289" s="23" t="s">
        <v>252</v>
      </c>
      <c r="C2289" s="28" t="s">
        <v>256</v>
      </c>
      <c r="D2289" s="23"/>
      <c r="H2289" s="104">
        <v>1195.12718197</v>
      </c>
      <c r="I2289" s="104"/>
      <c r="J2289" s="104"/>
      <c r="K2289" s="67">
        <v>86.2809338</v>
      </c>
      <c r="O2289" s="94">
        <f t="shared" si="287"/>
        <v>3.0774141241031696</v>
      </c>
      <c r="P2289" s="45"/>
      <c r="Q2289" s="45"/>
      <c r="R2289" s="48">
        <f t="shared" si="288"/>
        <v>1.9359148367317665</v>
      </c>
      <c r="U2289" s="94">
        <v>3.0774141241031696</v>
      </c>
      <c r="V2289" s="105">
        <v>1.9359148367317665</v>
      </c>
      <c r="W2289" s="49">
        <f t="shared" si="289"/>
        <v>1.108219202685216</v>
      </c>
    </row>
    <row r="2290" spans="1:23" hidden="1">
      <c r="A2290" s="22" t="s">
        <v>150</v>
      </c>
      <c r="B2290" s="23" t="s">
        <v>252</v>
      </c>
      <c r="C2290" s="28" t="s">
        <v>256</v>
      </c>
      <c r="D2290" s="23"/>
      <c r="H2290" s="104">
        <v>1259.8563415399999</v>
      </c>
      <c r="I2290" s="104"/>
      <c r="J2290" s="104"/>
      <c r="K2290" s="67">
        <v>82.644832230000006</v>
      </c>
      <c r="O2290" s="94">
        <f t="shared" si="287"/>
        <v>3.1003210263608816</v>
      </c>
      <c r="P2290" s="45"/>
      <c r="Q2290" s="45"/>
      <c r="R2290" s="48">
        <f t="shared" si="288"/>
        <v>1.9172157023822125</v>
      </c>
      <c r="U2290" s="94">
        <v>3.1003210263608816</v>
      </c>
      <c r="V2290" s="105">
        <v>1.9172157023822125</v>
      </c>
      <c r="W2290" s="49">
        <f t="shared" si="289"/>
        <v>1.1191951262052748</v>
      </c>
    </row>
    <row r="2291" spans="1:23" hidden="1">
      <c r="A2291" s="22" t="s">
        <v>150</v>
      </c>
      <c r="B2291" s="23" t="s">
        <v>252</v>
      </c>
      <c r="C2291" s="28" t="s">
        <v>256</v>
      </c>
      <c r="D2291" s="23"/>
      <c r="H2291" s="104">
        <v>1296.10317341</v>
      </c>
      <c r="I2291" s="104"/>
      <c r="J2291" s="104"/>
      <c r="K2291" s="67">
        <v>80.464107220000002</v>
      </c>
      <c r="O2291" s="94">
        <f t="shared" si="287"/>
        <v>3.112639573956788</v>
      </c>
      <c r="P2291" s="45"/>
      <c r="Q2291" s="45"/>
      <c r="R2291" s="48">
        <f t="shared" si="288"/>
        <v>1.9056021969831469</v>
      </c>
      <c r="U2291" s="94">
        <v>3.112639573956788</v>
      </c>
      <c r="V2291" s="105">
        <v>1.9056021969831469</v>
      </c>
      <c r="W2291" s="49">
        <f t="shared" si="289"/>
        <v>1.1265835409641987</v>
      </c>
    </row>
    <row r="2292" spans="1:23" hidden="1">
      <c r="A2292" s="22" t="s">
        <v>150</v>
      </c>
      <c r="B2292" s="23" t="s">
        <v>252</v>
      </c>
      <c r="C2292" s="28" t="s">
        <v>256</v>
      </c>
      <c r="D2292" s="23"/>
      <c r="H2292" s="104">
        <v>1296.0432736600001</v>
      </c>
      <c r="I2292" s="104"/>
      <c r="J2292" s="104"/>
      <c r="K2292" s="67">
        <v>74.683782039999997</v>
      </c>
      <c r="O2292" s="94">
        <f t="shared" si="287"/>
        <v>3.1126195024589554</v>
      </c>
      <c r="P2292" s="45"/>
      <c r="Q2292" s="45"/>
      <c r="R2292" s="48">
        <f t="shared" si="288"/>
        <v>1.8732263028163079</v>
      </c>
      <c r="U2292" s="94">
        <v>3.1126195024589554</v>
      </c>
      <c r="V2292" s="105">
        <v>1.8732263028163079</v>
      </c>
      <c r="W2292" s="49">
        <f t="shared" si="289"/>
        <v>1.157472918317306</v>
      </c>
    </row>
    <row r="2293" spans="1:23" hidden="1">
      <c r="A2293" s="22" t="s">
        <v>150</v>
      </c>
      <c r="B2293" s="23" t="s">
        <v>252</v>
      </c>
      <c r="C2293" s="28" t="s">
        <v>256</v>
      </c>
      <c r="D2293" s="23"/>
      <c r="H2293" s="104">
        <v>1363.3181723</v>
      </c>
      <c r="I2293" s="104"/>
      <c r="J2293" s="104"/>
      <c r="K2293" s="67">
        <v>66.711500639999997</v>
      </c>
      <c r="O2293" s="94">
        <f t="shared" si="287"/>
        <v>3.1345972236619621</v>
      </c>
      <c r="P2293" s="45"/>
      <c r="Q2293" s="45"/>
      <c r="R2293" s="48">
        <f t="shared" si="288"/>
        <v>1.8242007099876338</v>
      </c>
      <c r="U2293" s="94">
        <v>3.1345972236619621</v>
      </c>
      <c r="V2293" s="105">
        <v>1.8242007099876338</v>
      </c>
      <c r="W2293" s="49">
        <f t="shared" si="289"/>
        <v>1.1976555631643362</v>
      </c>
    </row>
    <row r="2294" spans="1:23" hidden="1">
      <c r="A2294" s="22" t="s">
        <v>150</v>
      </c>
      <c r="B2294" s="23" t="s">
        <v>252</v>
      </c>
      <c r="C2294" s="28" t="s">
        <v>256</v>
      </c>
      <c r="D2294" s="23"/>
      <c r="H2294" s="104">
        <v>1415.4459234799999</v>
      </c>
      <c r="I2294" s="104"/>
      <c r="J2294" s="104"/>
      <c r="K2294" s="67">
        <v>97.039489169999996</v>
      </c>
      <c r="O2294" s="94">
        <f t="shared" si="287"/>
        <v>3.1508932819788678</v>
      </c>
      <c r="P2294" s="45"/>
      <c r="Q2294" s="45"/>
      <c r="R2294" s="48">
        <f t="shared" si="288"/>
        <v>1.9869485016751476</v>
      </c>
      <c r="U2294" s="94">
        <v>3.1508932819788678</v>
      </c>
      <c r="V2294" s="105">
        <v>1.9869485016751476</v>
      </c>
      <c r="W2294" s="49">
        <f t="shared" si="289"/>
        <v>1.0375293743246692</v>
      </c>
    </row>
    <row r="2295" spans="1:23" hidden="1">
      <c r="A2295" s="22" t="s">
        <v>150</v>
      </c>
      <c r="B2295" s="23" t="s">
        <v>252</v>
      </c>
      <c r="C2295" s="28" t="s">
        <v>256</v>
      </c>
      <c r="D2295" s="23"/>
      <c r="H2295" s="104">
        <v>1488.0968240300001</v>
      </c>
      <c r="I2295" s="104"/>
      <c r="J2295" s="104"/>
      <c r="K2295" s="67">
        <v>107.85139275</v>
      </c>
      <c r="O2295" s="94">
        <f t="shared" ref="O2295:O2358" si="290">LOG10(H2295)</f>
        <v>3.172631189794473</v>
      </c>
      <c r="P2295" s="45"/>
      <c r="Q2295" s="45"/>
      <c r="R2295" s="48">
        <f t="shared" ref="R2295:R2358" si="291">LOG10(K2295)</f>
        <v>2.0328257577810227</v>
      </c>
      <c r="U2295" s="94">
        <v>3.172631189794473</v>
      </c>
      <c r="V2295" s="105">
        <v>2.0328257577810227</v>
      </c>
      <c r="W2295" s="49">
        <f t="shared" si="289"/>
        <v>0.9872560215819689</v>
      </c>
    </row>
    <row r="2296" spans="1:23" hidden="1">
      <c r="A2296" s="22" t="s">
        <v>150</v>
      </c>
      <c r="B2296" s="23" t="s">
        <v>252</v>
      </c>
      <c r="C2296" s="28" t="s">
        <v>256</v>
      </c>
      <c r="D2296" s="23"/>
      <c r="H2296" s="104">
        <v>1656.6547002899999</v>
      </c>
      <c r="I2296" s="104"/>
      <c r="J2296" s="104"/>
      <c r="K2296" s="67">
        <v>123.68645132</v>
      </c>
      <c r="O2296" s="94">
        <f t="shared" si="290"/>
        <v>3.2192319970216432</v>
      </c>
      <c r="P2296" s="45"/>
      <c r="Q2296" s="45"/>
      <c r="R2296" s="48">
        <f t="shared" si="291"/>
        <v>2.092322129384788</v>
      </c>
      <c r="U2296" s="94">
        <v>3.2192319970216432</v>
      </c>
      <c r="V2296" s="105">
        <v>2.092322129384788</v>
      </c>
      <c r="W2296" s="49">
        <f t="shared" si="289"/>
        <v>0.9165443445647421</v>
      </c>
    </row>
    <row r="2297" spans="1:23" hidden="1">
      <c r="A2297" s="22" t="s">
        <v>150</v>
      </c>
      <c r="B2297" s="23" t="s">
        <v>252</v>
      </c>
      <c r="C2297" s="28" t="s">
        <v>256</v>
      </c>
      <c r="D2297" s="23"/>
      <c r="H2297" s="104">
        <v>1504.1050303</v>
      </c>
      <c r="I2297" s="104"/>
      <c r="J2297" s="104"/>
      <c r="K2297" s="67">
        <v>152.6432973</v>
      </c>
      <c r="O2297" s="94">
        <f t="shared" si="290"/>
        <v>3.1772781637071463</v>
      </c>
      <c r="P2297" s="45"/>
      <c r="Q2297" s="45"/>
      <c r="R2297" s="48">
        <f t="shared" si="291"/>
        <v>2.1836777388047821</v>
      </c>
      <c r="U2297" s="94">
        <v>3.1772781637071463</v>
      </c>
      <c r="V2297" s="105">
        <v>2.1836777388047821</v>
      </c>
      <c r="W2297" s="49">
        <f t="shared" si="289"/>
        <v>0.8419664338810009</v>
      </c>
    </row>
    <row r="2298" spans="1:23" hidden="1">
      <c r="A2298" s="22" t="s">
        <v>150</v>
      </c>
      <c r="B2298" s="23" t="s">
        <v>252</v>
      </c>
      <c r="C2298" s="28" t="s">
        <v>256</v>
      </c>
      <c r="D2298" s="23"/>
      <c r="H2298" s="104">
        <v>1457.55544267</v>
      </c>
      <c r="I2298" s="104"/>
      <c r="J2298" s="104"/>
      <c r="K2298" s="67">
        <v>160.60809122000001</v>
      </c>
      <c r="O2298" s="94">
        <f t="shared" si="290"/>
        <v>3.163625083491215</v>
      </c>
      <c r="P2298" s="45"/>
      <c r="Q2298" s="45"/>
      <c r="R2298" s="48">
        <f t="shared" si="291"/>
        <v>2.2057674206667079</v>
      </c>
      <c r="U2298" s="94">
        <v>3.163625083491215</v>
      </c>
      <c r="V2298" s="105">
        <v>2.2057674206667079</v>
      </c>
      <c r="W2298" s="49">
        <f t="shared" si="289"/>
        <v>0.82498451974335429</v>
      </c>
    </row>
    <row r="2299" spans="1:23" hidden="1">
      <c r="A2299" s="22" t="s">
        <v>150</v>
      </c>
      <c r="B2299" s="23" t="s">
        <v>252</v>
      </c>
      <c r="C2299" s="28" t="s">
        <v>256</v>
      </c>
      <c r="D2299" s="23"/>
      <c r="H2299" s="104">
        <v>1462.8715448400001</v>
      </c>
      <c r="I2299" s="104"/>
      <c r="J2299" s="104"/>
      <c r="K2299" s="67">
        <v>173.61195101000001</v>
      </c>
      <c r="O2299" s="94">
        <f t="shared" si="290"/>
        <v>3.165206192279487</v>
      </c>
      <c r="P2299" s="45"/>
      <c r="Q2299" s="45"/>
      <c r="R2299" s="48">
        <f t="shared" si="291"/>
        <v>2.239579617609194</v>
      </c>
      <c r="U2299" s="94">
        <v>3.165206192279487</v>
      </c>
      <c r="V2299" s="105">
        <v>2.239579617609194</v>
      </c>
      <c r="W2299" s="49">
        <f t="shared" si="289"/>
        <v>0.79225748410255314</v>
      </c>
    </row>
    <row r="2300" spans="1:23" hidden="1">
      <c r="A2300" s="22" t="s">
        <v>150</v>
      </c>
      <c r="B2300" s="23" t="s">
        <v>252</v>
      </c>
      <c r="C2300" s="28" t="s">
        <v>256</v>
      </c>
      <c r="D2300" s="23"/>
      <c r="H2300" s="104">
        <v>1374.5269116699999</v>
      </c>
      <c r="I2300" s="104"/>
      <c r="J2300" s="104"/>
      <c r="K2300" s="67">
        <v>148.35485009000001</v>
      </c>
      <c r="O2300" s="94">
        <f t="shared" si="290"/>
        <v>3.1381532472535971</v>
      </c>
      <c r="P2300" s="45"/>
      <c r="Q2300" s="45"/>
      <c r="R2300" s="48">
        <f t="shared" si="291"/>
        <v>2.1713017490545603</v>
      </c>
      <c r="U2300" s="94">
        <v>3.1381532472535971</v>
      </c>
      <c r="V2300" s="105">
        <v>2.1713017490545603</v>
      </c>
      <c r="W2300" s="49">
        <f t="shared" si="289"/>
        <v>0.86549076545451997</v>
      </c>
    </row>
    <row r="2301" spans="1:23" hidden="1">
      <c r="A2301" s="22" t="s">
        <v>150</v>
      </c>
      <c r="B2301" s="23" t="s">
        <v>252</v>
      </c>
      <c r="C2301" s="28" t="s">
        <v>256</v>
      </c>
      <c r="D2301" s="23"/>
      <c r="H2301" s="104">
        <v>1346.3216202799999</v>
      </c>
      <c r="I2301" s="104"/>
      <c r="J2301" s="104"/>
      <c r="K2301" s="67">
        <v>176.54423061</v>
      </c>
      <c r="O2301" s="94">
        <f t="shared" si="290"/>
        <v>3.1291488200869511</v>
      </c>
      <c r="P2301" s="45"/>
      <c r="Q2301" s="45"/>
      <c r="R2301" s="48">
        <f t="shared" si="291"/>
        <v>2.2468535295729666</v>
      </c>
      <c r="U2301" s="94">
        <v>3.1291488200869511</v>
      </c>
      <c r="V2301" s="105">
        <v>2.2468535295729666</v>
      </c>
      <c r="W2301" s="49">
        <f t="shared" si="289"/>
        <v>0.79611896946333116</v>
      </c>
    </row>
    <row r="2302" spans="1:23" hidden="1">
      <c r="A2302" s="22" t="s">
        <v>150</v>
      </c>
      <c r="B2302" s="23" t="s">
        <v>252</v>
      </c>
      <c r="C2302" s="28" t="s">
        <v>256</v>
      </c>
      <c r="D2302" s="23"/>
      <c r="H2302" s="104">
        <v>1281.6149231100001</v>
      </c>
      <c r="I2302" s="104"/>
      <c r="J2302" s="104"/>
      <c r="K2302" s="67">
        <v>182.34795413000001</v>
      </c>
      <c r="O2302" s="94">
        <f t="shared" si="290"/>
        <v>3.1077575556897514</v>
      </c>
      <c r="P2302" s="45"/>
      <c r="Q2302" s="45"/>
      <c r="R2302" s="48">
        <f t="shared" si="291"/>
        <v>2.2609008950693994</v>
      </c>
      <c r="U2302" s="94">
        <v>3.1077575556897514</v>
      </c>
      <c r="V2302" s="105">
        <v>2.2609008950693994</v>
      </c>
      <c r="W2302" s="49">
        <f t="shared" si="289"/>
        <v>0.78912639742834922</v>
      </c>
    </row>
    <row r="2303" spans="1:23" hidden="1">
      <c r="A2303" s="22" t="s">
        <v>150</v>
      </c>
      <c r="B2303" s="23" t="s">
        <v>252</v>
      </c>
      <c r="C2303" s="28" t="s">
        <v>256</v>
      </c>
      <c r="D2303" s="23"/>
      <c r="H2303" s="104">
        <v>1139.2407219300001</v>
      </c>
      <c r="I2303" s="104"/>
      <c r="J2303" s="104"/>
      <c r="K2303" s="67">
        <v>193.23754018</v>
      </c>
      <c r="O2303" s="94">
        <f t="shared" si="290"/>
        <v>3.0566155003389617</v>
      </c>
      <c r="P2303" s="45"/>
      <c r="Q2303" s="45"/>
      <c r="R2303" s="48">
        <f t="shared" si="291"/>
        <v>2.2860915004919202</v>
      </c>
      <c r="U2303" s="94">
        <v>3.0566155003389617</v>
      </c>
      <c r="V2303" s="105">
        <v>2.2860915004919202</v>
      </c>
      <c r="W2303" s="49">
        <f t="shared" ref="W2303:W2366" si="292">0.9539*(4.064-0.314*U2303-V2303)</f>
        <v>0.7804153825879302</v>
      </c>
    </row>
    <row r="2304" spans="1:23" hidden="1">
      <c r="A2304" s="22" t="s">
        <v>150</v>
      </c>
      <c r="B2304" s="23" t="s">
        <v>252</v>
      </c>
      <c r="C2304" s="28" t="s">
        <v>256</v>
      </c>
      <c r="D2304" s="23"/>
      <c r="H2304" s="104">
        <v>1152.3363032100001</v>
      </c>
      <c r="I2304" s="104"/>
      <c r="J2304" s="104"/>
      <c r="K2304" s="67">
        <v>206.96113281999999</v>
      </c>
      <c r="O2304" s="94">
        <f t="shared" si="290"/>
        <v>3.0615792441163974</v>
      </c>
      <c r="P2304" s="45"/>
      <c r="Q2304" s="45"/>
      <c r="R2304" s="48">
        <f t="shared" si="291"/>
        <v>2.3158887928641141</v>
      </c>
      <c r="U2304" s="94">
        <v>3.0615792441163974</v>
      </c>
      <c r="V2304" s="105">
        <v>2.3158887928641141</v>
      </c>
      <c r="W2304" s="49">
        <f t="shared" si="292"/>
        <v>0.75050498202465521</v>
      </c>
    </row>
    <row r="2305" spans="1:23" hidden="1">
      <c r="A2305" s="22" t="s">
        <v>150</v>
      </c>
      <c r="B2305" s="23" t="s">
        <v>252</v>
      </c>
      <c r="C2305" s="28" t="s">
        <v>256</v>
      </c>
      <c r="D2305" s="23"/>
      <c r="H2305" s="104">
        <v>1196.3775891</v>
      </c>
      <c r="I2305" s="104"/>
      <c r="J2305" s="104"/>
      <c r="K2305" s="67">
        <v>206.94522194999999</v>
      </c>
      <c r="O2305" s="94">
        <f t="shared" si="290"/>
        <v>3.0778682691023733</v>
      </c>
      <c r="P2305" s="45"/>
      <c r="Q2305" s="45"/>
      <c r="R2305" s="48">
        <f t="shared" si="291"/>
        <v>2.3158554036543708</v>
      </c>
      <c r="U2305" s="94">
        <v>3.0778682691023733</v>
      </c>
      <c r="V2305" s="105">
        <v>2.3158554036543708</v>
      </c>
      <c r="W2305" s="49">
        <f t="shared" si="292"/>
        <v>0.74565786829851488</v>
      </c>
    </row>
    <row r="2306" spans="1:23" hidden="1">
      <c r="A2306" s="22" t="s">
        <v>150</v>
      </c>
      <c r="B2306" s="23" t="s">
        <v>252</v>
      </c>
      <c r="C2306" s="28" t="s">
        <v>256</v>
      </c>
      <c r="D2306" s="23"/>
      <c r="H2306" s="104">
        <v>1111.0578929400001</v>
      </c>
      <c r="I2306" s="104"/>
      <c r="J2306" s="104"/>
      <c r="K2306" s="67">
        <v>223.59454264999999</v>
      </c>
      <c r="O2306" s="94">
        <f t="shared" si="290"/>
        <v>3.0457366889402646</v>
      </c>
      <c r="P2306" s="45"/>
      <c r="Q2306" s="45"/>
      <c r="R2306" s="48">
        <f t="shared" si="291"/>
        <v>2.3494611993668255</v>
      </c>
      <c r="U2306" s="94">
        <v>3.0457366889402646</v>
      </c>
      <c r="V2306" s="105">
        <v>2.3494611993668255</v>
      </c>
      <c r="W2306" s="49">
        <f t="shared" si="292"/>
        <v>0.72322549846382789</v>
      </c>
    </row>
    <row r="2307" spans="1:23" hidden="1">
      <c r="A2307" s="22" t="s">
        <v>150</v>
      </c>
      <c r="B2307" s="23" t="s">
        <v>252</v>
      </c>
      <c r="C2307" s="28" t="s">
        <v>256</v>
      </c>
      <c r="D2307" s="23"/>
      <c r="H2307" s="104">
        <v>1080.05228857</v>
      </c>
      <c r="I2307" s="104"/>
      <c r="J2307" s="104"/>
      <c r="K2307" s="67">
        <v>231.55372098000001</v>
      </c>
      <c r="O2307" s="94">
        <f t="shared" si="290"/>
        <v>3.0334447814940906</v>
      </c>
      <c r="P2307" s="45"/>
      <c r="Q2307" s="45"/>
      <c r="R2307" s="48">
        <f t="shared" si="291"/>
        <v>2.3646517643327063</v>
      </c>
      <c r="U2307" s="94">
        <v>3.0334447814940906</v>
      </c>
      <c r="V2307" s="105">
        <v>2.3646517643327063</v>
      </c>
      <c r="W2307" s="49">
        <f t="shared" si="292"/>
        <v>0.71241694720392645</v>
      </c>
    </row>
    <row r="2308" spans="1:23" hidden="1">
      <c r="A2308" s="22" t="s">
        <v>150</v>
      </c>
      <c r="B2308" s="23" t="s">
        <v>252</v>
      </c>
      <c r="C2308" s="28" t="s">
        <v>256</v>
      </c>
      <c r="D2308" s="23"/>
      <c r="H2308" s="104">
        <v>976.27598416000001</v>
      </c>
      <c r="I2308" s="104"/>
      <c r="J2308" s="104"/>
      <c r="K2308" s="67">
        <v>217.14034536</v>
      </c>
      <c r="O2308" s="94">
        <f t="shared" si="290"/>
        <v>2.9895726060424663</v>
      </c>
      <c r="P2308" s="45"/>
      <c r="Q2308" s="45"/>
      <c r="R2308" s="48">
        <f t="shared" si="291"/>
        <v>2.3367405242343269</v>
      </c>
      <c r="U2308" s="94">
        <v>2.9895726060424663</v>
      </c>
      <c r="V2308" s="105">
        <v>2.3367405242343269</v>
      </c>
      <c r="W2308" s="49">
        <f t="shared" si="292"/>
        <v>0.75218227493704848</v>
      </c>
    </row>
    <row r="2309" spans="1:23" hidden="1">
      <c r="A2309" s="22" t="s">
        <v>150</v>
      </c>
      <c r="B2309" s="23" t="s">
        <v>252</v>
      </c>
      <c r="C2309" s="28" t="s">
        <v>256</v>
      </c>
      <c r="D2309" s="23"/>
      <c r="H2309" s="104">
        <v>883.10193422999998</v>
      </c>
      <c r="I2309" s="104"/>
      <c r="J2309" s="104"/>
      <c r="K2309" s="67">
        <v>225.84452673999999</v>
      </c>
      <c r="O2309" s="94">
        <f t="shared" si="290"/>
        <v>2.9460108359881585</v>
      </c>
      <c r="P2309" s="45"/>
      <c r="Q2309" s="45"/>
      <c r="R2309" s="48">
        <f t="shared" si="291"/>
        <v>2.3538095700560637</v>
      </c>
      <c r="U2309" s="94">
        <v>2.9460108359881585</v>
      </c>
      <c r="V2309" s="105">
        <v>2.3538095700560637</v>
      </c>
      <c r="W2309" s="49">
        <f t="shared" si="292"/>
        <v>0.74894793387850211</v>
      </c>
    </row>
    <row r="2310" spans="1:23" hidden="1">
      <c r="A2310" s="22" t="s">
        <v>150</v>
      </c>
      <c r="B2310" s="23" t="s">
        <v>252</v>
      </c>
      <c r="C2310" s="28" t="s">
        <v>256</v>
      </c>
      <c r="D2310" s="23"/>
      <c r="H2310" s="104">
        <v>833.79695843000002</v>
      </c>
      <c r="I2310" s="104"/>
      <c r="J2310" s="104"/>
      <c r="K2310" s="67">
        <v>217.91436235</v>
      </c>
      <c r="O2310" s="94">
        <f t="shared" si="290"/>
        <v>2.9210603065500811</v>
      </c>
      <c r="P2310" s="45"/>
      <c r="Q2310" s="45"/>
      <c r="R2310" s="48">
        <f t="shared" si="291"/>
        <v>2.338285854770334</v>
      </c>
      <c r="U2310" s="94">
        <v>2.9210603065500811</v>
      </c>
      <c r="V2310" s="105">
        <v>2.338285854770334</v>
      </c>
      <c r="W2310" s="49">
        <f t="shared" si="292"/>
        <v>0.77122930323928784</v>
      </c>
    </row>
    <row r="2311" spans="1:23" hidden="1">
      <c r="A2311" s="22" t="s">
        <v>150</v>
      </c>
      <c r="B2311" s="23" t="s">
        <v>252</v>
      </c>
      <c r="C2311" s="28" t="s">
        <v>256</v>
      </c>
      <c r="D2311" s="23"/>
      <c r="H2311" s="104">
        <v>776.85476543000004</v>
      </c>
      <c r="I2311" s="104"/>
      <c r="J2311" s="104"/>
      <c r="K2311" s="67">
        <v>222.99273742</v>
      </c>
      <c r="O2311" s="94">
        <f t="shared" si="290"/>
        <v>2.8903398341575106</v>
      </c>
      <c r="P2311" s="45"/>
      <c r="Q2311" s="45"/>
      <c r="R2311" s="48">
        <f t="shared" si="291"/>
        <v>2.3482907188787427</v>
      </c>
      <c r="U2311" s="94">
        <v>2.8903398341575106</v>
      </c>
      <c r="V2311" s="105">
        <v>2.3482907188787427</v>
      </c>
      <c r="W2311" s="49">
        <f t="shared" si="292"/>
        <v>0.77088720057147264</v>
      </c>
    </row>
    <row r="2312" spans="1:23" hidden="1">
      <c r="A2312" s="22" t="s">
        <v>150</v>
      </c>
      <c r="B2312" s="23" t="s">
        <v>252</v>
      </c>
      <c r="C2312" s="28" t="s">
        <v>256</v>
      </c>
      <c r="D2312" s="23"/>
      <c r="H2312" s="104">
        <v>776.94461504000003</v>
      </c>
      <c r="I2312" s="104"/>
      <c r="J2312" s="104"/>
      <c r="K2312" s="67">
        <v>231.66322518999999</v>
      </c>
      <c r="O2312" s="94">
        <f t="shared" si="290"/>
        <v>2.8903900609633109</v>
      </c>
      <c r="P2312" s="45"/>
      <c r="Q2312" s="45"/>
      <c r="R2312" s="48">
        <f t="shared" si="291"/>
        <v>2.3648570982499009</v>
      </c>
      <c r="U2312" s="94">
        <v>2.8903900609633109</v>
      </c>
      <c r="V2312" s="105">
        <v>2.3648570982499009</v>
      </c>
      <c r="W2312" s="49">
        <f t="shared" si="292"/>
        <v>0.75506948712540833</v>
      </c>
    </row>
    <row r="2313" spans="1:23" hidden="1">
      <c r="A2313" s="22" t="s">
        <v>150</v>
      </c>
      <c r="B2313" s="23" t="s">
        <v>252</v>
      </c>
      <c r="C2313" s="28" t="s">
        <v>256</v>
      </c>
      <c r="D2313" s="23"/>
      <c r="H2313" s="104">
        <v>722.57062351000002</v>
      </c>
      <c r="I2313" s="104"/>
      <c r="J2313" s="104"/>
      <c r="K2313" s="67">
        <v>234.57304239000001</v>
      </c>
      <c r="O2313" s="94">
        <f t="shared" si="290"/>
        <v>2.8588803011195707</v>
      </c>
      <c r="P2313" s="45"/>
      <c r="Q2313" s="45"/>
      <c r="R2313" s="48">
        <f t="shared" si="291"/>
        <v>2.3702781006440898</v>
      </c>
      <c r="U2313" s="94">
        <v>2.8588803011195707</v>
      </c>
      <c r="V2313" s="105">
        <v>2.3702781006440898</v>
      </c>
      <c r="W2313" s="49">
        <f t="shared" si="292"/>
        <v>0.7593363411548838</v>
      </c>
    </row>
    <row r="2314" spans="1:23" hidden="1">
      <c r="A2314" s="22" t="s">
        <v>150</v>
      </c>
      <c r="B2314" s="23" t="s">
        <v>252</v>
      </c>
      <c r="C2314" s="28" t="s">
        <v>256</v>
      </c>
      <c r="D2314" s="23"/>
      <c r="H2314" s="104">
        <v>673.34800986000005</v>
      </c>
      <c r="I2314" s="104"/>
      <c r="J2314" s="104"/>
      <c r="K2314" s="67">
        <v>234.59082512000001</v>
      </c>
      <c r="O2314" s="94">
        <f t="shared" si="290"/>
        <v>2.8282395808632188</v>
      </c>
      <c r="P2314" s="45"/>
      <c r="Q2314" s="45"/>
      <c r="R2314" s="48">
        <f t="shared" si="291"/>
        <v>2.3703110227936866</v>
      </c>
      <c r="U2314" s="94">
        <v>2.8282395808632188</v>
      </c>
      <c r="V2314" s="105">
        <v>2.3703110227936866</v>
      </c>
      <c r="W2314" s="49">
        <f t="shared" si="292"/>
        <v>0.76848258619487941</v>
      </c>
    </row>
    <row r="2315" spans="1:23" hidden="1">
      <c r="A2315" s="22" t="s">
        <v>150</v>
      </c>
      <c r="B2315" s="23" t="s">
        <v>252</v>
      </c>
      <c r="C2315" s="28" t="s">
        <v>256</v>
      </c>
      <c r="D2315" s="23"/>
      <c r="H2315" s="104">
        <v>590.42430340999999</v>
      </c>
      <c r="I2315" s="104"/>
      <c r="J2315" s="104"/>
      <c r="K2315" s="67">
        <v>232.45315305</v>
      </c>
      <c r="O2315" s="94">
        <f t="shared" si="290"/>
        <v>2.7711642258807356</v>
      </c>
      <c r="P2315" s="45"/>
      <c r="Q2315" s="45"/>
      <c r="R2315" s="48">
        <f t="shared" si="291"/>
        <v>2.3663354414329758</v>
      </c>
      <c r="U2315" s="94">
        <v>2.7711642258807356</v>
      </c>
      <c r="V2315" s="105">
        <v>2.3663354414329758</v>
      </c>
      <c r="W2315" s="49">
        <f t="shared" si="292"/>
        <v>0.78937036612584743</v>
      </c>
    </row>
    <row r="2316" spans="1:23" hidden="1">
      <c r="A2316" s="22" t="s">
        <v>150</v>
      </c>
      <c r="B2316" s="23" t="s">
        <v>252</v>
      </c>
      <c r="C2316" s="28" t="s">
        <v>256</v>
      </c>
      <c r="D2316" s="23"/>
      <c r="H2316" s="104">
        <v>587.99087636000002</v>
      </c>
      <c r="I2316" s="104"/>
      <c r="J2316" s="104"/>
      <c r="K2316" s="67">
        <v>247.62744258999999</v>
      </c>
      <c r="O2316" s="94">
        <f t="shared" si="290"/>
        <v>2.7693705873393224</v>
      </c>
      <c r="P2316" s="45"/>
      <c r="Q2316" s="45"/>
      <c r="R2316" s="48">
        <f t="shared" si="291"/>
        <v>2.3937987724360599</v>
      </c>
      <c r="U2316" s="94">
        <v>2.7693705873393224</v>
      </c>
      <c r="V2316" s="105">
        <v>2.3937987724360599</v>
      </c>
      <c r="W2316" s="49">
        <f t="shared" si="292"/>
        <v>0.76371033354866691</v>
      </c>
    </row>
    <row r="2317" spans="1:23" hidden="1">
      <c r="A2317" s="22" t="s">
        <v>150</v>
      </c>
      <c r="B2317" s="23" t="s">
        <v>252</v>
      </c>
      <c r="C2317" s="28" t="s">
        <v>256</v>
      </c>
      <c r="D2317" s="23"/>
      <c r="H2317" s="104">
        <v>634.78006296000001</v>
      </c>
      <c r="I2317" s="104"/>
      <c r="J2317" s="104"/>
      <c r="K2317" s="67">
        <v>262.78394938000002</v>
      </c>
      <c r="O2317" s="94">
        <f t="shared" si="290"/>
        <v>2.802623278066382</v>
      </c>
      <c r="P2317" s="45"/>
      <c r="Q2317" s="45"/>
      <c r="R2317" s="48">
        <f t="shared" si="291"/>
        <v>2.4195988353604414</v>
      </c>
      <c r="U2317" s="94">
        <v>2.802623278066382</v>
      </c>
      <c r="V2317" s="105">
        <v>2.4195988353604414</v>
      </c>
      <c r="W2317" s="49">
        <f t="shared" si="292"/>
        <v>0.72913965463615305</v>
      </c>
    </row>
    <row r="2318" spans="1:23" hidden="1">
      <c r="A2318" s="22" t="s">
        <v>150</v>
      </c>
      <c r="B2318" s="23" t="s">
        <v>252</v>
      </c>
      <c r="C2318" s="28" t="s">
        <v>256</v>
      </c>
      <c r="D2318" s="23"/>
      <c r="H2318" s="104">
        <v>666.13757831999999</v>
      </c>
      <c r="I2318" s="104"/>
      <c r="J2318" s="104"/>
      <c r="K2318" s="67">
        <v>288.78418148999998</v>
      </c>
      <c r="O2318" s="94">
        <f t="shared" si="290"/>
        <v>2.8235639338770677</v>
      </c>
      <c r="P2318" s="45"/>
      <c r="Q2318" s="45"/>
      <c r="R2318" s="48">
        <f t="shared" si="291"/>
        <v>2.460573400532799</v>
      </c>
      <c r="U2318" s="94">
        <v>2.8235639338770677</v>
      </c>
      <c r="V2318" s="105">
        <v>2.460573400532799</v>
      </c>
      <c r="W2318" s="49">
        <f t="shared" si="292"/>
        <v>0.68378177536280782</v>
      </c>
    </row>
    <row r="2319" spans="1:23" hidden="1">
      <c r="A2319" s="22" t="s">
        <v>150</v>
      </c>
      <c r="B2319" s="23" t="s">
        <v>252</v>
      </c>
      <c r="C2319" s="28" t="s">
        <v>256</v>
      </c>
      <c r="D2319" s="23"/>
      <c r="H2319" s="104">
        <v>691.93939252999996</v>
      </c>
      <c r="I2319" s="104"/>
      <c r="J2319" s="104"/>
      <c r="K2319" s="67">
        <v>278.65925308999999</v>
      </c>
      <c r="O2319" s="94">
        <f t="shared" si="290"/>
        <v>2.840068055956023</v>
      </c>
      <c r="P2319" s="45"/>
      <c r="Q2319" s="45"/>
      <c r="R2319" s="48">
        <f t="shared" si="291"/>
        <v>2.4450734687064379</v>
      </c>
      <c r="U2319" s="94">
        <v>2.840068055956023</v>
      </c>
      <c r="V2319" s="105">
        <v>2.4450734687064379</v>
      </c>
      <c r="W2319" s="49">
        <f t="shared" si="292"/>
        <v>0.69362376976792339</v>
      </c>
    </row>
    <row r="2320" spans="1:23" hidden="1">
      <c r="A2320" s="22" t="s">
        <v>150</v>
      </c>
      <c r="B2320" s="23" t="s">
        <v>252</v>
      </c>
      <c r="C2320" s="28" t="s">
        <v>256</v>
      </c>
      <c r="D2320" s="23"/>
      <c r="H2320" s="104">
        <v>730.95658749999996</v>
      </c>
      <c r="I2320" s="104"/>
      <c r="J2320" s="104"/>
      <c r="K2320" s="67">
        <v>293.81856769000001</v>
      </c>
      <c r="O2320" s="94">
        <f t="shared" si="290"/>
        <v>2.8638915843873254</v>
      </c>
      <c r="P2320" s="45"/>
      <c r="Q2320" s="45"/>
      <c r="R2320" s="48">
        <f t="shared" si="291"/>
        <v>2.4680792373034834</v>
      </c>
      <c r="U2320" s="94">
        <v>2.8638915843873254</v>
      </c>
      <c r="V2320" s="105">
        <v>2.4680792373034834</v>
      </c>
      <c r="W2320" s="49">
        <f t="shared" si="292"/>
        <v>0.66454283427922756</v>
      </c>
    </row>
    <row r="2321" spans="1:23" hidden="1">
      <c r="A2321" s="22" t="s">
        <v>150</v>
      </c>
      <c r="B2321" s="23" t="s">
        <v>252</v>
      </c>
      <c r="C2321" s="28" t="s">
        <v>256</v>
      </c>
      <c r="D2321" s="23"/>
      <c r="H2321" s="104">
        <v>733.36755215000005</v>
      </c>
      <c r="I2321" s="104"/>
      <c r="J2321" s="104"/>
      <c r="K2321" s="67">
        <v>276.47665620999999</v>
      </c>
      <c r="O2321" s="94">
        <f t="shared" si="290"/>
        <v>2.8653216906887393</v>
      </c>
      <c r="P2321" s="45"/>
      <c r="Q2321" s="45"/>
      <c r="R2321" s="48">
        <f t="shared" si="291"/>
        <v>2.4416584683453588</v>
      </c>
      <c r="U2321" s="94">
        <v>2.8653216906887393</v>
      </c>
      <c r="V2321" s="105">
        <v>2.4416584683453588</v>
      </c>
      <c r="W2321" s="49">
        <f t="shared" si="292"/>
        <v>0.6893172537704938</v>
      </c>
    </row>
    <row r="2322" spans="1:23" hidden="1">
      <c r="A2322" s="22" t="s">
        <v>150</v>
      </c>
      <c r="B2322" s="23" t="s">
        <v>252</v>
      </c>
      <c r="C2322" s="28" t="s">
        <v>256</v>
      </c>
      <c r="D2322" s="23"/>
      <c r="H2322" s="104">
        <v>346.99923611999998</v>
      </c>
      <c r="I2322" s="104"/>
      <c r="J2322" s="104"/>
      <c r="K2322" s="67">
        <v>241.93415922</v>
      </c>
      <c r="O2322" s="94">
        <f t="shared" si="290"/>
        <v>2.5403285187412079</v>
      </c>
      <c r="P2322" s="45"/>
      <c r="Q2322" s="45"/>
      <c r="R2322" s="48">
        <f t="shared" si="291"/>
        <v>2.3836971916913474</v>
      </c>
      <c r="U2322" s="94">
        <v>2.5403285187412079</v>
      </c>
      <c r="V2322" s="105">
        <v>2.3836971916913474</v>
      </c>
      <c r="W2322" s="49">
        <f t="shared" si="292"/>
        <v>0.84194996540107092</v>
      </c>
    </row>
    <row r="2323" spans="1:23" hidden="1">
      <c r="A2323" s="22" t="s">
        <v>150</v>
      </c>
      <c r="B2323" s="23" t="s">
        <v>252</v>
      </c>
      <c r="C2323" s="28" t="s">
        <v>256</v>
      </c>
      <c r="D2323" s="23"/>
      <c r="H2323" s="104">
        <v>316.12840617000001</v>
      </c>
      <c r="I2323" s="104"/>
      <c r="J2323" s="104"/>
      <c r="K2323" s="67">
        <v>262.89906919999999</v>
      </c>
      <c r="O2323" s="94">
        <f t="shared" si="290"/>
        <v>2.4998635217446825</v>
      </c>
      <c r="P2323" s="45"/>
      <c r="Q2323" s="45"/>
      <c r="R2323" s="48">
        <f t="shared" si="291"/>
        <v>2.419789048479815</v>
      </c>
      <c r="U2323" s="94">
        <v>2.4998635217446825</v>
      </c>
      <c r="V2323" s="105">
        <v>2.419789048479815</v>
      </c>
      <c r="W2323" s="49">
        <f t="shared" si="292"/>
        <v>0.81964220524993725</v>
      </c>
    </row>
    <row r="2324" spans="1:23" hidden="1">
      <c r="A2324" s="22" t="s">
        <v>150</v>
      </c>
      <c r="B2324" s="23" t="s">
        <v>252</v>
      </c>
      <c r="C2324" s="28" t="s">
        <v>256</v>
      </c>
      <c r="D2324" s="23"/>
      <c r="H2324" s="104">
        <v>349.91934858000002</v>
      </c>
      <c r="I2324" s="104"/>
      <c r="J2324" s="104"/>
      <c r="K2324" s="67">
        <v>273.72501177999999</v>
      </c>
      <c r="O2324" s="94">
        <f t="shared" si="290"/>
        <v>2.5439679571991212</v>
      </c>
      <c r="P2324" s="45"/>
      <c r="Q2324" s="45"/>
      <c r="R2324" s="48">
        <f t="shared" si="291"/>
        <v>2.4373144831307627</v>
      </c>
      <c r="U2324" s="94">
        <v>2.5439679571991212</v>
      </c>
      <c r="V2324" s="105">
        <v>2.4373144831307627</v>
      </c>
      <c r="W2324" s="49">
        <f t="shared" si="292"/>
        <v>0.7897143297486815</v>
      </c>
    </row>
    <row r="2325" spans="1:23" hidden="1">
      <c r="A2325" s="22" t="s">
        <v>150</v>
      </c>
      <c r="B2325" s="23" t="s">
        <v>252</v>
      </c>
      <c r="C2325" s="28" t="s">
        <v>256</v>
      </c>
      <c r="D2325" s="23"/>
      <c r="H2325" s="104">
        <v>243.68715472</v>
      </c>
      <c r="I2325" s="104"/>
      <c r="J2325" s="104"/>
      <c r="K2325" s="67">
        <v>272.31830375999999</v>
      </c>
      <c r="O2325" s="94">
        <f t="shared" si="290"/>
        <v>2.3868326371812327</v>
      </c>
      <c r="P2325" s="45"/>
      <c r="Q2325" s="45"/>
      <c r="R2325" s="48">
        <f t="shared" si="291"/>
        <v>2.435076833241574</v>
      </c>
      <c r="U2325" s="94">
        <v>2.3868326371812327</v>
      </c>
      <c r="V2325" s="105">
        <v>2.435076833241574</v>
      </c>
      <c r="W2325" s="49">
        <f t="shared" si="292"/>
        <v>0.83891471785220861</v>
      </c>
    </row>
    <row r="2326" spans="1:23" hidden="1">
      <c r="A2326" s="22" t="s">
        <v>150</v>
      </c>
      <c r="B2326" s="23" t="s">
        <v>252</v>
      </c>
      <c r="C2326" s="28" t="s">
        <v>256</v>
      </c>
      <c r="D2326" s="23"/>
      <c r="H2326" s="104">
        <v>215.45940092000001</v>
      </c>
      <c r="I2326" s="104"/>
      <c r="J2326" s="104"/>
      <c r="K2326" s="67">
        <v>298.34006233999997</v>
      </c>
      <c r="O2326" s="94">
        <f t="shared" si="290"/>
        <v>2.3333654479653934</v>
      </c>
      <c r="P2326" s="45"/>
      <c r="Q2326" s="45"/>
      <c r="R2326" s="48">
        <f t="shared" si="291"/>
        <v>2.4747115761409657</v>
      </c>
      <c r="U2326" s="94">
        <v>2.3333654479653934</v>
      </c>
      <c r="V2326" s="105">
        <v>2.4747115761409657</v>
      </c>
      <c r="W2326" s="49">
        <f t="shared" si="292"/>
        <v>0.81712187506347778</v>
      </c>
    </row>
    <row r="2327" spans="1:23" hidden="1">
      <c r="A2327" s="22" t="s">
        <v>150</v>
      </c>
      <c r="B2327" s="23" t="s">
        <v>252</v>
      </c>
      <c r="C2327" s="28" t="s">
        <v>256</v>
      </c>
      <c r="D2327" s="23"/>
      <c r="H2327" s="104">
        <v>327.39704528999999</v>
      </c>
      <c r="I2327" s="104"/>
      <c r="J2327" s="104"/>
      <c r="K2327" s="67">
        <v>350.32274382999998</v>
      </c>
      <c r="O2327" s="94">
        <f t="shared" si="290"/>
        <v>2.5150747556500246</v>
      </c>
      <c r="P2327" s="45"/>
      <c r="Q2327" s="45"/>
      <c r="R2327" s="48">
        <f t="shared" si="291"/>
        <v>2.5444683337185565</v>
      </c>
      <c r="U2327" s="94">
        <v>2.5150747556500246</v>
      </c>
      <c r="V2327" s="105">
        <v>2.5444683337185565</v>
      </c>
      <c r="W2327" s="49">
        <f t="shared" si="292"/>
        <v>0.69615449630969739</v>
      </c>
    </row>
    <row r="2328" spans="1:23" hidden="1">
      <c r="A2328" s="22" t="s">
        <v>150</v>
      </c>
      <c r="B2328" s="23" t="s">
        <v>252</v>
      </c>
      <c r="C2328" s="28" t="s">
        <v>256</v>
      </c>
      <c r="D2328" s="23"/>
      <c r="H2328" s="104">
        <v>425.43046185999998</v>
      </c>
      <c r="I2328" s="104"/>
      <c r="J2328" s="104"/>
      <c r="K2328" s="67">
        <v>310.54744274000001</v>
      </c>
      <c r="O2328" s="94">
        <f t="shared" si="290"/>
        <v>2.6288285832255394</v>
      </c>
      <c r="P2328" s="45"/>
      <c r="Q2328" s="45"/>
      <c r="R2328" s="48">
        <f t="shared" si="291"/>
        <v>2.4921279573185537</v>
      </c>
      <c r="U2328" s="94">
        <v>2.6288285832255394</v>
      </c>
      <c r="V2328" s="105">
        <v>2.4921279573185537</v>
      </c>
      <c r="W2328" s="49">
        <f t="shared" si="292"/>
        <v>0.71200991165463534</v>
      </c>
    </row>
    <row r="2329" spans="1:23" hidden="1">
      <c r="A2329" s="22" t="s">
        <v>150</v>
      </c>
      <c r="B2329" s="23" t="s">
        <v>252</v>
      </c>
      <c r="C2329" s="28" t="s">
        <v>256</v>
      </c>
      <c r="D2329" s="23"/>
      <c r="H2329" s="104">
        <v>430.43209037999998</v>
      </c>
      <c r="I2329" s="104"/>
      <c r="J2329" s="104"/>
      <c r="K2329" s="67">
        <v>293.20459533000002</v>
      </c>
      <c r="O2329" s="94">
        <f t="shared" si="290"/>
        <v>2.6339046422016104</v>
      </c>
      <c r="P2329" s="45"/>
      <c r="Q2329" s="45"/>
      <c r="R2329" s="48">
        <f t="shared" si="291"/>
        <v>2.4671707726226448</v>
      </c>
      <c r="U2329" s="94">
        <v>2.6339046422016104</v>
      </c>
      <c r="V2329" s="105">
        <v>2.4671707726226448</v>
      </c>
      <c r="W2329" s="49">
        <f t="shared" si="292"/>
        <v>0.73429616560167865</v>
      </c>
    </row>
    <row r="2330" spans="1:23" hidden="1">
      <c r="A2330" s="22" t="s">
        <v>150</v>
      </c>
      <c r="B2330" s="23" t="s">
        <v>252</v>
      </c>
      <c r="C2330" s="28" t="s">
        <v>256</v>
      </c>
      <c r="D2330" s="23"/>
      <c r="H2330" s="104">
        <v>529.25169106999999</v>
      </c>
      <c r="I2330" s="104"/>
      <c r="J2330" s="104"/>
      <c r="K2330" s="67">
        <v>329.29606223000002</v>
      </c>
      <c r="O2330" s="94">
        <f t="shared" si="290"/>
        <v>2.7236622543554954</v>
      </c>
      <c r="P2330" s="45"/>
      <c r="Q2330" s="45"/>
      <c r="R2330" s="48">
        <f t="shared" si="291"/>
        <v>2.5175865373866508</v>
      </c>
      <c r="U2330" s="94">
        <v>2.7236622543554954</v>
      </c>
      <c r="V2330" s="105">
        <v>2.5175865373866508</v>
      </c>
      <c r="W2330" s="49">
        <f t="shared" si="292"/>
        <v>0.65931995471594562</v>
      </c>
    </row>
    <row r="2331" spans="1:23" hidden="1">
      <c r="A2331" s="22" t="s">
        <v>150</v>
      </c>
      <c r="B2331" s="23" t="s">
        <v>252</v>
      </c>
      <c r="C2331" s="28" t="s">
        <v>256</v>
      </c>
      <c r="D2331" s="23"/>
      <c r="H2331" s="104">
        <v>614.63877444000002</v>
      </c>
      <c r="I2331" s="104"/>
      <c r="J2331" s="104"/>
      <c r="K2331" s="67">
        <v>319.14960736</v>
      </c>
      <c r="O2331" s="94">
        <f t="shared" si="290"/>
        <v>2.7886199542186993</v>
      </c>
      <c r="P2331" s="45"/>
      <c r="Q2331" s="45"/>
      <c r="R2331" s="48">
        <f t="shared" si="291"/>
        <v>2.5039943144669357</v>
      </c>
      <c r="U2331" s="94">
        <v>2.7886199542186993</v>
      </c>
      <c r="V2331" s="105">
        <v>2.5039943144669357</v>
      </c>
      <c r="W2331" s="49">
        <f t="shared" si="292"/>
        <v>0.65282914709061601</v>
      </c>
    </row>
    <row r="2332" spans="1:23" hidden="1">
      <c r="A2332" s="22" t="s">
        <v>150</v>
      </c>
      <c r="B2332" s="23" t="s">
        <v>252</v>
      </c>
      <c r="C2332" s="28" t="s">
        <v>256</v>
      </c>
      <c r="D2332" s="23"/>
      <c r="H2332" s="104">
        <v>1029.45198084</v>
      </c>
      <c r="I2332" s="104"/>
      <c r="J2332" s="104"/>
      <c r="K2332" s="67">
        <v>348.62402456000001</v>
      </c>
      <c r="O2332" s="94">
        <f t="shared" si="290"/>
        <v>3.012606093603309</v>
      </c>
      <c r="P2332" s="45"/>
      <c r="Q2332" s="45"/>
      <c r="R2332" s="48">
        <f t="shared" si="291"/>
        <v>2.5423573121323293</v>
      </c>
      <c r="U2332" s="94">
        <v>3.012606093603309</v>
      </c>
      <c r="V2332" s="105">
        <v>2.5423573121323293</v>
      </c>
      <c r="W2332" s="49">
        <f t="shared" si="292"/>
        <v>0.54914532481287737</v>
      </c>
    </row>
    <row r="2333" spans="1:23" hidden="1">
      <c r="A2333" s="22" t="s">
        <v>150</v>
      </c>
      <c r="B2333" s="23" t="s">
        <v>252</v>
      </c>
      <c r="C2333" s="28" t="s">
        <v>256</v>
      </c>
      <c r="D2333" s="23"/>
      <c r="H2333" s="104">
        <v>847.32681284</v>
      </c>
      <c r="I2333" s="104"/>
      <c r="J2333" s="104"/>
      <c r="K2333" s="67">
        <v>273.54531255000001</v>
      </c>
      <c r="O2333" s="94">
        <f t="shared" si="290"/>
        <v>2.9280509494544602</v>
      </c>
      <c r="P2333" s="45"/>
      <c r="Q2333" s="45"/>
      <c r="R2333" s="48">
        <f t="shared" si="291"/>
        <v>2.4370292771426922</v>
      </c>
      <c r="U2333" s="94">
        <v>2.9280509494544602</v>
      </c>
      <c r="V2333" s="105">
        <v>2.4370292771426922</v>
      </c>
      <c r="W2333" s="49">
        <f t="shared" si="292"/>
        <v>0.67494408311861831</v>
      </c>
    </row>
    <row r="2334" spans="1:23" hidden="1">
      <c r="A2334" s="22" t="s">
        <v>150</v>
      </c>
      <c r="B2334" s="23" t="s">
        <v>252</v>
      </c>
      <c r="C2334" s="28" t="s">
        <v>256</v>
      </c>
      <c r="D2334" s="23"/>
      <c r="H2334" s="104">
        <v>818.75463551999997</v>
      </c>
      <c r="I2334" s="104"/>
      <c r="J2334" s="104"/>
      <c r="K2334" s="67">
        <v>266.33020133999997</v>
      </c>
      <c r="O2334" s="94">
        <f t="shared" si="290"/>
        <v>2.9131537718396046</v>
      </c>
      <c r="P2334" s="45"/>
      <c r="Q2334" s="45"/>
      <c r="R2334" s="48">
        <f t="shared" si="291"/>
        <v>2.4254204174025147</v>
      </c>
      <c r="U2334" s="94">
        <v>2.9131537718396046</v>
      </c>
      <c r="V2334" s="105">
        <v>2.4254204174025147</v>
      </c>
      <c r="W2334" s="49">
        <f t="shared" si="292"/>
        <v>0.69047984559099262</v>
      </c>
    </row>
    <row r="2335" spans="1:23" hidden="1">
      <c r="A2335" s="22" t="s">
        <v>150</v>
      </c>
      <c r="B2335" s="23" t="s">
        <v>252</v>
      </c>
      <c r="C2335" s="28" t="s">
        <v>256</v>
      </c>
      <c r="D2335" s="23"/>
      <c r="H2335" s="104">
        <v>896.48952674999998</v>
      </c>
      <c r="I2335" s="104"/>
      <c r="J2335" s="104"/>
      <c r="K2335" s="67">
        <v>267.74720463</v>
      </c>
      <c r="O2335" s="94">
        <f t="shared" si="290"/>
        <v>2.952545220277174</v>
      </c>
      <c r="P2335" s="45"/>
      <c r="Q2335" s="45"/>
      <c r="R2335" s="48">
        <f t="shared" si="291"/>
        <v>2.4277249453485124</v>
      </c>
      <c r="U2335" s="94">
        <v>2.952545220277174</v>
      </c>
      <c r="V2335" s="105">
        <v>2.4277249453485124</v>
      </c>
      <c r="W2335" s="49">
        <f t="shared" si="292"/>
        <v>0.67648284854662155</v>
      </c>
    </row>
    <row r="2336" spans="1:23" hidden="1">
      <c r="A2336" s="22" t="s">
        <v>150</v>
      </c>
      <c r="B2336" s="23" t="s">
        <v>252</v>
      </c>
      <c r="C2336" s="28" t="s">
        <v>256</v>
      </c>
      <c r="D2336" s="23"/>
      <c r="H2336" s="104">
        <v>1259.31724386</v>
      </c>
      <c r="I2336" s="104"/>
      <c r="J2336" s="104"/>
      <c r="K2336" s="67">
        <v>280.62190559999999</v>
      </c>
      <c r="O2336" s="94">
        <f t="shared" si="290"/>
        <v>3.1001351502048582</v>
      </c>
      <c r="P2336" s="45"/>
      <c r="Q2336" s="45"/>
      <c r="R2336" s="48">
        <f t="shared" si="291"/>
        <v>2.448121569436025</v>
      </c>
      <c r="U2336" s="94">
        <v>3.1001351502048582</v>
      </c>
      <c r="V2336" s="105">
        <v>2.448121569436025</v>
      </c>
      <c r="W2336" s="49">
        <f t="shared" si="292"/>
        <v>0.61281969410392567</v>
      </c>
    </row>
    <row r="2337" spans="1:23" hidden="1">
      <c r="A2337" s="22" t="s">
        <v>150</v>
      </c>
      <c r="B2337" s="23" t="s">
        <v>252</v>
      </c>
      <c r="C2337" s="28" t="s">
        <v>256</v>
      </c>
      <c r="D2337" s="23"/>
      <c r="H2337" s="104">
        <v>1266.63249995</v>
      </c>
      <c r="I2337" s="104"/>
      <c r="J2337" s="104"/>
      <c r="K2337" s="67">
        <v>236.54411830000001</v>
      </c>
      <c r="O2337" s="94">
        <f t="shared" si="290"/>
        <v>3.1026506271998002</v>
      </c>
      <c r="P2337" s="45"/>
      <c r="Q2337" s="45"/>
      <c r="R2337" s="48">
        <f t="shared" si="291"/>
        <v>2.3739121537305508</v>
      </c>
      <c r="U2337" s="94">
        <v>3.1026506271998002</v>
      </c>
      <c r="V2337" s="105">
        <v>2.3739121537305508</v>
      </c>
      <c r="W2337" s="49">
        <f t="shared" si="292"/>
        <v>0.68285460850465818</v>
      </c>
    </row>
    <row r="2338" spans="1:23" hidden="1">
      <c r="A2338" s="22" t="s">
        <v>150</v>
      </c>
      <c r="B2338" s="23" t="s">
        <v>252</v>
      </c>
      <c r="C2338" s="28" t="s">
        <v>256</v>
      </c>
      <c r="D2338" s="23"/>
      <c r="H2338" s="104">
        <v>1351.17349945</v>
      </c>
      <c r="I2338" s="104"/>
      <c r="J2338" s="104"/>
      <c r="K2338" s="67">
        <v>394.75057025000001</v>
      </c>
      <c r="O2338" s="94">
        <f t="shared" si="290"/>
        <v>3.1307111188339003</v>
      </c>
      <c r="P2338" s="45"/>
      <c r="Q2338" s="45"/>
      <c r="R2338" s="48">
        <f t="shared" si="291"/>
        <v>2.596322766055251</v>
      </c>
      <c r="U2338" s="94">
        <v>3.1307111188339003</v>
      </c>
      <c r="V2338" s="105">
        <v>2.596322766055251</v>
      </c>
      <c r="W2338" s="49">
        <f t="shared" si="292"/>
        <v>0.46229231787561981</v>
      </c>
    </row>
    <row r="2339" spans="1:23" hidden="1">
      <c r="A2339" s="22" t="s">
        <v>150</v>
      </c>
      <c r="B2339" s="23" t="s">
        <v>252</v>
      </c>
      <c r="C2339" s="28" t="s">
        <v>256</v>
      </c>
      <c r="D2339" s="23"/>
      <c r="H2339" s="104">
        <v>1627.6707122400001</v>
      </c>
      <c r="I2339" s="104"/>
      <c r="J2339" s="104"/>
      <c r="K2339" s="67">
        <v>326.73160449</v>
      </c>
      <c r="O2339" s="94">
        <f t="shared" si="290"/>
        <v>3.2115665490041443</v>
      </c>
      <c r="P2339" s="45"/>
      <c r="Q2339" s="45"/>
      <c r="R2339" s="48">
        <f t="shared" si="291"/>
        <v>2.5141911454694781</v>
      </c>
      <c r="U2339" s="94">
        <v>3.2115665490041443</v>
      </c>
      <c r="V2339" s="105">
        <v>2.5141911454694781</v>
      </c>
      <c r="W2339" s="49">
        <f t="shared" si="292"/>
        <v>0.51641948037281837</v>
      </c>
    </row>
    <row r="2340" spans="1:23" hidden="1">
      <c r="A2340" s="22" t="s">
        <v>150</v>
      </c>
      <c r="B2340" s="23" t="s">
        <v>252</v>
      </c>
      <c r="C2340" s="28" t="s">
        <v>256</v>
      </c>
      <c r="D2340" s="23"/>
      <c r="H2340" s="104">
        <v>1570.2867586299999</v>
      </c>
      <c r="I2340" s="104"/>
      <c r="J2340" s="104"/>
      <c r="K2340" s="67">
        <v>289.18008135999997</v>
      </c>
      <c r="O2340" s="94">
        <f t="shared" si="290"/>
        <v>3.1959789685357953</v>
      </c>
      <c r="P2340" s="45"/>
      <c r="Q2340" s="45"/>
      <c r="R2340" s="48">
        <f t="shared" si="291"/>
        <v>2.4611683755749274</v>
      </c>
      <c r="U2340" s="94">
        <v>3.1959789685357953</v>
      </c>
      <c r="V2340" s="105">
        <v>2.4611683755749274</v>
      </c>
      <c r="W2340" s="49">
        <f t="shared" si="292"/>
        <v>0.57166676437997999</v>
      </c>
    </row>
    <row r="2341" spans="1:23" hidden="1">
      <c r="A2341" s="22" t="s">
        <v>150</v>
      </c>
      <c r="B2341" s="23" t="s">
        <v>252</v>
      </c>
      <c r="C2341" s="28" t="s">
        <v>256</v>
      </c>
      <c r="D2341" s="23"/>
      <c r="H2341" s="104">
        <v>1551.6429636800001</v>
      </c>
      <c r="I2341" s="104"/>
      <c r="J2341" s="104"/>
      <c r="K2341" s="67">
        <v>240.05386884999999</v>
      </c>
      <c r="O2341" s="94">
        <f t="shared" si="290"/>
        <v>3.1907917963410246</v>
      </c>
      <c r="P2341" s="45"/>
      <c r="Q2341" s="45"/>
      <c r="R2341" s="48">
        <f t="shared" si="291"/>
        <v>2.3803087097080859</v>
      </c>
      <c r="U2341" s="94">
        <v>3.1907917963410246</v>
      </c>
      <c r="V2341" s="105">
        <v>2.3803087097080859</v>
      </c>
      <c r="W2341" s="49">
        <f t="shared" si="292"/>
        <v>0.65035248532712997</v>
      </c>
    </row>
    <row r="2342" spans="1:23" hidden="1">
      <c r="A2342" s="22" t="s">
        <v>150</v>
      </c>
      <c r="B2342" s="23" t="s">
        <v>252</v>
      </c>
      <c r="C2342" s="28" t="s">
        <v>256</v>
      </c>
      <c r="D2342" s="23"/>
      <c r="H2342" s="104">
        <v>1845.2565279800001</v>
      </c>
      <c r="I2342" s="104"/>
      <c r="J2342" s="104"/>
      <c r="K2342" s="67">
        <v>323.76282349000002</v>
      </c>
      <c r="O2342" s="94">
        <f t="shared" si="290"/>
        <v>3.2660567504093221</v>
      </c>
      <c r="P2342" s="45"/>
      <c r="Q2342" s="45"/>
      <c r="R2342" s="48">
        <f t="shared" si="291"/>
        <v>2.5102269788210561</v>
      </c>
      <c r="U2342" s="94">
        <v>3.2660567504093221</v>
      </c>
      <c r="V2342" s="105">
        <v>2.5102269788210561</v>
      </c>
      <c r="W2342" s="49">
        <f t="shared" si="292"/>
        <v>0.50387974315894246</v>
      </c>
    </row>
    <row r="2343" spans="1:23" hidden="1">
      <c r="A2343" s="22" t="s">
        <v>150</v>
      </c>
      <c r="B2343" s="23" t="s">
        <v>252</v>
      </c>
      <c r="C2343" s="28" t="s">
        <v>256</v>
      </c>
      <c r="D2343" s="23"/>
      <c r="H2343" s="104">
        <v>1893.2736593100001</v>
      </c>
      <c r="I2343" s="104"/>
      <c r="J2343" s="104"/>
      <c r="K2343" s="67">
        <v>207.41599649</v>
      </c>
      <c r="O2343" s="94">
        <f t="shared" si="290"/>
        <v>3.2772133926951592</v>
      </c>
      <c r="P2343" s="45"/>
      <c r="Q2343" s="45"/>
      <c r="R2343" s="48">
        <f t="shared" si="291"/>
        <v>2.3168422473251384</v>
      </c>
      <c r="U2343" s="94">
        <v>3.2772133926951592</v>
      </c>
      <c r="V2343" s="105">
        <v>2.3168422473251384</v>
      </c>
      <c r="W2343" s="49">
        <f t="shared" si="292"/>
        <v>0.68500774971489009</v>
      </c>
    </row>
    <row r="2344" spans="1:23" hidden="1">
      <c r="A2344" s="22" t="s">
        <v>150</v>
      </c>
      <c r="B2344" s="23" t="s">
        <v>252</v>
      </c>
      <c r="C2344" s="28" t="s">
        <v>256</v>
      </c>
      <c r="D2344" s="23"/>
      <c r="H2344" s="104">
        <v>2014.7203878400001</v>
      </c>
      <c r="I2344" s="104"/>
      <c r="J2344" s="104"/>
      <c r="K2344" s="67">
        <v>177.02530042000001</v>
      </c>
      <c r="O2344" s="94">
        <f t="shared" si="290"/>
        <v>3.3042147812739735</v>
      </c>
      <c r="P2344" s="45"/>
      <c r="Q2344" s="45"/>
      <c r="R2344" s="48">
        <f t="shared" si="291"/>
        <v>2.248035340076886</v>
      </c>
      <c r="U2344" s="94">
        <v>3.3042147812739735</v>
      </c>
      <c r="V2344" s="105">
        <v>2.248035340076886</v>
      </c>
      <c r="W2344" s="49">
        <f t="shared" si="292"/>
        <v>0.74255507842548396</v>
      </c>
    </row>
    <row r="2345" spans="1:23" hidden="1">
      <c r="A2345" s="22" t="s">
        <v>150</v>
      </c>
      <c r="B2345" s="23" t="s">
        <v>252</v>
      </c>
      <c r="C2345" s="28" t="s">
        <v>256</v>
      </c>
      <c r="D2345" s="23"/>
      <c r="H2345" s="104">
        <v>2082.2947852000002</v>
      </c>
      <c r="I2345" s="104"/>
      <c r="J2345" s="104"/>
      <c r="K2345" s="67">
        <v>197.95464493</v>
      </c>
      <c r="O2345" s="94">
        <f t="shared" si="290"/>
        <v>3.3185422114969438</v>
      </c>
      <c r="P2345" s="45"/>
      <c r="Q2345" s="45"/>
      <c r="R2345" s="48">
        <f t="shared" si="291"/>
        <v>2.2965656967616281</v>
      </c>
      <c r="U2345" s="94">
        <v>3.3185422114969438</v>
      </c>
      <c r="V2345" s="105">
        <v>2.2965656967616281</v>
      </c>
      <c r="W2345" s="49">
        <f t="shared" si="292"/>
        <v>0.69197055337734548</v>
      </c>
    </row>
    <row r="2346" spans="1:23" hidden="1">
      <c r="A2346" s="22" t="s">
        <v>150</v>
      </c>
      <c r="B2346" s="23" t="s">
        <v>252</v>
      </c>
      <c r="C2346" s="28" t="s">
        <v>256</v>
      </c>
      <c r="D2346" s="23"/>
      <c r="H2346" s="104">
        <v>2212.3071769600001</v>
      </c>
      <c r="I2346" s="104"/>
      <c r="J2346" s="104"/>
      <c r="K2346" s="67">
        <v>244.1504497</v>
      </c>
      <c r="O2346" s="94">
        <f t="shared" si="290"/>
        <v>3.3448454282369391</v>
      </c>
      <c r="P2346" s="45"/>
      <c r="Q2346" s="45"/>
      <c r="R2346" s="48">
        <f t="shared" si="291"/>
        <v>2.3876575285466162</v>
      </c>
      <c r="U2346" s="94">
        <v>3.3448454282369391</v>
      </c>
      <c r="V2346" s="105">
        <v>2.3876575285466162</v>
      </c>
      <c r="W2346" s="49">
        <f t="shared" si="292"/>
        <v>0.59719959456488514</v>
      </c>
    </row>
    <row r="2347" spans="1:23" hidden="1">
      <c r="A2347" s="22" t="s">
        <v>150</v>
      </c>
      <c r="B2347" s="23" t="s">
        <v>252</v>
      </c>
      <c r="C2347" s="28" t="s">
        <v>256</v>
      </c>
      <c r="D2347" s="23"/>
      <c r="H2347" s="104">
        <v>2465.67560155</v>
      </c>
      <c r="I2347" s="104"/>
      <c r="J2347" s="104"/>
      <c r="K2347" s="67">
        <v>194.20342353999999</v>
      </c>
      <c r="O2347" s="94">
        <f t="shared" si="290"/>
        <v>3.3919359377405924</v>
      </c>
      <c r="P2347" s="45"/>
      <c r="Q2347" s="45"/>
      <c r="R2347" s="48">
        <f t="shared" si="291"/>
        <v>2.2882568816555349</v>
      </c>
      <c r="U2347" s="94">
        <v>3.3919359377405924</v>
      </c>
      <c r="V2347" s="105">
        <v>2.2882568816555349</v>
      </c>
      <c r="W2347" s="49">
        <f t="shared" si="292"/>
        <v>0.67791310561140938</v>
      </c>
    </row>
    <row r="2348" spans="1:23" hidden="1">
      <c r="A2348" s="22" t="s">
        <v>150</v>
      </c>
      <c r="B2348" s="23" t="s">
        <v>252</v>
      </c>
      <c r="C2348" s="28" t="s">
        <v>256</v>
      </c>
      <c r="D2348" s="23"/>
      <c r="H2348" s="104">
        <v>2998.9630117500001</v>
      </c>
      <c r="I2348" s="104"/>
      <c r="J2348" s="104"/>
      <c r="K2348" s="67">
        <v>156.43850757000001</v>
      </c>
      <c r="O2348" s="94">
        <f t="shared" si="290"/>
        <v>3.476971109343411</v>
      </c>
      <c r="P2348" s="45"/>
      <c r="Q2348" s="45"/>
      <c r="R2348" s="48">
        <f t="shared" si="291"/>
        <v>2.1943436641120715</v>
      </c>
      <c r="U2348" s="94">
        <v>3.476971109343411</v>
      </c>
      <c r="V2348" s="105">
        <v>2.1943436641120715</v>
      </c>
      <c r="W2348" s="49">
        <f t="shared" si="292"/>
        <v>0.74202679806585348</v>
      </c>
    </row>
    <row r="2349" spans="1:23" hidden="1">
      <c r="A2349" s="22" t="s">
        <v>150</v>
      </c>
      <c r="B2349" s="23" t="s">
        <v>252</v>
      </c>
      <c r="C2349" s="28" t="s">
        <v>257</v>
      </c>
      <c r="D2349" s="23"/>
      <c r="H2349" s="104">
        <v>18.174222790000002</v>
      </c>
      <c r="I2349" s="104"/>
      <c r="J2349" s="104"/>
      <c r="K2349" s="67">
        <v>2.1719279299999998</v>
      </c>
      <c r="O2349" s="94">
        <f t="shared" si="290"/>
        <v>1.2594558475788618</v>
      </c>
      <c r="P2349" s="45"/>
      <c r="Q2349" s="45"/>
      <c r="R2349" s="48">
        <f t="shared" si="291"/>
        <v>0.33684541017896191</v>
      </c>
      <c r="U2349" s="94">
        <v>1.2594558475788618</v>
      </c>
      <c r="V2349" s="105">
        <v>0.33684541017896191</v>
      </c>
      <c r="W2349" s="49">
        <f t="shared" si="292"/>
        <v>3.178094754266569</v>
      </c>
    </row>
    <row r="2350" spans="1:23" hidden="1">
      <c r="A2350" s="22" t="s">
        <v>150</v>
      </c>
      <c r="B2350" s="23" t="s">
        <v>252</v>
      </c>
      <c r="C2350" s="28" t="s">
        <v>257</v>
      </c>
      <c r="D2350" s="23"/>
      <c r="H2350" s="104">
        <v>72.734529359999996</v>
      </c>
      <c r="I2350" s="104"/>
      <c r="J2350" s="104"/>
      <c r="K2350" s="67">
        <v>3.60143507</v>
      </c>
      <c r="O2350" s="94">
        <f t="shared" si="290"/>
        <v>1.8617406330108117</v>
      </c>
      <c r="P2350" s="45"/>
      <c r="Q2350" s="45"/>
      <c r="R2350" s="48">
        <f t="shared" si="291"/>
        <v>0.55647558932098151</v>
      </c>
      <c r="U2350" s="94">
        <v>1.8617406330108117</v>
      </c>
      <c r="V2350" s="105">
        <v>0.55647558932098151</v>
      </c>
      <c r="W2350" s="49">
        <f t="shared" si="292"/>
        <v>2.7881904169404055</v>
      </c>
    </row>
    <row r="2351" spans="1:23" hidden="1">
      <c r="A2351" s="22" t="s">
        <v>150</v>
      </c>
      <c r="B2351" s="23" t="s">
        <v>252</v>
      </c>
      <c r="C2351" s="28" t="s">
        <v>257</v>
      </c>
      <c r="D2351" s="23"/>
      <c r="H2351" s="104">
        <v>353.22283921000002</v>
      </c>
      <c r="I2351" s="104"/>
      <c r="J2351" s="104"/>
      <c r="K2351" s="67">
        <v>0.60125814</v>
      </c>
      <c r="O2351" s="94">
        <f t="shared" si="290"/>
        <v>2.5480487770748126</v>
      </c>
      <c r="P2351" s="45"/>
      <c r="Q2351" s="45"/>
      <c r="R2351" s="48">
        <f t="shared" si="291"/>
        <v>-0.22093903097877277</v>
      </c>
      <c r="U2351" s="94">
        <v>2.5480487770748126</v>
      </c>
      <c r="V2351" s="105">
        <v>-0.22093903097877277</v>
      </c>
      <c r="W2351" s="49">
        <f t="shared" si="292"/>
        <v>3.3242000509168288</v>
      </c>
    </row>
    <row r="2352" spans="1:23" hidden="1">
      <c r="A2352" s="22" t="s">
        <v>150</v>
      </c>
      <c r="B2352" s="23" t="s">
        <v>252</v>
      </c>
      <c r="C2352" s="28" t="s">
        <v>257</v>
      </c>
      <c r="D2352" s="23"/>
      <c r="H2352" s="104">
        <v>490.88465866000001</v>
      </c>
      <c r="I2352" s="104"/>
      <c r="J2352" s="104"/>
      <c r="K2352" s="67">
        <v>0.55138067000000002</v>
      </c>
      <c r="O2352" s="94">
        <f t="shared" si="290"/>
        <v>2.6909794595526741</v>
      </c>
      <c r="P2352" s="45"/>
      <c r="Q2352" s="45"/>
      <c r="R2352" s="48">
        <f t="shared" si="291"/>
        <v>-0.25854846322024433</v>
      </c>
      <c r="U2352" s="94">
        <v>2.6909794595526741</v>
      </c>
      <c r="V2352" s="105">
        <v>-0.25854846322024433</v>
      </c>
      <c r="W2352" s="49">
        <f t="shared" si="292"/>
        <v>3.31726443283506</v>
      </c>
    </row>
    <row r="2353" spans="1:23" hidden="1">
      <c r="A2353" s="22" t="s">
        <v>150</v>
      </c>
      <c r="B2353" s="23" t="s">
        <v>252</v>
      </c>
      <c r="C2353" s="28" t="s">
        <v>257</v>
      </c>
      <c r="D2353" s="23"/>
      <c r="H2353" s="104">
        <v>200.2251091</v>
      </c>
      <c r="I2353" s="104"/>
      <c r="J2353" s="104"/>
      <c r="K2353" s="67">
        <v>24.56973558</v>
      </c>
      <c r="O2353" s="94">
        <f t="shared" si="290"/>
        <v>2.3015185389764459</v>
      </c>
      <c r="P2353" s="45"/>
      <c r="Q2353" s="45"/>
      <c r="R2353" s="48">
        <f t="shared" si="291"/>
        <v>1.3904004826190781</v>
      </c>
      <c r="U2353" s="94">
        <v>2.3015185389764459</v>
      </c>
      <c r="V2353" s="105">
        <v>1.3904004826190781</v>
      </c>
      <c r="W2353" s="49">
        <f t="shared" si="292"/>
        <v>1.860985159850157</v>
      </c>
    </row>
    <row r="2354" spans="1:23" hidden="1">
      <c r="A2354" s="22" t="s">
        <v>150</v>
      </c>
      <c r="B2354" s="23" t="s">
        <v>252</v>
      </c>
      <c r="C2354" s="28" t="s">
        <v>257</v>
      </c>
      <c r="D2354" s="23"/>
      <c r="H2354" s="104">
        <v>171.75918952999999</v>
      </c>
      <c r="I2354" s="104"/>
      <c r="J2354" s="104"/>
      <c r="K2354" s="67">
        <v>34.724976859999998</v>
      </c>
      <c r="O2354" s="94">
        <f t="shared" si="290"/>
        <v>2.234919982153162</v>
      </c>
      <c r="P2354" s="45"/>
      <c r="Q2354" s="45"/>
      <c r="R2354" s="48">
        <f t="shared" si="291"/>
        <v>1.540641965004969</v>
      </c>
      <c r="U2354" s="94">
        <v>2.234919982153162</v>
      </c>
      <c r="V2354" s="105">
        <v>1.540641965004969</v>
      </c>
      <c r="W2354" s="49">
        <f t="shared" si="292"/>
        <v>1.7376177158953268</v>
      </c>
    </row>
    <row r="2355" spans="1:23" hidden="1">
      <c r="A2355" s="22" t="s">
        <v>150</v>
      </c>
      <c r="B2355" s="23" t="s">
        <v>252</v>
      </c>
      <c r="C2355" s="28" t="s">
        <v>257</v>
      </c>
      <c r="D2355" s="23"/>
      <c r="H2355" s="104">
        <v>187.61457874000001</v>
      </c>
      <c r="I2355" s="104"/>
      <c r="J2355" s="104"/>
      <c r="K2355" s="67">
        <v>60.806188669999997</v>
      </c>
      <c r="O2355" s="94">
        <f t="shared" si="290"/>
        <v>2.2732665825522829</v>
      </c>
      <c r="P2355" s="45"/>
      <c r="Q2355" s="45"/>
      <c r="R2355" s="48">
        <f t="shared" si="291"/>
        <v>1.7839477827012451</v>
      </c>
      <c r="U2355" s="94">
        <v>2.2732665825522829</v>
      </c>
      <c r="V2355" s="105">
        <v>1.7839477827012451</v>
      </c>
      <c r="W2355" s="49">
        <f t="shared" si="292"/>
        <v>1.4940425462489428</v>
      </c>
    </row>
    <row r="2356" spans="1:23" hidden="1">
      <c r="A2356" s="22" t="s">
        <v>150</v>
      </c>
      <c r="B2356" s="23" t="s">
        <v>252</v>
      </c>
      <c r="C2356" s="28" t="s">
        <v>257</v>
      </c>
      <c r="D2356" s="23"/>
      <c r="H2356" s="104">
        <v>226.42489755</v>
      </c>
      <c r="I2356" s="104"/>
      <c r="J2356" s="104"/>
      <c r="K2356" s="67">
        <v>46.299373340000002</v>
      </c>
      <c r="O2356" s="94">
        <f t="shared" si="290"/>
        <v>2.354924179910526</v>
      </c>
      <c r="P2356" s="45"/>
      <c r="Q2356" s="45"/>
      <c r="R2356" s="48">
        <f t="shared" si="291"/>
        <v>1.6655751129008511</v>
      </c>
      <c r="U2356" s="94">
        <v>2.354924179910526</v>
      </c>
      <c r="V2356" s="105">
        <v>1.6655751129008511</v>
      </c>
      <c r="W2356" s="49">
        <f t="shared" si="292"/>
        <v>1.5824997767858497</v>
      </c>
    </row>
    <row r="2357" spans="1:23" hidden="1">
      <c r="A2357" s="22" t="s">
        <v>150</v>
      </c>
      <c r="B2357" s="23" t="s">
        <v>252</v>
      </c>
      <c r="C2357" s="28" t="s">
        <v>257</v>
      </c>
      <c r="D2357" s="23"/>
      <c r="H2357" s="104">
        <v>265.24274501999997</v>
      </c>
      <c r="I2357" s="104"/>
      <c r="J2357" s="104"/>
      <c r="K2357" s="67">
        <v>32.517192960000003</v>
      </c>
      <c r="O2357" s="94">
        <f t="shared" si="290"/>
        <v>2.4236435138142052</v>
      </c>
      <c r="P2357" s="45"/>
      <c r="Q2357" s="45"/>
      <c r="R2357" s="48">
        <f t="shared" si="291"/>
        <v>1.5121130481582092</v>
      </c>
      <c r="U2357" s="94">
        <v>2.4236435138142052</v>
      </c>
      <c r="V2357" s="105">
        <v>1.5121130481582092</v>
      </c>
      <c r="W2357" s="49">
        <f t="shared" si="292"/>
        <v>1.70830410934409</v>
      </c>
    </row>
    <row r="2358" spans="1:23" hidden="1">
      <c r="A2358" s="22" t="s">
        <v>150</v>
      </c>
      <c r="B2358" s="23" t="s">
        <v>252</v>
      </c>
      <c r="C2358" s="28" t="s">
        <v>257</v>
      </c>
      <c r="D2358" s="23"/>
      <c r="H2358" s="104">
        <v>319.65247808999999</v>
      </c>
      <c r="I2358" s="104"/>
      <c r="J2358" s="104"/>
      <c r="K2358" s="67">
        <v>19.454001030000001</v>
      </c>
      <c r="O2358" s="94">
        <f t="shared" si="290"/>
        <v>2.5046780756293887</v>
      </c>
      <c r="P2358" s="45"/>
      <c r="Q2358" s="45"/>
      <c r="R2358" s="48">
        <f t="shared" si="291"/>
        <v>1.289008934533362</v>
      </c>
      <c r="U2358" s="94">
        <v>2.5046780756293887</v>
      </c>
      <c r="V2358" s="105">
        <v>1.289008934533362</v>
      </c>
      <c r="W2358" s="49">
        <f t="shared" si="292"/>
        <v>1.8968512786169636</v>
      </c>
    </row>
    <row r="2359" spans="1:23" hidden="1">
      <c r="A2359" s="22" t="s">
        <v>150</v>
      </c>
      <c r="B2359" s="23" t="s">
        <v>252</v>
      </c>
      <c r="C2359" s="28" t="s">
        <v>257</v>
      </c>
      <c r="D2359" s="23"/>
      <c r="H2359" s="104">
        <v>369.13092913999998</v>
      </c>
      <c r="I2359" s="104"/>
      <c r="J2359" s="104"/>
      <c r="K2359" s="67">
        <v>31.754914629999998</v>
      </c>
      <c r="O2359" s="94">
        <f t="shared" ref="O2359:O2422" si="293">LOG10(H2359)</f>
        <v>2.5671804358542158</v>
      </c>
      <c r="P2359" s="45"/>
      <c r="Q2359" s="45"/>
      <c r="R2359" s="48">
        <f t="shared" ref="R2359:R2422" si="294">LOG10(K2359)</f>
        <v>1.5018109495181806</v>
      </c>
      <c r="U2359" s="94">
        <v>2.5671804358542158</v>
      </c>
      <c r="V2359" s="105">
        <v>1.5018109495181806</v>
      </c>
      <c r="W2359" s="49">
        <f t="shared" si="292"/>
        <v>1.6751384420775479</v>
      </c>
    </row>
    <row r="2360" spans="1:23" hidden="1">
      <c r="A2360" s="22" t="s">
        <v>150</v>
      </c>
      <c r="B2360" s="23" t="s">
        <v>252</v>
      </c>
      <c r="C2360" s="28" t="s">
        <v>257</v>
      </c>
      <c r="D2360" s="23"/>
      <c r="H2360" s="104">
        <v>415.89905725</v>
      </c>
      <c r="I2360" s="104"/>
      <c r="J2360" s="104"/>
      <c r="K2360" s="67">
        <v>33.187245019999999</v>
      </c>
      <c r="O2360" s="94">
        <f t="shared" si="293"/>
        <v>2.6189879359177421</v>
      </c>
      <c r="P2360" s="45"/>
      <c r="Q2360" s="45"/>
      <c r="R2360" s="48">
        <f t="shared" si="294"/>
        <v>1.5209712017224966</v>
      </c>
      <c r="U2360" s="94">
        <v>2.6189879359177421</v>
      </c>
      <c r="V2360" s="105">
        <v>1.5209712017224966</v>
      </c>
      <c r="W2360" s="49">
        <f t="shared" si="292"/>
        <v>1.6413438567663232</v>
      </c>
    </row>
    <row r="2361" spans="1:23" hidden="1">
      <c r="A2361" s="22" t="s">
        <v>150</v>
      </c>
      <c r="B2361" s="23" t="s">
        <v>252</v>
      </c>
      <c r="C2361" s="28" t="s">
        <v>257</v>
      </c>
      <c r="D2361" s="23"/>
      <c r="H2361" s="104">
        <v>400.20929888000001</v>
      </c>
      <c r="I2361" s="104"/>
      <c r="J2361" s="104"/>
      <c r="K2361" s="67">
        <v>23.048002180000001</v>
      </c>
      <c r="O2361" s="94">
        <f t="shared" si="293"/>
        <v>2.6022871752680956</v>
      </c>
      <c r="P2361" s="45"/>
      <c r="Q2361" s="45"/>
      <c r="R2361" s="48">
        <f t="shared" si="294"/>
        <v>1.3626332863501909</v>
      </c>
      <c r="U2361" s="94">
        <v>2.6022871752680956</v>
      </c>
      <c r="V2361" s="105">
        <v>1.3626332863501909</v>
      </c>
      <c r="W2361" s="49">
        <f t="shared" si="292"/>
        <v>1.7973846828932469</v>
      </c>
    </row>
    <row r="2362" spans="1:23" hidden="1">
      <c r="A2362" s="22" t="s">
        <v>150</v>
      </c>
      <c r="B2362" s="23" t="s">
        <v>252</v>
      </c>
      <c r="C2362" s="28" t="s">
        <v>257</v>
      </c>
      <c r="D2362" s="23"/>
      <c r="H2362" s="104">
        <v>605.32051622999995</v>
      </c>
      <c r="I2362" s="104"/>
      <c r="J2362" s="104"/>
      <c r="K2362" s="67">
        <v>15.002672029999999</v>
      </c>
      <c r="O2362" s="94">
        <f t="shared" si="293"/>
        <v>2.7819853937778771</v>
      </c>
      <c r="P2362" s="45"/>
      <c r="Q2362" s="45"/>
      <c r="R2362" s="48">
        <f t="shared" si="294"/>
        <v>1.1761686153582391</v>
      </c>
      <c r="U2362" s="94">
        <v>2.7819853937778771</v>
      </c>
      <c r="V2362" s="105">
        <v>1.1761686153582391</v>
      </c>
      <c r="W2362" s="49">
        <f t="shared" si="292"/>
        <v>1.9214292955326144</v>
      </c>
    </row>
    <row r="2363" spans="1:23" hidden="1">
      <c r="A2363" s="22" t="s">
        <v>150</v>
      </c>
      <c r="B2363" s="23" t="s">
        <v>252</v>
      </c>
      <c r="C2363" s="28" t="s">
        <v>257</v>
      </c>
      <c r="D2363" s="23"/>
      <c r="H2363" s="104">
        <v>382.30611011000002</v>
      </c>
      <c r="I2363" s="104"/>
      <c r="J2363" s="104"/>
      <c r="K2363" s="67">
        <v>49.866083039999999</v>
      </c>
      <c r="O2363" s="94">
        <f t="shared" si="293"/>
        <v>2.5824112390754017</v>
      </c>
      <c r="P2363" s="45"/>
      <c r="Q2363" s="45"/>
      <c r="R2363" s="48">
        <f t="shared" si="294"/>
        <v>1.697805255907896</v>
      </c>
      <c r="U2363" s="94">
        <v>2.5824112390754017</v>
      </c>
      <c r="V2363" s="105">
        <v>1.697805255907896</v>
      </c>
      <c r="W2363" s="49">
        <f t="shared" si="292"/>
        <v>1.4836174729698937</v>
      </c>
    </row>
    <row r="2364" spans="1:23" hidden="1">
      <c r="A2364" s="22" t="s">
        <v>150</v>
      </c>
      <c r="B2364" s="23" t="s">
        <v>252</v>
      </c>
      <c r="C2364" s="28" t="s">
        <v>257</v>
      </c>
      <c r="D2364" s="23"/>
      <c r="H2364" s="104">
        <v>372.03699762999997</v>
      </c>
      <c r="I2364" s="104"/>
      <c r="J2364" s="104"/>
      <c r="K2364" s="67">
        <v>61.464006640000001</v>
      </c>
      <c r="O2364" s="94">
        <f t="shared" si="293"/>
        <v>2.5705861309237865</v>
      </c>
      <c r="P2364" s="45"/>
      <c r="Q2364" s="45"/>
      <c r="R2364" s="48">
        <f t="shared" si="294"/>
        <v>1.7886208670971775</v>
      </c>
      <c r="U2364" s="94">
        <v>2.5705861309237865</v>
      </c>
      <c r="V2364" s="105">
        <v>1.7886208670971775</v>
      </c>
      <c r="W2364" s="49">
        <f t="shared" si="292"/>
        <v>1.4005303722455078</v>
      </c>
    </row>
    <row r="2365" spans="1:23" hidden="1">
      <c r="A2365" s="22" t="s">
        <v>150</v>
      </c>
      <c r="B2365" s="23" t="s">
        <v>252</v>
      </c>
      <c r="C2365" s="28" t="s">
        <v>257</v>
      </c>
      <c r="D2365" s="23"/>
      <c r="H2365" s="104">
        <v>411.0355333</v>
      </c>
      <c r="I2365" s="104"/>
      <c r="J2365" s="104"/>
      <c r="K2365" s="67">
        <v>65.073065139999997</v>
      </c>
      <c r="O2365" s="94">
        <f t="shared" si="293"/>
        <v>2.6138793674942287</v>
      </c>
      <c r="P2365" s="45"/>
      <c r="Q2365" s="45"/>
      <c r="R2365" s="48">
        <f t="shared" si="294"/>
        <v>1.8134012638114123</v>
      </c>
      <c r="U2365" s="94">
        <v>2.6138793674942287</v>
      </c>
      <c r="V2365" s="105">
        <v>1.8134012638114123</v>
      </c>
      <c r="W2365" s="49">
        <f t="shared" si="292"/>
        <v>1.3639249624533321</v>
      </c>
    </row>
    <row r="2366" spans="1:23" hidden="1">
      <c r="A2366" s="22" t="s">
        <v>150</v>
      </c>
      <c r="B2366" s="23" t="s">
        <v>252</v>
      </c>
      <c r="C2366" s="28" t="s">
        <v>257</v>
      </c>
      <c r="D2366" s="23"/>
      <c r="H2366" s="104">
        <v>455.11592449</v>
      </c>
      <c r="I2366" s="104"/>
      <c r="J2366" s="104"/>
      <c r="K2366" s="67">
        <v>57.810717169999997</v>
      </c>
      <c r="O2366" s="94">
        <f t="shared" si="293"/>
        <v>2.6581220317207168</v>
      </c>
      <c r="P2366" s="45"/>
      <c r="Q2366" s="45"/>
      <c r="R2366" s="48">
        <f t="shared" si="294"/>
        <v>1.7620083570423295</v>
      </c>
      <c r="U2366" s="94">
        <v>2.6581220317207168</v>
      </c>
      <c r="V2366" s="105">
        <v>1.7620083570423295</v>
      </c>
      <c r="W2366" s="49">
        <f t="shared" si="292"/>
        <v>1.3996968899149869</v>
      </c>
    </row>
    <row r="2367" spans="1:23" hidden="1">
      <c r="A2367" s="22" t="s">
        <v>150</v>
      </c>
      <c r="B2367" s="23" t="s">
        <v>252</v>
      </c>
      <c r="C2367" s="28" t="s">
        <v>257</v>
      </c>
      <c r="D2367" s="23"/>
      <c r="H2367" s="104">
        <v>517.47593819999997</v>
      </c>
      <c r="I2367" s="104"/>
      <c r="J2367" s="104"/>
      <c r="K2367" s="67">
        <v>59.962036009999998</v>
      </c>
      <c r="O2367" s="94">
        <f t="shared" si="293"/>
        <v>2.7138901606025536</v>
      </c>
      <c r="P2367" s="45"/>
      <c r="Q2367" s="45"/>
      <c r="R2367" s="48">
        <f t="shared" si="294"/>
        <v>1.7778763708889829</v>
      </c>
      <c r="U2367" s="94">
        <v>2.7138901606025536</v>
      </c>
      <c r="V2367" s="105">
        <v>1.7778763708889829</v>
      </c>
      <c r="W2367" s="49">
        <f t="shared" ref="W2367:W2430" si="295">0.9539*(4.064-0.314*U2367-V2367)</f>
        <v>1.3678564650105838</v>
      </c>
    </row>
    <row r="2368" spans="1:23" hidden="1">
      <c r="A2368" s="22" t="s">
        <v>150</v>
      </c>
      <c r="B2368" s="23" t="s">
        <v>252</v>
      </c>
      <c r="C2368" s="28" t="s">
        <v>257</v>
      </c>
      <c r="D2368" s="23"/>
      <c r="H2368" s="104">
        <v>434.54005616000001</v>
      </c>
      <c r="I2368" s="104"/>
      <c r="J2368" s="104"/>
      <c r="K2368" s="67">
        <v>77.383389589999993</v>
      </c>
      <c r="O2368" s="94">
        <f t="shared" si="293"/>
        <v>2.6380298161527751</v>
      </c>
      <c r="P2368" s="45"/>
      <c r="Q2368" s="45"/>
      <c r="R2368" s="48">
        <f t="shared" si="294"/>
        <v>1.8886477490087983</v>
      </c>
      <c r="U2368" s="94">
        <v>2.6380298161527751</v>
      </c>
      <c r="V2368" s="105">
        <v>1.8886477490087983</v>
      </c>
      <c r="W2368" s="49">
        <f t="shared" si="295"/>
        <v>1.2849136867492736</v>
      </c>
    </row>
    <row r="2369" spans="1:23" hidden="1">
      <c r="A2369" s="22" t="s">
        <v>150</v>
      </c>
      <c r="B2369" s="23" t="s">
        <v>252</v>
      </c>
      <c r="C2369" s="28" t="s">
        <v>257</v>
      </c>
      <c r="D2369" s="23"/>
      <c r="H2369" s="104">
        <v>444.81669731</v>
      </c>
      <c r="I2369" s="104"/>
      <c r="J2369" s="104"/>
      <c r="K2369" s="67">
        <v>66.510100949999995</v>
      </c>
      <c r="O2369" s="94">
        <f t="shared" si="293"/>
        <v>2.6481810812122459</v>
      </c>
      <c r="P2369" s="45"/>
      <c r="Q2369" s="45"/>
      <c r="R2369" s="48">
        <f t="shared" si="294"/>
        <v>1.8228876070131415</v>
      </c>
      <c r="U2369" s="94">
        <v>2.6481810812122459</v>
      </c>
      <c r="V2369" s="105">
        <v>1.8228876070131415</v>
      </c>
      <c r="W2369" s="49">
        <f t="shared" si="295"/>
        <v>1.3446017325924988</v>
      </c>
    </row>
    <row r="2370" spans="1:23" hidden="1">
      <c r="A2370" s="22" t="s">
        <v>150</v>
      </c>
      <c r="B2370" s="23" t="s">
        <v>252</v>
      </c>
      <c r="C2370" s="28" t="s">
        <v>257</v>
      </c>
      <c r="D2370" s="23"/>
      <c r="H2370" s="104">
        <v>307.29792268</v>
      </c>
      <c r="I2370" s="104"/>
      <c r="J2370" s="104"/>
      <c r="K2370" s="67">
        <v>80.328042530000005</v>
      </c>
      <c r="O2370" s="94">
        <f t="shared" si="293"/>
        <v>2.4875596244553289</v>
      </c>
      <c r="P2370" s="45"/>
      <c r="Q2370" s="45"/>
      <c r="R2370" s="48">
        <f t="shared" si="294"/>
        <v>1.9048671840083762</v>
      </c>
      <c r="U2370" s="94">
        <v>2.4875596244553289</v>
      </c>
      <c r="V2370" s="105">
        <v>1.9048671840083762</v>
      </c>
      <c r="W2370" s="49">
        <f t="shared" si="295"/>
        <v>1.3145114916832774</v>
      </c>
    </row>
    <row r="2371" spans="1:23" hidden="1">
      <c r="A2371" s="22" t="s">
        <v>150</v>
      </c>
      <c r="B2371" s="23" t="s">
        <v>252</v>
      </c>
      <c r="C2371" s="28" t="s">
        <v>257</v>
      </c>
      <c r="D2371" s="23"/>
      <c r="H2371" s="104">
        <v>278.80941708</v>
      </c>
      <c r="I2371" s="104"/>
      <c r="J2371" s="104"/>
      <c r="K2371" s="67">
        <v>88.309378949999996</v>
      </c>
      <c r="O2371" s="94">
        <f t="shared" si="293"/>
        <v>2.4453074384245745</v>
      </c>
      <c r="P2371" s="45"/>
      <c r="Q2371" s="45"/>
      <c r="R2371" s="48">
        <f t="shared" si="294"/>
        <v>1.9460068305302716</v>
      </c>
      <c r="U2371" s="94">
        <v>2.4453074384245745</v>
      </c>
      <c r="V2371" s="105">
        <v>1.9460068305302716</v>
      </c>
      <c r="W2371" s="49">
        <f t="shared" si="295"/>
        <v>1.2879239519860286</v>
      </c>
    </row>
    <row r="2372" spans="1:23" hidden="1">
      <c r="A2372" s="22" t="s">
        <v>150</v>
      </c>
      <c r="B2372" s="23" t="s">
        <v>252</v>
      </c>
      <c r="C2372" s="28" t="s">
        <v>257</v>
      </c>
      <c r="D2372" s="23"/>
      <c r="H2372" s="104">
        <v>323.06296780000002</v>
      </c>
      <c r="I2372" s="104"/>
      <c r="J2372" s="104"/>
      <c r="K2372" s="67">
        <v>97.713634909999996</v>
      </c>
      <c r="O2372" s="94">
        <f t="shared" si="293"/>
        <v>2.5092871783771145</v>
      </c>
      <c r="P2372" s="45"/>
      <c r="Q2372" s="45"/>
      <c r="R2372" s="48">
        <f t="shared" si="294"/>
        <v>1.98995516917434</v>
      </c>
      <c r="U2372" s="94">
        <v>2.5092871783771145</v>
      </c>
      <c r="V2372" s="105">
        <v>1.98995516917434</v>
      </c>
      <c r="W2372" s="49">
        <f t="shared" si="295"/>
        <v>1.226838125736063</v>
      </c>
    </row>
    <row r="2373" spans="1:23" hidden="1">
      <c r="A2373" s="22" t="s">
        <v>150</v>
      </c>
      <c r="B2373" s="23" t="s">
        <v>252</v>
      </c>
      <c r="C2373" s="28" t="s">
        <v>257</v>
      </c>
      <c r="D2373" s="23"/>
      <c r="H2373" s="104">
        <v>330.95301903000001</v>
      </c>
      <c r="I2373" s="104"/>
      <c r="J2373" s="104"/>
      <c r="K2373" s="67">
        <v>107.13106605</v>
      </c>
      <c r="O2373" s="94">
        <f t="shared" si="293"/>
        <v>2.5197663471770233</v>
      </c>
      <c r="P2373" s="45"/>
      <c r="Q2373" s="45"/>
      <c r="R2373" s="48">
        <f t="shared" si="294"/>
        <v>2.0299154265527775</v>
      </c>
      <c r="U2373" s="94">
        <v>2.5197663471770233</v>
      </c>
      <c r="V2373" s="105">
        <v>2.0299154265527775</v>
      </c>
      <c r="W2373" s="49">
        <f t="shared" si="295"/>
        <v>1.1855812673796464</v>
      </c>
    </row>
    <row r="2374" spans="1:23" hidden="1">
      <c r="A2374" s="22" t="s">
        <v>150</v>
      </c>
      <c r="B2374" s="23" t="s">
        <v>252</v>
      </c>
      <c r="C2374" s="28" t="s">
        <v>257</v>
      </c>
      <c r="D2374" s="23"/>
      <c r="H2374" s="104">
        <v>289.35709054</v>
      </c>
      <c r="I2374" s="104"/>
      <c r="J2374" s="104"/>
      <c r="K2374" s="67">
        <v>103.52294863</v>
      </c>
      <c r="O2374" s="94">
        <f t="shared" si="293"/>
        <v>2.4614341289828423</v>
      </c>
      <c r="P2374" s="45"/>
      <c r="Q2374" s="45"/>
      <c r="R2374" s="48">
        <f t="shared" si="294"/>
        <v>2.0150366334511784</v>
      </c>
      <c r="U2374" s="94">
        <v>2.4614341289828423</v>
      </c>
      <c r="V2374" s="105">
        <v>2.0150366334511784</v>
      </c>
      <c r="W2374" s="49">
        <f t="shared" si="295"/>
        <v>1.2172460824409865</v>
      </c>
    </row>
    <row r="2375" spans="1:23" hidden="1">
      <c r="A2375" s="22" t="s">
        <v>150</v>
      </c>
      <c r="B2375" s="23" t="s">
        <v>252</v>
      </c>
      <c r="C2375" s="28" t="s">
        <v>257</v>
      </c>
      <c r="D2375" s="23"/>
      <c r="H2375" s="104">
        <v>237.46193486000001</v>
      </c>
      <c r="I2375" s="104"/>
      <c r="J2375" s="104"/>
      <c r="K2375" s="67">
        <v>108.61421498999999</v>
      </c>
      <c r="O2375" s="94">
        <f t="shared" si="293"/>
        <v>2.3755940021495929</v>
      </c>
      <c r="P2375" s="45"/>
      <c r="Q2375" s="45"/>
      <c r="R2375" s="48">
        <f t="shared" si="294"/>
        <v>2.0358866676811784</v>
      </c>
      <c r="U2375" s="94">
        <v>2.3755940021495929</v>
      </c>
      <c r="V2375" s="105">
        <v>2.0358866676811784</v>
      </c>
      <c r="W2375" s="49">
        <f t="shared" si="295"/>
        <v>1.2230684644426681</v>
      </c>
    </row>
    <row r="2376" spans="1:23" hidden="1">
      <c r="A2376" s="22" t="s">
        <v>150</v>
      </c>
      <c r="B2376" s="23" t="s">
        <v>252</v>
      </c>
      <c r="C2376" s="28" t="s">
        <v>257</v>
      </c>
      <c r="D2376" s="23"/>
      <c r="H2376" s="104">
        <v>261.04927314000003</v>
      </c>
      <c r="I2376" s="104"/>
      <c r="J2376" s="104"/>
      <c r="K2376" s="67">
        <v>128.89552393</v>
      </c>
      <c r="O2376" s="94">
        <f t="shared" si="293"/>
        <v>2.4167224883081726</v>
      </c>
      <c r="P2376" s="45"/>
      <c r="Q2376" s="45"/>
      <c r="R2376" s="48">
        <f t="shared" si="294"/>
        <v>2.1102378361567076</v>
      </c>
      <c r="U2376" s="94">
        <v>2.4167224883081726</v>
      </c>
      <c r="V2376" s="105">
        <v>2.1102378361567076</v>
      </c>
      <c r="W2376" s="49">
        <f t="shared" si="295"/>
        <v>1.1398258914686064</v>
      </c>
    </row>
    <row r="2377" spans="1:23" hidden="1">
      <c r="A2377" s="22" t="s">
        <v>150</v>
      </c>
      <c r="B2377" s="23" t="s">
        <v>252</v>
      </c>
      <c r="C2377" s="28" t="s">
        <v>257</v>
      </c>
      <c r="D2377" s="23"/>
      <c r="H2377" s="104">
        <v>235.09793096000001</v>
      </c>
      <c r="I2377" s="104"/>
      <c r="J2377" s="104"/>
      <c r="K2377" s="67">
        <v>131.07883963</v>
      </c>
      <c r="O2377" s="94">
        <f t="shared" si="293"/>
        <v>2.3712488070211162</v>
      </c>
      <c r="P2377" s="45"/>
      <c r="Q2377" s="45"/>
      <c r="R2377" s="48">
        <f t="shared" si="294"/>
        <v>2.1175325881534377</v>
      </c>
      <c r="U2377" s="94">
        <v>2.3712488070211162</v>
      </c>
      <c r="V2377" s="105">
        <v>2.1175325881534377</v>
      </c>
      <c r="W2377" s="49">
        <f t="shared" si="295"/>
        <v>1.1464879137369588</v>
      </c>
    </row>
    <row r="2378" spans="1:23" hidden="1">
      <c r="A2378" s="22" t="s">
        <v>150</v>
      </c>
      <c r="B2378" s="23" t="s">
        <v>252</v>
      </c>
      <c r="C2378" s="28" t="s">
        <v>257</v>
      </c>
      <c r="D2378" s="23"/>
      <c r="H2378" s="104">
        <v>409.08560652</v>
      </c>
      <c r="I2378" s="104"/>
      <c r="J2378" s="104"/>
      <c r="K2378" s="67">
        <v>127.39261221</v>
      </c>
      <c r="O2378" s="94">
        <f t="shared" si="293"/>
        <v>2.6118141993250483</v>
      </c>
      <c r="P2378" s="45"/>
      <c r="Q2378" s="45"/>
      <c r="R2378" s="48">
        <f t="shared" si="294"/>
        <v>2.1051442429957041</v>
      </c>
      <c r="U2378" s="94">
        <v>2.6118141993250483</v>
      </c>
      <c r="V2378" s="105">
        <v>2.1051442429957041</v>
      </c>
      <c r="W2378" s="49">
        <f t="shared" si="295"/>
        <v>1.0862499032792423</v>
      </c>
    </row>
    <row r="2379" spans="1:23" hidden="1">
      <c r="A2379" s="22" t="s">
        <v>150</v>
      </c>
      <c r="B2379" s="23" t="s">
        <v>252</v>
      </c>
      <c r="C2379" s="28" t="s">
        <v>257</v>
      </c>
      <c r="D2379" s="23"/>
      <c r="H2379" s="104">
        <v>357.2055082</v>
      </c>
      <c r="I2379" s="104"/>
      <c r="J2379" s="104"/>
      <c r="K2379" s="67">
        <v>133.93314848</v>
      </c>
      <c r="O2379" s="94">
        <f t="shared" si="293"/>
        <v>2.5529181471997706</v>
      </c>
      <c r="P2379" s="45"/>
      <c r="Q2379" s="45"/>
      <c r="R2379" s="48">
        <f t="shared" si="294"/>
        <v>2.1268880782836228</v>
      </c>
      <c r="U2379" s="94">
        <v>2.5529181471997706</v>
      </c>
      <c r="V2379" s="105">
        <v>2.1268880782836228</v>
      </c>
      <c r="W2379" s="49">
        <f t="shared" si="295"/>
        <v>1.0831492752524996</v>
      </c>
    </row>
    <row r="2380" spans="1:23" hidden="1">
      <c r="A2380" s="22" t="s">
        <v>150</v>
      </c>
      <c r="B2380" s="23" t="s">
        <v>252</v>
      </c>
      <c r="C2380" s="28" t="s">
        <v>257</v>
      </c>
      <c r="D2380" s="23"/>
      <c r="H2380" s="104">
        <v>414.46860902999998</v>
      </c>
      <c r="I2380" s="104"/>
      <c r="J2380" s="104"/>
      <c r="K2380" s="67">
        <v>145.50660388</v>
      </c>
      <c r="O2380" s="94">
        <f t="shared" si="293"/>
        <v>2.6174916435924347</v>
      </c>
      <c r="P2380" s="45"/>
      <c r="Q2380" s="45"/>
      <c r="R2380" s="48">
        <f t="shared" si="294"/>
        <v>2.1628827044116772</v>
      </c>
      <c r="U2380" s="94">
        <v>2.6174916435924347</v>
      </c>
      <c r="V2380" s="105">
        <v>2.1628827044116772</v>
      </c>
      <c r="W2380" s="49">
        <f t="shared" si="295"/>
        <v>1.0294726507113348</v>
      </c>
    </row>
    <row r="2381" spans="1:23" hidden="1">
      <c r="A2381" s="22" t="s">
        <v>150</v>
      </c>
      <c r="B2381" s="23" t="s">
        <v>252</v>
      </c>
      <c r="C2381" s="28" t="s">
        <v>257</v>
      </c>
      <c r="D2381" s="23"/>
      <c r="H2381" s="104">
        <v>359.91583114000002</v>
      </c>
      <c r="I2381" s="104"/>
      <c r="J2381" s="104"/>
      <c r="K2381" s="67">
        <v>144.8017317</v>
      </c>
      <c r="O2381" s="94">
        <f t="shared" si="293"/>
        <v>2.556200949808046</v>
      </c>
      <c r="P2381" s="45"/>
      <c r="Q2381" s="45"/>
      <c r="R2381" s="48">
        <f t="shared" si="294"/>
        <v>2.1607737556681532</v>
      </c>
      <c r="U2381" s="94">
        <v>2.556200949808046</v>
      </c>
      <c r="V2381" s="105">
        <v>2.1607737556681532</v>
      </c>
      <c r="W2381" s="49">
        <f t="shared" si="295"/>
        <v>1.0498424474572736</v>
      </c>
    </row>
    <row r="2382" spans="1:23" hidden="1">
      <c r="A2382" s="22" t="s">
        <v>150</v>
      </c>
      <c r="B2382" s="23" t="s">
        <v>252</v>
      </c>
      <c r="C2382" s="28" t="s">
        <v>257</v>
      </c>
      <c r="D2382" s="23"/>
      <c r="H2382" s="104">
        <v>328.75464597000001</v>
      </c>
      <c r="I2382" s="104"/>
      <c r="J2382" s="104"/>
      <c r="K2382" s="67">
        <v>145.53765966</v>
      </c>
      <c r="O2382" s="94">
        <f t="shared" si="293"/>
        <v>2.5168718990031431</v>
      </c>
      <c r="P2382" s="45"/>
      <c r="Q2382" s="45"/>
      <c r="R2382" s="48">
        <f t="shared" si="294"/>
        <v>2.1629753869045212</v>
      </c>
      <c r="U2382" s="94">
        <v>2.5168718990031431</v>
      </c>
      <c r="V2382" s="105">
        <v>2.1629753869045212</v>
      </c>
      <c r="W2382" s="49">
        <f t="shared" si="295"/>
        <v>1.0595223296316205</v>
      </c>
    </row>
    <row r="2383" spans="1:23" hidden="1">
      <c r="A2383" s="22" t="s">
        <v>150</v>
      </c>
      <c r="B2383" s="23" t="s">
        <v>252</v>
      </c>
      <c r="C2383" s="28" t="s">
        <v>257</v>
      </c>
      <c r="D2383" s="23"/>
      <c r="H2383" s="104">
        <v>360.04381861000002</v>
      </c>
      <c r="I2383" s="104"/>
      <c r="J2383" s="104"/>
      <c r="K2383" s="67">
        <v>157.12052589999999</v>
      </c>
      <c r="O2383" s="94">
        <f t="shared" si="293"/>
        <v>2.5563553591630108</v>
      </c>
      <c r="P2383" s="45"/>
      <c r="Q2383" s="45"/>
      <c r="R2383" s="48">
        <f t="shared" si="294"/>
        <v>2.1962329240775853</v>
      </c>
      <c r="U2383" s="94">
        <v>2.5563553591630108</v>
      </c>
      <c r="V2383" s="105">
        <v>2.1962329240775853</v>
      </c>
      <c r="W2383" s="49">
        <f t="shared" si="295"/>
        <v>1.015971697311234</v>
      </c>
    </row>
    <row r="2384" spans="1:23" hidden="1">
      <c r="A2384" s="22" t="s">
        <v>150</v>
      </c>
      <c r="B2384" s="23" t="s">
        <v>252</v>
      </c>
      <c r="C2384" s="28" t="s">
        <v>257</v>
      </c>
      <c r="D2384" s="23"/>
      <c r="H2384" s="104">
        <v>414.68694060000001</v>
      </c>
      <c r="I2384" s="104"/>
      <c r="J2384" s="104"/>
      <c r="K2384" s="67">
        <v>166.52101752999999</v>
      </c>
      <c r="O2384" s="94">
        <f t="shared" si="293"/>
        <v>2.6177203586949513</v>
      </c>
      <c r="P2384" s="45"/>
      <c r="Q2384" s="45"/>
      <c r="R2384" s="48">
        <f t="shared" si="294"/>
        <v>2.2214690559879444</v>
      </c>
      <c r="U2384" s="94">
        <v>2.6177203586949513</v>
      </c>
      <c r="V2384" s="105">
        <v>2.2214690559879444</v>
      </c>
      <c r="W2384" s="49">
        <f t="shared" si="295"/>
        <v>0.97351862414313795</v>
      </c>
    </row>
    <row r="2385" spans="1:23" hidden="1">
      <c r="A2385" s="22" t="s">
        <v>150</v>
      </c>
      <c r="B2385" s="23" t="s">
        <v>252</v>
      </c>
      <c r="C2385" s="28" t="s">
        <v>257</v>
      </c>
      <c r="D2385" s="23"/>
      <c r="H2385" s="104">
        <v>440.69851217000001</v>
      </c>
      <c r="I2385" s="104"/>
      <c r="J2385" s="104"/>
      <c r="K2385" s="67">
        <v>170.13478144999999</v>
      </c>
      <c r="O2385" s="94">
        <f t="shared" si="293"/>
        <v>2.6441415843028624</v>
      </c>
      <c r="P2385" s="45"/>
      <c r="Q2385" s="45"/>
      <c r="R2385" s="48">
        <f t="shared" si="294"/>
        <v>2.2307931075436058</v>
      </c>
      <c r="U2385" s="94">
        <v>2.6441415843028624</v>
      </c>
      <c r="V2385" s="105">
        <v>2.2307931075436058</v>
      </c>
      <c r="W2385" s="49">
        <f t="shared" si="295"/>
        <v>0.95671060433247335</v>
      </c>
    </row>
    <row r="2386" spans="1:23" hidden="1">
      <c r="A2386" s="22" t="s">
        <v>150</v>
      </c>
      <c r="B2386" s="23" t="s">
        <v>252</v>
      </c>
      <c r="C2386" s="28" t="s">
        <v>257</v>
      </c>
      <c r="D2386" s="23"/>
      <c r="H2386" s="104">
        <v>453.75323435000001</v>
      </c>
      <c r="I2386" s="104"/>
      <c r="J2386" s="104"/>
      <c r="K2386" s="67">
        <v>176.65179061000001</v>
      </c>
      <c r="O2386" s="94">
        <f t="shared" si="293"/>
        <v>2.6568197337033452</v>
      </c>
      <c r="P2386" s="45"/>
      <c r="Q2386" s="45"/>
      <c r="R2386" s="48">
        <f t="shared" si="294"/>
        <v>2.2471180439678693</v>
      </c>
      <c r="U2386" s="94">
        <v>2.6568197337033452</v>
      </c>
      <c r="V2386" s="105">
        <v>2.2471180439678693</v>
      </c>
      <c r="W2386" s="49">
        <f t="shared" si="295"/>
        <v>0.93734082984944833</v>
      </c>
    </row>
    <row r="2387" spans="1:23" hidden="1">
      <c r="A2387" s="22" t="s">
        <v>150</v>
      </c>
      <c r="B2387" s="23" t="s">
        <v>252</v>
      </c>
      <c r="C2387" s="28" t="s">
        <v>257</v>
      </c>
      <c r="D2387" s="23"/>
      <c r="H2387" s="104">
        <v>360.36002294999997</v>
      </c>
      <c r="I2387" s="104"/>
      <c r="J2387" s="104"/>
      <c r="K2387" s="67">
        <v>187.55519394999999</v>
      </c>
      <c r="O2387" s="94">
        <f t="shared" si="293"/>
        <v>2.5567366059052197</v>
      </c>
      <c r="P2387" s="45"/>
      <c r="Q2387" s="45"/>
      <c r="R2387" s="48">
        <f t="shared" si="294"/>
        <v>2.2731290955333452</v>
      </c>
      <c r="U2387" s="94">
        <v>2.5567366059052197</v>
      </c>
      <c r="V2387" s="105">
        <v>2.2731290955333452</v>
      </c>
      <c r="W2387" s="49">
        <f t="shared" si="295"/>
        <v>0.94250624658162341</v>
      </c>
    </row>
    <row r="2388" spans="1:23" hidden="1">
      <c r="A2388" s="22" t="s">
        <v>150</v>
      </c>
      <c r="B2388" s="23" t="s">
        <v>252</v>
      </c>
      <c r="C2388" s="28" t="s">
        <v>257</v>
      </c>
      <c r="D2388" s="23"/>
      <c r="H2388" s="104">
        <v>389.05180276999999</v>
      </c>
      <c r="I2388" s="104"/>
      <c r="J2388" s="104"/>
      <c r="K2388" s="67">
        <v>199.13900126999999</v>
      </c>
      <c r="O2388" s="94">
        <f t="shared" si="293"/>
        <v>2.5900074320693971</v>
      </c>
      <c r="P2388" s="45"/>
      <c r="Q2388" s="45"/>
      <c r="R2388" s="48">
        <f t="shared" si="294"/>
        <v>2.2991563247064004</v>
      </c>
      <c r="U2388" s="94">
        <v>2.5900074320693971</v>
      </c>
      <c r="V2388" s="105">
        <v>2.2991563247064004</v>
      </c>
      <c r="W2388" s="49">
        <f t="shared" si="295"/>
        <v>0.90771344177495117</v>
      </c>
    </row>
    <row r="2389" spans="1:23" hidden="1">
      <c r="A2389" s="22" t="s">
        <v>150</v>
      </c>
      <c r="B2389" s="23" t="s">
        <v>252</v>
      </c>
      <c r="C2389" s="28" t="s">
        <v>257</v>
      </c>
      <c r="D2389" s="23"/>
      <c r="H2389" s="104">
        <v>358.01860507999999</v>
      </c>
      <c r="I2389" s="104"/>
      <c r="J2389" s="104"/>
      <c r="K2389" s="67">
        <v>212.19372344000001</v>
      </c>
      <c r="O2389" s="94">
        <f t="shared" si="293"/>
        <v>2.5539055961232813</v>
      </c>
      <c r="P2389" s="45"/>
      <c r="Q2389" s="45"/>
      <c r="R2389" s="48">
        <f t="shared" si="294"/>
        <v>2.3267325335912985</v>
      </c>
      <c r="U2389" s="94">
        <v>2.5539055961232813</v>
      </c>
      <c r="V2389" s="105">
        <v>2.3267325335912985</v>
      </c>
      <c r="W2389" s="49">
        <f t="shared" si="295"/>
        <v>0.89222188409067293</v>
      </c>
    </row>
    <row r="2390" spans="1:23" hidden="1">
      <c r="A2390" s="22" t="s">
        <v>150</v>
      </c>
      <c r="B2390" s="23" t="s">
        <v>252</v>
      </c>
      <c r="C2390" s="28" t="s">
        <v>257</v>
      </c>
      <c r="D2390" s="23"/>
      <c r="H2390" s="104">
        <v>331.99950482999998</v>
      </c>
      <c r="I2390" s="104"/>
      <c r="J2390" s="104"/>
      <c r="K2390" s="67">
        <v>207.85532456999999</v>
      </c>
      <c r="O2390" s="94">
        <f t="shared" si="293"/>
        <v>2.5211374359637984</v>
      </c>
      <c r="P2390" s="45"/>
      <c r="Q2390" s="45"/>
      <c r="R2390" s="48">
        <f t="shared" si="294"/>
        <v>2.3177611541814245</v>
      </c>
      <c r="U2390" s="94">
        <v>2.5211374359637984</v>
      </c>
      <c r="V2390" s="105">
        <v>2.3177611541814245</v>
      </c>
      <c r="W2390" s="49">
        <f t="shared" si="295"/>
        <v>0.91059455297425695</v>
      </c>
    </row>
    <row r="2391" spans="1:23" hidden="1">
      <c r="A2391" s="22" t="s">
        <v>150</v>
      </c>
      <c r="B2391" s="23" t="s">
        <v>252</v>
      </c>
      <c r="C2391" s="28" t="s">
        <v>257</v>
      </c>
      <c r="D2391" s="23"/>
      <c r="H2391" s="104">
        <v>533.85080597000001</v>
      </c>
      <c r="I2391" s="104"/>
      <c r="J2391" s="104"/>
      <c r="K2391" s="67">
        <v>136.04305959999999</v>
      </c>
      <c r="O2391" s="94">
        <f t="shared" si="293"/>
        <v>2.7274199027269606</v>
      </c>
      <c r="P2391" s="45"/>
      <c r="Q2391" s="45"/>
      <c r="R2391" s="48">
        <f t="shared" si="294"/>
        <v>2.1336763906265679</v>
      </c>
      <c r="U2391" s="94">
        <v>2.7274199027269606</v>
      </c>
      <c r="V2391" s="105">
        <v>2.1336763906265679</v>
      </c>
      <c r="W2391" s="49">
        <f t="shared" si="295"/>
        <v>1.0244063355849853</v>
      </c>
    </row>
    <row r="2392" spans="1:23" hidden="1">
      <c r="A2392" s="22" t="s">
        <v>150</v>
      </c>
      <c r="B2392" s="23" t="s">
        <v>252</v>
      </c>
      <c r="C2392" s="28" t="s">
        <v>257</v>
      </c>
      <c r="D2392" s="23"/>
      <c r="H2392" s="104">
        <v>533.73034717999997</v>
      </c>
      <c r="I2392" s="104"/>
      <c r="J2392" s="104"/>
      <c r="K2392" s="67">
        <v>124.44890035</v>
      </c>
      <c r="O2392" s="94">
        <f t="shared" si="293"/>
        <v>2.7273218968978741</v>
      </c>
      <c r="P2392" s="45"/>
      <c r="Q2392" s="45"/>
      <c r="R2392" s="48">
        <f t="shared" si="294"/>
        <v>2.0949910634674165</v>
      </c>
      <c r="U2392" s="94">
        <v>2.7273218968978741</v>
      </c>
      <c r="V2392" s="105">
        <v>2.0949910634674165</v>
      </c>
      <c r="W2392" s="49">
        <f t="shared" si="295"/>
        <v>1.0613376243188544</v>
      </c>
    </row>
    <row r="2393" spans="1:23" hidden="1">
      <c r="A2393" s="22" t="s">
        <v>150</v>
      </c>
      <c r="B2393" s="23" t="s">
        <v>252</v>
      </c>
      <c r="C2393" s="28" t="s">
        <v>257</v>
      </c>
      <c r="D2393" s="23"/>
      <c r="H2393" s="104">
        <v>499.76096630000001</v>
      </c>
      <c r="I2393" s="104"/>
      <c r="J2393" s="104"/>
      <c r="K2393" s="67">
        <v>104.89599071000001</v>
      </c>
      <c r="O2393" s="94">
        <f t="shared" si="293"/>
        <v>2.698762332657735</v>
      </c>
      <c r="P2393" s="45"/>
      <c r="Q2393" s="45"/>
      <c r="R2393" s="48">
        <f t="shared" si="294"/>
        <v>2.0207588890915669</v>
      </c>
      <c r="U2393" s="94">
        <v>2.698762332657735</v>
      </c>
      <c r="V2393" s="105">
        <v>2.0207588890915669</v>
      </c>
      <c r="W2393" s="49">
        <f t="shared" si="295"/>
        <v>1.1407019875111795</v>
      </c>
    </row>
    <row r="2394" spans="1:23" hidden="1">
      <c r="A2394" s="22" t="s">
        <v>150</v>
      </c>
      <c r="B2394" s="23" t="s">
        <v>252</v>
      </c>
      <c r="C2394" s="28" t="s">
        <v>257</v>
      </c>
      <c r="D2394" s="23"/>
      <c r="H2394" s="104">
        <v>494.36290644000002</v>
      </c>
      <c r="I2394" s="104"/>
      <c r="J2394" s="104"/>
      <c r="K2394" s="67">
        <v>85.332729130000004</v>
      </c>
      <c r="O2394" s="94">
        <f t="shared" si="293"/>
        <v>2.6940458768607338</v>
      </c>
      <c r="P2394" s="45"/>
      <c r="Q2394" s="45"/>
      <c r="R2394" s="48">
        <f t="shared" si="294"/>
        <v>1.9311156355558288</v>
      </c>
      <c r="U2394" s="94">
        <v>2.6940458768607338</v>
      </c>
      <c r="V2394" s="105">
        <v>1.9311156355558288</v>
      </c>
      <c r="W2394" s="49">
        <f t="shared" si="295"/>
        <v>1.2276253815949345</v>
      </c>
    </row>
    <row r="2395" spans="1:23" hidden="1">
      <c r="A2395" s="22" t="s">
        <v>150</v>
      </c>
      <c r="B2395" s="23" t="s">
        <v>252</v>
      </c>
      <c r="C2395" s="28" t="s">
        <v>257</v>
      </c>
      <c r="D2395" s="23"/>
      <c r="H2395" s="104">
        <v>559.22996885999999</v>
      </c>
      <c r="I2395" s="104"/>
      <c r="J2395" s="104"/>
      <c r="K2395" s="67">
        <v>78.787487440000007</v>
      </c>
      <c r="O2395" s="94">
        <f t="shared" si="293"/>
        <v>2.7475904369897326</v>
      </c>
      <c r="P2395" s="45"/>
      <c r="Q2395" s="45"/>
      <c r="R2395" s="48">
        <f t="shared" si="294"/>
        <v>1.8964572509001112</v>
      </c>
      <c r="U2395" s="94">
        <v>2.7475904369897326</v>
      </c>
      <c r="V2395" s="105">
        <v>1.8964572509001112</v>
      </c>
      <c r="W2395" s="49">
        <f t="shared" si="295"/>
        <v>1.2446481017632094</v>
      </c>
    </row>
    <row r="2396" spans="1:23" hidden="1">
      <c r="A2396" s="22" t="s">
        <v>150</v>
      </c>
      <c r="B2396" s="23" t="s">
        <v>252</v>
      </c>
      <c r="C2396" s="28" t="s">
        <v>257</v>
      </c>
      <c r="D2396" s="23"/>
      <c r="H2396" s="104">
        <v>603.37811811999995</v>
      </c>
      <c r="I2396" s="104"/>
      <c r="J2396" s="104"/>
      <c r="K2396" s="67">
        <v>78.046854060000001</v>
      </c>
      <c r="O2396" s="94">
        <f t="shared" si="293"/>
        <v>2.7805895561670191</v>
      </c>
      <c r="P2396" s="45"/>
      <c r="Q2396" s="45"/>
      <c r="R2396" s="48">
        <f t="shared" si="294"/>
        <v>1.8923554020567583</v>
      </c>
      <c r="U2396" s="94">
        <v>2.7805895561670191</v>
      </c>
      <c r="V2396" s="105">
        <v>1.8923554020567583</v>
      </c>
      <c r="W2396" s="49">
        <f t="shared" si="295"/>
        <v>1.2386768074029546</v>
      </c>
    </row>
    <row r="2397" spans="1:23" hidden="1">
      <c r="A2397" s="22" t="s">
        <v>150</v>
      </c>
      <c r="B2397" s="23" t="s">
        <v>252</v>
      </c>
      <c r="C2397" s="28" t="s">
        <v>257</v>
      </c>
      <c r="D2397" s="23"/>
      <c r="H2397" s="104">
        <v>580.15968492000002</v>
      </c>
      <c r="I2397" s="104"/>
      <c r="J2397" s="104"/>
      <c r="K2397" s="67">
        <v>93.272657839999994</v>
      </c>
      <c r="O2397" s="94">
        <f t="shared" si="293"/>
        <v>2.7635475465536827</v>
      </c>
      <c r="P2397" s="45"/>
      <c r="Q2397" s="45"/>
      <c r="R2397" s="48">
        <f t="shared" si="294"/>
        <v>1.9697543523262693</v>
      </c>
      <c r="U2397" s="94">
        <v>2.7635475465536827</v>
      </c>
      <c r="V2397" s="105">
        <v>1.9697543523262693</v>
      </c>
      <c r="W2397" s="49">
        <f t="shared" si="295"/>
        <v>1.1699504498534985</v>
      </c>
    </row>
    <row r="2398" spans="1:23" hidden="1">
      <c r="A2398" s="22" t="s">
        <v>150</v>
      </c>
      <c r="B2398" s="23" t="s">
        <v>252</v>
      </c>
      <c r="C2398" s="28" t="s">
        <v>257</v>
      </c>
      <c r="D2398" s="23"/>
      <c r="H2398" s="104">
        <v>588.07232217000001</v>
      </c>
      <c r="I2398" s="104"/>
      <c r="J2398" s="104"/>
      <c r="K2398" s="67">
        <v>104.86399384000001</v>
      </c>
      <c r="O2398" s="94">
        <f t="shared" si="293"/>
        <v>2.7694307396609967</v>
      </c>
      <c r="P2398" s="45"/>
      <c r="Q2398" s="45"/>
      <c r="R2398" s="48">
        <f t="shared" si="294"/>
        <v>2.0206263941906277</v>
      </c>
      <c r="U2398" s="94">
        <v>2.7694307396609967</v>
      </c>
      <c r="V2398" s="105">
        <v>2.0206263941906277</v>
      </c>
      <c r="W2398" s="49">
        <f t="shared" si="295"/>
        <v>1.119661448056896</v>
      </c>
    </row>
    <row r="2399" spans="1:23" hidden="1">
      <c r="A2399" s="22" t="s">
        <v>150</v>
      </c>
      <c r="B2399" s="23" t="s">
        <v>252</v>
      </c>
      <c r="C2399" s="28" t="s">
        <v>257</v>
      </c>
      <c r="D2399" s="23"/>
      <c r="H2399" s="104">
        <v>619.38408083000002</v>
      </c>
      <c r="I2399" s="104"/>
      <c r="J2399" s="104"/>
      <c r="K2399" s="67">
        <v>118.62076494</v>
      </c>
      <c r="O2399" s="94">
        <f t="shared" si="293"/>
        <v>2.791960039095466</v>
      </c>
      <c r="P2399" s="45"/>
      <c r="Q2399" s="45"/>
      <c r="R2399" s="48">
        <f t="shared" si="294"/>
        <v>2.0741607203055592</v>
      </c>
      <c r="U2399" s="94">
        <v>2.791960039095466</v>
      </c>
      <c r="V2399" s="105">
        <v>2.0741607203055592</v>
      </c>
      <c r="W2399" s="49">
        <f t="shared" si="295"/>
        <v>1.0618469749744732</v>
      </c>
    </row>
    <row r="2400" spans="1:23" hidden="1">
      <c r="A2400" s="22" t="s">
        <v>150</v>
      </c>
      <c r="B2400" s="23" t="s">
        <v>252</v>
      </c>
      <c r="C2400" s="28" t="s">
        <v>257</v>
      </c>
      <c r="D2400" s="23"/>
      <c r="H2400" s="104">
        <v>551.81422413999996</v>
      </c>
      <c r="I2400" s="104"/>
      <c r="J2400" s="104"/>
      <c r="K2400" s="67">
        <v>115.02205837</v>
      </c>
      <c r="O2400" s="94">
        <f t="shared" si="293"/>
        <v>2.7417928911157885</v>
      </c>
      <c r="P2400" s="45"/>
      <c r="Q2400" s="45"/>
      <c r="R2400" s="48">
        <f t="shared" si="294"/>
        <v>2.0607811352207914</v>
      </c>
      <c r="U2400" s="94">
        <v>2.7417928911157885</v>
      </c>
      <c r="V2400" s="105">
        <v>2.0607811352207914</v>
      </c>
      <c r="W2400" s="49">
        <f t="shared" si="295"/>
        <v>1.0896360561185869</v>
      </c>
    </row>
    <row r="2401" spans="1:23" hidden="1">
      <c r="A2401" s="22" t="s">
        <v>150</v>
      </c>
      <c r="B2401" s="23" t="s">
        <v>252</v>
      </c>
      <c r="C2401" s="28" t="s">
        <v>257</v>
      </c>
      <c r="D2401" s="23"/>
      <c r="H2401" s="104">
        <v>528.24947189</v>
      </c>
      <c r="I2401" s="104"/>
      <c r="J2401" s="104"/>
      <c r="K2401" s="67">
        <v>96.914654290000001</v>
      </c>
      <c r="O2401" s="94">
        <f t="shared" si="293"/>
        <v>2.7228390715447515</v>
      </c>
      <c r="P2401" s="45"/>
      <c r="Q2401" s="45"/>
      <c r="R2401" s="48">
        <f t="shared" si="294"/>
        <v>1.9863894509010596</v>
      </c>
      <c r="U2401" s="94">
        <v>2.7228390715447515</v>
      </c>
      <c r="V2401" s="105">
        <v>1.9863894509010596</v>
      </c>
      <c r="W2401" s="49">
        <f t="shared" si="295"/>
        <v>1.1662754190166662</v>
      </c>
    </row>
    <row r="2402" spans="1:23" hidden="1">
      <c r="A2402" s="22" t="s">
        <v>150</v>
      </c>
      <c r="B2402" s="23" t="s">
        <v>252</v>
      </c>
      <c r="C2402" s="28" t="s">
        <v>257</v>
      </c>
      <c r="D2402" s="23"/>
      <c r="H2402" s="104">
        <v>592.83797334999997</v>
      </c>
      <c r="I2402" s="104"/>
      <c r="J2402" s="104"/>
      <c r="K2402" s="67">
        <v>63.557919329999997</v>
      </c>
      <c r="O2402" s="94">
        <f t="shared" si="293"/>
        <v>2.7729360139459347</v>
      </c>
      <c r="P2402" s="45"/>
      <c r="Q2402" s="45"/>
      <c r="R2402" s="48">
        <f t="shared" si="294"/>
        <v>1.8031696714445571</v>
      </c>
      <c r="U2402" s="94">
        <v>2.7729360139459347</v>
      </c>
      <c r="V2402" s="105">
        <v>1.8031696714445571</v>
      </c>
      <c r="W2402" s="49">
        <f t="shared" si="295"/>
        <v>1.3260435000062865</v>
      </c>
    </row>
    <row r="2403" spans="1:23" hidden="1">
      <c r="A2403" s="22" t="s">
        <v>150</v>
      </c>
      <c r="B2403" s="23" t="s">
        <v>252</v>
      </c>
      <c r="C2403" s="28" t="s">
        <v>257</v>
      </c>
      <c r="D2403" s="23"/>
      <c r="H2403" s="104">
        <v>558.87612114000001</v>
      </c>
      <c r="I2403" s="104"/>
      <c r="J2403" s="104"/>
      <c r="K2403" s="67">
        <v>44.729644630000003</v>
      </c>
      <c r="O2403" s="94">
        <f t="shared" si="293"/>
        <v>2.747315554098503</v>
      </c>
      <c r="P2403" s="45"/>
      <c r="Q2403" s="45"/>
      <c r="R2403" s="48">
        <f t="shared" si="294"/>
        <v>1.6505954477849281</v>
      </c>
      <c r="U2403" s="94">
        <v>2.747315554098503</v>
      </c>
      <c r="V2403" s="105">
        <v>1.6505954477849281</v>
      </c>
      <c r="W2403" s="49">
        <f t="shared" si="295"/>
        <v>1.4792580099428247</v>
      </c>
    </row>
    <row r="2404" spans="1:23" hidden="1">
      <c r="A2404" s="22" t="s">
        <v>150</v>
      </c>
      <c r="B2404" s="23" t="s">
        <v>252</v>
      </c>
      <c r="C2404" s="28" t="s">
        <v>257</v>
      </c>
      <c r="D2404" s="23"/>
      <c r="H2404" s="104">
        <v>600.44193494000001</v>
      </c>
      <c r="I2404" s="104"/>
      <c r="J2404" s="104"/>
      <c r="K2404" s="67">
        <v>45.439222239999999</v>
      </c>
      <c r="O2404" s="94">
        <f t="shared" si="293"/>
        <v>2.7784710158115025</v>
      </c>
      <c r="P2404" s="45"/>
      <c r="Q2404" s="45"/>
      <c r="R2404" s="48">
        <f t="shared" si="294"/>
        <v>1.6574308891693577</v>
      </c>
      <c r="U2404" s="94">
        <v>2.7784710158115025</v>
      </c>
      <c r="V2404" s="105">
        <v>1.6574308891693577</v>
      </c>
      <c r="W2404" s="49">
        <f t="shared" si="295"/>
        <v>1.4634058551988156</v>
      </c>
    </row>
    <row r="2405" spans="1:23" hidden="1">
      <c r="A2405" s="22" t="s">
        <v>150</v>
      </c>
      <c r="B2405" s="23" t="s">
        <v>252</v>
      </c>
      <c r="C2405" s="28" t="s">
        <v>257</v>
      </c>
      <c r="D2405" s="23"/>
      <c r="H2405" s="104">
        <v>649.70958309000002</v>
      </c>
      <c r="I2405" s="104"/>
      <c r="J2405" s="104"/>
      <c r="K2405" s="67">
        <v>37.450357150000002</v>
      </c>
      <c r="O2405" s="94">
        <f t="shared" si="293"/>
        <v>2.8127192725717607</v>
      </c>
      <c r="P2405" s="45"/>
      <c r="Q2405" s="45"/>
      <c r="R2405" s="48">
        <f t="shared" si="294"/>
        <v>1.5734559637587058</v>
      </c>
      <c r="U2405" s="94">
        <v>2.8127192725717607</v>
      </c>
      <c r="V2405" s="105">
        <v>1.5734559637587058</v>
      </c>
      <c r="W2405" s="49">
        <f t="shared" si="295"/>
        <v>1.533251341141223</v>
      </c>
    </row>
    <row r="2406" spans="1:23" hidden="1">
      <c r="A2406" s="22" t="s">
        <v>150</v>
      </c>
      <c r="B2406" s="23" t="s">
        <v>252</v>
      </c>
      <c r="C2406" s="28" t="s">
        <v>257</v>
      </c>
      <c r="D2406" s="23"/>
      <c r="H2406" s="104">
        <v>691.30551158000003</v>
      </c>
      <c r="I2406" s="104"/>
      <c r="J2406" s="104"/>
      <c r="K2406" s="67">
        <v>41.058474570000001</v>
      </c>
      <c r="O2406" s="94">
        <f t="shared" si="293"/>
        <v>2.8396700194012219</v>
      </c>
      <c r="P2406" s="45"/>
      <c r="Q2406" s="45"/>
      <c r="R2406" s="48">
        <f t="shared" si="294"/>
        <v>1.6134028101554225</v>
      </c>
      <c r="U2406" s="94">
        <v>2.8396700194012219</v>
      </c>
      <c r="V2406" s="105">
        <v>1.6134028101554225</v>
      </c>
      <c r="W2406" s="49">
        <f t="shared" si="295"/>
        <v>1.4870736326995995</v>
      </c>
    </row>
    <row r="2407" spans="1:23" hidden="1">
      <c r="A2407" s="22" t="s">
        <v>150</v>
      </c>
      <c r="B2407" s="23" t="s">
        <v>252</v>
      </c>
      <c r="C2407" s="28" t="s">
        <v>257</v>
      </c>
      <c r="D2407" s="23"/>
      <c r="H2407" s="104">
        <v>647.27029244000005</v>
      </c>
      <c r="I2407" s="104"/>
      <c r="J2407" s="104"/>
      <c r="K2407" s="67">
        <v>52.668632250000002</v>
      </c>
      <c r="O2407" s="94">
        <f t="shared" si="293"/>
        <v>2.8110856747987896</v>
      </c>
      <c r="P2407" s="45"/>
      <c r="Q2407" s="45"/>
      <c r="R2407" s="48">
        <f t="shared" si="294"/>
        <v>1.7215520403246269</v>
      </c>
      <c r="U2407" s="94">
        <v>2.8110856747987896</v>
      </c>
      <c r="V2407" s="105">
        <v>1.7215520403246269</v>
      </c>
      <c r="W2407" s="49">
        <f t="shared" si="295"/>
        <v>1.3924717964245008</v>
      </c>
    </row>
    <row r="2408" spans="1:23" hidden="1">
      <c r="A2408" s="22" t="s">
        <v>150</v>
      </c>
      <c r="B2408" s="23" t="s">
        <v>252</v>
      </c>
      <c r="C2408" s="28" t="s">
        <v>257</v>
      </c>
      <c r="D2408" s="23"/>
      <c r="H2408" s="104">
        <v>662.92993610999997</v>
      </c>
      <c r="I2408" s="104"/>
      <c r="J2408" s="104"/>
      <c r="K2408" s="67">
        <v>59.909335280000001</v>
      </c>
      <c r="O2408" s="94">
        <f t="shared" si="293"/>
        <v>2.8214676310160689</v>
      </c>
      <c r="P2408" s="45"/>
      <c r="Q2408" s="45"/>
      <c r="R2408" s="48">
        <f t="shared" si="294"/>
        <v>1.777494500931885</v>
      </c>
      <c r="U2408" s="94">
        <v>2.8214676310160689</v>
      </c>
      <c r="V2408" s="105">
        <v>1.777494500931885</v>
      </c>
      <c r="W2408" s="49">
        <f t="shared" si="295"/>
        <v>1.3359986319680393</v>
      </c>
    </row>
    <row r="2409" spans="1:23" hidden="1">
      <c r="A2409" s="22" t="s">
        <v>150</v>
      </c>
      <c r="B2409" s="23" t="s">
        <v>252</v>
      </c>
      <c r="C2409" s="28" t="s">
        <v>257</v>
      </c>
      <c r="D2409" s="23"/>
      <c r="H2409" s="104">
        <v>610.93690765999997</v>
      </c>
      <c r="I2409" s="104"/>
      <c r="J2409" s="104"/>
      <c r="K2409" s="67">
        <v>55.580347250000003</v>
      </c>
      <c r="O2409" s="94">
        <f t="shared" si="293"/>
        <v>2.7859963623376176</v>
      </c>
      <c r="P2409" s="45"/>
      <c r="Q2409" s="45"/>
      <c r="R2409" s="48">
        <f t="shared" si="294"/>
        <v>1.744921255796656</v>
      </c>
      <c r="U2409" s="94">
        <v>2.7859963623376176</v>
      </c>
      <c r="V2409" s="105">
        <v>1.744921255796656</v>
      </c>
      <c r="W2409" s="49">
        <f t="shared" si="295"/>
        <v>1.3776947680649401</v>
      </c>
    </row>
    <row r="2410" spans="1:23" hidden="1">
      <c r="A2410" s="22" t="s">
        <v>150</v>
      </c>
      <c r="B2410" s="23" t="s">
        <v>252</v>
      </c>
      <c r="C2410" s="28" t="s">
        <v>257</v>
      </c>
      <c r="D2410" s="23"/>
      <c r="H2410" s="104">
        <v>688.97162237999999</v>
      </c>
      <c r="I2410" s="104"/>
      <c r="J2410" s="104"/>
      <c r="K2410" s="67">
        <v>66.421639020000001</v>
      </c>
      <c r="O2410" s="94">
        <f t="shared" si="293"/>
        <v>2.8382013343929962</v>
      </c>
      <c r="P2410" s="45"/>
      <c r="Q2410" s="45"/>
      <c r="R2410" s="48">
        <f t="shared" si="294"/>
        <v>1.822309588042843</v>
      </c>
      <c r="U2410" s="94">
        <v>2.8382013343929962</v>
      </c>
      <c r="V2410" s="105">
        <v>1.822309588042843</v>
      </c>
      <c r="W2410" s="49">
        <f t="shared" si="295"/>
        <v>1.2882373645624039</v>
      </c>
    </row>
    <row r="2411" spans="1:23" hidden="1">
      <c r="A2411" s="22" t="s">
        <v>150</v>
      </c>
      <c r="B2411" s="23" t="s">
        <v>252</v>
      </c>
      <c r="C2411" s="28" t="s">
        <v>257</v>
      </c>
      <c r="D2411" s="23"/>
      <c r="H2411" s="104">
        <v>689.05443780999997</v>
      </c>
      <c r="I2411" s="104"/>
      <c r="J2411" s="104"/>
      <c r="K2411" s="67">
        <v>74.392623510000007</v>
      </c>
      <c r="O2411" s="94">
        <f t="shared" si="293"/>
        <v>2.8382535341087314</v>
      </c>
      <c r="P2411" s="45"/>
      <c r="Q2411" s="45"/>
      <c r="R2411" s="48">
        <f t="shared" si="294"/>
        <v>1.8715298746893676</v>
      </c>
      <c r="U2411" s="94">
        <v>2.8382535341087314</v>
      </c>
      <c r="V2411" s="105">
        <v>1.8715298746893676</v>
      </c>
      <c r="W2411" s="49">
        <f t="shared" si="295"/>
        <v>1.2412704980313081</v>
      </c>
    </row>
    <row r="2412" spans="1:23" hidden="1">
      <c r="A2412" s="22" t="s">
        <v>150</v>
      </c>
      <c r="B2412" s="23" t="s">
        <v>252</v>
      </c>
      <c r="C2412" s="28" t="s">
        <v>257</v>
      </c>
      <c r="D2412" s="23"/>
      <c r="H2412" s="104">
        <v>681.44294753999998</v>
      </c>
      <c r="I2412" s="104"/>
      <c r="J2412" s="104"/>
      <c r="K2412" s="67">
        <v>91.786685640000002</v>
      </c>
      <c r="O2412" s="94">
        <f t="shared" si="293"/>
        <v>2.8334295012480886</v>
      </c>
      <c r="P2412" s="45"/>
      <c r="Q2412" s="45"/>
      <c r="R2412" s="48">
        <f t="shared" si="294"/>
        <v>1.9627796880373531</v>
      </c>
      <c r="U2412" s="94">
        <v>2.8334295012480886</v>
      </c>
      <c r="V2412" s="105">
        <v>1.9627796880373531</v>
      </c>
      <c r="W2412" s="49">
        <f t="shared" si="295"/>
        <v>1.1556722175916354</v>
      </c>
    </row>
    <row r="2413" spans="1:23" hidden="1">
      <c r="A2413" s="22" t="s">
        <v>150</v>
      </c>
      <c r="B2413" s="23" t="s">
        <v>252</v>
      </c>
      <c r="C2413" s="28" t="s">
        <v>257</v>
      </c>
      <c r="D2413" s="23"/>
      <c r="H2413" s="104">
        <v>720.32102441999996</v>
      </c>
      <c r="I2413" s="104"/>
      <c r="J2413" s="104"/>
      <c r="K2413" s="67">
        <v>83.801584890000001</v>
      </c>
      <c r="O2413" s="94">
        <f t="shared" si="293"/>
        <v>2.8575260909620805</v>
      </c>
      <c r="P2413" s="45"/>
      <c r="Q2413" s="45"/>
      <c r="R2413" s="48">
        <f t="shared" si="294"/>
        <v>1.923252232263601</v>
      </c>
      <c r="U2413" s="94">
        <v>2.8575260909620805</v>
      </c>
      <c r="V2413" s="105">
        <v>1.923252232263601</v>
      </c>
      <c r="W2413" s="49">
        <f t="shared" si="295"/>
        <v>1.1861599362587705</v>
      </c>
    </row>
    <row r="2414" spans="1:23" hidden="1">
      <c r="A2414" s="22" t="s">
        <v>150</v>
      </c>
      <c r="B2414" s="23" t="s">
        <v>252</v>
      </c>
      <c r="C2414" s="28" t="s">
        <v>257</v>
      </c>
      <c r="D2414" s="23"/>
      <c r="H2414" s="104">
        <v>756.64688051999997</v>
      </c>
      <c r="I2414" s="104"/>
      <c r="J2414" s="104"/>
      <c r="K2414" s="67">
        <v>80.165234940000005</v>
      </c>
      <c r="O2414" s="94">
        <f t="shared" si="293"/>
        <v>2.8788932459183934</v>
      </c>
      <c r="P2414" s="45"/>
      <c r="Q2414" s="45"/>
      <c r="R2414" s="48">
        <f t="shared" si="294"/>
        <v>1.9039860696923496</v>
      </c>
      <c r="U2414" s="94">
        <v>2.8788932459183934</v>
      </c>
      <c r="V2414" s="105">
        <v>1.9039860696923496</v>
      </c>
      <c r="W2414" s="49">
        <f t="shared" si="295"/>
        <v>1.1981379401940593</v>
      </c>
    </row>
    <row r="2415" spans="1:23" hidden="1">
      <c r="A2415" s="22" t="s">
        <v>150</v>
      </c>
      <c r="B2415" s="23" t="s">
        <v>252</v>
      </c>
      <c r="C2415" s="28" t="s">
        <v>257</v>
      </c>
      <c r="D2415" s="23"/>
      <c r="H2415" s="104">
        <v>777.40343705999999</v>
      </c>
      <c r="I2415" s="104"/>
      <c r="J2415" s="104"/>
      <c r="K2415" s="67">
        <v>77.983801400000004</v>
      </c>
      <c r="O2415" s="94">
        <f t="shared" si="293"/>
        <v>2.8906464564044478</v>
      </c>
      <c r="P2415" s="45"/>
      <c r="Q2415" s="45"/>
      <c r="R2415" s="48">
        <f t="shared" si="294"/>
        <v>1.8920044014957833</v>
      </c>
      <c r="U2415" s="94">
        <v>2.8906464564044478</v>
      </c>
      <c r="V2415" s="105">
        <v>1.8920044014957833</v>
      </c>
      <c r="W2415" s="49">
        <f t="shared" si="295"/>
        <v>1.2060468778172126</v>
      </c>
    </row>
    <row r="2416" spans="1:23" hidden="1">
      <c r="A2416" s="22" t="s">
        <v>150</v>
      </c>
      <c r="B2416" s="23" t="s">
        <v>252</v>
      </c>
      <c r="C2416" s="28" t="s">
        <v>257</v>
      </c>
      <c r="D2416" s="23"/>
      <c r="H2416" s="104">
        <v>813.62389170999995</v>
      </c>
      <c r="I2416" s="104"/>
      <c r="J2416" s="104"/>
      <c r="K2416" s="67">
        <v>64.202562110000002</v>
      </c>
      <c r="O2416" s="94">
        <f t="shared" si="293"/>
        <v>2.9104236929695935</v>
      </c>
      <c r="P2416" s="45"/>
      <c r="Q2416" s="45"/>
      <c r="R2416" s="48">
        <f t="shared" si="294"/>
        <v>1.807552359658144</v>
      </c>
      <c r="U2416" s="94">
        <v>2.9104236929695935</v>
      </c>
      <c r="V2416" s="105">
        <v>1.807552359658144</v>
      </c>
      <c r="W2416" s="49">
        <f t="shared" si="295"/>
        <v>1.280681911654856</v>
      </c>
    </row>
    <row r="2417" spans="1:23" hidden="1">
      <c r="A2417" s="22" t="s">
        <v>150</v>
      </c>
      <c r="B2417" s="23" t="s">
        <v>252</v>
      </c>
      <c r="C2417" s="28" t="s">
        <v>257</v>
      </c>
      <c r="D2417" s="23"/>
      <c r="H2417" s="104">
        <v>774.59524134000003</v>
      </c>
      <c r="I2417" s="104"/>
      <c r="J2417" s="104"/>
      <c r="K2417" s="67">
        <v>57.694963790000003</v>
      </c>
      <c r="O2417" s="94">
        <f t="shared" si="293"/>
        <v>2.8890748246070386</v>
      </c>
      <c r="P2417" s="45"/>
      <c r="Q2417" s="45"/>
      <c r="R2417" s="48">
        <f t="shared" si="294"/>
        <v>1.7611379051198475</v>
      </c>
      <c r="U2417" s="94">
        <v>2.8890748246070386</v>
      </c>
      <c r="V2417" s="105">
        <v>1.7611379051198475</v>
      </c>
      <c r="W2417" s="49">
        <f t="shared" si="295"/>
        <v>1.3313511710956842</v>
      </c>
    </row>
    <row r="2418" spans="1:23" hidden="1">
      <c r="A2418" s="22" t="s">
        <v>150</v>
      </c>
      <c r="B2418" s="23" t="s">
        <v>252</v>
      </c>
      <c r="C2418" s="28" t="s">
        <v>257</v>
      </c>
      <c r="D2418" s="23"/>
      <c r="H2418" s="104">
        <v>758.97324104999996</v>
      </c>
      <c r="I2418" s="104"/>
      <c r="J2418" s="104"/>
      <c r="K2418" s="67">
        <v>54.077435530000002</v>
      </c>
      <c r="O2418" s="94">
        <f t="shared" si="293"/>
        <v>2.8802264643418725</v>
      </c>
      <c r="P2418" s="45"/>
      <c r="Q2418" s="45"/>
      <c r="R2418" s="48">
        <f t="shared" si="294"/>
        <v>1.7330160882298542</v>
      </c>
      <c r="U2418" s="94">
        <v>2.8802264643418725</v>
      </c>
      <c r="V2418" s="105">
        <v>1.7330160882298542</v>
      </c>
      <c r="W2418" s="49">
        <f t="shared" si="295"/>
        <v>1.3608268737961282</v>
      </c>
    </row>
    <row r="2419" spans="1:23" hidden="1">
      <c r="A2419" s="22" t="s">
        <v>150</v>
      </c>
      <c r="B2419" s="23" t="s">
        <v>252</v>
      </c>
      <c r="C2419" s="28" t="s">
        <v>257</v>
      </c>
      <c r="D2419" s="23"/>
      <c r="H2419" s="104">
        <v>792.64147492999996</v>
      </c>
      <c r="I2419" s="104"/>
      <c r="J2419" s="104"/>
      <c r="K2419" s="67">
        <v>44.644947039999998</v>
      </c>
      <c r="O2419" s="94">
        <f t="shared" si="293"/>
        <v>2.8990767930322119</v>
      </c>
      <c r="P2419" s="45"/>
      <c r="Q2419" s="45"/>
      <c r="R2419" s="48">
        <f t="shared" si="294"/>
        <v>1.6497723121198193</v>
      </c>
      <c r="U2419" s="94">
        <v>2.8990767930322119</v>
      </c>
      <c r="V2419" s="105">
        <v>1.6497723121198193</v>
      </c>
      <c r="W2419" s="49">
        <f t="shared" si="295"/>
        <v>1.4345869746666484</v>
      </c>
    </row>
    <row r="2420" spans="1:23" hidden="1">
      <c r="A2420" s="22" t="s">
        <v>150</v>
      </c>
      <c r="B2420" s="23" t="s">
        <v>252</v>
      </c>
      <c r="C2420" s="28" t="s">
        <v>257</v>
      </c>
      <c r="D2420" s="23"/>
      <c r="H2420" s="104">
        <v>763.85182234000001</v>
      </c>
      <c r="I2420" s="104"/>
      <c r="J2420" s="104"/>
      <c r="K2420" s="67">
        <v>23.640885319999999</v>
      </c>
      <c r="O2420" s="94">
        <f t="shared" si="293"/>
        <v>2.8830091190711253</v>
      </c>
      <c r="P2420" s="45"/>
      <c r="Q2420" s="45"/>
      <c r="R2420" s="48">
        <f t="shared" si="294"/>
        <v>1.3736637362697641</v>
      </c>
      <c r="U2420" s="94">
        <v>2.8830091190711253</v>
      </c>
      <c r="V2420" s="105">
        <v>1.3736637362697641</v>
      </c>
      <c r="W2420" s="49">
        <f t="shared" si="295"/>
        <v>1.7027796087861411</v>
      </c>
    </row>
    <row r="2421" spans="1:23" hidden="1">
      <c r="A2421" s="22" t="s">
        <v>150</v>
      </c>
      <c r="B2421" s="23" t="s">
        <v>252</v>
      </c>
      <c r="C2421" s="28" t="s">
        <v>257</v>
      </c>
      <c r="D2421" s="23"/>
      <c r="H2421" s="104">
        <v>807.94727088000002</v>
      </c>
      <c r="I2421" s="104"/>
      <c r="J2421" s="104"/>
      <c r="K2421" s="67">
        <v>17.82780726</v>
      </c>
      <c r="O2421" s="94">
        <f t="shared" si="293"/>
        <v>2.9073830183078826</v>
      </c>
      <c r="P2421" s="45"/>
      <c r="Q2421" s="45"/>
      <c r="R2421" s="48">
        <f t="shared" si="294"/>
        <v>1.2510979301947691</v>
      </c>
      <c r="U2421" s="94">
        <v>2.9073830183078826</v>
      </c>
      <c r="V2421" s="105">
        <v>1.2510979301947691</v>
      </c>
      <c r="W2421" s="49">
        <f t="shared" si="295"/>
        <v>1.8123945487817485</v>
      </c>
    </row>
    <row r="2422" spans="1:23" hidden="1">
      <c r="A2422" s="22" t="s">
        <v>150</v>
      </c>
      <c r="B2422" s="23" t="s">
        <v>252</v>
      </c>
      <c r="C2422" s="28" t="s">
        <v>257</v>
      </c>
      <c r="D2422" s="23"/>
      <c r="H2422" s="104">
        <v>875.59241431999999</v>
      </c>
      <c r="I2422" s="104"/>
      <c r="J2422" s="104"/>
      <c r="K2422" s="67">
        <v>28.672863370000002</v>
      </c>
      <c r="O2422" s="94">
        <f t="shared" si="293"/>
        <v>2.9423019904093293</v>
      </c>
      <c r="P2422" s="45"/>
      <c r="Q2422" s="45"/>
      <c r="R2422" s="48">
        <f t="shared" si="294"/>
        <v>1.4574710652414344</v>
      </c>
      <c r="U2422" s="94">
        <v>2.9423019904093293</v>
      </c>
      <c r="V2422" s="105">
        <v>1.4574710652414344</v>
      </c>
      <c r="W2422" s="49">
        <f t="shared" si="295"/>
        <v>1.6050761241096376</v>
      </c>
    </row>
    <row r="2423" spans="1:23" hidden="1">
      <c r="A2423" s="22" t="s">
        <v>150</v>
      </c>
      <c r="B2423" s="23" t="s">
        <v>252</v>
      </c>
      <c r="C2423" s="28" t="s">
        <v>257</v>
      </c>
      <c r="D2423" s="23"/>
      <c r="H2423" s="104">
        <v>844.63450337999996</v>
      </c>
      <c r="I2423" s="104"/>
      <c r="J2423" s="104"/>
      <c r="K2423" s="67">
        <v>48.973935079999997</v>
      </c>
      <c r="O2423" s="94">
        <f t="shared" ref="O2423:O2486" si="296">LOG10(H2423)</f>
        <v>2.9266688184119714</v>
      </c>
      <c r="P2423" s="45"/>
      <c r="Q2423" s="45"/>
      <c r="R2423" s="48">
        <f t="shared" ref="R2423:R2486" si="297">LOG10(K2423)</f>
        <v>1.6899650011974945</v>
      </c>
      <c r="U2423" s="94">
        <v>2.9266688184119714</v>
      </c>
      <c r="V2423" s="105">
        <v>1.6899650011974945</v>
      </c>
      <c r="W2423" s="49">
        <f t="shared" si="295"/>
        <v>1.3879826781903915</v>
      </c>
    </row>
    <row r="2424" spans="1:23" hidden="1">
      <c r="A2424" s="22" t="s">
        <v>150</v>
      </c>
      <c r="B2424" s="23" t="s">
        <v>252</v>
      </c>
      <c r="C2424" s="28" t="s">
        <v>257</v>
      </c>
      <c r="D2424" s="23"/>
      <c r="H2424" s="104">
        <v>839.31925894000005</v>
      </c>
      <c r="I2424" s="104"/>
      <c r="J2424" s="104"/>
      <c r="K2424" s="67">
        <v>37.381657990000001</v>
      </c>
      <c r="O2424" s="94">
        <f t="shared" si="296"/>
        <v>2.9239271885073723</v>
      </c>
      <c r="P2424" s="45"/>
      <c r="Q2424" s="45"/>
      <c r="R2424" s="48">
        <f t="shared" si="297"/>
        <v>1.5726585597485243</v>
      </c>
      <c r="U2424" s="94">
        <v>2.9239271885073723</v>
      </c>
      <c r="V2424" s="105">
        <v>1.5726585597485243</v>
      </c>
      <c r="W2424" s="49">
        <f t="shared" si="295"/>
        <v>1.5007024782890872</v>
      </c>
    </row>
    <row r="2425" spans="1:23" hidden="1">
      <c r="A2425" s="22" t="s">
        <v>150</v>
      </c>
      <c r="B2425" s="23" t="s">
        <v>252</v>
      </c>
      <c r="C2425" s="28" t="s">
        <v>257</v>
      </c>
      <c r="D2425" s="23"/>
      <c r="H2425" s="104">
        <v>888.90311143999998</v>
      </c>
      <c r="I2425" s="104"/>
      <c r="J2425" s="104"/>
      <c r="K2425" s="67">
        <v>59.827460940000002</v>
      </c>
      <c r="O2425" s="94">
        <f t="shared" si="296"/>
        <v>2.9488544263694263</v>
      </c>
      <c r="P2425" s="45"/>
      <c r="Q2425" s="45"/>
      <c r="R2425" s="48">
        <f t="shared" si="297"/>
        <v>1.7769005719019493</v>
      </c>
      <c r="U2425" s="94">
        <v>2.9488544263694263</v>
      </c>
      <c r="V2425" s="105">
        <v>1.7769005719019493</v>
      </c>
      <c r="W2425" s="49">
        <f t="shared" si="295"/>
        <v>1.2984097019461989</v>
      </c>
    </row>
    <row r="2426" spans="1:23" hidden="1">
      <c r="A2426" s="22" t="s">
        <v>150</v>
      </c>
      <c r="B2426" s="23" t="s">
        <v>252</v>
      </c>
      <c r="C2426" s="28" t="s">
        <v>257</v>
      </c>
      <c r="D2426" s="23"/>
      <c r="H2426" s="104">
        <v>870.88699254999995</v>
      </c>
      <c r="I2426" s="104"/>
      <c r="J2426" s="104"/>
      <c r="K2426" s="67">
        <v>75.776017510000003</v>
      </c>
      <c r="O2426" s="94">
        <f t="shared" si="296"/>
        <v>2.9399618040362996</v>
      </c>
      <c r="P2426" s="45"/>
      <c r="Q2426" s="45"/>
      <c r="R2426" s="48">
        <f t="shared" si="297"/>
        <v>1.8795317767257225</v>
      </c>
      <c r="U2426" s="94">
        <v>2.9399618040362996</v>
      </c>
      <c r="V2426" s="105">
        <v>1.8795317767257225</v>
      </c>
      <c r="W2426" s="49">
        <f t="shared" si="295"/>
        <v>1.2031733548120824</v>
      </c>
    </row>
    <row r="2427" spans="1:23" hidden="1">
      <c r="A2427" s="22" t="s">
        <v>150</v>
      </c>
      <c r="B2427" s="23" t="s">
        <v>252</v>
      </c>
      <c r="C2427" s="28" t="s">
        <v>257</v>
      </c>
      <c r="D2427" s="23"/>
      <c r="H2427" s="104">
        <v>894.30117129999996</v>
      </c>
      <c r="I2427" s="104"/>
      <c r="J2427" s="104"/>
      <c r="K2427" s="67">
        <v>79.390722510000003</v>
      </c>
      <c r="O2427" s="94">
        <f t="shared" si="296"/>
        <v>2.9514837995645413</v>
      </c>
      <c r="P2427" s="45"/>
      <c r="Q2427" s="45"/>
      <c r="R2427" s="48">
        <f t="shared" si="297"/>
        <v>1.8997697543398806</v>
      </c>
      <c r="U2427" s="94">
        <v>2.9514837995645413</v>
      </c>
      <c r="V2427" s="105">
        <v>1.8997697543398806</v>
      </c>
      <c r="W2427" s="49">
        <f t="shared" si="295"/>
        <v>1.1804172268641386</v>
      </c>
    </row>
    <row r="2428" spans="1:23" hidden="1">
      <c r="A2428" s="22" t="s">
        <v>150</v>
      </c>
      <c r="B2428" s="23" t="s">
        <v>252</v>
      </c>
      <c r="C2428" s="28" t="s">
        <v>257</v>
      </c>
      <c r="D2428" s="23"/>
      <c r="H2428" s="104">
        <v>878.80715848</v>
      </c>
      <c r="I2428" s="104"/>
      <c r="J2428" s="104"/>
      <c r="K2428" s="67">
        <v>88.091988459999996</v>
      </c>
      <c r="O2428" s="94">
        <f t="shared" si="296"/>
        <v>2.94389358588582</v>
      </c>
      <c r="P2428" s="45"/>
      <c r="Q2428" s="45"/>
      <c r="R2428" s="48">
        <f t="shared" si="297"/>
        <v>1.9449364132267519</v>
      </c>
      <c r="U2428" s="94">
        <v>2.94389358588582</v>
      </c>
      <c r="V2428" s="105">
        <v>1.9449364132267519</v>
      </c>
      <c r="W2428" s="49">
        <f t="shared" si="295"/>
        <v>1.1396062066679855</v>
      </c>
    </row>
    <row r="2429" spans="1:23" hidden="1">
      <c r="A2429" s="22" t="s">
        <v>150</v>
      </c>
      <c r="B2429" s="23" t="s">
        <v>252</v>
      </c>
      <c r="C2429" s="28" t="s">
        <v>257</v>
      </c>
      <c r="D2429" s="23"/>
      <c r="H2429" s="104">
        <v>806.15544626999997</v>
      </c>
      <c r="I2429" s="104"/>
      <c r="J2429" s="104"/>
      <c r="K2429" s="67">
        <v>95.364688360000002</v>
      </c>
      <c r="O2429" s="94">
        <f t="shared" si="296"/>
        <v>2.9064187923611042</v>
      </c>
      <c r="P2429" s="45"/>
      <c r="Q2429" s="45"/>
      <c r="R2429" s="48">
        <f t="shared" si="297"/>
        <v>1.9793875938939154</v>
      </c>
      <c r="U2429" s="94">
        <v>2.9064187923611042</v>
      </c>
      <c r="V2429" s="105">
        <v>1.9793875938939154</v>
      </c>
      <c r="W2429" s="49">
        <f t="shared" si="295"/>
        <v>1.1179678479701514</v>
      </c>
    </row>
    <row r="2430" spans="1:23" hidden="1">
      <c r="A2430" s="22" t="s">
        <v>150</v>
      </c>
      <c r="B2430" s="23" t="s">
        <v>252</v>
      </c>
      <c r="C2430" s="28" t="s">
        <v>257</v>
      </c>
      <c r="D2430" s="23"/>
      <c r="H2430" s="104">
        <v>715.37468505000004</v>
      </c>
      <c r="I2430" s="104"/>
      <c r="J2430" s="104"/>
      <c r="K2430" s="67">
        <v>107.71642052</v>
      </c>
      <c r="O2430" s="94">
        <f t="shared" si="296"/>
        <v>2.8545335677145203</v>
      </c>
      <c r="P2430" s="45"/>
      <c r="Q2430" s="45"/>
      <c r="R2430" s="48">
        <f t="shared" si="297"/>
        <v>2.0322819131182226</v>
      </c>
      <c r="U2430" s="94">
        <v>2.8545335677145203</v>
      </c>
      <c r="V2430" s="105">
        <v>2.0322819131182226</v>
      </c>
      <c r="W2430" s="49">
        <f t="shared" si="295"/>
        <v>1.0830528580202627</v>
      </c>
    </row>
    <row r="2431" spans="1:23" hidden="1">
      <c r="A2431" s="22" t="s">
        <v>150</v>
      </c>
      <c r="B2431" s="23" t="s">
        <v>252</v>
      </c>
      <c r="C2431" s="28" t="s">
        <v>257</v>
      </c>
      <c r="D2431" s="23"/>
      <c r="H2431" s="104">
        <v>725.65132620999998</v>
      </c>
      <c r="I2431" s="104"/>
      <c r="J2431" s="104"/>
      <c r="K2431" s="67">
        <v>96.843131880000001</v>
      </c>
      <c r="O2431" s="94">
        <f t="shared" si="296"/>
        <v>2.8607279933208334</v>
      </c>
      <c r="P2431" s="45"/>
      <c r="Q2431" s="45"/>
      <c r="R2431" s="48">
        <f t="shared" si="297"/>
        <v>1.9860688259597838</v>
      </c>
      <c r="U2431" s="94">
        <v>2.8607279933208334</v>
      </c>
      <c r="V2431" s="105">
        <v>1.9860688259597838</v>
      </c>
      <c r="W2431" s="49">
        <f t="shared" ref="W2431:W2494" si="298">0.9539*(4.064-0.314*U2431-V2431)</f>
        <v>1.125280139008737</v>
      </c>
    </row>
    <row r="2432" spans="1:23" hidden="1">
      <c r="A2432" s="22" t="s">
        <v>150</v>
      </c>
      <c r="B2432" s="23" t="s">
        <v>252</v>
      </c>
      <c r="C2432" s="28" t="s">
        <v>257</v>
      </c>
      <c r="D2432" s="23"/>
      <c r="H2432" s="104">
        <v>668.83241719</v>
      </c>
      <c r="I2432" s="104"/>
      <c r="J2432" s="104"/>
      <c r="K2432" s="67">
        <v>128.02313873</v>
      </c>
      <c r="O2432" s="94">
        <f t="shared" si="296"/>
        <v>2.8253173144691583</v>
      </c>
      <c r="P2432" s="45"/>
      <c r="Q2432" s="45"/>
      <c r="R2432" s="48">
        <f t="shared" si="297"/>
        <v>2.1072884705430175</v>
      </c>
      <c r="U2432" s="94">
        <v>2.8253173144691583</v>
      </c>
      <c r="V2432" s="105">
        <v>2.1072884705430175</v>
      </c>
      <c r="W2432" s="49">
        <f t="shared" si="298"/>
        <v>1.0202550894595668</v>
      </c>
    </row>
    <row r="2433" spans="1:23" hidden="1">
      <c r="A2433" s="22" t="s">
        <v>150</v>
      </c>
      <c r="B2433" s="23" t="s">
        <v>252</v>
      </c>
      <c r="C2433" s="28" t="s">
        <v>257</v>
      </c>
      <c r="D2433" s="23"/>
      <c r="H2433" s="104">
        <v>718.13018004000003</v>
      </c>
      <c r="I2433" s="104"/>
      <c r="J2433" s="104"/>
      <c r="K2433" s="67">
        <v>122.93281345</v>
      </c>
      <c r="O2433" s="94">
        <f t="shared" si="296"/>
        <v>2.856203178710758</v>
      </c>
      <c r="P2433" s="45"/>
      <c r="Q2433" s="45"/>
      <c r="R2433" s="48">
        <f t="shared" si="297"/>
        <v>2.0896678210328052</v>
      </c>
      <c r="U2433" s="94">
        <v>2.856203178710758</v>
      </c>
      <c r="V2433" s="105">
        <v>2.0896678210328052</v>
      </c>
      <c r="W2433" s="49">
        <f t="shared" si="298"/>
        <v>1.0278123508947388</v>
      </c>
    </row>
    <row r="2434" spans="1:23" hidden="1">
      <c r="A2434" s="22" t="s">
        <v>150</v>
      </c>
      <c r="B2434" s="23" t="s">
        <v>252</v>
      </c>
      <c r="C2434" s="28" t="s">
        <v>257</v>
      </c>
      <c r="D2434" s="23"/>
      <c r="H2434" s="104">
        <v>801.15640617999998</v>
      </c>
      <c r="I2434" s="104"/>
      <c r="J2434" s="104"/>
      <c r="K2434" s="67">
        <v>114.20707931</v>
      </c>
      <c r="O2434" s="94">
        <f t="shared" si="296"/>
        <v>2.9037173097296813</v>
      </c>
      <c r="P2434" s="45"/>
      <c r="Q2434" s="45"/>
      <c r="R2434" s="48">
        <f t="shared" si="297"/>
        <v>2.0576930251880921</v>
      </c>
      <c r="U2434" s="94">
        <v>2.9037173097296813</v>
      </c>
      <c r="V2434" s="105">
        <v>2.0576930251880921</v>
      </c>
      <c r="W2434" s="49">
        <f t="shared" si="298"/>
        <v>1.04408145756322</v>
      </c>
    </row>
    <row r="2435" spans="1:23" hidden="1">
      <c r="A2435" s="22" t="s">
        <v>150</v>
      </c>
      <c r="B2435" s="23" t="s">
        <v>252</v>
      </c>
      <c r="C2435" s="28" t="s">
        <v>257</v>
      </c>
      <c r="D2435" s="23"/>
      <c r="H2435" s="104">
        <v>866.05358330000001</v>
      </c>
      <c r="I2435" s="104"/>
      <c r="J2435" s="104"/>
      <c r="K2435" s="67">
        <v>110.56037744</v>
      </c>
      <c r="O2435" s="94">
        <f t="shared" si="296"/>
        <v>2.9375447629314384</v>
      </c>
      <c r="P2435" s="45"/>
      <c r="Q2435" s="45"/>
      <c r="R2435" s="48">
        <f t="shared" si="297"/>
        <v>2.0435995126624444</v>
      </c>
      <c r="U2435" s="94">
        <v>2.9375447629314384</v>
      </c>
      <c r="V2435" s="105">
        <v>2.0435995126624444</v>
      </c>
      <c r="W2435" s="49">
        <f t="shared" si="298"/>
        <v>1.0473931047721603</v>
      </c>
    </row>
    <row r="2436" spans="1:23" hidden="1">
      <c r="A2436" s="22" t="s">
        <v>150</v>
      </c>
      <c r="B2436" s="23" t="s">
        <v>252</v>
      </c>
      <c r="C2436" s="28" t="s">
        <v>257</v>
      </c>
      <c r="D2436" s="23"/>
      <c r="H2436" s="104">
        <v>891.95222475000003</v>
      </c>
      <c r="I2436" s="104"/>
      <c r="J2436" s="104"/>
      <c r="K2436" s="67">
        <v>103.30461706</v>
      </c>
      <c r="O2436" s="94">
        <f t="shared" si="296"/>
        <v>2.9503415930721895</v>
      </c>
      <c r="P2436" s="45"/>
      <c r="Q2436" s="45"/>
      <c r="R2436" s="48">
        <f t="shared" si="297"/>
        <v>2.0141197321572868</v>
      </c>
      <c r="U2436" s="94">
        <v>2.9503415930721895</v>
      </c>
      <c r="V2436" s="105">
        <v>2.0141197321572868</v>
      </c>
      <c r="W2436" s="49">
        <f t="shared" si="298"/>
        <v>1.0716809019668541</v>
      </c>
    </row>
    <row r="2437" spans="1:23" hidden="1">
      <c r="A2437" s="22" t="s">
        <v>150</v>
      </c>
      <c r="B2437" s="23" t="s">
        <v>252</v>
      </c>
      <c r="C2437" s="28" t="s">
        <v>257</v>
      </c>
      <c r="D2437" s="23"/>
      <c r="H2437" s="104">
        <v>822.12376560999996</v>
      </c>
      <c r="I2437" s="104"/>
      <c r="J2437" s="104"/>
      <c r="K2437" s="67">
        <v>132.31542447000001</v>
      </c>
      <c r="O2437" s="94">
        <f t="shared" si="296"/>
        <v>2.9149372027898695</v>
      </c>
      <c r="P2437" s="45"/>
      <c r="Q2437" s="45"/>
      <c r="R2437" s="48">
        <f t="shared" si="297"/>
        <v>2.1216104743594064</v>
      </c>
      <c r="U2437" s="94">
        <v>2.9149372027898695</v>
      </c>
      <c r="V2437" s="105">
        <v>2.1216104743594064</v>
      </c>
      <c r="W2437" s="49">
        <f t="shared" si="298"/>
        <v>0.97974996881780763</v>
      </c>
    </row>
    <row r="2438" spans="1:23" hidden="1">
      <c r="A2438" s="22" t="s">
        <v>150</v>
      </c>
      <c r="B2438" s="23" t="s">
        <v>252</v>
      </c>
      <c r="C2438" s="28" t="s">
        <v>257</v>
      </c>
      <c r="D2438" s="23"/>
      <c r="H2438" s="104">
        <v>881.93908722000003</v>
      </c>
      <c r="I2438" s="104"/>
      <c r="J2438" s="104"/>
      <c r="K2438" s="67">
        <v>139.54012907000001</v>
      </c>
      <c r="O2438" s="94">
        <f t="shared" si="296"/>
        <v>2.9454385908032927</v>
      </c>
      <c r="P2438" s="45"/>
      <c r="Q2438" s="45"/>
      <c r="R2438" s="48">
        <f t="shared" si="297"/>
        <v>2.1446991203513295</v>
      </c>
      <c r="U2438" s="94">
        <v>2.9454385908032927</v>
      </c>
      <c r="V2438" s="105">
        <v>2.1446991203513295</v>
      </c>
      <c r="W2438" s="49">
        <f t="shared" si="298"/>
        <v>0.94858979336194682</v>
      </c>
    </row>
    <row r="2439" spans="1:23" hidden="1">
      <c r="A2439" s="22" t="s">
        <v>150</v>
      </c>
      <c r="B2439" s="23" t="s">
        <v>252</v>
      </c>
      <c r="C2439" s="28" t="s">
        <v>257</v>
      </c>
      <c r="D2439" s="23"/>
      <c r="H2439" s="104">
        <v>710.53374713000005</v>
      </c>
      <c r="I2439" s="104"/>
      <c r="J2439" s="104"/>
      <c r="K2439" s="67">
        <v>141.77614549</v>
      </c>
      <c r="O2439" s="94">
        <f t="shared" si="296"/>
        <v>2.851584709771275</v>
      </c>
      <c r="P2439" s="45"/>
      <c r="Q2439" s="45"/>
      <c r="R2439" s="48">
        <f t="shared" si="297"/>
        <v>2.1516031648839848</v>
      </c>
      <c r="U2439" s="94">
        <v>2.851584709771275</v>
      </c>
      <c r="V2439" s="105">
        <v>2.1516031648839848</v>
      </c>
      <c r="W2439" s="49">
        <f t="shared" si="298"/>
        <v>0.9701155714568096</v>
      </c>
    </row>
    <row r="2440" spans="1:23" hidden="1">
      <c r="A2440" s="22" t="s">
        <v>150</v>
      </c>
      <c r="B2440" s="23" t="s">
        <v>252</v>
      </c>
      <c r="C2440" s="28" t="s">
        <v>257</v>
      </c>
      <c r="D2440" s="23"/>
      <c r="H2440" s="104">
        <v>757.20400245999997</v>
      </c>
      <c r="I2440" s="104"/>
      <c r="J2440" s="104"/>
      <c r="K2440" s="67">
        <v>133.78822149000001</v>
      </c>
      <c r="O2440" s="94">
        <f t="shared" si="296"/>
        <v>2.8792129009094269</v>
      </c>
      <c r="P2440" s="45"/>
      <c r="Q2440" s="45"/>
      <c r="R2440" s="48">
        <f t="shared" si="297"/>
        <v>2.1264178804940999</v>
      </c>
      <c r="U2440" s="94">
        <v>2.8792129009094269</v>
      </c>
      <c r="V2440" s="105">
        <v>2.1264178804940999</v>
      </c>
      <c r="W2440" s="49">
        <f t="shared" si="298"/>
        <v>0.98586449133694254</v>
      </c>
    </row>
    <row r="2441" spans="1:23" hidden="1">
      <c r="A2441" s="22" t="s">
        <v>150</v>
      </c>
      <c r="B2441" s="23" t="s">
        <v>252</v>
      </c>
      <c r="C2441" s="28" t="s">
        <v>257</v>
      </c>
      <c r="D2441" s="23"/>
      <c r="H2441" s="104">
        <v>726.41925103999995</v>
      </c>
      <c r="I2441" s="104"/>
      <c r="J2441" s="104"/>
      <c r="K2441" s="67">
        <v>170.75589711999999</v>
      </c>
      <c r="O2441" s="94">
        <f t="shared" si="296"/>
        <v>2.8611873450252236</v>
      </c>
      <c r="P2441" s="45"/>
      <c r="Q2441" s="45"/>
      <c r="R2441" s="48">
        <f t="shared" si="297"/>
        <v>2.2323757111380536</v>
      </c>
      <c r="U2441" s="94">
        <v>2.8611873450252236</v>
      </c>
      <c r="V2441" s="105">
        <v>2.2323757111380536</v>
      </c>
      <c r="W2441" s="49">
        <f t="shared" si="298"/>
        <v>0.89019041410166855</v>
      </c>
    </row>
    <row r="2442" spans="1:23" hidden="1">
      <c r="A2442" s="22" t="s">
        <v>150</v>
      </c>
      <c r="B2442" s="23" t="s">
        <v>252</v>
      </c>
      <c r="C2442" s="28" t="s">
        <v>257</v>
      </c>
      <c r="D2442" s="23"/>
      <c r="H2442" s="104">
        <v>757.58796487999996</v>
      </c>
      <c r="I2442" s="104"/>
      <c r="J2442" s="104"/>
      <c r="K2442" s="67">
        <v>170.74460411000001</v>
      </c>
      <c r="O2442" s="94">
        <f t="shared" si="296"/>
        <v>2.8794330668033989</v>
      </c>
      <c r="P2442" s="45"/>
      <c r="Q2442" s="45"/>
      <c r="R2442" s="48">
        <f t="shared" si="297"/>
        <v>2.2323469879478317</v>
      </c>
      <c r="U2442" s="94">
        <v>2.8794330668033989</v>
      </c>
      <c r="V2442" s="105">
        <v>2.2323469879478317</v>
      </c>
      <c r="W2442" s="49">
        <f t="shared" si="298"/>
        <v>0.88475277063550217</v>
      </c>
    </row>
    <row r="2443" spans="1:23" hidden="1">
      <c r="A2443" s="22" t="s">
        <v>150</v>
      </c>
      <c r="B2443" s="23" t="s">
        <v>252</v>
      </c>
      <c r="C2443" s="28" t="s">
        <v>257</v>
      </c>
      <c r="D2443" s="23"/>
      <c r="H2443" s="104">
        <v>749.67532761999996</v>
      </c>
      <c r="I2443" s="104"/>
      <c r="J2443" s="104"/>
      <c r="K2443" s="67">
        <v>159.15326811</v>
      </c>
      <c r="O2443" s="94">
        <f t="shared" si="296"/>
        <v>2.874873218122612</v>
      </c>
      <c r="P2443" s="45"/>
      <c r="Q2443" s="45"/>
      <c r="R2443" s="48">
        <f t="shared" si="297"/>
        <v>2.2018155610064514</v>
      </c>
      <c r="U2443" s="94">
        <v>2.874873218122612</v>
      </c>
      <c r="V2443" s="105">
        <v>2.2018155610064514</v>
      </c>
      <c r="W2443" s="49">
        <f t="shared" si="298"/>
        <v>0.9152424856470579</v>
      </c>
    </row>
    <row r="2444" spans="1:23" hidden="1">
      <c r="A2444" s="22" t="s">
        <v>150</v>
      </c>
      <c r="B2444" s="23" t="s">
        <v>252</v>
      </c>
      <c r="C2444" s="28" t="s">
        <v>257</v>
      </c>
      <c r="D2444" s="23"/>
      <c r="H2444" s="104">
        <v>793.67290338999999</v>
      </c>
      <c r="I2444" s="104"/>
      <c r="J2444" s="104"/>
      <c r="K2444" s="67">
        <v>143.91993565999999</v>
      </c>
      <c r="O2444" s="94">
        <f t="shared" si="296"/>
        <v>2.8996415534074602</v>
      </c>
      <c r="P2444" s="45"/>
      <c r="Q2444" s="45"/>
      <c r="R2444" s="48">
        <f t="shared" si="297"/>
        <v>2.1581209561844013</v>
      </c>
      <c r="U2444" s="94">
        <v>2.8996415534074602</v>
      </c>
      <c r="V2444" s="105">
        <v>2.1581209561844013</v>
      </c>
      <c r="W2444" s="49">
        <f t="shared" si="298"/>
        <v>0.94950404346795125</v>
      </c>
    </row>
    <row r="2445" spans="1:23" hidden="1">
      <c r="A2445" s="22" t="s">
        <v>150</v>
      </c>
      <c r="B2445" s="23" t="s">
        <v>252</v>
      </c>
      <c r="C2445" s="28" t="s">
        <v>257</v>
      </c>
      <c r="D2445" s="23"/>
      <c r="H2445" s="104">
        <v>765.11663971999997</v>
      </c>
      <c r="I2445" s="104"/>
      <c r="J2445" s="104"/>
      <c r="K2445" s="67">
        <v>145.37955749</v>
      </c>
      <c r="O2445" s="94">
        <f t="shared" si="296"/>
        <v>2.8837276470822379</v>
      </c>
      <c r="P2445" s="45"/>
      <c r="Q2445" s="45"/>
      <c r="R2445" s="48">
        <f t="shared" si="297"/>
        <v>2.1625033426065561</v>
      </c>
      <c r="U2445" s="94">
        <v>2.8837276470822379</v>
      </c>
      <c r="V2445" s="105">
        <v>2.1625033426065561</v>
      </c>
      <c r="W2445" s="49">
        <f t="shared" si="298"/>
        <v>0.95009029148635749</v>
      </c>
    </row>
    <row r="2446" spans="1:23" hidden="1">
      <c r="A2446" s="22" t="s">
        <v>150</v>
      </c>
      <c r="B2446" s="23" t="s">
        <v>252</v>
      </c>
      <c r="C2446" s="28" t="s">
        <v>257</v>
      </c>
      <c r="D2446" s="23"/>
      <c r="H2446" s="104">
        <v>817.14731154000003</v>
      </c>
      <c r="I2446" s="104"/>
      <c r="J2446" s="104"/>
      <c r="K2446" s="67">
        <v>153.33172028999999</v>
      </c>
      <c r="O2446" s="94">
        <f t="shared" si="296"/>
        <v>2.9123003561920169</v>
      </c>
      <c r="P2446" s="45"/>
      <c r="Q2446" s="45"/>
      <c r="R2446" s="48">
        <f t="shared" si="297"/>
        <v>2.185632008226019</v>
      </c>
      <c r="U2446" s="94">
        <v>2.9123003561920169</v>
      </c>
      <c r="V2446" s="105">
        <v>2.185632008226019</v>
      </c>
      <c r="W2446" s="49">
        <f t="shared" si="298"/>
        <v>0.91946962808492905</v>
      </c>
    </row>
    <row r="2447" spans="1:23" hidden="1">
      <c r="A2447" s="22" t="s">
        <v>150</v>
      </c>
      <c r="B2447" s="23" t="s">
        <v>252</v>
      </c>
      <c r="C2447" s="28" t="s">
        <v>257</v>
      </c>
      <c r="D2447" s="23"/>
      <c r="H2447" s="104">
        <v>791.22608405999995</v>
      </c>
      <c r="I2447" s="104"/>
      <c r="J2447" s="104"/>
      <c r="K2447" s="67">
        <v>158.41357581</v>
      </c>
      <c r="O2447" s="94">
        <f t="shared" si="296"/>
        <v>2.8983005960519592</v>
      </c>
      <c r="P2447" s="45"/>
      <c r="Q2447" s="45"/>
      <c r="R2447" s="48">
        <f t="shared" si="297"/>
        <v>2.1997923972454458</v>
      </c>
      <c r="U2447" s="94">
        <v>2.8983005960519592</v>
      </c>
      <c r="V2447" s="105">
        <v>2.1997923972454458</v>
      </c>
      <c r="W2447" s="49">
        <f t="shared" si="298"/>
        <v>0.91015530555534485</v>
      </c>
    </row>
    <row r="2448" spans="1:23" hidden="1">
      <c r="A2448" s="22" t="s">
        <v>150</v>
      </c>
      <c r="B2448" s="23" t="s">
        <v>252</v>
      </c>
      <c r="C2448" s="28" t="s">
        <v>257</v>
      </c>
      <c r="D2448" s="23"/>
      <c r="H2448" s="104">
        <v>809.57346465000001</v>
      </c>
      <c r="I2448" s="104"/>
      <c r="J2448" s="104"/>
      <c r="K2448" s="67">
        <v>174.34895718999999</v>
      </c>
      <c r="O2448" s="94">
        <f t="shared" si="296"/>
        <v>2.9082562648799364</v>
      </c>
      <c r="P2448" s="45"/>
      <c r="Q2448" s="45"/>
      <c r="R2448" s="48">
        <f t="shared" si="297"/>
        <v>2.2414193541325114</v>
      </c>
      <c r="U2448" s="94">
        <v>2.9082562648799364</v>
      </c>
      <c r="V2448" s="105">
        <v>2.2414193541325114</v>
      </c>
      <c r="W2448" s="49">
        <f t="shared" si="298"/>
        <v>0.86746538365734049</v>
      </c>
    </row>
    <row r="2449" spans="1:23" hidden="1">
      <c r="A2449" s="22" t="s">
        <v>150</v>
      </c>
      <c r="B2449" s="23" t="s">
        <v>252</v>
      </c>
      <c r="C2449" s="28" t="s">
        <v>257</v>
      </c>
      <c r="D2449" s="23"/>
      <c r="H2449" s="104">
        <v>863.99825507000003</v>
      </c>
      <c r="I2449" s="104"/>
      <c r="J2449" s="104"/>
      <c r="K2449" s="67">
        <v>162.73503517</v>
      </c>
      <c r="O2449" s="94">
        <f t="shared" si="296"/>
        <v>2.9365128653790835</v>
      </c>
      <c r="P2449" s="45"/>
      <c r="Q2449" s="45"/>
      <c r="R2449" s="48">
        <f t="shared" si="297"/>
        <v>2.2114810621133025</v>
      </c>
      <c r="U2449" s="94">
        <v>2.9365128653790835</v>
      </c>
      <c r="V2449" s="105">
        <v>2.2114810621133025</v>
      </c>
      <c r="W2449" s="49">
        <f t="shared" si="298"/>
        <v>0.88755997345259674</v>
      </c>
    </row>
    <row r="2450" spans="1:23" hidden="1">
      <c r="A2450" s="22" t="s">
        <v>150</v>
      </c>
      <c r="B2450" s="23" t="s">
        <v>252</v>
      </c>
      <c r="C2450" s="28" t="s">
        <v>257</v>
      </c>
      <c r="D2450" s="23"/>
      <c r="H2450" s="104">
        <v>928.82767411999998</v>
      </c>
      <c r="I2450" s="104"/>
      <c r="J2450" s="104"/>
      <c r="K2450" s="67">
        <v>152.56661871</v>
      </c>
      <c r="O2450" s="94">
        <f t="shared" si="296"/>
        <v>2.9679351465868469</v>
      </c>
      <c r="P2450" s="45"/>
      <c r="Q2450" s="45"/>
      <c r="R2450" s="48">
        <f t="shared" si="297"/>
        <v>2.1834595211947314</v>
      </c>
      <c r="U2450" s="94">
        <v>2.9679351465868469</v>
      </c>
      <c r="V2450" s="105">
        <v>2.1834595211947314</v>
      </c>
      <c r="W2450" s="49">
        <f t="shared" si="298"/>
        <v>0.90487797512497925</v>
      </c>
    </row>
    <row r="2451" spans="1:23" hidden="1">
      <c r="A2451" s="22" t="s">
        <v>150</v>
      </c>
      <c r="B2451" s="23" t="s">
        <v>252</v>
      </c>
      <c r="C2451" s="28" t="s">
        <v>257</v>
      </c>
      <c r="D2451" s="23"/>
      <c r="H2451" s="104">
        <v>965.10082950000003</v>
      </c>
      <c r="I2451" s="104"/>
      <c r="J2451" s="104"/>
      <c r="K2451" s="67">
        <v>143.85782409000001</v>
      </c>
      <c r="O2451" s="94">
        <f t="shared" si="296"/>
        <v>2.9845726888960264</v>
      </c>
      <c r="P2451" s="45"/>
      <c r="Q2451" s="45"/>
      <c r="R2451" s="48">
        <f t="shared" si="297"/>
        <v>2.157933487128032</v>
      </c>
      <c r="U2451" s="94">
        <v>2.9845726888960264</v>
      </c>
      <c r="V2451" s="105">
        <v>2.157933487128032</v>
      </c>
      <c r="W2451" s="49">
        <f t="shared" si="298"/>
        <v>0.92424390581606342</v>
      </c>
    </row>
    <row r="2452" spans="1:23" hidden="1">
      <c r="A2452" s="22" t="s">
        <v>150</v>
      </c>
      <c r="B2452" s="23" t="s">
        <v>252</v>
      </c>
      <c r="C2452" s="28" t="s">
        <v>257</v>
      </c>
      <c r="D2452" s="23"/>
      <c r="H2452" s="104">
        <v>983.14706308999996</v>
      </c>
      <c r="I2452" s="104"/>
      <c r="J2452" s="104"/>
      <c r="K2452" s="67">
        <v>130.80780734000001</v>
      </c>
      <c r="O2452" s="94">
        <f t="shared" si="296"/>
        <v>2.992618486205862</v>
      </c>
      <c r="P2452" s="45"/>
      <c r="Q2452" s="45"/>
      <c r="R2452" s="48">
        <f t="shared" si="297"/>
        <v>2.1166336658803804</v>
      </c>
      <c r="U2452" s="94">
        <v>2.992618486205862</v>
      </c>
      <c r="V2452" s="105">
        <v>2.1166336658803804</v>
      </c>
      <c r="W2452" s="49">
        <f t="shared" si="298"/>
        <v>0.96122989108328893</v>
      </c>
    </row>
    <row r="2453" spans="1:23" hidden="1">
      <c r="A2453" s="22" t="s">
        <v>150</v>
      </c>
      <c r="B2453" s="23" t="s">
        <v>252</v>
      </c>
      <c r="C2453" s="28" t="s">
        <v>257</v>
      </c>
      <c r="D2453" s="23"/>
      <c r="H2453" s="104">
        <v>982.91367417000004</v>
      </c>
      <c r="I2453" s="104"/>
      <c r="J2453" s="104"/>
      <c r="K2453" s="67">
        <v>108.34412378</v>
      </c>
      <c r="O2453" s="94">
        <f t="shared" si="296"/>
        <v>2.9925153769593891</v>
      </c>
      <c r="P2453" s="45"/>
      <c r="Q2453" s="45"/>
      <c r="R2453" s="48">
        <f t="shared" si="297"/>
        <v>2.0348053616260682</v>
      </c>
      <c r="U2453" s="94">
        <v>2.9925153769593891</v>
      </c>
      <c r="V2453" s="105">
        <v>2.0348053616260682</v>
      </c>
      <c r="W2453" s="49">
        <f t="shared" si="298"/>
        <v>1.0393167942672834</v>
      </c>
    </row>
    <row r="2454" spans="1:23" hidden="1">
      <c r="A2454" s="22" t="s">
        <v>150</v>
      </c>
      <c r="B2454" s="23" t="s">
        <v>252</v>
      </c>
      <c r="C2454" s="28" t="s">
        <v>257</v>
      </c>
      <c r="D2454" s="23"/>
      <c r="H2454" s="104">
        <v>993.06232785999998</v>
      </c>
      <c r="I2454" s="104"/>
      <c r="J2454" s="104"/>
      <c r="K2454" s="67">
        <v>85.152040940000006</v>
      </c>
      <c r="O2454" s="94">
        <f t="shared" si="296"/>
        <v>2.9969765071018166</v>
      </c>
      <c r="P2454" s="45"/>
      <c r="Q2454" s="45"/>
      <c r="R2454" s="48">
        <f t="shared" si="297"/>
        <v>1.9301950616745152</v>
      </c>
      <c r="U2454" s="94">
        <v>2.9969765071018166</v>
      </c>
      <c r="V2454" s="105">
        <v>1.9301950616745152</v>
      </c>
      <c r="W2454" s="49">
        <f t="shared" si="298"/>
        <v>1.1377683411696111</v>
      </c>
    </row>
    <row r="2455" spans="1:23" hidden="1">
      <c r="A2455" s="22" t="s">
        <v>150</v>
      </c>
      <c r="B2455" s="23" t="s">
        <v>252</v>
      </c>
      <c r="C2455" s="28" t="s">
        <v>257</v>
      </c>
      <c r="D2455" s="23"/>
      <c r="H2455" s="104">
        <v>1029.8926051799999</v>
      </c>
      <c r="I2455" s="104"/>
      <c r="J2455" s="104"/>
      <c r="K2455" s="67">
        <v>130.06623286000001</v>
      </c>
      <c r="O2455" s="94">
        <f t="shared" si="296"/>
        <v>3.012791939841645</v>
      </c>
      <c r="P2455" s="45"/>
      <c r="Q2455" s="45"/>
      <c r="R2455" s="48">
        <f t="shared" si="297"/>
        <v>2.1141645618496847</v>
      </c>
      <c r="U2455" s="94">
        <v>3.012791939841645</v>
      </c>
      <c r="V2455" s="105">
        <v>2.1141645618496847</v>
      </c>
      <c r="W2455" s="49">
        <f t="shared" si="298"/>
        <v>0.95754272378729288</v>
      </c>
    </row>
    <row r="2456" spans="1:23" hidden="1">
      <c r="A2456" s="22" t="s">
        <v>150</v>
      </c>
      <c r="B2456" s="23" t="s">
        <v>252</v>
      </c>
      <c r="C2456" s="28" t="s">
        <v>257</v>
      </c>
      <c r="D2456" s="23"/>
      <c r="H2456" s="104">
        <v>1063.56083906</v>
      </c>
      <c r="I2456" s="104"/>
      <c r="J2456" s="104"/>
      <c r="K2456" s="67">
        <v>120.63374437</v>
      </c>
      <c r="O2456" s="94">
        <f t="shared" si="296"/>
        <v>3.0267623379738815</v>
      </c>
      <c r="P2456" s="45"/>
      <c r="Q2456" s="45"/>
      <c r="R2456" s="48">
        <f t="shared" si="297"/>
        <v>2.0814688081673602</v>
      </c>
      <c r="U2456" s="94">
        <v>3.0267623379738815</v>
      </c>
      <c r="V2456" s="105">
        <v>2.0814688081673602</v>
      </c>
      <c r="W2456" s="49">
        <f t="shared" si="298"/>
        <v>0.98454672531246346</v>
      </c>
    </row>
    <row r="2457" spans="1:23" hidden="1">
      <c r="A2457" s="22" t="s">
        <v>150</v>
      </c>
      <c r="B2457" s="23" t="s">
        <v>252</v>
      </c>
      <c r="C2457" s="28" t="s">
        <v>257</v>
      </c>
      <c r="D2457" s="23"/>
      <c r="H2457" s="104">
        <v>1112.88871662</v>
      </c>
      <c r="I2457" s="104"/>
      <c r="J2457" s="104"/>
      <c r="K2457" s="67">
        <v>118.44195891</v>
      </c>
      <c r="O2457" s="94">
        <f t="shared" si="296"/>
        <v>3.0464517392007013</v>
      </c>
      <c r="P2457" s="45"/>
      <c r="Q2457" s="45"/>
      <c r="R2457" s="48">
        <f t="shared" si="297"/>
        <v>2.0735055815673822</v>
      </c>
      <c r="U2457" s="94">
        <v>3.0464517392007013</v>
      </c>
      <c r="V2457" s="105">
        <v>2.0735055815673822</v>
      </c>
      <c r="W2457" s="49">
        <f t="shared" si="298"/>
        <v>0.98624538713947985</v>
      </c>
    </row>
    <row r="2458" spans="1:23" hidden="1">
      <c r="A2458" s="22" t="s">
        <v>150</v>
      </c>
      <c r="B2458" s="23" t="s">
        <v>252</v>
      </c>
      <c r="C2458" s="28" t="s">
        <v>257</v>
      </c>
      <c r="D2458" s="23"/>
      <c r="H2458" s="104">
        <v>1120.6131370000001</v>
      </c>
      <c r="I2458" s="104"/>
      <c r="J2458" s="104"/>
      <c r="K2458" s="67">
        <v>111.91742108</v>
      </c>
      <c r="O2458" s="94">
        <f t="shared" si="296"/>
        <v>3.0494557094158319</v>
      </c>
      <c r="P2458" s="45"/>
      <c r="Q2458" s="45"/>
      <c r="R2458" s="48">
        <f t="shared" si="297"/>
        <v>2.0488976941246806</v>
      </c>
      <c r="U2458" s="94">
        <v>3.0494557094158319</v>
      </c>
      <c r="V2458" s="105">
        <v>2.0488976941246806</v>
      </c>
      <c r="W2458" s="49">
        <f t="shared" si="298"/>
        <v>1.0088190879939738</v>
      </c>
    </row>
    <row r="2459" spans="1:23" hidden="1">
      <c r="A2459" s="22" t="s">
        <v>150</v>
      </c>
      <c r="B2459" s="23" t="s">
        <v>252</v>
      </c>
      <c r="C2459" s="28" t="s">
        <v>257</v>
      </c>
      <c r="D2459" s="23"/>
      <c r="H2459" s="104">
        <v>1123.0750136700001</v>
      </c>
      <c r="I2459" s="104"/>
      <c r="J2459" s="104"/>
      <c r="K2459" s="67">
        <v>98.873050829999997</v>
      </c>
      <c r="O2459" s="94">
        <f t="shared" si="296"/>
        <v>3.0504087651082346</v>
      </c>
      <c r="P2459" s="45"/>
      <c r="Q2459" s="45"/>
      <c r="R2459" s="48">
        <f t="shared" si="297"/>
        <v>1.9950779349672321</v>
      </c>
      <c r="U2459" s="94">
        <v>3.0504087651082346</v>
      </c>
      <c r="V2459" s="105">
        <v>1.9950779349672321</v>
      </c>
      <c r="W2459" s="49">
        <f t="shared" si="298"/>
        <v>1.0598722926292194</v>
      </c>
    </row>
    <row r="2460" spans="1:23" hidden="1">
      <c r="A2460" s="22" t="s">
        <v>150</v>
      </c>
      <c r="B2460" s="23" t="s">
        <v>252</v>
      </c>
      <c r="C2460" s="28" t="s">
        <v>257</v>
      </c>
      <c r="D2460" s="23"/>
      <c r="H2460" s="104">
        <v>1133.2838967600001</v>
      </c>
      <c r="I2460" s="104"/>
      <c r="J2460" s="104"/>
      <c r="K2460" s="67">
        <v>81.478047610000004</v>
      </c>
      <c r="O2460" s="94">
        <f t="shared" si="296"/>
        <v>3.0543387177644017</v>
      </c>
      <c r="P2460" s="45"/>
      <c r="Q2460" s="45"/>
      <c r="R2460" s="48">
        <f t="shared" si="297"/>
        <v>1.9110406138190157</v>
      </c>
      <c r="U2460" s="94">
        <v>3.0543387177644017</v>
      </c>
      <c r="V2460" s="105">
        <v>1.9110406138190157</v>
      </c>
      <c r="W2460" s="49">
        <f t="shared" si="298"/>
        <v>1.1388583757751456</v>
      </c>
    </row>
    <row r="2461" spans="1:23" hidden="1">
      <c r="A2461" s="22" t="s">
        <v>150</v>
      </c>
      <c r="B2461" s="23" t="s">
        <v>252</v>
      </c>
      <c r="C2461" s="28" t="s">
        <v>257</v>
      </c>
      <c r="D2461" s="23"/>
      <c r="H2461" s="104">
        <v>1190.4566534999999</v>
      </c>
      <c r="I2461" s="104"/>
      <c r="J2461" s="104"/>
      <c r="K2461" s="67">
        <v>84.355883570000003</v>
      </c>
      <c r="O2461" s="94">
        <f t="shared" si="296"/>
        <v>3.0757135866468346</v>
      </c>
      <c r="P2461" s="45"/>
      <c r="Q2461" s="45"/>
      <c r="R2461" s="48">
        <f t="shared" si="297"/>
        <v>1.9261153787197378</v>
      </c>
      <c r="U2461" s="94">
        <v>3.0757135866468346</v>
      </c>
      <c r="V2461" s="105">
        <v>1.9261153787197378</v>
      </c>
      <c r="W2461" s="49">
        <f t="shared" si="298"/>
        <v>1.1180762584842836</v>
      </c>
    </row>
    <row r="2462" spans="1:23" hidden="1">
      <c r="A2462" s="22" t="s">
        <v>150</v>
      </c>
      <c r="B2462" s="23" t="s">
        <v>252</v>
      </c>
      <c r="C2462" s="28" t="s">
        <v>257</v>
      </c>
      <c r="D2462" s="23"/>
      <c r="H2462" s="104">
        <v>1195.74178323</v>
      </c>
      <c r="I2462" s="104"/>
      <c r="J2462" s="104"/>
      <c r="K2462" s="67">
        <v>93.049620840000003</v>
      </c>
      <c r="O2462" s="94">
        <f t="shared" si="296"/>
        <v>3.0776374052160644</v>
      </c>
      <c r="P2462" s="45"/>
      <c r="Q2462" s="45"/>
      <c r="R2462" s="48">
        <f t="shared" si="297"/>
        <v>1.968714607800679</v>
      </c>
      <c r="U2462" s="94">
        <v>3.0776374052160644</v>
      </c>
      <c r="V2462" s="105">
        <v>1.968714607800679</v>
      </c>
      <c r="W2462" s="49">
        <f t="shared" si="298"/>
        <v>1.0768646228765528</v>
      </c>
    </row>
    <row r="2463" spans="1:23" hidden="1">
      <c r="A2463" s="22" t="s">
        <v>150</v>
      </c>
      <c r="B2463" s="23" t="s">
        <v>252</v>
      </c>
      <c r="C2463" s="28" t="s">
        <v>257</v>
      </c>
      <c r="D2463" s="23"/>
      <c r="H2463" s="104">
        <v>1203.6770065200001</v>
      </c>
      <c r="I2463" s="104"/>
      <c r="J2463" s="104"/>
      <c r="K2463" s="67">
        <v>106.81486171</v>
      </c>
      <c r="O2463" s="94">
        <f t="shared" si="296"/>
        <v>3.0805099644094285</v>
      </c>
      <c r="P2463" s="45"/>
      <c r="Q2463" s="45"/>
      <c r="R2463" s="48">
        <f t="shared" si="297"/>
        <v>2.028631682557795</v>
      </c>
      <c r="U2463" s="94">
        <v>3.0805099644094285</v>
      </c>
      <c r="V2463" s="105">
        <v>2.028631682557795</v>
      </c>
      <c r="W2463" s="49">
        <f t="shared" si="298"/>
        <v>1.0188493231223712</v>
      </c>
    </row>
    <row r="2464" spans="1:23" hidden="1">
      <c r="A2464" s="22" t="s">
        <v>150</v>
      </c>
      <c r="B2464" s="23" t="s">
        <v>252</v>
      </c>
      <c r="C2464" s="28" t="s">
        <v>257</v>
      </c>
      <c r="D2464" s="23"/>
      <c r="H2464" s="104">
        <v>1247.8176271</v>
      </c>
      <c r="I2464" s="104"/>
      <c r="J2464" s="104"/>
      <c r="K2464" s="67">
        <v>105.34959336</v>
      </c>
      <c r="O2464" s="94">
        <f t="shared" si="296"/>
        <v>3.0961511163305606</v>
      </c>
      <c r="P2464" s="45"/>
      <c r="Q2464" s="45"/>
      <c r="R2464" s="48">
        <f t="shared" si="297"/>
        <v>2.0226328636095299</v>
      </c>
      <c r="U2464" s="94">
        <v>3.0961511163305606</v>
      </c>
      <c r="V2464" s="105">
        <v>2.0226328636095299</v>
      </c>
      <c r="W2464" s="49">
        <f t="shared" si="298"/>
        <v>1.019886686744405</v>
      </c>
    </row>
    <row r="2465" spans="1:23" hidden="1">
      <c r="A2465" s="22" t="s">
        <v>150</v>
      </c>
      <c r="B2465" s="23" t="s">
        <v>252</v>
      </c>
      <c r="C2465" s="28" t="s">
        <v>257</v>
      </c>
      <c r="D2465" s="23"/>
      <c r="H2465" s="104">
        <v>1263.0933083499999</v>
      </c>
      <c r="I2465" s="104"/>
      <c r="J2465" s="104"/>
      <c r="K2465" s="67">
        <v>75.633913770000007</v>
      </c>
      <c r="O2465" s="94">
        <f t="shared" si="296"/>
        <v>3.1014354343278541</v>
      </c>
      <c r="P2465" s="45"/>
      <c r="Q2465" s="45"/>
      <c r="R2465" s="48">
        <f t="shared" si="297"/>
        <v>1.8787165740803131</v>
      </c>
      <c r="U2465" s="94">
        <v>3.1014354343278541</v>
      </c>
      <c r="V2465" s="105">
        <v>1.8787165740803131</v>
      </c>
      <c r="W2465" s="49">
        <f t="shared" si="298"/>
        <v>1.1555856520919128</v>
      </c>
    </row>
    <row r="2466" spans="1:23" hidden="1">
      <c r="A2466" s="22" t="s">
        <v>150</v>
      </c>
      <c r="B2466" s="23" t="s">
        <v>252</v>
      </c>
      <c r="C2466" s="28" t="s">
        <v>257</v>
      </c>
      <c r="D2466" s="23"/>
      <c r="H2466" s="104">
        <v>1013.2843484799999</v>
      </c>
      <c r="I2466" s="104"/>
      <c r="J2466" s="104"/>
      <c r="K2466" s="67">
        <v>31.521525709999999</v>
      </c>
      <c r="O2466" s="94">
        <f t="shared" si="296"/>
        <v>3.0057313344492473</v>
      </c>
      <c r="P2466" s="45"/>
      <c r="Q2466" s="45"/>
      <c r="R2466" s="48">
        <f t="shared" si="297"/>
        <v>1.4986072301182127</v>
      </c>
      <c r="U2466" s="94">
        <v>3.0057313344492473</v>
      </c>
      <c r="V2466" s="105">
        <v>1.4986072301182127</v>
      </c>
      <c r="W2466" s="49">
        <f t="shared" si="298"/>
        <v>1.5468376875318599</v>
      </c>
    </row>
    <row r="2467" spans="1:23" hidden="1">
      <c r="A2467" s="22" t="s">
        <v>150</v>
      </c>
      <c r="B2467" s="23" t="s">
        <v>252</v>
      </c>
      <c r="C2467" s="28" t="s">
        <v>257</v>
      </c>
      <c r="D2467" s="23"/>
      <c r="H2467" s="104">
        <v>1039.1829899300001</v>
      </c>
      <c r="I2467" s="104"/>
      <c r="J2467" s="104"/>
      <c r="K2467" s="67">
        <v>24.265765330000001</v>
      </c>
      <c r="O2467" s="94">
        <f t="shared" si="296"/>
        <v>3.0166920292889916</v>
      </c>
      <c r="P2467" s="45"/>
      <c r="Q2467" s="45"/>
      <c r="R2467" s="48">
        <f t="shared" si="297"/>
        <v>1.3849939932962354</v>
      </c>
      <c r="U2467" s="94">
        <v>3.0166920292889916</v>
      </c>
      <c r="V2467" s="105">
        <v>1.3849939932962354</v>
      </c>
      <c r="W2467" s="49">
        <f t="shared" si="298"/>
        <v>1.6519303563987477</v>
      </c>
    </row>
    <row r="2468" spans="1:23" hidden="1">
      <c r="A2468" s="22" t="s">
        <v>150</v>
      </c>
      <c r="B2468" s="23" t="s">
        <v>252</v>
      </c>
      <c r="C2468" s="28" t="s">
        <v>257</v>
      </c>
      <c r="D2468" s="23"/>
      <c r="H2468" s="104">
        <v>1099.0510122600001</v>
      </c>
      <c r="I2468" s="104"/>
      <c r="J2468" s="104"/>
      <c r="K2468" s="67">
        <v>36.562914599999999</v>
      </c>
      <c r="O2468" s="94">
        <f t="shared" si="296"/>
        <v>3.0410178505935312</v>
      </c>
      <c r="P2468" s="45"/>
      <c r="Q2468" s="45"/>
      <c r="R2468" s="48">
        <f t="shared" si="297"/>
        <v>1.563040808075044</v>
      </c>
      <c r="U2468" s="94">
        <v>3.0410178505935312</v>
      </c>
      <c r="V2468" s="105">
        <v>1.563040808075044</v>
      </c>
      <c r="W2468" s="49">
        <f t="shared" si="298"/>
        <v>1.4748053178853286</v>
      </c>
    </row>
    <row r="2469" spans="1:23" hidden="1">
      <c r="A2469" s="22" t="s">
        <v>150</v>
      </c>
      <c r="B2469" s="23" t="s">
        <v>252</v>
      </c>
      <c r="C2469" s="28" t="s">
        <v>257</v>
      </c>
      <c r="D2469" s="23"/>
      <c r="H2469" s="104">
        <v>1135.32416764</v>
      </c>
      <c r="I2469" s="104"/>
      <c r="J2469" s="104"/>
      <c r="K2469" s="67">
        <v>27.85411998</v>
      </c>
      <c r="O2469" s="94">
        <f t="shared" si="296"/>
        <v>3.0551198827770558</v>
      </c>
      <c r="P2469" s="45"/>
      <c r="Q2469" s="45"/>
      <c r="R2469" s="48">
        <f t="shared" si="297"/>
        <v>1.444889441960161</v>
      </c>
      <c r="U2469" s="94">
        <v>3.0551198827770558</v>
      </c>
      <c r="V2469" s="105">
        <v>1.444889441960161</v>
      </c>
      <c r="W2469" s="49">
        <f t="shared" si="298"/>
        <v>1.5832860004733578</v>
      </c>
    </row>
    <row r="2470" spans="1:23" hidden="1">
      <c r="A2470" s="22" t="s">
        <v>150</v>
      </c>
      <c r="B2470" s="23" t="s">
        <v>252</v>
      </c>
      <c r="C2470" s="28" t="s">
        <v>257</v>
      </c>
      <c r="D2470" s="23"/>
      <c r="H2470" s="104">
        <v>1239.4382120099999</v>
      </c>
      <c r="I2470" s="104"/>
      <c r="J2470" s="104"/>
      <c r="K2470" s="67">
        <v>48.830890250000003</v>
      </c>
      <c r="O2470" s="94">
        <f t="shared" si="296"/>
        <v>3.0932248813644634</v>
      </c>
      <c r="P2470" s="45"/>
      <c r="Q2470" s="45"/>
      <c r="R2470" s="48">
        <f t="shared" si="297"/>
        <v>1.6886946421038675</v>
      </c>
      <c r="U2470" s="94">
        <v>3.0932248813644634</v>
      </c>
      <c r="V2470" s="105">
        <v>1.6886946421038675</v>
      </c>
      <c r="W2470" s="49">
        <f t="shared" si="298"/>
        <v>1.3393068355963826</v>
      </c>
    </row>
    <row r="2471" spans="1:23" hidden="1">
      <c r="A2471" s="22" t="s">
        <v>150</v>
      </c>
      <c r="B2471" s="23" t="s">
        <v>252</v>
      </c>
      <c r="C2471" s="28" t="s">
        <v>257</v>
      </c>
      <c r="D2471" s="23"/>
      <c r="H2471" s="104">
        <v>1273.1666752900001</v>
      </c>
      <c r="I2471" s="104"/>
      <c r="J2471" s="104"/>
      <c r="K2471" s="67">
        <v>45.195481389999998</v>
      </c>
      <c r="O2471" s="94">
        <f t="shared" si="296"/>
        <v>3.1048852625855727</v>
      </c>
      <c r="P2471" s="45"/>
      <c r="Q2471" s="45"/>
      <c r="R2471" s="48">
        <f t="shared" si="297"/>
        <v>1.6550950165484262</v>
      </c>
      <c r="U2471" s="94">
        <v>3.1048852625855727</v>
      </c>
      <c r="V2471" s="105">
        <v>1.6550950165484262</v>
      </c>
      <c r="W2471" s="49">
        <f t="shared" si="298"/>
        <v>1.3678649473926177</v>
      </c>
    </row>
    <row r="2472" spans="1:23" hidden="1">
      <c r="A2472" s="22" t="s">
        <v>150</v>
      </c>
      <c r="B2472" s="23" t="s">
        <v>252</v>
      </c>
      <c r="C2472" s="28" t="s">
        <v>257</v>
      </c>
      <c r="D2472" s="23"/>
      <c r="H2472" s="104">
        <v>1317.3901112999999</v>
      </c>
      <c r="I2472" s="104"/>
      <c r="J2472" s="104"/>
      <c r="K2472" s="67">
        <v>51.701197540000003</v>
      </c>
      <c r="O2472" s="94">
        <f t="shared" si="296"/>
        <v>3.1197143991814311</v>
      </c>
      <c r="P2472" s="45"/>
      <c r="Q2472" s="45"/>
      <c r="R2472" s="48">
        <f t="shared" si="297"/>
        <v>1.7135006026488848</v>
      </c>
      <c r="U2472" s="94">
        <v>3.1197143991814311</v>
      </c>
      <c r="V2472" s="105">
        <v>1.7135006026488848</v>
      </c>
      <c r="W2472" s="49">
        <f t="shared" si="298"/>
        <v>1.3077101676041702</v>
      </c>
    </row>
    <row r="2473" spans="1:23" hidden="1">
      <c r="A2473" s="22" t="s">
        <v>150</v>
      </c>
      <c r="B2473" s="23" t="s">
        <v>252</v>
      </c>
      <c r="C2473" s="28" t="s">
        <v>257</v>
      </c>
      <c r="D2473" s="23"/>
      <c r="H2473" s="104">
        <v>1374.54781069</v>
      </c>
      <c r="I2473" s="104"/>
      <c r="J2473" s="104"/>
      <c r="K2473" s="67">
        <v>53.129763590000003</v>
      </c>
      <c r="O2473" s="94">
        <f t="shared" si="296"/>
        <v>3.1381598504419279</v>
      </c>
      <c r="P2473" s="45"/>
      <c r="Q2473" s="45"/>
      <c r="R2473" s="48">
        <f t="shared" si="297"/>
        <v>1.7253378834462159</v>
      </c>
      <c r="U2473" s="94">
        <v>3.1381598504419279</v>
      </c>
      <c r="V2473" s="105">
        <v>1.7253378834462159</v>
      </c>
      <c r="W2473" s="49">
        <f t="shared" si="298"/>
        <v>1.2908937190409764</v>
      </c>
    </row>
    <row r="2474" spans="1:23" hidden="1">
      <c r="A2474" s="22" t="s">
        <v>150</v>
      </c>
      <c r="B2474" s="23" t="s">
        <v>252</v>
      </c>
      <c r="C2474" s="28" t="s">
        <v>257</v>
      </c>
      <c r="D2474" s="23"/>
      <c r="H2474" s="104">
        <v>1416.0458664099999</v>
      </c>
      <c r="I2474" s="104"/>
      <c r="J2474" s="104"/>
      <c r="K2474" s="67">
        <v>47.317626609999998</v>
      </c>
      <c r="O2474" s="94">
        <f t="shared" si="296"/>
        <v>3.1510773205897409</v>
      </c>
      <c r="P2474" s="45"/>
      <c r="Q2474" s="45"/>
      <c r="R2474" s="48">
        <f t="shared" si="297"/>
        <v>1.6750229528614187</v>
      </c>
      <c r="U2474" s="94">
        <v>3.1510773205897409</v>
      </c>
      <c r="V2474" s="105">
        <v>1.6750229528614187</v>
      </c>
      <c r="W2474" s="49">
        <f t="shared" si="298"/>
        <v>1.3350200312467788</v>
      </c>
    </row>
    <row r="2475" spans="1:23" hidden="1">
      <c r="A2475" s="22" t="s">
        <v>150</v>
      </c>
      <c r="B2475" s="23" t="s">
        <v>252</v>
      </c>
      <c r="C2475" s="28" t="s">
        <v>257</v>
      </c>
      <c r="D2475" s="23"/>
      <c r="H2475" s="104">
        <v>1385.2912296899999</v>
      </c>
      <c r="I2475" s="104"/>
      <c r="J2475" s="104"/>
      <c r="K2475" s="67">
        <v>87.183842060000003</v>
      </c>
      <c r="O2475" s="94">
        <f t="shared" si="296"/>
        <v>3.1415410847012026</v>
      </c>
      <c r="P2475" s="45"/>
      <c r="Q2475" s="45"/>
      <c r="R2475" s="48">
        <f t="shared" si="297"/>
        <v>1.9404360038040622</v>
      </c>
      <c r="U2475" s="94">
        <v>3.1415410847012026</v>
      </c>
      <c r="V2475" s="105">
        <v>1.9404360038040622</v>
      </c>
      <c r="W2475" s="49">
        <f t="shared" si="298"/>
        <v>1.0846988591926112</v>
      </c>
    </row>
    <row r="2476" spans="1:23" hidden="1">
      <c r="A2476" s="22" t="s">
        <v>150</v>
      </c>
      <c r="B2476" s="23" t="s">
        <v>252</v>
      </c>
      <c r="C2476" s="28" t="s">
        <v>257</v>
      </c>
      <c r="D2476" s="23"/>
      <c r="H2476" s="104">
        <v>1478.7973712</v>
      </c>
      <c r="I2476" s="104"/>
      <c r="J2476" s="104"/>
      <c r="K2476" s="67">
        <v>87.149963020000001</v>
      </c>
      <c r="O2476" s="94">
        <f t="shared" si="296"/>
        <v>3.1699086698735139</v>
      </c>
      <c r="P2476" s="45"/>
      <c r="Q2476" s="45"/>
      <c r="R2476" s="48">
        <f t="shared" si="297"/>
        <v>1.9402672071635869</v>
      </c>
      <c r="U2476" s="94">
        <v>3.1699086698735139</v>
      </c>
      <c r="V2476" s="105">
        <v>1.9402672071635869</v>
      </c>
      <c r="W2476" s="49">
        <f t="shared" si="298"/>
        <v>1.0763630847062582</v>
      </c>
    </row>
    <row r="2477" spans="1:23" hidden="1">
      <c r="A2477" s="22" t="s">
        <v>150</v>
      </c>
      <c r="B2477" s="23" t="s">
        <v>252</v>
      </c>
      <c r="C2477" s="28" t="s">
        <v>257</v>
      </c>
      <c r="D2477" s="23"/>
      <c r="H2477" s="104">
        <v>1562.04192891</v>
      </c>
      <c r="I2477" s="104"/>
      <c r="J2477" s="104"/>
      <c r="K2477" s="67">
        <v>99.438642529999996</v>
      </c>
      <c r="O2477" s="94">
        <f t="shared" si="296"/>
        <v>3.1936926871916338</v>
      </c>
      <c r="P2477" s="45"/>
      <c r="Q2477" s="45"/>
      <c r="R2477" s="48">
        <f t="shared" si="297"/>
        <v>1.9975551869755599</v>
      </c>
      <c r="U2477" s="94">
        <v>3.1936926871916338</v>
      </c>
      <c r="V2477" s="105">
        <v>1.9975551869755599</v>
      </c>
      <c r="W2477" s="49">
        <f t="shared" si="298"/>
        <v>1.0145921824900141</v>
      </c>
    </row>
    <row r="2478" spans="1:23" hidden="1">
      <c r="A2478" s="22" t="s">
        <v>150</v>
      </c>
      <c r="B2478" s="23" t="s">
        <v>252</v>
      </c>
      <c r="C2478" s="28" t="s">
        <v>257</v>
      </c>
      <c r="D2478" s="23"/>
      <c r="H2478" s="104">
        <v>1567.1538991299999</v>
      </c>
      <c r="I2478" s="104"/>
      <c r="J2478" s="104"/>
      <c r="K2478" s="67">
        <v>91.465775870000002</v>
      </c>
      <c r="O2478" s="94">
        <f t="shared" si="296"/>
        <v>3.195111647560485</v>
      </c>
      <c r="P2478" s="45"/>
      <c r="Q2478" s="45"/>
      <c r="R2478" s="48">
        <f t="shared" si="297"/>
        <v>1.9612586226872013</v>
      </c>
      <c r="U2478" s="94">
        <v>3.195111647560485</v>
      </c>
      <c r="V2478" s="105">
        <v>1.9612586226872013</v>
      </c>
      <c r="W2478" s="49">
        <f t="shared" si="298"/>
        <v>1.0487904616277832</v>
      </c>
    </row>
    <row r="2479" spans="1:23" hidden="1">
      <c r="A2479" s="22" t="s">
        <v>150</v>
      </c>
      <c r="B2479" s="23" t="s">
        <v>252</v>
      </c>
      <c r="C2479" s="28" t="s">
        <v>257</v>
      </c>
      <c r="D2479" s="23"/>
      <c r="H2479" s="104">
        <v>1655.54054176</v>
      </c>
      <c r="I2479" s="104"/>
      <c r="J2479" s="104"/>
      <c r="K2479" s="67">
        <v>98.680128539999998</v>
      </c>
      <c r="O2479" s="94">
        <f t="shared" si="296"/>
        <v>3.2189398204532744</v>
      </c>
      <c r="P2479" s="45"/>
      <c r="Q2479" s="45"/>
      <c r="R2479" s="48">
        <f t="shared" si="297"/>
        <v>1.9942297065268224</v>
      </c>
      <c r="U2479" s="94">
        <v>3.2189398204532744</v>
      </c>
      <c r="V2479" s="105">
        <v>1.9942297065268224</v>
      </c>
      <c r="W2479" s="49">
        <f t="shared" si="298"/>
        <v>1.0102022207987256</v>
      </c>
    </row>
    <row r="2480" spans="1:23" hidden="1">
      <c r="A2480" s="22" t="s">
        <v>150</v>
      </c>
      <c r="B2480" s="23" t="s">
        <v>252</v>
      </c>
      <c r="C2480" s="28" t="s">
        <v>257</v>
      </c>
      <c r="D2480" s="23"/>
      <c r="H2480" s="104">
        <v>1185.7060596700001</v>
      </c>
      <c r="I2480" s="104"/>
      <c r="J2480" s="104"/>
      <c r="K2480" s="67">
        <v>127.11122799</v>
      </c>
      <c r="O2480" s="94">
        <f t="shared" si="296"/>
        <v>3.0739770393779331</v>
      </c>
      <c r="P2480" s="45"/>
      <c r="Q2480" s="45"/>
      <c r="R2480" s="48">
        <f t="shared" si="297"/>
        <v>2.1041839143520322</v>
      </c>
      <c r="U2480" s="94">
        <v>3.0739770393779331</v>
      </c>
      <c r="V2480" s="105">
        <v>2.1041839143520322</v>
      </c>
      <c r="W2480" s="49">
        <f t="shared" si="298"/>
        <v>0.94873682097073664</v>
      </c>
    </row>
    <row r="2481" spans="1:23" hidden="1">
      <c r="A2481" s="22" t="s">
        <v>150</v>
      </c>
      <c r="B2481" s="23" t="s">
        <v>252</v>
      </c>
      <c r="C2481" s="28" t="s">
        <v>257</v>
      </c>
      <c r="D2481" s="23"/>
      <c r="H2481" s="104">
        <v>1191.0815335100001</v>
      </c>
      <c r="I2481" s="104"/>
      <c r="J2481" s="104"/>
      <c r="K2481" s="67">
        <v>144.50058469999999</v>
      </c>
      <c r="O2481" s="94">
        <f t="shared" si="296"/>
        <v>3.0759414914084742</v>
      </c>
      <c r="P2481" s="45"/>
      <c r="Q2481" s="45"/>
      <c r="R2481" s="48">
        <f t="shared" si="297"/>
        <v>2.1598696044037764</v>
      </c>
      <c r="U2481" s="94">
        <v>3.0759414914084742</v>
      </c>
      <c r="V2481" s="105">
        <v>2.1598696044037764</v>
      </c>
      <c r="W2481" s="49">
        <f t="shared" si="298"/>
        <v>0.89502983952171122</v>
      </c>
    </row>
    <row r="2482" spans="1:23" hidden="1">
      <c r="A2482" s="22" t="s">
        <v>150</v>
      </c>
      <c r="B2482" s="23" t="s">
        <v>252</v>
      </c>
      <c r="C2482" s="28" t="s">
        <v>257</v>
      </c>
      <c r="D2482" s="23"/>
      <c r="H2482" s="104">
        <v>1230.11018388</v>
      </c>
      <c r="I2482" s="104"/>
      <c r="J2482" s="104"/>
      <c r="K2482" s="67">
        <v>151.00818301999999</v>
      </c>
      <c r="O2482" s="94">
        <f t="shared" si="296"/>
        <v>3.089944013966142</v>
      </c>
      <c r="P2482" s="45"/>
      <c r="Q2482" s="45"/>
      <c r="R2482" s="48">
        <f t="shared" si="297"/>
        <v>2.1790004820225706</v>
      </c>
      <c r="U2482" s="94">
        <v>3.089944013966142</v>
      </c>
      <c r="V2482" s="105">
        <v>2.1790004820225706</v>
      </c>
      <c r="W2482" s="49">
        <f t="shared" si="298"/>
        <v>0.87258679539306694</v>
      </c>
    </row>
    <row r="2483" spans="1:23" hidden="1">
      <c r="A2483" s="22" t="s">
        <v>150</v>
      </c>
      <c r="B2483" s="23" t="s">
        <v>252</v>
      </c>
      <c r="C2483" s="28" t="s">
        <v>257</v>
      </c>
      <c r="D2483" s="23"/>
      <c r="H2483" s="104">
        <v>1297.4541803300001</v>
      </c>
      <c r="I2483" s="104"/>
      <c r="J2483" s="104"/>
      <c r="K2483" s="67">
        <v>132.86784098999999</v>
      </c>
      <c r="O2483" s="94">
        <f t="shared" si="296"/>
        <v>3.113092029656364</v>
      </c>
      <c r="P2483" s="45"/>
      <c r="Q2483" s="45"/>
      <c r="R2483" s="48">
        <f t="shared" si="297"/>
        <v>2.1234198780784981</v>
      </c>
      <c r="U2483" s="94">
        <v>3.113092029656364</v>
      </c>
      <c r="V2483" s="105">
        <v>2.1234198780784981</v>
      </c>
      <c r="W2483" s="49">
        <f t="shared" si="298"/>
        <v>0.91867173335491037</v>
      </c>
    </row>
    <row r="2484" spans="1:23" hidden="1">
      <c r="A2484" s="22" t="s">
        <v>150</v>
      </c>
      <c r="B2484" s="23" t="s">
        <v>252</v>
      </c>
      <c r="C2484" s="28" t="s">
        <v>257</v>
      </c>
      <c r="D2484" s="23"/>
      <c r="H2484" s="104">
        <v>1357.08128506</v>
      </c>
      <c r="I2484" s="104"/>
      <c r="J2484" s="104"/>
      <c r="K2484" s="67">
        <v>121.97667174999999</v>
      </c>
      <c r="O2484" s="94">
        <f t="shared" si="296"/>
        <v>3.1326058613633236</v>
      </c>
      <c r="P2484" s="45"/>
      <c r="Q2484" s="45"/>
      <c r="R2484" s="48">
        <f t="shared" si="297"/>
        <v>2.0862767790435766</v>
      </c>
      <c r="U2484" s="94">
        <v>3.1326058613633236</v>
      </c>
      <c r="V2484" s="105">
        <v>2.0862767790435766</v>
      </c>
      <c r="W2484" s="49">
        <f t="shared" si="298"/>
        <v>0.94825766288782731</v>
      </c>
    </row>
    <row r="2485" spans="1:23" hidden="1">
      <c r="A2485" s="22" t="s">
        <v>150</v>
      </c>
      <c r="B2485" s="23" t="s">
        <v>252</v>
      </c>
      <c r="C2485" s="28" t="s">
        <v>257</v>
      </c>
      <c r="D2485" s="23"/>
      <c r="H2485" s="104">
        <v>1349.3869793700001</v>
      </c>
      <c r="I2485" s="104"/>
      <c r="J2485" s="104"/>
      <c r="K2485" s="67">
        <v>131.39974939999999</v>
      </c>
      <c r="O2485" s="94">
        <f t="shared" si="296"/>
        <v>3.1301365152048977</v>
      </c>
      <c r="P2485" s="45"/>
      <c r="Q2485" s="45"/>
      <c r="R2485" s="48">
        <f t="shared" si="297"/>
        <v>2.1185945369566315</v>
      </c>
      <c r="U2485" s="94">
        <v>3.1301365152048977</v>
      </c>
      <c r="V2485" s="105">
        <v>2.1185945369566315</v>
      </c>
      <c r="W2485" s="49">
        <f t="shared" si="298"/>
        <v>0.91816938353492838</v>
      </c>
    </row>
    <row r="2486" spans="1:23" hidden="1">
      <c r="A2486" s="22" t="s">
        <v>150</v>
      </c>
      <c r="B2486" s="23" t="s">
        <v>252</v>
      </c>
      <c r="C2486" s="28" t="s">
        <v>257</v>
      </c>
      <c r="D2486" s="23"/>
      <c r="H2486" s="104">
        <v>1419.64457298</v>
      </c>
      <c r="I2486" s="104"/>
      <c r="J2486" s="104"/>
      <c r="K2486" s="67">
        <v>143.69313432999999</v>
      </c>
      <c r="O2486" s="94">
        <f t="shared" si="296"/>
        <v>3.1521796265556352</v>
      </c>
      <c r="P2486" s="45"/>
      <c r="Q2486" s="45"/>
      <c r="R2486" s="48">
        <f t="shared" si="297"/>
        <v>2.1574360180032035</v>
      </c>
      <c r="U2486" s="94">
        <v>3.1521796265556352</v>
      </c>
      <c r="V2486" s="105">
        <v>2.1574360180032035</v>
      </c>
      <c r="W2486" s="49">
        <f t="shared" si="298"/>
        <v>0.87451604065451816</v>
      </c>
    </row>
    <row r="2487" spans="1:23" hidden="1">
      <c r="A2487" s="22" t="s">
        <v>150</v>
      </c>
      <c r="B2487" s="23" t="s">
        <v>252</v>
      </c>
      <c r="C2487" s="28" t="s">
        <v>257</v>
      </c>
      <c r="D2487" s="23"/>
      <c r="H2487" s="104">
        <v>1375.58676782</v>
      </c>
      <c r="I2487" s="104"/>
      <c r="J2487" s="104"/>
      <c r="K2487" s="67">
        <v>153.12938715000001</v>
      </c>
      <c r="O2487" s="94">
        <f t="shared" ref="O2487:O2550" si="299">LOG10(H2487)</f>
        <v>3.1384879895617259</v>
      </c>
      <c r="P2487" s="45"/>
      <c r="Q2487" s="45"/>
      <c r="R2487" s="48">
        <f t="shared" ref="R2487:R2550" si="300">LOG10(K2487)</f>
        <v>2.1850585444040687</v>
      </c>
      <c r="U2487" s="94">
        <v>3.1384879895617259</v>
      </c>
      <c r="V2487" s="105">
        <v>2.1850585444040687</v>
      </c>
      <c r="W2487" s="49">
        <f t="shared" si="298"/>
        <v>0.85226789481467868</v>
      </c>
    </row>
    <row r="2488" spans="1:23" hidden="1">
      <c r="A2488" s="22" t="s">
        <v>150</v>
      </c>
      <c r="B2488" s="23" t="s">
        <v>252</v>
      </c>
      <c r="C2488" s="28" t="s">
        <v>257</v>
      </c>
      <c r="D2488" s="23"/>
      <c r="H2488" s="104">
        <v>1032.67068619</v>
      </c>
      <c r="I2488" s="104"/>
      <c r="J2488" s="104"/>
      <c r="K2488" s="67">
        <v>147.45653066</v>
      </c>
      <c r="O2488" s="94">
        <f t="shared" si="299"/>
        <v>3.0139618491361326</v>
      </c>
      <c r="P2488" s="45"/>
      <c r="Q2488" s="45"/>
      <c r="R2488" s="48">
        <f t="shared" si="300"/>
        <v>2.1686640116575271</v>
      </c>
      <c r="U2488" s="94">
        <v>3.0139618491361326</v>
      </c>
      <c r="V2488" s="105">
        <v>2.1686640116575271</v>
      </c>
      <c r="W2488" s="49">
        <f t="shared" si="298"/>
        <v>0.90520528200212458</v>
      </c>
    </row>
    <row r="2489" spans="1:23" hidden="1">
      <c r="A2489" s="22" t="s">
        <v>150</v>
      </c>
      <c r="B2489" s="23" t="s">
        <v>252</v>
      </c>
      <c r="C2489" s="28" t="s">
        <v>257</v>
      </c>
      <c r="D2489" s="23"/>
      <c r="H2489" s="104">
        <v>1058.64461439</v>
      </c>
      <c r="I2489" s="104"/>
      <c r="J2489" s="104"/>
      <c r="K2489" s="67">
        <v>147.44711982000001</v>
      </c>
      <c r="O2489" s="94">
        <f t="shared" si="299"/>
        <v>3.0247501924845599</v>
      </c>
      <c r="P2489" s="45"/>
      <c r="Q2489" s="45"/>
      <c r="R2489" s="48">
        <f t="shared" si="300"/>
        <v>2.1686362936155374</v>
      </c>
      <c r="U2489" s="94">
        <v>3.0247501924845599</v>
      </c>
      <c r="V2489" s="105">
        <v>2.1686362936155374</v>
      </c>
      <c r="W2489" s="49">
        <f t="shared" si="298"/>
        <v>0.90200034801627804</v>
      </c>
    </row>
    <row r="2490" spans="1:23" hidden="1">
      <c r="A2490" s="22" t="s">
        <v>150</v>
      </c>
      <c r="B2490" s="23" t="s">
        <v>252</v>
      </c>
      <c r="C2490" s="28" t="s">
        <v>257</v>
      </c>
      <c r="D2490" s="23"/>
      <c r="H2490" s="104">
        <v>1139.2616645799999</v>
      </c>
      <c r="I2490" s="104"/>
      <c r="J2490" s="104"/>
      <c r="K2490" s="67">
        <v>156.83820059999999</v>
      </c>
      <c r="O2490" s="94">
        <f t="shared" si="299"/>
        <v>3.0566234838963942</v>
      </c>
      <c r="P2490" s="45"/>
      <c r="Q2490" s="45"/>
      <c r="R2490" s="48">
        <f t="shared" si="300"/>
        <v>2.1954518510091074</v>
      </c>
      <c r="U2490" s="94">
        <v>3.0566234838963942</v>
      </c>
      <c r="V2490" s="105">
        <v>2.1954518510091074</v>
      </c>
      <c r="W2490" s="49">
        <f t="shared" si="298"/>
        <v>0.86687415295773862</v>
      </c>
    </row>
    <row r="2491" spans="1:23" hidden="1">
      <c r="A2491" s="22" t="s">
        <v>150</v>
      </c>
      <c r="B2491" s="23" t="s">
        <v>252</v>
      </c>
      <c r="C2491" s="28" t="s">
        <v>257</v>
      </c>
      <c r="D2491" s="23"/>
      <c r="H2491" s="104">
        <v>1256.30997232</v>
      </c>
      <c r="I2491" s="104"/>
      <c r="J2491" s="104"/>
      <c r="K2491" s="67">
        <v>172.73782077999999</v>
      </c>
      <c r="O2491" s="94">
        <f t="shared" si="299"/>
        <v>3.0990968071235403</v>
      </c>
      <c r="P2491" s="45"/>
      <c r="Q2491" s="45"/>
      <c r="R2491" s="48">
        <f t="shared" si="300"/>
        <v>2.2373874363385418</v>
      </c>
      <c r="U2491" s="94">
        <v>3.0990968071235403</v>
      </c>
      <c r="V2491" s="105">
        <v>2.2373874363385418</v>
      </c>
      <c r="W2491" s="49">
        <f t="shared" si="298"/>
        <v>0.81414999296170953</v>
      </c>
    </row>
    <row r="2492" spans="1:23" hidden="1">
      <c r="A2492" s="22" t="s">
        <v>150</v>
      </c>
      <c r="B2492" s="23" t="s">
        <v>252</v>
      </c>
      <c r="C2492" s="28" t="s">
        <v>257</v>
      </c>
      <c r="D2492" s="23"/>
      <c r="H2492" s="104">
        <v>1105.7590615399999</v>
      </c>
      <c r="I2492" s="104"/>
      <c r="J2492" s="104"/>
      <c r="K2492" s="67">
        <v>182.21265806</v>
      </c>
      <c r="O2492" s="94">
        <f t="shared" si="299"/>
        <v>3.0436605070384259</v>
      </c>
      <c r="P2492" s="45"/>
      <c r="Q2492" s="45"/>
      <c r="R2492" s="48">
        <f t="shared" si="300"/>
        <v>2.2605785435187542</v>
      </c>
      <c r="U2492" s="94">
        <v>3.0436605070384259</v>
      </c>
      <c r="V2492" s="105">
        <v>2.2605785435187542</v>
      </c>
      <c r="W2492" s="49">
        <f t="shared" si="298"/>
        <v>0.8086325314309788</v>
      </c>
    </row>
    <row r="2493" spans="1:23" hidden="1">
      <c r="A2493" s="22" t="s">
        <v>150</v>
      </c>
      <c r="B2493" s="23" t="s">
        <v>252</v>
      </c>
      <c r="C2493" s="28" t="s">
        <v>257</v>
      </c>
      <c r="D2493" s="23"/>
      <c r="H2493" s="104">
        <v>1035.56922601</v>
      </c>
      <c r="I2493" s="104"/>
      <c r="J2493" s="104"/>
      <c r="K2493" s="67">
        <v>176.44098771</v>
      </c>
      <c r="O2493" s="94">
        <f t="shared" si="299"/>
        <v>3.0151791360341509</v>
      </c>
      <c r="P2493" s="45"/>
      <c r="Q2493" s="45"/>
      <c r="R2493" s="48">
        <f t="shared" si="300"/>
        <v>2.2465994802773177</v>
      </c>
      <c r="U2493" s="94">
        <v>3.0151791360341509</v>
      </c>
      <c r="V2493" s="105">
        <v>2.2465994802773177</v>
      </c>
      <c r="W2493" s="49">
        <f t="shared" si="298"/>
        <v>0.83049803111449216</v>
      </c>
    </row>
    <row r="2494" spans="1:23" hidden="1">
      <c r="A2494" s="22" t="s">
        <v>150</v>
      </c>
      <c r="B2494" s="23" t="s">
        <v>252</v>
      </c>
      <c r="C2494" s="28" t="s">
        <v>257</v>
      </c>
      <c r="D2494" s="23"/>
      <c r="H2494" s="104">
        <v>1012.1399899</v>
      </c>
      <c r="I2494" s="104"/>
      <c r="J2494" s="104"/>
      <c r="K2494" s="67">
        <v>171.37701279999999</v>
      </c>
      <c r="O2494" s="94">
        <f t="shared" si="299"/>
        <v>3.0052405842789467</v>
      </c>
      <c r="P2494" s="45"/>
      <c r="Q2494" s="45"/>
      <c r="R2494" s="48">
        <f t="shared" si="300"/>
        <v>2.2339525685578887</v>
      </c>
      <c r="U2494" s="94">
        <v>3.0052405842789467</v>
      </c>
      <c r="V2494" s="105">
        <v>2.2339525685578887</v>
      </c>
      <c r="W2494" s="49">
        <f t="shared" si="298"/>
        <v>0.84553876094271219</v>
      </c>
    </row>
    <row r="2495" spans="1:23" hidden="1">
      <c r="A2495" s="22" t="s">
        <v>150</v>
      </c>
      <c r="B2495" s="23" t="s">
        <v>252</v>
      </c>
      <c r="C2495" s="28" t="s">
        <v>257</v>
      </c>
      <c r="D2495" s="23"/>
      <c r="H2495" s="104">
        <v>980.92610402000003</v>
      </c>
      <c r="I2495" s="104"/>
      <c r="J2495" s="104"/>
      <c r="K2495" s="67">
        <v>167.04049609</v>
      </c>
      <c r="O2495" s="94">
        <f t="shared" si="299"/>
        <v>2.9916362919618722</v>
      </c>
      <c r="P2495" s="45"/>
      <c r="Q2495" s="45"/>
      <c r="R2495" s="48">
        <f t="shared" si="300"/>
        <v>2.222821771125985</v>
      </c>
      <c r="U2495" s="94">
        <v>2.9916362919618722</v>
      </c>
      <c r="V2495" s="105">
        <v>2.222821771125985</v>
      </c>
      <c r="W2495" s="49">
        <f t="shared" ref="W2495:W2558" si="301">0.9539*(4.064-0.314*U2495-V2495)</f>
        <v>0.86023124882755986</v>
      </c>
    </row>
    <row r="2496" spans="1:23" hidden="1">
      <c r="A2496" s="22" t="s">
        <v>150</v>
      </c>
      <c r="B2496" s="23" t="s">
        <v>252</v>
      </c>
      <c r="C2496" s="28" t="s">
        <v>257</v>
      </c>
      <c r="D2496" s="23"/>
      <c r="H2496" s="104">
        <v>973.26944170000002</v>
      </c>
      <c r="I2496" s="104"/>
      <c r="J2496" s="104"/>
      <c r="K2496" s="67">
        <v>180.0867485</v>
      </c>
      <c r="O2496" s="94">
        <f t="shared" si="299"/>
        <v>2.9882330877960017</v>
      </c>
      <c r="P2496" s="45"/>
      <c r="Q2496" s="45"/>
      <c r="R2496" s="48">
        <f t="shared" si="300"/>
        <v>2.2554817568780474</v>
      </c>
      <c r="U2496" s="94">
        <v>2.9882330877960017</v>
      </c>
      <c r="V2496" s="105">
        <v>2.2554817568780474</v>
      </c>
      <c r="W2496" s="49">
        <f t="shared" si="301"/>
        <v>0.83009623178516823</v>
      </c>
    </row>
    <row r="2497" spans="1:23" hidden="1">
      <c r="A2497" s="22" t="s">
        <v>150</v>
      </c>
      <c r="B2497" s="23" t="s">
        <v>252</v>
      </c>
      <c r="C2497" s="28" t="s">
        <v>257</v>
      </c>
      <c r="D2497" s="23"/>
      <c r="H2497" s="104">
        <v>929.27939461000005</v>
      </c>
      <c r="I2497" s="104"/>
      <c r="J2497" s="104"/>
      <c r="K2497" s="67">
        <v>196.04471591000001</v>
      </c>
      <c r="O2497" s="94">
        <f t="shared" si="299"/>
        <v>2.9681463074218022</v>
      </c>
      <c r="P2497" s="45"/>
      <c r="Q2497" s="45"/>
      <c r="R2497" s="48">
        <f t="shared" si="300"/>
        <v>2.2923551410404301</v>
      </c>
      <c r="U2497" s="94">
        <v>2.9681463074218022</v>
      </c>
      <c r="V2497" s="105">
        <v>2.2923551410404301</v>
      </c>
      <c r="W2497" s="49">
        <f t="shared" si="301"/>
        <v>0.80093919548954129</v>
      </c>
    </row>
    <row r="2498" spans="1:23" hidden="1">
      <c r="A2498" s="22" t="s">
        <v>150</v>
      </c>
      <c r="B2498" s="23" t="s">
        <v>252</v>
      </c>
      <c r="C2498" s="28" t="s">
        <v>257</v>
      </c>
      <c r="D2498" s="23"/>
      <c r="H2498" s="104">
        <v>882.51126650000003</v>
      </c>
      <c r="I2498" s="104"/>
      <c r="J2498" s="104"/>
      <c r="K2498" s="67">
        <v>194.61238552</v>
      </c>
      <c r="O2498" s="94">
        <f t="shared" si="299"/>
        <v>2.9457202584763444</v>
      </c>
      <c r="P2498" s="45"/>
      <c r="Q2498" s="45"/>
      <c r="R2498" s="48">
        <f t="shared" si="300"/>
        <v>2.289170476178088</v>
      </c>
      <c r="U2498" s="94">
        <v>2.9457202584763444</v>
      </c>
      <c r="V2498" s="105">
        <v>2.289170476178088</v>
      </c>
      <c r="W2498" s="49">
        <f t="shared" si="301"/>
        <v>0.81069420064169839</v>
      </c>
    </row>
    <row r="2499" spans="1:23" hidden="1">
      <c r="A2499" s="22" t="s">
        <v>150</v>
      </c>
      <c r="B2499" s="23" t="s">
        <v>252</v>
      </c>
      <c r="C2499" s="28" t="s">
        <v>257</v>
      </c>
      <c r="D2499" s="23"/>
      <c r="H2499" s="104">
        <v>867.01725367999995</v>
      </c>
      <c r="I2499" s="104"/>
      <c r="J2499" s="104"/>
      <c r="K2499" s="67">
        <v>203.31365147</v>
      </c>
      <c r="O2499" s="94">
        <f t="shared" si="299"/>
        <v>2.9380277400407531</v>
      </c>
      <c r="P2499" s="45"/>
      <c r="Q2499" s="45"/>
      <c r="R2499" s="48">
        <f t="shared" si="300"/>
        <v>2.3081665402663885</v>
      </c>
      <c r="U2499" s="94">
        <v>2.9380277400407531</v>
      </c>
      <c r="V2499" s="105">
        <v>2.3081665402663885</v>
      </c>
      <c r="W2499" s="49">
        <f t="shared" si="301"/>
        <v>0.79487795361528124</v>
      </c>
    </row>
    <row r="2500" spans="1:23" hidden="1">
      <c r="A2500" s="22" t="s">
        <v>150</v>
      </c>
      <c r="B2500" s="23" t="s">
        <v>252</v>
      </c>
      <c r="C2500" s="28" t="s">
        <v>257</v>
      </c>
      <c r="D2500" s="23"/>
      <c r="H2500" s="104">
        <v>903.50121195999998</v>
      </c>
      <c r="I2500" s="104"/>
      <c r="J2500" s="104"/>
      <c r="K2500" s="67">
        <v>214.89463554</v>
      </c>
      <c r="O2500" s="94">
        <f t="shared" si="299"/>
        <v>2.9559287394616294</v>
      </c>
      <c r="P2500" s="45"/>
      <c r="Q2500" s="45"/>
      <c r="R2500" s="48">
        <f t="shared" si="300"/>
        <v>2.3322255742422331</v>
      </c>
      <c r="U2500" s="94">
        <v>2.9559287394616294</v>
      </c>
      <c r="V2500" s="105">
        <v>2.3322255742422331</v>
      </c>
      <c r="W2500" s="49">
        <f t="shared" si="301"/>
        <v>0.76656625141458512</v>
      </c>
    </row>
    <row r="2501" spans="1:23" hidden="1">
      <c r="A2501" s="22" t="s">
        <v>150</v>
      </c>
      <c r="B2501" s="23" t="s">
        <v>252</v>
      </c>
      <c r="C2501" s="28" t="s">
        <v>257</v>
      </c>
      <c r="D2501" s="23"/>
      <c r="H2501" s="104">
        <v>971.01836792999995</v>
      </c>
      <c r="I2501" s="104"/>
      <c r="J2501" s="104"/>
      <c r="K2501" s="67">
        <v>213.42089744</v>
      </c>
      <c r="O2501" s="94">
        <f t="shared" si="299"/>
        <v>2.9872274451656717</v>
      </c>
      <c r="P2501" s="45"/>
      <c r="Q2501" s="45"/>
      <c r="R2501" s="48">
        <f t="shared" si="300"/>
        <v>2.3292369417919914</v>
      </c>
      <c r="U2501" s="94">
        <v>2.9872274451656717</v>
      </c>
      <c r="V2501" s="105">
        <v>2.3292369417919914</v>
      </c>
      <c r="W2501" s="49">
        <f t="shared" si="301"/>
        <v>0.76004237560234966</v>
      </c>
    </row>
    <row r="2502" spans="1:23" hidden="1">
      <c r="A2502" s="22" t="s">
        <v>150</v>
      </c>
      <c r="B2502" s="23" t="s">
        <v>252</v>
      </c>
      <c r="C2502" s="28" t="s">
        <v>257</v>
      </c>
      <c r="D2502" s="23"/>
      <c r="H2502" s="104">
        <v>1025.38292895</v>
      </c>
      <c r="I2502" s="104"/>
      <c r="J2502" s="104"/>
      <c r="K2502" s="67">
        <v>196.00989579</v>
      </c>
      <c r="O2502" s="94">
        <f t="shared" si="299"/>
        <v>3.0108860828288493</v>
      </c>
      <c r="P2502" s="45"/>
      <c r="Q2502" s="45"/>
      <c r="R2502" s="48">
        <f t="shared" si="300"/>
        <v>2.2922779977774064</v>
      </c>
      <c r="U2502" s="94">
        <v>3.0108860828288493</v>
      </c>
      <c r="V2502" s="105">
        <v>2.2922779977774064</v>
      </c>
      <c r="W2502" s="49">
        <f t="shared" si="301"/>
        <v>0.78821116831525406</v>
      </c>
    </row>
    <row r="2503" spans="1:23" hidden="1">
      <c r="A2503" s="22" t="s">
        <v>150</v>
      </c>
      <c r="B2503" s="23" t="s">
        <v>252</v>
      </c>
      <c r="C2503" s="28" t="s">
        <v>257</v>
      </c>
      <c r="D2503" s="23"/>
      <c r="H2503" s="104">
        <v>991.61682228999996</v>
      </c>
      <c r="I2503" s="104"/>
      <c r="J2503" s="104"/>
      <c r="K2503" s="67">
        <v>196.02212989</v>
      </c>
      <c r="O2503" s="94">
        <f t="shared" si="299"/>
        <v>2.9963438857498277</v>
      </c>
      <c r="P2503" s="45"/>
      <c r="Q2503" s="45"/>
      <c r="R2503" s="48">
        <f t="shared" si="300"/>
        <v>2.2923051037369953</v>
      </c>
      <c r="U2503" s="94">
        <v>2.9963438857498277</v>
      </c>
      <c r="V2503" s="105">
        <v>2.2923051037369953</v>
      </c>
      <c r="W2503" s="49">
        <f t="shared" si="301"/>
        <v>0.79254105770361727</v>
      </c>
    </row>
    <row r="2504" spans="1:23" hidden="1">
      <c r="A2504" s="22" t="s">
        <v>150</v>
      </c>
      <c r="B2504" s="23" t="s">
        <v>252</v>
      </c>
      <c r="C2504" s="28" t="s">
        <v>257</v>
      </c>
      <c r="D2504" s="23"/>
      <c r="H2504" s="104">
        <v>619.71534253000004</v>
      </c>
      <c r="I2504" s="104"/>
      <c r="J2504" s="104"/>
      <c r="K2504" s="67">
        <v>150.50470289</v>
      </c>
      <c r="O2504" s="94">
        <f t="shared" si="299"/>
        <v>2.7921922482775399</v>
      </c>
      <c r="P2504" s="45"/>
      <c r="Q2504" s="45"/>
      <c r="R2504" s="48">
        <f t="shared" si="300"/>
        <v>2.1775500707422553</v>
      </c>
      <c r="U2504" s="94">
        <v>2.7921922482775399</v>
      </c>
      <c r="V2504" s="105">
        <v>2.1775500707422553</v>
      </c>
      <c r="W2504" s="49">
        <f t="shared" si="301"/>
        <v>0.96315432123053191</v>
      </c>
    </row>
    <row r="2505" spans="1:23" hidden="1">
      <c r="A2505" s="22" t="s">
        <v>150</v>
      </c>
      <c r="B2505" s="23" t="s">
        <v>252</v>
      </c>
      <c r="C2505" s="28" t="s">
        <v>257</v>
      </c>
      <c r="D2505" s="23"/>
      <c r="H2505" s="104">
        <v>625.12845974000004</v>
      </c>
      <c r="I2505" s="104"/>
      <c r="J2505" s="104"/>
      <c r="K2505" s="67">
        <v>171.51723437000001</v>
      </c>
      <c r="O2505" s="94">
        <f t="shared" si="299"/>
        <v>2.7959692711419395</v>
      </c>
      <c r="P2505" s="45"/>
      <c r="Q2505" s="45"/>
      <c r="R2505" s="48">
        <f t="shared" si="300"/>
        <v>2.2343077652868626</v>
      </c>
      <c r="U2505" s="94">
        <v>2.7959692711419395</v>
      </c>
      <c r="V2505" s="105">
        <v>2.2343077652868626</v>
      </c>
      <c r="W2505" s="49">
        <f t="shared" si="301"/>
        <v>0.90788184514178072</v>
      </c>
    </row>
    <row r="2506" spans="1:23" hidden="1">
      <c r="A2506" s="22" t="s">
        <v>150</v>
      </c>
      <c r="B2506" s="23" t="s">
        <v>252</v>
      </c>
      <c r="C2506" s="28" t="s">
        <v>257</v>
      </c>
      <c r="D2506" s="23"/>
      <c r="H2506" s="104">
        <v>711.06075436000003</v>
      </c>
      <c r="I2506" s="104"/>
      <c r="J2506" s="104"/>
      <c r="K2506" s="67">
        <v>192.50059223</v>
      </c>
      <c r="O2506" s="94">
        <f t="shared" si="299"/>
        <v>2.8519067092474364</v>
      </c>
      <c r="P2506" s="45"/>
      <c r="Q2506" s="45"/>
      <c r="R2506" s="48">
        <f t="shared" si="300"/>
        <v>2.2844320699578979</v>
      </c>
      <c r="U2506" s="94">
        <v>2.8519067092474364</v>
      </c>
      <c r="V2506" s="105">
        <v>2.2844320699578979</v>
      </c>
      <c r="W2506" s="49">
        <f t="shared" si="301"/>
        <v>0.84331363214250654</v>
      </c>
    </row>
    <row r="2507" spans="1:23" hidden="1">
      <c r="A2507" s="22" t="s">
        <v>150</v>
      </c>
      <c r="B2507" s="23" t="s">
        <v>252</v>
      </c>
      <c r="C2507" s="28" t="s">
        <v>257</v>
      </c>
      <c r="D2507" s="23"/>
      <c r="H2507" s="104">
        <v>682.48943335000001</v>
      </c>
      <c r="I2507" s="104"/>
      <c r="J2507" s="104"/>
      <c r="K2507" s="67">
        <v>192.51094416000001</v>
      </c>
      <c r="O2507" s="94">
        <f t="shared" si="299"/>
        <v>2.834095931795853</v>
      </c>
      <c r="P2507" s="45"/>
      <c r="Q2507" s="45"/>
      <c r="R2507" s="48">
        <f t="shared" si="300"/>
        <v>2.2844554239909707</v>
      </c>
      <c r="U2507" s="94">
        <v>2.834095931795853</v>
      </c>
      <c r="V2507" s="105">
        <v>2.2844554239909707</v>
      </c>
      <c r="W2507" s="49">
        <f t="shared" si="301"/>
        <v>0.8486261207222332</v>
      </c>
    </row>
    <row r="2508" spans="1:23" hidden="1">
      <c r="A2508" s="22" t="s">
        <v>150</v>
      </c>
      <c r="B2508" s="23" t="s">
        <v>252</v>
      </c>
      <c r="C2508" s="28" t="s">
        <v>257</v>
      </c>
      <c r="D2508" s="23"/>
      <c r="H2508" s="104">
        <v>679.96732727000006</v>
      </c>
      <c r="I2508" s="104"/>
      <c r="J2508" s="104"/>
      <c r="K2508" s="67">
        <v>199.75823478000001</v>
      </c>
      <c r="O2508" s="94">
        <f t="shared" si="299"/>
        <v>2.8324880451661625</v>
      </c>
      <c r="P2508" s="45"/>
      <c r="Q2508" s="45"/>
      <c r="R2508" s="48">
        <f t="shared" si="300"/>
        <v>2.3005046915945297</v>
      </c>
      <c r="U2508" s="94">
        <v>2.8324880451661625</v>
      </c>
      <c r="V2508" s="105">
        <v>2.3005046915945297</v>
      </c>
      <c r="W2508" s="49">
        <f t="shared" si="301"/>
        <v>0.83379832595480141</v>
      </c>
    </row>
    <row r="2509" spans="1:23" hidden="1">
      <c r="A2509" s="22" t="s">
        <v>150</v>
      </c>
      <c r="B2509" s="23" t="s">
        <v>252</v>
      </c>
      <c r="C2509" s="28" t="s">
        <v>257</v>
      </c>
      <c r="D2509" s="23"/>
      <c r="H2509" s="104">
        <v>752.90512912999998</v>
      </c>
      <c r="I2509" s="104"/>
      <c r="J2509" s="104"/>
      <c r="K2509" s="67">
        <v>220.02166310999999</v>
      </c>
      <c r="O2509" s="94">
        <f t="shared" si="299"/>
        <v>2.8767402557610238</v>
      </c>
      <c r="P2509" s="45"/>
      <c r="Q2509" s="45"/>
      <c r="R2509" s="48">
        <f t="shared" si="300"/>
        <v>2.3424654431220211</v>
      </c>
      <c r="U2509" s="94">
        <v>2.8767402557610238</v>
      </c>
      <c r="V2509" s="105">
        <v>2.3424654431220211</v>
      </c>
      <c r="W2509" s="49">
        <f t="shared" si="301"/>
        <v>0.78051733939518586</v>
      </c>
    </row>
    <row r="2510" spans="1:23" hidden="1">
      <c r="A2510" s="22" t="s">
        <v>150</v>
      </c>
      <c r="B2510" s="23" t="s">
        <v>252</v>
      </c>
      <c r="C2510" s="28" t="s">
        <v>257</v>
      </c>
      <c r="D2510" s="23"/>
      <c r="H2510" s="104">
        <v>776.41718064999998</v>
      </c>
      <c r="I2510" s="104"/>
      <c r="J2510" s="104"/>
      <c r="K2510" s="67">
        <v>233.05662251000001</v>
      </c>
      <c r="O2510" s="94">
        <f t="shared" si="299"/>
        <v>2.8900951369416417</v>
      </c>
      <c r="P2510" s="45"/>
      <c r="Q2510" s="45"/>
      <c r="R2510" s="48">
        <f t="shared" si="300"/>
        <v>2.3674614483056575</v>
      </c>
      <c r="U2510" s="94">
        <v>2.8900951369416417</v>
      </c>
      <c r="V2510" s="105">
        <v>2.3674614483056575</v>
      </c>
      <c r="W2510" s="49">
        <f t="shared" si="301"/>
        <v>0.75267353460684272</v>
      </c>
    </row>
    <row r="2511" spans="1:23" hidden="1">
      <c r="A2511" s="22" t="s">
        <v>150</v>
      </c>
      <c r="B2511" s="23" t="s">
        <v>252</v>
      </c>
      <c r="C2511" s="28" t="s">
        <v>257</v>
      </c>
      <c r="D2511" s="23"/>
      <c r="H2511" s="104">
        <v>797.17373719</v>
      </c>
      <c r="I2511" s="104"/>
      <c r="J2511" s="104"/>
      <c r="K2511" s="67">
        <v>230.87518897999999</v>
      </c>
      <c r="O2511" s="94">
        <f t="shared" si="299"/>
        <v>2.9015529824753372</v>
      </c>
      <c r="P2511" s="45"/>
      <c r="Q2511" s="45"/>
      <c r="R2511" s="48">
        <f t="shared" si="300"/>
        <v>2.3633772639347628</v>
      </c>
      <c r="U2511" s="94">
        <v>2.9015529824753372</v>
      </c>
      <c r="V2511" s="105">
        <v>2.3633772639347628</v>
      </c>
      <c r="W2511" s="49">
        <f t="shared" si="301"/>
        <v>0.7531375314778973</v>
      </c>
    </row>
    <row r="2512" spans="1:23" hidden="1">
      <c r="A2512" s="22" t="s">
        <v>150</v>
      </c>
      <c r="B2512" s="23" t="s">
        <v>252</v>
      </c>
      <c r="C2512" s="28" t="s">
        <v>257</v>
      </c>
      <c r="D2512" s="23"/>
      <c r="H2512" s="104">
        <v>703.65253831999996</v>
      </c>
      <c r="I2512" s="104"/>
      <c r="J2512" s="104"/>
      <c r="K2512" s="67">
        <v>229.45979811000001</v>
      </c>
      <c r="O2512" s="94">
        <f t="shared" si="299"/>
        <v>2.8473582586572572</v>
      </c>
      <c r="P2512" s="45"/>
      <c r="Q2512" s="45"/>
      <c r="R2512" s="48">
        <f t="shared" si="300"/>
        <v>2.36070660713529</v>
      </c>
      <c r="U2512" s="94">
        <v>2.8473582586572572</v>
      </c>
      <c r="V2512" s="105">
        <v>2.36070660713529</v>
      </c>
      <c r="W2512" s="49">
        <f t="shared" si="301"/>
        <v>0.77191772397263547</v>
      </c>
    </row>
    <row r="2513" spans="1:23" hidden="1">
      <c r="A2513" s="22" t="s">
        <v>150</v>
      </c>
      <c r="B2513" s="23" t="s">
        <v>252</v>
      </c>
      <c r="C2513" s="28" t="s">
        <v>257</v>
      </c>
      <c r="D2513" s="23"/>
      <c r="H2513" s="104">
        <v>740.21178335000002</v>
      </c>
      <c r="I2513" s="104"/>
      <c r="J2513" s="104"/>
      <c r="K2513" s="67">
        <v>248.28713171000001</v>
      </c>
      <c r="O2513" s="94">
        <f t="shared" si="299"/>
        <v>2.869355994300232</v>
      </c>
      <c r="P2513" s="45"/>
      <c r="Q2513" s="45"/>
      <c r="R2513" s="48">
        <f t="shared" si="300"/>
        <v>2.3949542114105431</v>
      </c>
      <c r="U2513" s="94">
        <v>2.869355994300232</v>
      </c>
      <c r="V2513" s="105">
        <v>2.3949542114105431</v>
      </c>
      <c r="W2513" s="49">
        <f t="shared" si="301"/>
        <v>0.7326600712851038</v>
      </c>
    </row>
    <row r="2514" spans="1:23" hidden="1">
      <c r="A2514" s="22" t="s">
        <v>150</v>
      </c>
      <c r="B2514" s="23" t="s">
        <v>252</v>
      </c>
      <c r="C2514" s="28" t="s">
        <v>257</v>
      </c>
      <c r="D2514" s="23"/>
      <c r="H2514" s="104">
        <v>784.37498995999999</v>
      </c>
      <c r="I2514" s="104"/>
      <c r="J2514" s="104"/>
      <c r="K2514" s="67">
        <v>248.99576823000001</v>
      </c>
      <c r="O2514" s="94">
        <f t="shared" si="299"/>
        <v>2.8945237376021629</v>
      </c>
      <c r="P2514" s="45"/>
      <c r="Q2514" s="45"/>
      <c r="R2514" s="48">
        <f t="shared" si="300"/>
        <v>2.3961919661721343</v>
      </c>
      <c r="U2514" s="94">
        <v>2.8945237376021629</v>
      </c>
      <c r="V2514" s="105">
        <v>2.3961919661721343</v>
      </c>
      <c r="W2514" s="49">
        <f t="shared" si="301"/>
        <v>0.72394101877260864</v>
      </c>
    </row>
    <row r="2515" spans="1:23" hidden="1">
      <c r="A2515" s="22" t="s">
        <v>150</v>
      </c>
      <c r="B2515" s="23" t="s">
        <v>252</v>
      </c>
      <c r="C2515" s="28" t="s">
        <v>257</v>
      </c>
      <c r="D2515" s="23"/>
      <c r="H2515" s="104">
        <v>794.92266341000004</v>
      </c>
      <c r="I2515" s="104"/>
      <c r="J2515" s="104"/>
      <c r="K2515" s="67">
        <v>264.20933792</v>
      </c>
      <c r="O2515" s="94">
        <f t="shared" si="299"/>
        <v>2.9003248789859857</v>
      </c>
      <c r="P2515" s="45"/>
      <c r="Q2515" s="45"/>
      <c r="R2515" s="48">
        <f t="shared" si="300"/>
        <v>2.4219481627692834</v>
      </c>
      <c r="U2515" s="94">
        <v>2.9003248789859857</v>
      </c>
      <c r="V2515" s="105">
        <v>2.4219481627692834</v>
      </c>
      <c r="W2515" s="49">
        <f t="shared" si="301"/>
        <v>0.69763459828605501</v>
      </c>
    </row>
    <row r="2516" spans="1:23" hidden="1">
      <c r="A2516" s="22" t="s">
        <v>150</v>
      </c>
      <c r="B2516" s="23" t="s">
        <v>252</v>
      </c>
      <c r="C2516" s="28" t="s">
        <v>257</v>
      </c>
      <c r="D2516" s="23"/>
      <c r="H2516" s="104">
        <v>646.84868664999999</v>
      </c>
      <c r="I2516" s="104"/>
      <c r="J2516" s="104"/>
      <c r="K2516" s="67">
        <v>262.08907485999998</v>
      </c>
      <c r="O2516" s="94">
        <f t="shared" si="299"/>
        <v>2.8108027007020149</v>
      </c>
      <c r="P2516" s="45"/>
      <c r="Q2516" s="45"/>
      <c r="R2516" s="48">
        <f t="shared" si="300"/>
        <v>2.4184489178298274</v>
      </c>
      <c r="U2516" s="94">
        <v>2.8108027007020149</v>
      </c>
      <c r="V2516" s="105">
        <v>2.4184489178298274</v>
      </c>
      <c r="W2516" s="49">
        <f t="shared" si="301"/>
        <v>0.72778662267543681</v>
      </c>
    </row>
    <row r="2517" spans="1:23" hidden="1">
      <c r="A2517" s="22" t="s">
        <v>150</v>
      </c>
      <c r="B2517" s="23" t="s">
        <v>252</v>
      </c>
      <c r="C2517" s="28" t="s">
        <v>257</v>
      </c>
      <c r="D2517" s="23"/>
      <c r="H2517" s="104">
        <v>631.03846949000001</v>
      </c>
      <c r="I2517" s="104"/>
      <c r="J2517" s="104"/>
      <c r="K2517" s="67">
        <v>240.35567277000001</v>
      </c>
      <c r="O2517" s="94">
        <f t="shared" si="299"/>
        <v>2.8000558355959062</v>
      </c>
      <c r="P2517" s="45"/>
      <c r="Q2517" s="45"/>
      <c r="R2517" s="48">
        <f t="shared" si="300"/>
        <v>2.3808543766150083</v>
      </c>
      <c r="U2517" s="94">
        <v>2.8000558355959062</v>
      </c>
      <c r="V2517" s="105">
        <v>2.3808543766150083</v>
      </c>
      <c r="W2517" s="49">
        <f t="shared" si="301"/>
        <v>0.76686700601241409</v>
      </c>
    </row>
    <row r="2518" spans="1:23" hidden="1">
      <c r="A2518" s="22" t="s">
        <v>150</v>
      </c>
      <c r="B2518" s="23" t="s">
        <v>252</v>
      </c>
      <c r="C2518" s="28" t="s">
        <v>257</v>
      </c>
      <c r="D2518" s="23"/>
      <c r="H2518" s="104">
        <v>581.38685892000001</v>
      </c>
      <c r="I2518" s="104"/>
      <c r="J2518" s="104"/>
      <c r="K2518" s="67">
        <v>211.38815524</v>
      </c>
      <c r="O2518" s="94">
        <f t="shared" si="299"/>
        <v>2.7644652111925301</v>
      </c>
      <c r="P2518" s="45"/>
      <c r="Q2518" s="45"/>
      <c r="R2518" s="48">
        <f t="shared" si="300"/>
        <v>2.3250806487328766</v>
      </c>
      <c r="U2518" s="94">
        <v>2.7644652111925301</v>
      </c>
      <c r="V2518" s="105">
        <v>2.3250806487328766</v>
      </c>
      <c r="W2518" s="49">
        <f t="shared" si="301"/>
        <v>0.83072983257735111</v>
      </c>
    </row>
    <row r="2519" spans="1:23" hidden="1">
      <c r="A2519" s="22" t="s">
        <v>150</v>
      </c>
      <c r="B2519" s="23" t="s">
        <v>252</v>
      </c>
      <c r="C2519" s="28" t="s">
        <v>257</v>
      </c>
      <c r="D2519" s="23"/>
      <c r="H2519" s="104">
        <v>537.20106627999996</v>
      </c>
      <c r="I2519" s="104"/>
      <c r="J2519" s="104"/>
      <c r="K2519" s="67">
        <v>208.50561386000001</v>
      </c>
      <c r="O2519" s="94">
        <f t="shared" si="299"/>
        <v>2.7301368660202456</v>
      </c>
      <c r="P2519" s="45"/>
      <c r="Q2519" s="45"/>
      <c r="R2519" s="48">
        <f t="shared" si="300"/>
        <v>2.3191177525260751</v>
      </c>
      <c r="U2519" s="94">
        <v>2.7301368660202456</v>
      </c>
      <c r="V2519" s="105">
        <v>2.3191177525260751</v>
      </c>
      <c r="W2519" s="49">
        <f t="shared" si="301"/>
        <v>0.84670002312540904</v>
      </c>
    </row>
    <row r="2520" spans="1:23" hidden="1">
      <c r="A2520" s="22" t="s">
        <v>150</v>
      </c>
      <c r="B2520" s="23" t="s">
        <v>252</v>
      </c>
      <c r="C2520" s="28" t="s">
        <v>257</v>
      </c>
      <c r="D2520" s="23"/>
      <c r="H2520" s="104">
        <v>461.87667449999998</v>
      </c>
      <c r="I2520" s="104"/>
      <c r="J2520" s="104"/>
      <c r="K2520" s="67">
        <v>208.53290530000001</v>
      </c>
      <c r="O2520" s="94">
        <f t="shared" si="299"/>
        <v>2.6645260302445393</v>
      </c>
      <c r="P2520" s="45"/>
      <c r="Q2520" s="45"/>
      <c r="R2520" s="48">
        <f t="shared" si="300"/>
        <v>2.3191745939029147</v>
      </c>
      <c r="U2520" s="94">
        <v>2.6645260302445393</v>
      </c>
      <c r="V2520" s="105">
        <v>2.3191745939029147</v>
      </c>
      <c r="W2520" s="49">
        <f t="shared" si="301"/>
        <v>0.86629786147742627</v>
      </c>
    </row>
    <row r="2521" spans="1:23" hidden="1">
      <c r="A2521" s="22" t="s">
        <v>150</v>
      </c>
      <c r="B2521" s="23" t="s">
        <v>252</v>
      </c>
      <c r="C2521" s="28" t="s">
        <v>257</v>
      </c>
      <c r="D2521" s="23"/>
      <c r="H2521" s="104">
        <v>407.54222818</v>
      </c>
      <c r="I2521" s="104"/>
      <c r="J2521" s="104"/>
      <c r="K2521" s="67">
        <v>228.84244677000001</v>
      </c>
      <c r="O2521" s="94">
        <f t="shared" si="299"/>
        <v>2.6101726155677367</v>
      </c>
      <c r="P2521" s="45"/>
      <c r="Q2521" s="45"/>
      <c r="R2521" s="48">
        <f t="shared" si="300"/>
        <v>2.3595365825695471</v>
      </c>
      <c r="U2521" s="94">
        <v>2.6101726155677367</v>
      </c>
      <c r="V2521" s="105">
        <v>2.3595365825695471</v>
      </c>
      <c r="W2521" s="49">
        <f t="shared" si="301"/>
        <v>0.84407674527802912</v>
      </c>
    </row>
    <row r="2522" spans="1:23" hidden="1">
      <c r="A2522" s="22" t="s">
        <v>150</v>
      </c>
      <c r="B2522" s="23" t="s">
        <v>252</v>
      </c>
      <c r="C2522" s="28" t="s">
        <v>257</v>
      </c>
      <c r="D2522" s="23"/>
      <c r="H2522" s="104">
        <v>353.31318329999999</v>
      </c>
      <c r="I2522" s="104"/>
      <c r="J2522" s="104"/>
      <c r="K2522" s="67">
        <v>259.29687758</v>
      </c>
      <c r="O2522" s="94">
        <f t="shared" si="299"/>
        <v>2.5481598427210734</v>
      </c>
      <c r="P2522" s="45"/>
      <c r="Q2522" s="45"/>
      <c r="R2522" s="48">
        <f t="shared" si="300"/>
        <v>2.4137972870819593</v>
      </c>
      <c r="U2522" s="94">
        <v>2.5481598427210734</v>
      </c>
      <c r="V2522" s="105">
        <v>2.4137972870819593</v>
      </c>
      <c r="W2522" s="49">
        <f t="shared" si="301"/>
        <v>0.81089181022542656</v>
      </c>
    </row>
    <row r="2523" spans="1:23" hidden="1">
      <c r="A2523" s="22" t="s">
        <v>150</v>
      </c>
      <c r="B2523" s="23" t="s">
        <v>252</v>
      </c>
      <c r="C2523" s="28" t="s">
        <v>257</v>
      </c>
      <c r="D2523" s="23"/>
      <c r="H2523" s="104">
        <v>312.22167603000003</v>
      </c>
      <c r="I2523" s="104"/>
      <c r="J2523" s="104"/>
      <c r="K2523" s="67">
        <v>304.23930203999998</v>
      </c>
      <c r="O2523" s="94">
        <f t="shared" si="299"/>
        <v>2.4944630507233065</v>
      </c>
      <c r="P2523" s="45"/>
      <c r="Q2523" s="45"/>
      <c r="R2523" s="48">
        <f t="shared" si="300"/>
        <v>2.4832153160831072</v>
      </c>
      <c r="U2523" s="94">
        <v>2.4944630507233065</v>
      </c>
      <c r="V2523" s="105">
        <v>2.4832153160831072</v>
      </c>
      <c r="W2523" s="49">
        <f t="shared" si="301"/>
        <v>0.76075746250564591</v>
      </c>
    </row>
    <row r="2524" spans="1:23" hidden="1">
      <c r="A2524" s="22" t="s">
        <v>150</v>
      </c>
      <c r="B2524" s="23" t="s">
        <v>252</v>
      </c>
      <c r="C2524" s="28" t="s">
        <v>257</v>
      </c>
      <c r="D2524" s="23"/>
      <c r="H2524" s="104">
        <v>512.40161135000005</v>
      </c>
      <c r="I2524" s="104"/>
      <c r="J2524" s="104"/>
      <c r="K2524" s="67">
        <v>321.55807743000003</v>
      </c>
      <c r="O2524" s="94">
        <f t="shared" si="299"/>
        <v>2.7096104868012065</v>
      </c>
      <c r="P2524" s="45"/>
      <c r="Q2524" s="45"/>
      <c r="R2524" s="48">
        <f t="shared" si="300"/>
        <v>2.5072594233861074</v>
      </c>
      <c r="U2524" s="94">
        <v>2.7096104868012065</v>
      </c>
      <c r="V2524" s="105">
        <v>2.5072594233861074</v>
      </c>
      <c r="W2524" s="49">
        <f t="shared" si="301"/>
        <v>0.67337983881705554</v>
      </c>
    </row>
    <row r="2525" spans="1:23" hidden="1">
      <c r="A2525" s="22" t="s">
        <v>150</v>
      </c>
      <c r="B2525" s="23" t="s">
        <v>252</v>
      </c>
      <c r="C2525" s="28" t="s">
        <v>257</v>
      </c>
      <c r="D2525" s="23"/>
      <c r="H2525" s="104">
        <v>816.07071103999999</v>
      </c>
      <c r="I2525" s="104"/>
      <c r="J2525" s="104"/>
      <c r="K2525" s="67">
        <v>299.70892196</v>
      </c>
      <c r="O2525" s="94">
        <f t="shared" si="299"/>
        <v>2.9117277912097261</v>
      </c>
      <c r="P2525" s="45"/>
      <c r="Q2525" s="45"/>
      <c r="R2525" s="48">
        <f t="shared" si="300"/>
        <v>2.4766996715419807</v>
      </c>
      <c r="U2525" s="94">
        <v>2.9117277912097261</v>
      </c>
      <c r="V2525" s="105">
        <v>2.4766996715419807</v>
      </c>
      <c r="W2525" s="49">
        <f t="shared" si="301"/>
        <v>0.64199168134512796</v>
      </c>
    </row>
    <row r="2526" spans="1:23" hidden="1">
      <c r="A2526" s="22" t="s">
        <v>150</v>
      </c>
      <c r="B2526" s="23" t="s">
        <v>252</v>
      </c>
      <c r="C2526" s="28" t="s">
        <v>257</v>
      </c>
      <c r="D2526" s="23"/>
      <c r="H2526" s="104">
        <v>915.20830133000004</v>
      </c>
      <c r="I2526" s="104"/>
      <c r="J2526" s="104"/>
      <c r="K2526" s="67">
        <v>341.70198805000001</v>
      </c>
      <c r="O2526" s="94">
        <f t="shared" si="299"/>
        <v>2.9615199507031678</v>
      </c>
      <c r="P2526" s="45"/>
      <c r="Q2526" s="45"/>
      <c r="R2526" s="48">
        <f t="shared" si="300"/>
        <v>2.5336475055667846</v>
      </c>
      <c r="U2526" s="94">
        <v>2.9615199507031678</v>
      </c>
      <c r="V2526" s="105">
        <v>2.5336475055667846</v>
      </c>
      <c r="W2526" s="49">
        <f t="shared" si="301"/>
        <v>0.57275516581345809</v>
      </c>
    </row>
    <row r="2527" spans="1:23" hidden="1">
      <c r="A2527" s="22" t="s">
        <v>150</v>
      </c>
      <c r="B2527" s="23" t="s">
        <v>252</v>
      </c>
      <c r="C2527" s="28" t="s">
        <v>257</v>
      </c>
      <c r="D2527" s="23"/>
      <c r="H2527" s="104">
        <v>1065.98507236</v>
      </c>
      <c r="I2527" s="104"/>
      <c r="J2527" s="104"/>
      <c r="K2527" s="67">
        <v>353.96619936000002</v>
      </c>
      <c r="O2527" s="94">
        <f t="shared" si="299"/>
        <v>3.0277511230422682</v>
      </c>
      <c r="P2527" s="45"/>
      <c r="Q2527" s="45"/>
      <c r="R2527" s="48">
        <f t="shared" si="300"/>
        <v>2.5489617927255268</v>
      </c>
      <c r="U2527" s="94">
        <v>3.0277511230422682</v>
      </c>
      <c r="V2527" s="105">
        <v>2.5489617927255268</v>
      </c>
      <c r="W2527" s="49">
        <f t="shared" si="301"/>
        <v>0.53830900189033393</v>
      </c>
    </row>
    <row r="2528" spans="1:23" hidden="1">
      <c r="A2528" s="22" t="s">
        <v>150</v>
      </c>
      <c r="B2528" s="23" t="s">
        <v>252</v>
      </c>
      <c r="C2528" s="28" t="s">
        <v>257</v>
      </c>
      <c r="D2528" s="23"/>
      <c r="H2528" s="104">
        <v>1033.5364838</v>
      </c>
      <c r="I2528" s="104"/>
      <c r="J2528" s="104"/>
      <c r="K2528" s="67">
        <v>230.7895503</v>
      </c>
      <c r="O2528" s="94">
        <f t="shared" si="299"/>
        <v>3.0143258118131926</v>
      </c>
      <c r="P2528" s="45"/>
      <c r="Q2528" s="45"/>
      <c r="R2528" s="48">
        <f t="shared" si="300"/>
        <v>2.3632161409230896</v>
      </c>
      <c r="U2528" s="94">
        <v>3.0143258118131926</v>
      </c>
      <c r="V2528" s="105">
        <v>2.3632161409230896</v>
      </c>
      <c r="W2528" s="49">
        <f t="shared" si="301"/>
        <v>0.71951299012044323</v>
      </c>
    </row>
    <row r="2529" spans="1:23" hidden="1">
      <c r="A2529" s="22" t="s">
        <v>150</v>
      </c>
      <c r="B2529" s="23" t="s">
        <v>252</v>
      </c>
      <c r="C2529" s="28" t="s">
        <v>257</v>
      </c>
      <c r="D2529" s="23"/>
      <c r="H2529" s="104">
        <v>1054.47372853</v>
      </c>
      <c r="I2529" s="104"/>
      <c r="J2529" s="104"/>
      <c r="K2529" s="67">
        <v>245.99935565000001</v>
      </c>
      <c r="O2529" s="94">
        <f t="shared" si="299"/>
        <v>3.0230357640692636</v>
      </c>
      <c r="P2529" s="45"/>
      <c r="Q2529" s="45"/>
      <c r="R2529" s="48">
        <f t="shared" si="300"/>
        <v>2.3909339695504688</v>
      </c>
      <c r="U2529" s="94">
        <v>3.0230357640692636</v>
      </c>
      <c r="V2529" s="105">
        <v>2.3909339695504688</v>
      </c>
      <c r="W2529" s="49">
        <f t="shared" si="301"/>
        <v>0.69046410842726724</v>
      </c>
    </row>
    <row r="2530" spans="1:23" hidden="1">
      <c r="A2530" s="22" t="s">
        <v>150</v>
      </c>
      <c r="B2530" s="23" t="s">
        <v>252</v>
      </c>
      <c r="C2530" s="28" t="s">
        <v>257</v>
      </c>
      <c r="D2530" s="23"/>
      <c r="H2530" s="104">
        <v>1200.13100067</v>
      </c>
      <c r="I2530" s="104"/>
      <c r="J2530" s="104"/>
      <c r="K2530" s="67">
        <v>265.51179866000001</v>
      </c>
      <c r="O2530" s="94">
        <f t="shared" si="299"/>
        <v>3.0792286541833866</v>
      </c>
      <c r="P2530" s="45"/>
      <c r="Q2530" s="45"/>
      <c r="R2530" s="48">
        <f t="shared" si="300"/>
        <v>2.4240838247737191</v>
      </c>
      <c r="U2530" s="94">
        <v>3.0792286541833866</v>
      </c>
      <c r="V2530" s="105">
        <v>2.4240838247737191</v>
      </c>
      <c r="W2530" s="49">
        <f t="shared" si="301"/>
        <v>0.64201130859553224</v>
      </c>
    </row>
    <row r="2531" spans="1:23" hidden="1">
      <c r="A2531" s="22" t="s">
        <v>150</v>
      </c>
      <c r="B2531" s="23" t="s">
        <v>252</v>
      </c>
      <c r="C2531" s="28" t="s">
        <v>257</v>
      </c>
      <c r="D2531" s="23"/>
      <c r="H2531" s="104">
        <v>1327.36560547</v>
      </c>
      <c r="I2531" s="104"/>
      <c r="J2531" s="104"/>
      <c r="K2531" s="67">
        <v>261.84251075999998</v>
      </c>
      <c r="O2531" s="94">
        <f t="shared" si="299"/>
        <v>3.1229905600680308</v>
      </c>
      <c r="P2531" s="45"/>
      <c r="Q2531" s="45"/>
      <c r="R2531" s="48">
        <f t="shared" si="300"/>
        <v>2.4180401566903598</v>
      </c>
      <c r="U2531" s="94">
        <v>3.1229905600680308</v>
      </c>
      <c r="V2531" s="105">
        <v>2.4180401566903598</v>
      </c>
      <c r="W2531" s="49">
        <f t="shared" si="301"/>
        <v>0.6346685962249129</v>
      </c>
    </row>
    <row r="2532" spans="1:23" hidden="1">
      <c r="A2532" s="22" t="s">
        <v>150</v>
      </c>
      <c r="B2532" s="23" t="s">
        <v>252</v>
      </c>
      <c r="C2532" s="28" t="s">
        <v>257</v>
      </c>
      <c r="D2532" s="23"/>
      <c r="H2532" s="104">
        <v>1571.3021989700001</v>
      </c>
      <c r="I2532" s="104"/>
      <c r="J2532" s="104"/>
      <c r="K2532" s="67">
        <v>240.73963519</v>
      </c>
      <c r="O2532" s="94">
        <f t="shared" si="299"/>
        <v>3.1962597182822918</v>
      </c>
      <c r="P2532" s="45"/>
      <c r="Q2532" s="45"/>
      <c r="R2532" s="48">
        <f t="shared" si="300"/>
        <v>2.3815475980740848</v>
      </c>
      <c r="U2532" s="94">
        <v>3.1962597182822918</v>
      </c>
      <c r="V2532" s="105">
        <v>2.3815475980740848</v>
      </c>
      <c r="W2532" s="49">
        <f t="shared" si="301"/>
        <v>0.64753293258251465</v>
      </c>
    </row>
    <row r="2533" spans="1:23" hidden="1">
      <c r="A2533" s="22" t="s">
        <v>150</v>
      </c>
      <c r="B2533" s="23" t="s">
        <v>252</v>
      </c>
      <c r="C2533" s="28" t="s">
        <v>257</v>
      </c>
      <c r="D2533" s="23"/>
      <c r="H2533" s="104">
        <v>1579.14707815</v>
      </c>
      <c r="I2533" s="104"/>
      <c r="J2533" s="104"/>
      <c r="K2533" s="67">
        <v>245.80925661000001</v>
      </c>
      <c r="O2533" s="94">
        <f t="shared" si="299"/>
        <v>3.1984225810876259</v>
      </c>
      <c r="P2533" s="45"/>
      <c r="Q2533" s="45"/>
      <c r="R2533" s="48">
        <f t="shared" si="300"/>
        <v>2.3905982333874958</v>
      </c>
      <c r="U2533" s="94">
        <v>3.1984225810876259</v>
      </c>
      <c r="V2533" s="105">
        <v>2.3905982333874958</v>
      </c>
      <c r="W2533" s="49">
        <f t="shared" si="301"/>
        <v>0.63825170094042916</v>
      </c>
    </row>
    <row r="2534" spans="1:23" hidden="1">
      <c r="A2534" s="22" t="s">
        <v>150</v>
      </c>
      <c r="B2534" s="23" t="s">
        <v>252</v>
      </c>
      <c r="C2534" s="28" t="s">
        <v>257</v>
      </c>
      <c r="D2534" s="23"/>
      <c r="H2534" s="104">
        <v>1555.2058921600001</v>
      </c>
      <c r="I2534" s="104"/>
      <c r="J2534" s="104"/>
      <c r="K2534" s="67">
        <v>191.47010485999999</v>
      </c>
      <c r="O2534" s="94">
        <f t="shared" si="299"/>
        <v>3.1917878929832586</v>
      </c>
      <c r="P2534" s="45"/>
      <c r="Q2534" s="45"/>
      <c r="R2534" s="48">
        <f t="shared" si="300"/>
        <v>2.2821009751304548</v>
      </c>
      <c r="U2534" s="94">
        <v>3.1917878929832586</v>
      </c>
      <c r="V2534" s="105">
        <v>2.2821009751304548</v>
      </c>
      <c r="W2534" s="49">
        <f t="shared" si="301"/>
        <v>0.74373448789240582</v>
      </c>
    </row>
    <row r="2535" spans="1:23" hidden="1">
      <c r="A2535" s="22" t="s">
        <v>150</v>
      </c>
      <c r="B2535" s="23" t="s">
        <v>252</v>
      </c>
      <c r="C2535" s="28" t="s">
        <v>257</v>
      </c>
      <c r="D2535" s="23"/>
      <c r="H2535" s="104">
        <v>1521.2967406800001</v>
      </c>
      <c r="I2535" s="104"/>
      <c r="J2535" s="104"/>
      <c r="K2535" s="67">
        <v>177.71427484</v>
      </c>
      <c r="O2535" s="94">
        <f t="shared" si="299"/>
        <v>3.1822139348092389</v>
      </c>
      <c r="P2535" s="45"/>
      <c r="Q2535" s="45"/>
      <c r="R2535" s="48">
        <f t="shared" si="300"/>
        <v>2.2497223137661888</v>
      </c>
      <c r="U2535" s="94">
        <v>3.1822139348092389</v>
      </c>
      <c r="V2535" s="105">
        <v>2.2497223137661888</v>
      </c>
      <c r="W2535" s="49">
        <f t="shared" si="301"/>
        <v>0.77748812896026909</v>
      </c>
    </row>
    <row r="2536" spans="1:23" hidden="1">
      <c r="A2536" s="22" t="s">
        <v>150</v>
      </c>
      <c r="B2536" s="23" t="s">
        <v>252</v>
      </c>
      <c r="C2536" s="28" t="s">
        <v>257</v>
      </c>
      <c r="D2536" s="23"/>
      <c r="H2536" s="104">
        <v>1625.5387725200001</v>
      </c>
      <c r="I2536" s="104"/>
      <c r="J2536" s="104"/>
      <c r="K2536" s="67">
        <v>211.00983933000001</v>
      </c>
      <c r="O2536" s="94">
        <f t="shared" si="299"/>
        <v>3.2109973327928745</v>
      </c>
      <c r="P2536" s="45"/>
      <c r="Q2536" s="45"/>
      <c r="R2536" s="48">
        <f t="shared" si="300"/>
        <v>2.3243027068005118</v>
      </c>
      <c r="U2536" s="94">
        <v>3.2109973327928745</v>
      </c>
      <c r="V2536" s="105">
        <v>2.3243027068005118</v>
      </c>
      <c r="W2536" s="49">
        <f t="shared" si="301"/>
        <v>0.69772455627713947</v>
      </c>
    </row>
    <row r="2537" spans="1:23" hidden="1">
      <c r="A2537" s="22" t="s">
        <v>150</v>
      </c>
      <c r="B2537" s="23" t="s">
        <v>252</v>
      </c>
      <c r="C2537" s="28" t="s">
        <v>257</v>
      </c>
      <c r="D2537" s="23"/>
      <c r="H2537" s="104">
        <v>1690.2251467399999</v>
      </c>
      <c r="I2537" s="104"/>
      <c r="J2537" s="104"/>
      <c r="K2537" s="67">
        <v>187.07335875999999</v>
      </c>
      <c r="O2537" s="94">
        <f t="shared" si="299"/>
        <v>3.2279445587403663</v>
      </c>
      <c r="P2537" s="45"/>
      <c r="Q2537" s="45"/>
      <c r="R2537" s="48">
        <f t="shared" si="300"/>
        <v>2.2720119437408446</v>
      </c>
      <c r="U2537" s="94">
        <v>3.2279445587403663</v>
      </c>
      <c r="V2537" s="105">
        <v>2.2720119437408446</v>
      </c>
      <c r="W2537" s="49">
        <f t="shared" si="301"/>
        <v>0.74252860408672372</v>
      </c>
    </row>
    <row r="2538" spans="1:23" hidden="1">
      <c r="A2538" s="22" t="s">
        <v>150</v>
      </c>
      <c r="B2538" s="23" t="s">
        <v>252</v>
      </c>
      <c r="C2538" s="28" t="s">
        <v>257</v>
      </c>
      <c r="D2538" s="23"/>
      <c r="H2538" s="104">
        <v>1749.55863316</v>
      </c>
      <c r="I2538" s="104"/>
      <c r="J2538" s="104"/>
      <c r="K2538" s="67">
        <v>147.92142633</v>
      </c>
      <c r="O2538" s="94">
        <f t="shared" si="299"/>
        <v>3.2429285016238123</v>
      </c>
      <c r="P2538" s="45"/>
      <c r="Q2538" s="45"/>
      <c r="R2538" s="48">
        <f t="shared" si="300"/>
        <v>2.1700310858489389</v>
      </c>
      <c r="U2538" s="94">
        <v>3.2429285016238123</v>
      </c>
      <c r="V2538" s="105">
        <v>2.1700310858489389</v>
      </c>
      <c r="W2538" s="49">
        <f t="shared" si="301"/>
        <v>0.83532008493122523</v>
      </c>
    </row>
    <row r="2539" spans="1:23" hidden="1">
      <c r="A2539" s="22" t="s">
        <v>150</v>
      </c>
      <c r="B2539" s="23" t="s">
        <v>252</v>
      </c>
      <c r="C2539" s="28" t="s">
        <v>257</v>
      </c>
      <c r="D2539" s="23"/>
      <c r="H2539" s="104">
        <v>1809.8934333300001</v>
      </c>
      <c r="I2539" s="104"/>
      <c r="J2539" s="104"/>
      <c r="K2539" s="67">
        <v>205.14594271000001</v>
      </c>
      <c r="O2539" s="94">
        <f t="shared" si="299"/>
        <v>3.257653004328172</v>
      </c>
      <c r="P2539" s="45"/>
      <c r="Q2539" s="45"/>
      <c r="R2539" s="48">
        <f t="shared" si="300"/>
        <v>2.3120629320946304</v>
      </c>
      <c r="U2539" s="94">
        <v>3.257653004328172</v>
      </c>
      <c r="V2539" s="105">
        <v>2.3120629320946304</v>
      </c>
      <c r="W2539" s="49">
        <f t="shared" si="301"/>
        <v>0.6954255560147381</v>
      </c>
    </row>
    <row r="2540" spans="1:23" hidden="1">
      <c r="A2540" s="22" t="s">
        <v>150</v>
      </c>
      <c r="B2540" s="23" t="s">
        <v>252</v>
      </c>
      <c r="C2540" s="28" t="s">
        <v>257</v>
      </c>
      <c r="D2540" s="23"/>
      <c r="H2540" s="104">
        <v>2176.69047155</v>
      </c>
      <c r="I2540" s="104"/>
      <c r="J2540" s="104"/>
      <c r="K2540" s="67">
        <v>259.36087132</v>
      </c>
      <c r="O2540" s="94">
        <f t="shared" si="299"/>
        <v>3.3377966761448183</v>
      </c>
      <c r="P2540" s="45"/>
      <c r="Q2540" s="45"/>
      <c r="R2540" s="48">
        <f t="shared" si="300"/>
        <v>2.4139044565144347</v>
      </c>
      <c r="U2540" s="94">
        <v>3.3377966761448183</v>
      </c>
      <c r="V2540" s="105">
        <v>2.4139044565144347</v>
      </c>
      <c r="W2540" s="49">
        <f t="shared" si="301"/>
        <v>0.57427392462727467</v>
      </c>
    </row>
    <row r="2541" spans="1:23" hidden="1">
      <c r="A2541" s="22" t="s">
        <v>150</v>
      </c>
      <c r="B2541" s="23" t="s">
        <v>252</v>
      </c>
      <c r="C2541" s="28" t="s">
        <v>257</v>
      </c>
      <c r="D2541" s="23"/>
      <c r="H2541" s="104">
        <v>2053.8676702100001</v>
      </c>
      <c r="I2541" s="104"/>
      <c r="J2541" s="104"/>
      <c r="K2541" s="67">
        <v>187.66624189999999</v>
      </c>
      <c r="O2541" s="94">
        <f t="shared" si="299"/>
        <v>3.3125724587603171</v>
      </c>
      <c r="P2541" s="45"/>
      <c r="Q2541" s="45"/>
      <c r="R2541" s="48">
        <f t="shared" si="300"/>
        <v>2.2733861571439671</v>
      </c>
      <c r="U2541" s="94">
        <v>3.3125724587603171</v>
      </c>
      <c r="V2541" s="105">
        <v>2.2733861571439671</v>
      </c>
      <c r="W2541" s="49">
        <f t="shared" si="301"/>
        <v>0.71586960401916933</v>
      </c>
    </row>
    <row r="2542" spans="1:23" hidden="1">
      <c r="A2542" s="22" t="s">
        <v>150</v>
      </c>
      <c r="B2542" s="23" t="s">
        <v>252</v>
      </c>
      <c r="C2542" s="28" t="s">
        <v>257</v>
      </c>
      <c r="D2542" s="23"/>
      <c r="H2542" s="104">
        <v>2022.0891337</v>
      </c>
      <c r="I2542" s="104"/>
      <c r="J2542" s="104"/>
      <c r="K2542" s="67">
        <v>128.98210369</v>
      </c>
      <c r="O2542" s="94">
        <f t="shared" si="299"/>
        <v>3.3058002953800441</v>
      </c>
      <c r="P2542" s="45"/>
      <c r="Q2542" s="45"/>
      <c r="R2542" s="48">
        <f t="shared" si="300"/>
        <v>2.1105294559747767</v>
      </c>
      <c r="U2542" s="94">
        <v>3.3058002953800441</v>
      </c>
      <c r="V2542" s="105">
        <v>2.1105294559747767</v>
      </c>
      <c r="W2542" s="49">
        <f t="shared" si="301"/>
        <v>0.87324704079207105</v>
      </c>
    </row>
    <row r="2543" spans="1:23" hidden="1">
      <c r="A2543" s="22" t="s">
        <v>150</v>
      </c>
      <c r="B2543" s="23" t="s">
        <v>252</v>
      </c>
      <c r="C2543" s="28" t="s">
        <v>257</v>
      </c>
      <c r="D2543" s="23"/>
      <c r="H2543" s="104">
        <v>1875.8220389099999</v>
      </c>
      <c r="I2543" s="104"/>
      <c r="J2543" s="104"/>
      <c r="K2543" s="67">
        <v>50.77422945</v>
      </c>
      <c r="O2543" s="94">
        <f t="shared" si="299"/>
        <v>3.2731916340508089</v>
      </c>
      <c r="P2543" s="45"/>
      <c r="Q2543" s="45"/>
      <c r="R2543" s="48">
        <f t="shared" si="300"/>
        <v>1.7056433412712844</v>
      </c>
      <c r="U2543" s="94">
        <v>3.2731916340508089</v>
      </c>
      <c r="V2543" s="105">
        <v>1.7056433412712844</v>
      </c>
      <c r="W2543" s="49">
        <f t="shared" si="301"/>
        <v>1.2692350018489067</v>
      </c>
    </row>
    <row r="2544" spans="1:23" hidden="1">
      <c r="A2544" s="22" t="s">
        <v>150</v>
      </c>
      <c r="B2544" s="23" t="s">
        <v>252</v>
      </c>
      <c r="C2544" s="28" t="s">
        <v>257</v>
      </c>
      <c r="D2544" s="23"/>
      <c r="H2544" s="104">
        <v>2125.5180686600002</v>
      </c>
      <c r="I2544" s="104"/>
      <c r="J2544" s="104"/>
      <c r="K2544" s="67">
        <v>84.017093200000005</v>
      </c>
      <c r="O2544" s="94">
        <f t="shared" si="299"/>
        <v>3.3274648011808079</v>
      </c>
      <c r="P2544" s="45"/>
      <c r="Q2544" s="45"/>
      <c r="R2544" s="48">
        <f t="shared" si="300"/>
        <v>1.9243676518623165</v>
      </c>
      <c r="U2544" s="94">
        <v>3.3274648011808079</v>
      </c>
      <c r="V2544" s="105">
        <v>1.9243676518623165</v>
      </c>
      <c r="W2544" s="49">
        <f t="shared" si="301"/>
        <v>1.0443377333007751</v>
      </c>
    </row>
    <row r="2545" spans="1:23" hidden="1">
      <c r="A2545" s="22" t="s">
        <v>150</v>
      </c>
      <c r="B2545" s="23" t="s">
        <v>252</v>
      </c>
      <c r="C2545" s="28" t="s">
        <v>257</v>
      </c>
      <c r="D2545" s="23"/>
      <c r="H2545" s="104">
        <v>2130.4719367100001</v>
      </c>
      <c r="I2545" s="104"/>
      <c r="J2545" s="104"/>
      <c r="K2545" s="67">
        <v>60.826892530000002</v>
      </c>
      <c r="O2545" s="94">
        <f t="shared" si="299"/>
        <v>3.3284758179017566</v>
      </c>
      <c r="P2545" s="45"/>
      <c r="Q2545" s="45"/>
      <c r="R2545" s="48">
        <f t="shared" si="300"/>
        <v>1.784095630180734</v>
      </c>
      <c r="U2545" s="94">
        <v>3.3284758179017566</v>
      </c>
      <c r="V2545" s="105">
        <v>1.784095630180734</v>
      </c>
      <c r="W2545" s="49">
        <f t="shared" si="301"/>
        <v>1.1778403904039014</v>
      </c>
    </row>
    <row r="2546" spans="1:23" hidden="1">
      <c r="A2546" s="22" t="s">
        <v>150</v>
      </c>
      <c r="B2546" s="23" t="s">
        <v>252</v>
      </c>
      <c r="C2546" s="28" t="s">
        <v>257</v>
      </c>
      <c r="D2546" s="23"/>
      <c r="H2546" s="104">
        <v>2190.5357045800001</v>
      </c>
      <c r="I2546" s="104"/>
      <c r="J2546" s="104"/>
      <c r="K2546" s="67">
        <v>91.964550579999994</v>
      </c>
      <c r="O2546" s="94">
        <f t="shared" si="299"/>
        <v>3.340550336343548</v>
      </c>
      <c r="P2546" s="45"/>
      <c r="Q2546" s="45"/>
      <c r="R2546" s="48">
        <f t="shared" si="300"/>
        <v>1.9636204528417751</v>
      </c>
      <c r="U2546" s="94">
        <v>3.340550336343548</v>
      </c>
      <c r="V2546" s="105">
        <v>1.9636204528417751</v>
      </c>
      <c r="W2546" s="49">
        <f t="shared" si="301"/>
        <v>1.0029750467610643</v>
      </c>
    </row>
    <row r="2547" spans="1:23" hidden="1">
      <c r="A2547" s="22" t="s">
        <v>150</v>
      </c>
      <c r="B2547" s="23" t="s">
        <v>252</v>
      </c>
      <c r="C2547" s="28" t="s">
        <v>257</v>
      </c>
      <c r="D2547" s="23"/>
      <c r="H2547" s="104">
        <v>2535.8760195099999</v>
      </c>
      <c r="I2547" s="104"/>
      <c r="J2547" s="104"/>
      <c r="K2547" s="67">
        <v>80.969862059999997</v>
      </c>
      <c r="O2547" s="94">
        <f t="shared" si="299"/>
        <v>3.4041280168126593</v>
      </c>
      <c r="P2547" s="45"/>
      <c r="Q2547" s="45"/>
      <c r="R2547" s="48">
        <f t="shared" si="300"/>
        <v>1.9083233994141084</v>
      </c>
      <c r="U2547" s="94">
        <v>3.4041280168126593</v>
      </c>
      <c r="V2547" s="105">
        <v>1.9083233994141084</v>
      </c>
      <c r="W2547" s="49">
        <f t="shared" si="301"/>
        <v>1.0366798267142772</v>
      </c>
    </row>
    <row r="2548" spans="1:23" hidden="1">
      <c r="A2548" s="22" t="s">
        <v>150</v>
      </c>
      <c r="B2548" s="23" t="s">
        <v>252</v>
      </c>
      <c r="C2548" s="28" t="s">
        <v>257</v>
      </c>
      <c r="D2548" s="23"/>
      <c r="H2548" s="104">
        <v>2866.0084112499999</v>
      </c>
      <c r="I2548" s="104"/>
      <c r="J2548" s="104"/>
      <c r="K2548" s="67">
        <v>106.21256772</v>
      </c>
      <c r="O2548" s="94">
        <f t="shared" si="299"/>
        <v>3.4572774606440544</v>
      </c>
      <c r="P2548" s="45"/>
      <c r="Q2548" s="45"/>
      <c r="R2548" s="48">
        <f t="shared" si="300"/>
        <v>2.0261759081627382</v>
      </c>
      <c r="U2548" s="94">
        <v>3.4572774606440544</v>
      </c>
      <c r="V2548" s="105">
        <v>2.0261759081627382</v>
      </c>
      <c r="W2548" s="49">
        <f t="shared" si="301"/>
        <v>0.9083407527151377</v>
      </c>
    </row>
    <row r="2549" spans="1:23" hidden="1">
      <c r="A2549" s="22" t="s">
        <v>113</v>
      </c>
      <c r="B2549" s="23" t="s">
        <v>260</v>
      </c>
      <c r="C2549" s="23" t="s">
        <v>261</v>
      </c>
      <c r="D2549" s="23"/>
      <c r="H2549" s="104">
        <v>567.34354554000004</v>
      </c>
      <c r="I2549" s="104">
        <v>625.1950339</v>
      </c>
      <c r="J2549" s="46">
        <f t="shared" ref="J2549:J2557" si="302">H2549+3*(I2549-H2549)</f>
        <v>740.89801061999992</v>
      </c>
      <c r="K2549" s="46">
        <v>82.433764199999999</v>
      </c>
      <c r="L2549" s="104">
        <v>86.45723864</v>
      </c>
      <c r="M2549" s="46">
        <f t="shared" ref="M2549:M2557" si="303">L2549+3*(L2549-K2549)</f>
        <v>98.527661960000003</v>
      </c>
      <c r="O2549" s="94">
        <f t="shared" si="299"/>
        <v>2.7538461184174268</v>
      </c>
      <c r="P2549" s="94">
        <f t="shared" ref="P2549:P2557" si="304">LOG10(I2549)</f>
        <v>2.7960155196376286</v>
      </c>
      <c r="Q2549" s="94">
        <f t="shared" ref="Q2549:Q2557" si="305">LOG10(J2549)</f>
        <v>2.869758428662939</v>
      </c>
      <c r="R2549" s="94">
        <f t="shared" si="300"/>
        <v>1.9161051316278064</v>
      </c>
      <c r="S2549" s="48">
        <f t="shared" ref="S2549:S2557" si="306">LOG10(L2549)</f>
        <v>1.9368013604763552</v>
      </c>
      <c r="T2549" s="48">
        <f t="shared" ref="T2549:T2557" si="307">LOG10(M2549)</f>
        <v>1.9935581771983548</v>
      </c>
      <c r="U2549" s="48">
        <v>2.869758428662939</v>
      </c>
      <c r="V2549" s="105">
        <v>1.9935581771983548</v>
      </c>
      <c r="W2549" s="49">
        <f t="shared" si="301"/>
        <v>1.1154312093285941</v>
      </c>
    </row>
    <row r="2550" spans="1:23" hidden="1">
      <c r="A2550" s="22" t="s">
        <v>113</v>
      </c>
      <c r="B2550" s="23" t="s">
        <v>260</v>
      </c>
      <c r="C2550" s="23" t="s">
        <v>262</v>
      </c>
      <c r="D2550" s="23"/>
      <c r="H2550" s="104">
        <v>574.29760741999996</v>
      </c>
      <c r="I2550" s="104">
        <v>628.53750663000005</v>
      </c>
      <c r="J2550" s="46">
        <f t="shared" si="302"/>
        <v>737.01730505000023</v>
      </c>
      <c r="K2550" s="46">
        <v>73.324808399999995</v>
      </c>
      <c r="L2550" s="104">
        <v>85.393023290000002</v>
      </c>
      <c r="M2550" s="46">
        <f t="shared" si="303"/>
        <v>121.59766796000002</v>
      </c>
      <c r="O2550" s="94">
        <f t="shared" si="299"/>
        <v>2.759137006971649</v>
      </c>
      <c r="P2550" s="94">
        <f t="shared" si="304"/>
        <v>2.7983311983886128</v>
      </c>
      <c r="Q2550" s="94">
        <f t="shared" si="305"/>
        <v>2.8674776851446584</v>
      </c>
      <c r="R2550" s="94">
        <f t="shared" si="300"/>
        <v>1.8652509368291128</v>
      </c>
      <c r="S2550" s="48">
        <f t="shared" si="306"/>
        <v>1.9314223897706613</v>
      </c>
      <c r="T2550" s="48">
        <f t="shared" si="307"/>
        <v>2.0849252459744188</v>
      </c>
      <c r="U2550" s="48">
        <v>2.8674776851446584</v>
      </c>
      <c r="V2550" s="105">
        <v>2.0849252459744188</v>
      </c>
      <c r="W2550" s="49">
        <f t="shared" si="301"/>
        <v>1.0289593012131224</v>
      </c>
    </row>
    <row r="2551" spans="1:23" hidden="1">
      <c r="A2551" s="22" t="s">
        <v>113</v>
      </c>
      <c r="B2551" s="23" t="s">
        <v>260</v>
      </c>
      <c r="C2551" s="23" t="s">
        <v>263</v>
      </c>
      <c r="D2551" s="23"/>
      <c r="H2551" s="104">
        <v>819.88467892999995</v>
      </c>
      <c r="I2551" s="104">
        <v>921.12306043000001</v>
      </c>
      <c r="J2551" s="46">
        <f t="shared" si="302"/>
        <v>1123.59982343</v>
      </c>
      <c r="K2551" s="46">
        <v>41.083662099999998</v>
      </c>
      <c r="L2551" s="104">
        <v>49.129881990000001</v>
      </c>
      <c r="M2551" s="46">
        <f t="shared" si="303"/>
        <v>73.268541660000011</v>
      </c>
      <c r="O2551" s="94">
        <f t="shared" ref="O2551:O2614" si="308">LOG10(H2551)</f>
        <v>2.9137527708880797</v>
      </c>
      <c r="P2551" s="94">
        <f t="shared" si="304"/>
        <v>2.9643176550562269</v>
      </c>
      <c r="Q2551" s="94">
        <f t="shared" si="305"/>
        <v>3.0506116622816029</v>
      </c>
      <c r="R2551" s="94">
        <f t="shared" ref="R2551:R2557" si="309">LOG10(K2551)</f>
        <v>1.6136691486286607</v>
      </c>
      <c r="S2551" s="48">
        <f t="shared" si="306"/>
        <v>1.6913457209605218</v>
      </c>
      <c r="T2551" s="48">
        <f t="shared" si="307"/>
        <v>1.8649175474101971</v>
      </c>
      <c r="U2551" s="48">
        <v>3.0506116622816029</v>
      </c>
      <c r="V2551" s="105">
        <v>1.8649175474101971</v>
      </c>
      <c r="W2551" s="49">
        <f t="shared" si="301"/>
        <v>1.1839715136251807</v>
      </c>
    </row>
    <row r="2552" spans="1:23" hidden="1">
      <c r="A2552" s="22" t="s">
        <v>113</v>
      </c>
      <c r="B2552" s="23" t="s">
        <v>260</v>
      </c>
      <c r="C2552" s="23" t="s">
        <v>264</v>
      </c>
      <c r="D2552" s="23"/>
      <c r="H2552" s="104">
        <v>324.35219792999999</v>
      </c>
      <c r="I2552" s="104">
        <v>360.49049399</v>
      </c>
      <c r="J2552" s="46">
        <f t="shared" si="302"/>
        <v>432.76708611000004</v>
      </c>
      <c r="K2552" s="46">
        <v>28.459333999999998</v>
      </c>
      <c r="L2552" s="104">
        <v>32.979652909999999</v>
      </c>
      <c r="M2552" s="46">
        <f t="shared" si="303"/>
        <v>46.54060964</v>
      </c>
      <c r="O2552" s="94">
        <f t="shared" si="308"/>
        <v>2.5110168452156407</v>
      </c>
      <c r="P2552" s="94">
        <f t="shared" si="304"/>
        <v>2.5568938170107329</v>
      </c>
      <c r="Q2552" s="94">
        <f t="shared" si="305"/>
        <v>2.6362542232991486</v>
      </c>
      <c r="R2552" s="94">
        <f t="shared" si="309"/>
        <v>1.4542247325891196</v>
      </c>
      <c r="S2552" s="48">
        <f t="shared" si="306"/>
        <v>1.5182460806576528</v>
      </c>
      <c r="T2552" s="48">
        <f t="shared" si="307"/>
        <v>1.6678320678538883</v>
      </c>
      <c r="U2552" s="48">
        <v>2.6362542232991486</v>
      </c>
      <c r="V2552" s="105">
        <v>1.6678320678538883</v>
      </c>
      <c r="W2552" s="49">
        <f t="shared" si="301"/>
        <v>1.4960815987421878</v>
      </c>
    </row>
    <row r="2553" spans="1:23" hidden="1">
      <c r="A2553" s="22" t="s">
        <v>113</v>
      </c>
      <c r="B2553" s="23" t="s">
        <v>260</v>
      </c>
      <c r="C2553" s="23" t="s">
        <v>265</v>
      </c>
      <c r="D2553" s="23"/>
      <c r="H2553" s="104">
        <v>728.98232350000001</v>
      </c>
      <c r="I2553" s="104">
        <v>848.29703328000005</v>
      </c>
      <c r="J2553" s="46">
        <f t="shared" si="302"/>
        <v>1086.9264528400001</v>
      </c>
      <c r="K2553" s="46">
        <v>32.9256162</v>
      </c>
      <c r="L2553" s="104">
        <v>39.459559380000002</v>
      </c>
      <c r="M2553" s="46">
        <f t="shared" si="303"/>
        <v>59.061388920000006</v>
      </c>
      <c r="O2553" s="94">
        <f t="shared" si="308"/>
        <v>2.8627169975916607</v>
      </c>
      <c r="P2553" s="94">
        <f t="shared" si="304"/>
        <v>2.9285479481611847</v>
      </c>
      <c r="Q2553" s="94">
        <f t="shared" si="305"/>
        <v>3.0362001584318552</v>
      </c>
      <c r="R2553" s="94">
        <f t="shared" si="309"/>
        <v>1.5175339114927604</v>
      </c>
      <c r="S2553" s="48">
        <f t="shared" si="306"/>
        <v>1.596152231450815</v>
      </c>
      <c r="T2553" s="48">
        <f t="shared" si="307"/>
        <v>1.771303655856272</v>
      </c>
      <c r="U2553" s="48">
        <v>3.0362001584318552</v>
      </c>
      <c r="V2553" s="105">
        <v>1.771303655856272</v>
      </c>
      <c r="W2553" s="49">
        <f t="shared" si="301"/>
        <v>1.2775864047044641</v>
      </c>
    </row>
    <row r="2554" spans="1:23" hidden="1">
      <c r="A2554" s="22" t="s">
        <v>113</v>
      </c>
      <c r="B2554" s="23" t="s">
        <v>260</v>
      </c>
      <c r="C2554" s="23" t="s">
        <v>266</v>
      </c>
      <c r="D2554" s="23"/>
      <c r="H2554" s="104">
        <v>1520.47148023</v>
      </c>
      <c r="I2554" s="104">
        <v>1679.5397013500001</v>
      </c>
      <c r="J2554" s="46">
        <f t="shared" si="302"/>
        <v>1997.6761435900003</v>
      </c>
      <c r="K2554" s="46">
        <v>76.6210533</v>
      </c>
      <c r="L2554" s="104">
        <v>85.660190200000002</v>
      </c>
      <c r="M2554" s="46">
        <f t="shared" si="303"/>
        <v>112.77760090000001</v>
      </c>
      <c r="O2554" s="94">
        <f t="shared" si="308"/>
        <v>3.1819782784131347</v>
      </c>
      <c r="P2554" s="94">
        <f t="shared" si="304"/>
        <v>3.2251902742529683</v>
      </c>
      <c r="Q2554" s="94">
        <f t="shared" si="305"/>
        <v>3.3005250832633632</v>
      </c>
      <c r="R2554" s="94">
        <f t="shared" si="309"/>
        <v>1.8843481178798125</v>
      </c>
      <c r="S2554" s="48">
        <f t="shared" si="306"/>
        <v>1.9327790343696651</v>
      </c>
      <c r="T2554" s="48">
        <f t="shared" si="307"/>
        <v>2.0522228516730321</v>
      </c>
      <c r="U2554" s="48">
        <v>3.3005250832633632</v>
      </c>
      <c r="V2554" s="105">
        <v>2.0522228516730321</v>
      </c>
      <c r="W2554" s="49">
        <f t="shared" si="301"/>
        <v>0.93044576643466903</v>
      </c>
    </row>
    <row r="2555" spans="1:23" hidden="1">
      <c r="A2555" s="22" t="s">
        <v>113</v>
      </c>
      <c r="B2555" s="23" t="s">
        <v>260</v>
      </c>
      <c r="C2555" s="23" t="s">
        <v>267</v>
      </c>
      <c r="D2555" s="23"/>
      <c r="H2555" s="104">
        <v>1682.9108589800001</v>
      </c>
      <c r="I2555" s="104">
        <v>1751.5830062699999</v>
      </c>
      <c r="J2555" s="46">
        <f t="shared" si="302"/>
        <v>1888.9273008499997</v>
      </c>
      <c r="K2555" s="46">
        <v>268.636754</v>
      </c>
      <c r="L2555" s="104">
        <v>294.28242641000003</v>
      </c>
      <c r="M2555" s="46">
        <f t="shared" si="303"/>
        <v>371.21944364000012</v>
      </c>
      <c r="O2555" s="94">
        <f t="shared" si="308"/>
        <v>3.2260611127207004</v>
      </c>
      <c r="P2555" s="94">
        <f t="shared" si="304"/>
        <v>3.2434307230472816</v>
      </c>
      <c r="Q2555" s="94">
        <f t="shared" si="305"/>
        <v>3.2762152435506064</v>
      </c>
      <c r="R2555" s="94">
        <f t="shared" si="309"/>
        <v>2.4291654311450559</v>
      </c>
      <c r="S2555" s="48">
        <f t="shared" si="306"/>
        <v>2.4687643282190734</v>
      </c>
      <c r="T2555" s="48">
        <f t="shared" si="307"/>
        <v>2.5696307155112925</v>
      </c>
      <c r="U2555" s="48">
        <v>3.2762152435506064</v>
      </c>
      <c r="V2555" s="105">
        <v>2.5696307155112925</v>
      </c>
      <c r="W2555" s="49">
        <f t="shared" si="301"/>
        <v>0.44417180013538005</v>
      </c>
    </row>
    <row r="2556" spans="1:23" hidden="1">
      <c r="A2556" s="22" t="s">
        <v>113</v>
      </c>
      <c r="B2556" s="23" t="s">
        <v>260</v>
      </c>
      <c r="C2556" s="23" t="s">
        <v>268</v>
      </c>
      <c r="D2556" s="23"/>
      <c r="H2556" s="104">
        <v>760.76228157000003</v>
      </c>
      <c r="I2556" s="104">
        <v>833.04246375000002</v>
      </c>
      <c r="J2556" s="46">
        <f t="shared" si="302"/>
        <v>977.60282811000002</v>
      </c>
      <c r="K2556" s="46">
        <v>239.91699</v>
      </c>
      <c r="L2556" s="104">
        <v>248.46229488</v>
      </c>
      <c r="M2556" s="46">
        <f t="shared" si="303"/>
        <v>274.09820952000001</v>
      </c>
      <c r="O2556" s="94">
        <f t="shared" si="308"/>
        <v>2.8812489722362855</v>
      </c>
      <c r="P2556" s="94">
        <f t="shared" si="304"/>
        <v>2.9206671398248787</v>
      </c>
      <c r="Q2556" s="94">
        <f t="shared" si="305"/>
        <v>2.9901624492720376</v>
      </c>
      <c r="R2556" s="94">
        <f t="shared" si="309"/>
        <v>2.380061004124467</v>
      </c>
      <c r="S2556" s="48">
        <f t="shared" si="306"/>
        <v>2.395260492192139</v>
      </c>
      <c r="T2556" s="48">
        <f t="shared" si="307"/>
        <v>2.4379061986255119</v>
      </c>
      <c r="U2556" s="48">
        <v>2.9901624492720376</v>
      </c>
      <c r="V2556" s="105">
        <v>2.4379061986255119</v>
      </c>
      <c r="W2556" s="49">
        <f t="shared" si="301"/>
        <v>0.65550366557789697</v>
      </c>
    </row>
    <row r="2557" spans="1:23" hidden="1">
      <c r="A2557" s="22" t="s">
        <v>113</v>
      </c>
      <c r="B2557" s="23" t="s">
        <v>260</v>
      </c>
      <c r="C2557" s="23" t="s">
        <v>269</v>
      </c>
      <c r="D2557" s="23"/>
      <c r="H2557" s="104">
        <v>167.59238181000001</v>
      </c>
      <c r="I2557" s="104">
        <v>182.0535308</v>
      </c>
      <c r="J2557" s="46">
        <f t="shared" si="302"/>
        <v>210.97582878</v>
      </c>
      <c r="K2557" s="46">
        <v>44.254571900000002</v>
      </c>
      <c r="L2557" s="104">
        <v>55.314087630000003</v>
      </c>
      <c r="M2557" s="46">
        <f t="shared" si="303"/>
        <v>88.492634820000006</v>
      </c>
      <c r="O2557" s="94">
        <f t="shared" si="308"/>
        <v>2.2242542731661223</v>
      </c>
      <c r="P2557" s="94">
        <f t="shared" si="304"/>
        <v>2.2601991061872213</v>
      </c>
      <c r="Q2557" s="94">
        <f t="shared" si="305"/>
        <v>2.3242327016067823</v>
      </c>
      <c r="R2557" s="94">
        <f t="shared" si="309"/>
        <v>1.645958143923687</v>
      </c>
      <c r="S2557" s="48">
        <f t="shared" si="306"/>
        <v>1.7428357533807153</v>
      </c>
      <c r="T2557" s="48">
        <f t="shared" si="307"/>
        <v>1.946907126176475</v>
      </c>
      <c r="U2557" s="48">
        <v>2.3242327016067823</v>
      </c>
      <c r="V2557" s="105">
        <v>1.946907126176475</v>
      </c>
      <c r="W2557" s="49">
        <f t="shared" si="301"/>
        <v>1.3233300220845698</v>
      </c>
    </row>
    <row r="2558" spans="1:23" hidden="1">
      <c r="A2558" s="22" t="s">
        <v>113</v>
      </c>
      <c r="B2558" s="23" t="s">
        <v>270</v>
      </c>
      <c r="C2558" s="23" t="s">
        <v>271</v>
      </c>
      <c r="D2558" s="23">
        <v>1984</v>
      </c>
      <c r="H2558" s="106">
        <v>65.83981077</v>
      </c>
      <c r="I2558" s="106"/>
      <c r="J2558" s="106"/>
      <c r="K2558" s="106">
        <v>4.9591724599999996</v>
      </c>
      <c r="O2558" s="94">
        <f t="shared" si="308"/>
        <v>1.8184885740015568</v>
      </c>
      <c r="R2558" s="48">
        <f t="shared" ref="R2558:R2614" si="310">LOG10(K2558)</f>
        <v>0.69540921156273749</v>
      </c>
      <c r="U2558" s="94">
        <v>1.8184885740015568</v>
      </c>
      <c r="V2558" s="105">
        <v>0.69540921156273749</v>
      </c>
      <c r="W2558" s="49">
        <f t="shared" si="301"/>
        <v>2.6686166903579176</v>
      </c>
    </row>
    <row r="2559" spans="1:23" hidden="1">
      <c r="A2559" s="22" t="s">
        <v>113</v>
      </c>
      <c r="B2559" s="23" t="s">
        <v>270</v>
      </c>
      <c r="C2559" s="23" t="s">
        <v>271</v>
      </c>
      <c r="D2559" s="23">
        <v>1984</v>
      </c>
      <c r="H2559" s="106">
        <v>191.15207097000001</v>
      </c>
      <c r="I2559" s="106"/>
      <c r="J2559" s="106"/>
      <c r="K2559" s="106">
        <v>36.491962309999998</v>
      </c>
      <c r="O2559" s="94">
        <f t="shared" si="308"/>
        <v>2.2813790075916205</v>
      </c>
      <c r="R2559" s="48">
        <f t="shared" si="310"/>
        <v>1.5621972176395407</v>
      </c>
      <c r="U2559" s="94">
        <v>2.2813790075916205</v>
      </c>
      <c r="V2559" s="105">
        <v>1.5621972176395407</v>
      </c>
      <c r="W2559" s="49">
        <f t="shared" ref="W2559:W2622" si="311">0.9539*(4.064-0.314*U2559-V2559)</f>
        <v>1.7031405393963648</v>
      </c>
    </row>
    <row r="2560" spans="1:23" hidden="1">
      <c r="A2560" s="22" t="s">
        <v>113</v>
      </c>
      <c r="B2560" s="23" t="s">
        <v>270</v>
      </c>
      <c r="C2560" s="23" t="s">
        <v>271</v>
      </c>
      <c r="D2560" s="23">
        <v>1984</v>
      </c>
      <c r="H2560" s="106">
        <v>237.30943378000001</v>
      </c>
      <c r="I2560" s="106"/>
      <c r="J2560" s="106"/>
      <c r="K2560" s="106">
        <v>2.0391090200000002</v>
      </c>
      <c r="O2560" s="94">
        <f t="shared" si="308"/>
        <v>2.3753150031021324</v>
      </c>
      <c r="R2560" s="48">
        <f t="shared" si="310"/>
        <v>0.30944044574808011</v>
      </c>
      <c r="U2560" s="94">
        <v>2.3753150031021324</v>
      </c>
      <c r="V2560" s="105">
        <v>0.30944044574808011</v>
      </c>
      <c r="W2560" s="49">
        <f t="shared" si="311"/>
        <v>2.8700090826227411</v>
      </c>
    </row>
    <row r="2561" spans="1:23" hidden="1">
      <c r="A2561" s="22" t="s">
        <v>113</v>
      </c>
      <c r="B2561" s="23" t="s">
        <v>270</v>
      </c>
      <c r="C2561" s="23" t="s">
        <v>271</v>
      </c>
      <c r="D2561" s="23">
        <v>1984</v>
      </c>
      <c r="H2561" s="106">
        <v>365.90348735999999</v>
      </c>
      <c r="I2561" s="106"/>
      <c r="J2561" s="106"/>
      <c r="K2561" s="106">
        <v>37.07301743</v>
      </c>
      <c r="O2561" s="94">
        <f t="shared" si="308"/>
        <v>2.5633665486885397</v>
      </c>
      <c r="R2561" s="48">
        <f t="shared" si="310"/>
        <v>1.5690579353650689</v>
      </c>
      <c r="U2561" s="94">
        <v>2.5633665486885397</v>
      </c>
      <c r="V2561" s="105">
        <v>1.5690579353650689</v>
      </c>
      <c r="W2561" s="49">
        <f t="shared" si="311"/>
        <v>1.6121338953059454</v>
      </c>
    </row>
    <row r="2562" spans="1:23" hidden="1">
      <c r="A2562" s="22" t="s">
        <v>113</v>
      </c>
      <c r="B2562" s="23" t="s">
        <v>270</v>
      </c>
      <c r="C2562" s="23" t="s">
        <v>271</v>
      </c>
      <c r="D2562" s="23">
        <v>1984</v>
      </c>
      <c r="H2562" s="106">
        <v>39.381371989999998</v>
      </c>
      <c r="I2562" s="106"/>
      <c r="J2562" s="106"/>
      <c r="K2562" s="106">
        <v>14.8818337</v>
      </c>
      <c r="O2562" s="94">
        <f t="shared" si="308"/>
        <v>1.5952908422568193</v>
      </c>
      <c r="R2562" s="48">
        <f t="shared" si="310"/>
        <v>1.1726564471188929</v>
      </c>
      <c r="U2562" s="94">
        <v>1.5952908422568193</v>
      </c>
      <c r="V2562" s="105">
        <v>1.1726564471188929</v>
      </c>
      <c r="W2562" s="49">
        <f t="shared" si="311"/>
        <v>2.2802237636826512</v>
      </c>
    </row>
    <row r="2563" spans="1:23" hidden="1">
      <c r="A2563" s="22" t="s">
        <v>113</v>
      </c>
      <c r="B2563" s="23" t="s">
        <v>270</v>
      </c>
      <c r="C2563" s="23" t="s">
        <v>271</v>
      </c>
      <c r="D2563" s="23">
        <v>1984</v>
      </c>
      <c r="H2563" s="106">
        <v>105.34378648000001</v>
      </c>
      <c r="I2563" s="106"/>
      <c r="J2563" s="106"/>
      <c r="K2563" s="106">
        <v>7.5811340700000001</v>
      </c>
      <c r="O2563" s="94">
        <f t="shared" si="308"/>
        <v>2.0226089245949903</v>
      </c>
      <c r="R2563" s="48">
        <f t="shared" si="310"/>
        <v>0.879734177070435</v>
      </c>
      <c r="U2563" s="94">
        <v>2.0226089245949903</v>
      </c>
      <c r="V2563" s="105">
        <v>0.879734177070435</v>
      </c>
      <c r="W2563" s="49">
        <f t="shared" si="311"/>
        <v>2.4316500393967675</v>
      </c>
    </row>
    <row r="2564" spans="1:23" hidden="1">
      <c r="A2564" s="22" t="s">
        <v>113</v>
      </c>
      <c r="B2564" s="23" t="s">
        <v>270</v>
      </c>
      <c r="C2564" s="23" t="s">
        <v>271</v>
      </c>
      <c r="D2564" s="23">
        <v>1984</v>
      </c>
      <c r="H2564" s="106">
        <v>158.09739074000001</v>
      </c>
      <c r="I2564" s="106"/>
      <c r="J2564" s="106"/>
      <c r="K2564" s="106">
        <v>2.3253084199999998</v>
      </c>
      <c r="O2564" s="94">
        <f t="shared" si="308"/>
        <v>2.198924702338465</v>
      </c>
      <c r="R2564" s="48">
        <f t="shared" si="310"/>
        <v>0.36648056420263209</v>
      </c>
      <c r="U2564" s="94">
        <v>2.198924702338465</v>
      </c>
      <c r="V2564" s="105">
        <v>0.36648056420263209</v>
      </c>
      <c r="W2564" s="49">
        <f t="shared" si="311"/>
        <v>2.8684317479090615</v>
      </c>
    </row>
    <row r="2565" spans="1:23" hidden="1">
      <c r="A2565" s="22" t="s">
        <v>113</v>
      </c>
      <c r="B2565" s="23" t="s">
        <v>270</v>
      </c>
      <c r="C2565" s="23" t="s">
        <v>271</v>
      </c>
      <c r="D2565" s="23">
        <v>1984</v>
      </c>
      <c r="H2565" s="106">
        <v>210.84283133</v>
      </c>
      <c r="I2565" s="106"/>
      <c r="J2565" s="106"/>
      <c r="K2565" s="106">
        <v>32.979662679999997</v>
      </c>
      <c r="O2565" s="94">
        <f t="shared" si="308"/>
        <v>2.3239588395612243</v>
      </c>
      <c r="R2565" s="48">
        <f t="shared" si="310"/>
        <v>1.5182462093144482</v>
      </c>
      <c r="U2565" s="94">
        <v>2.3239588395612243</v>
      </c>
      <c r="V2565" s="105">
        <v>1.5182462093144482</v>
      </c>
      <c r="W2565" s="49">
        <f t="shared" si="311"/>
        <v>1.732311699098908</v>
      </c>
    </row>
    <row r="2566" spans="1:23" hidden="1">
      <c r="A2566" s="22" t="s">
        <v>113</v>
      </c>
      <c r="B2566" s="23" t="s">
        <v>270</v>
      </c>
      <c r="C2566" s="23" t="s">
        <v>271</v>
      </c>
      <c r="D2566" s="23">
        <v>1984</v>
      </c>
      <c r="H2566" s="106">
        <v>623.03444888000001</v>
      </c>
      <c r="I2566" s="106"/>
      <c r="J2566" s="106"/>
      <c r="K2566" s="106">
        <v>17.503434630000001</v>
      </c>
      <c r="O2566" s="94">
        <f t="shared" si="308"/>
        <v>2.7945120603748563</v>
      </c>
      <c r="R2566" s="48">
        <f t="shared" si="310"/>
        <v>1.2431232769432889</v>
      </c>
      <c r="U2566" s="94">
        <v>2.7945120603748563</v>
      </c>
      <c r="V2566" s="105">
        <v>1.2431232769432889</v>
      </c>
      <c r="W2566" s="49">
        <f t="shared" si="311"/>
        <v>1.853809199044842</v>
      </c>
    </row>
    <row r="2567" spans="1:23" hidden="1">
      <c r="A2567" s="22" t="s">
        <v>113</v>
      </c>
      <c r="B2567" s="23" t="s">
        <v>270</v>
      </c>
      <c r="C2567" s="23" t="s">
        <v>271</v>
      </c>
      <c r="D2567" s="23">
        <v>1984</v>
      </c>
      <c r="H2567" s="106">
        <v>190.97247032999999</v>
      </c>
      <c r="I2567" s="106"/>
      <c r="J2567" s="106"/>
      <c r="K2567" s="106">
        <v>0.86004683999999998</v>
      </c>
      <c r="O2567" s="94">
        <f t="shared" si="308"/>
        <v>2.280970765962457</v>
      </c>
      <c r="R2567" s="48">
        <f t="shared" si="310"/>
        <v>-6.5477895501108871E-2</v>
      </c>
      <c r="U2567" s="94">
        <v>2.280970765962457</v>
      </c>
      <c r="V2567" s="105">
        <v>-6.5477895501108871E-2</v>
      </c>
      <c r="W2567" s="49">
        <f t="shared" si="311"/>
        <v>3.2559021082319091</v>
      </c>
    </row>
    <row r="2568" spans="1:23" hidden="1">
      <c r="A2568" s="22" t="s">
        <v>113</v>
      </c>
      <c r="B2568" s="23" t="s">
        <v>270</v>
      </c>
      <c r="C2568" s="23" t="s">
        <v>271</v>
      </c>
      <c r="D2568" s="23">
        <v>1984</v>
      </c>
      <c r="H2568" s="106">
        <v>368.98118913000002</v>
      </c>
      <c r="I2568" s="106"/>
      <c r="J2568" s="106"/>
      <c r="K2568" s="106">
        <v>12.53633314</v>
      </c>
      <c r="O2568" s="94">
        <f t="shared" si="308"/>
        <v>2.5670042261447539</v>
      </c>
      <c r="R2568" s="48">
        <f t="shared" si="310"/>
        <v>1.0981705245375371</v>
      </c>
      <c r="U2568" s="94">
        <v>2.5670042261447539</v>
      </c>
      <c r="V2568" s="105">
        <v>1.0981705245375371</v>
      </c>
      <c r="W2568" s="49">
        <f t="shared" si="311"/>
        <v>2.0602238226093266</v>
      </c>
    </row>
    <row r="2569" spans="1:23" hidden="1">
      <c r="A2569" s="22" t="s">
        <v>113</v>
      </c>
      <c r="B2569" s="23" t="s">
        <v>270</v>
      </c>
      <c r="C2569" s="23" t="s">
        <v>271</v>
      </c>
      <c r="D2569" s="23">
        <v>1984</v>
      </c>
      <c r="H2569" s="106">
        <v>9.4778665199999992</v>
      </c>
      <c r="I2569" s="106"/>
      <c r="J2569" s="106"/>
      <c r="K2569" s="106">
        <v>16.039976450000001</v>
      </c>
      <c r="O2569" s="94">
        <f t="shared" si="308"/>
        <v>0.97671058809036637</v>
      </c>
      <c r="R2569" s="48">
        <f t="shared" si="310"/>
        <v>1.205203726314569</v>
      </c>
      <c r="U2569" s="94">
        <v>0.97671058809036637</v>
      </c>
      <c r="V2569" s="105">
        <v>1.205203726314569</v>
      </c>
      <c r="W2569" s="49">
        <f t="shared" si="311"/>
        <v>2.4344569172550008</v>
      </c>
    </row>
    <row r="2570" spans="1:23" hidden="1">
      <c r="A2570" s="22" t="s">
        <v>113</v>
      </c>
      <c r="B2570" s="23" t="s">
        <v>270</v>
      </c>
      <c r="C2570" s="23" t="s">
        <v>271</v>
      </c>
      <c r="D2570" s="23">
        <v>1984</v>
      </c>
      <c r="H2570" s="106">
        <v>606.42139027999997</v>
      </c>
      <c r="I2570" s="106"/>
      <c r="J2570" s="106"/>
      <c r="K2570" s="106">
        <v>39.105267609999999</v>
      </c>
      <c r="O2570" s="94">
        <f t="shared" si="308"/>
        <v>2.7827745117478941</v>
      </c>
      <c r="R2570" s="48">
        <f t="shared" si="310"/>
        <v>1.5922352622518487</v>
      </c>
      <c r="U2570" s="94">
        <v>2.7827745117478941</v>
      </c>
      <c r="V2570" s="105">
        <v>1.5922352622518487</v>
      </c>
      <c r="W2570" s="49">
        <f t="shared" si="311"/>
        <v>1.5243069608164781</v>
      </c>
    </row>
    <row r="2571" spans="1:23" hidden="1">
      <c r="A2571" s="22" t="s">
        <v>113</v>
      </c>
      <c r="B2571" s="23" t="s">
        <v>270</v>
      </c>
      <c r="C2571" s="23" t="s">
        <v>271</v>
      </c>
      <c r="D2571" s="23">
        <v>1984</v>
      </c>
      <c r="H2571" s="106">
        <v>335.96732722000002</v>
      </c>
      <c r="I2571" s="106"/>
      <c r="J2571" s="106"/>
      <c r="K2571" s="106">
        <v>25.090333659999999</v>
      </c>
      <c r="O2571" s="94">
        <f t="shared" si="308"/>
        <v>2.5262970443600556</v>
      </c>
      <c r="R2571" s="48">
        <f t="shared" si="310"/>
        <v>1.3995064367523673</v>
      </c>
      <c r="U2571" s="94">
        <v>2.5262970443600556</v>
      </c>
      <c r="V2571" s="105">
        <v>1.3995064367523673</v>
      </c>
      <c r="W2571" s="49">
        <f t="shared" si="311"/>
        <v>1.7849722982887888</v>
      </c>
    </row>
    <row r="2572" spans="1:23" hidden="1">
      <c r="A2572" s="22" t="s">
        <v>113</v>
      </c>
      <c r="B2572" s="23" t="s">
        <v>270</v>
      </c>
      <c r="C2572" s="23" t="s">
        <v>271</v>
      </c>
      <c r="D2572" s="23">
        <v>1984</v>
      </c>
      <c r="H2572" s="106">
        <v>461.26326009000002</v>
      </c>
      <c r="I2572" s="106"/>
      <c r="J2572" s="106"/>
      <c r="K2572" s="106">
        <v>32.389590570000003</v>
      </c>
      <c r="O2572" s="94">
        <f t="shared" si="308"/>
        <v>2.66394886415604</v>
      </c>
      <c r="R2572" s="48">
        <f t="shared" si="310"/>
        <v>1.5104054582196993</v>
      </c>
      <c r="U2572" s="94">
        <v>2.66394886415604</v>
      </c>
      <c r="V2572" s="105">
        <v>1.5104054582196993</v>
      </c>
      <c r="W2572" s="49">
        <f t="shared" si="311"/>
        <v>1.6379556154474366</v>
      </c>
    </row>
    <row r="2573" spans="1:23" hidden="1">
      <c r="A2573" s="22" t="s">
        <v>113</v>
      </c>
      <c r="B2573" s="23" t="s">
        <v>270</v>
      </c>
      <c r="C2573" s="23" t="s">
        <v>271</v>
      </c>
      <c r="D2573" s="23">
        <v>1984</v>
      </c>
      <c r="H2573" s="106">
        <v>253.47349079</v>
      </c>
      <c r="I2573" s="106"/>
      <c r="J2573" s="106"/>
      <c r="K2573" s="106">
        <v>49.314488930000003</v>
      </c>
      <c r="O2573" s="94">
        <f t="shared" si="308"/>
        <v>2.4039325458956751</v>
      </c>
      <c r="R2573" s="48">
        <f t="shared" si="310"/>
        <v>1.6929745366783084</v>
      </c>
      <c r="U2573" s="94">
        <v>2.4039325458956751</v>
      </c>
      <c r="V2573" s="105">
        <v>1.6929745366783084</v>
      </c>
      <c r="W2573" s="49">
        <f t="shared" si="311"/>
        <v>1.541684255226178</v>
      </c>
    </row>
    <row r="2574" spans="1:23" hidden="1">
      <c r="A2574" s="22" t="s">
        <v>113</v>
      </c>
      <c r="B2574" s="23" t="s">
        <v>270</v>
      </c>
      <c r="C2574" s="23" t="s">
        <v>271</v>
      </c>
      <c r="D2574" s="23">
        <v>1984</v>
      </c>
      <c r="H2574" s="106">
        <v>738.11763662999999</v>
      </c>
      <c r="I2574" s="106"/>
      <c r="J2574" s="106"/>
      <c r="K2574" s="106">
        <v>0.55076393999999995</v>
      </c>
      <c r="O2574" s="94">
        <f t="shared" si="308"/>
        <v>2.8681255825113108</v>
      </c>
      <c r="R2574" s="48">
        <f t="shared" si="310"/>
        <v>-0.25903450191489436</v>
      </c>
      <c r="U2574" s="94">
        <v>2.8681255825113108</v>
      </c>
      <c r="V2574" s="105">
        <v>-0.25903450191489436</v>
      </c>
      <c r="W2574" s="49">
        <f t="shared" si="311"/>
        <v>3.2646684435251503</v>
      </c>
    </row>
    <row r="2575" spans="1:23" hidden="1">
      <c r="A2575" s="22" t="s">
        <v>113</v>
      </c>
      <c r="B2575" s="23" t="s">
        <v>270</v>
      </c>
      <c r="C2575" s="23" t="s">
        <v>271</v>
      </c>
      <c r="D2575" s="23">
        <v>1984</v>
      </c>
      <c r="H2575" s="106">
        <v>9.09417425</v>
      </c>
      <c r="I2575" s="106"/>
      <c r="J2575" s="106"/>
      <c r="K2575" s="106">
        <v>84.340823060000005</v>
      </c>
      <c r="O2575" s="94">
        <f t="shared" si="308"/>
        <v>0.95876327129953465</v>
      </c>
      <c r="R2575" s="48">
        <f t="shared" si="310"/>
        <v>1.9260378348656142</v>
      </c>
      <c r="U2575" s="94">
        <v>0.95876327129953465</v>
      </c>
      <c r="V2575" s="105">
        <v>1.9260378348656142</v>
      </c>
      <c r="W2575" s="49">
        <f t="shared" si="311"/>
        <v>1.752228923991006</v>
      </c>
    </row>
    <row r="2576" spans="1:23" hidden="1">
      <c r="A2576" s="22" t="s">
        <v>113</v>
      </c>
      <c r="B2576" s="23" t="s">
        <v>270</v>
      </c>
      <c r="C2576" s="23" t="s">
        <v>271</v>
      </c>
      <c r="D2576" s="23">
        <v>1984</v>
      </c>
      <c r="H2576" s="106">
        <v>767.59663151999996</v>
      </c>
      <c r="I2576" s="106"/>
      <c r="J2576" s="106"/>
      <c r="K2576" s="106">
        <v>110.60913094</v>
      </c>
      <c r="O2576" s="94">
        <f t="shared" si="308"/>
        <v>2.885133060232941</v>
      </c>
      <c r="R2576" s="48">
        <f t="shared" si="310"/>
        <v>2.0437909800715057</v>
      </c>
      <c r="U2576" s="94">
        <v>2.885133060232941</v>
      </c>
      <c r="V2576" s="105">
        <v>2.0437909800715057</v>
      </c>
      <c r="W2576" s="49">
        <f t="shared" si="311"/>
        <v>1.0629090582967429</v>
      </c>
    </row>
    <row r="2577" spans="1:23" hidden="1">
      <c r="A2577" s="22" t="s">
        <v>113</v>
      </c>
      <c r="B2577" s="23" t="s">
        <v>270</v>
      </c>
      <c r="C2577" s="23" t="s">
        <v>271</v>
      </c>
      <c r="D2577" s="23">
        <v>1984</v>
      </c>
      <c r="H2577" s="106">
        <v>520.00899457000003</v>
      </c>
      <c r="I2577" s="106"/>
      <c r="J2577" s="106"/>
      <c r="K2577" s="106">
        <v>17.470252089999999</v>
      </c>
      <c r="O2577" s="94">
        <f t="shared" si="308"/>
        <v>2.7160108556700577</v>
      </c>
      <c r="R2577" s="48">
        <f t="shared" si="310"/>
        <v>1.2422991717548857</v>
      </c>
      <c r="U2577" s="94">
        <v>2.7160108556700577</v>
      </c>
      <c r="V2577" s="105">
        <v>1.2422991717548857</v>
      </c>
      <c r="W2577" s="49">
        <f t="shared" si="311"/>
        <v>1.8781083549227828</v>
      </c>
    </row>
    <row r="2578" spans="1:23" hidden="1">
      <c r="A2578" s="22" t="s">
        <v>113</v>
      </c>
      <c r="B2578" s="23" t="s">
        <v>270</v>
      </c>
      <c r="C2578" s="23" t="s">
        <v>271</v>
      </c>
      <c r="D2578" s="23">
        <v>1984</v>
      </c>
      <c r="H2578" s="106">
        <v>552.98203814999999</v>
      </c>
      <c r="I2578" s="106"/>
      <c r="J2578" s="106"/>
      <c r="K2578" s="106">
        <v>20.38959418</v>
      </c>
      <c r="O2578" s="94">
        <f t="shared" si="308"/>
        <v>2.7427110248688407</v>
      </c>
      <c r="R2578" s="48">
        <f t="shared" si="310"/>
        <v>1.3094085819752677</v>
      </c>
      <c r="U2578" s="94">
        <v>2.7427110248688407</v>
      </c>
      <c r="V2578" s="105">
        <v>1.3094085819752677</v>
      </c>
      <c r="W2578" s="49">
        <f t="shared" si="311"/>
        <v>1.8060953310143626</v>
      </c>
    </row>
    <row r="2579" spans="1:23" hidden="1">
      <c r="A2579" s="22" t="s">
        <v>113</v>
      </c>
      <c r="B2579" s="23" t="s">
        <v>270</v>
      </c>
      <c r="C2579" s="23" t="s">
        <v>271</v>
      </c>
      <c r="D2579" s="23">
        <v>1984</v>
      </c>
      <c r="H2579" s="106">
        <v>863.00538623</v>
      </c>
      <c r="I2579" s="106"/>
      <c r="J2579" s="106"/>
      <c r="K2579" s="106">
        <v>42.579335180000001</v>
      </c>
      <c r="O2579" s="94">
        <f t="shared" si="308"/>
        <v>2.9360135062629125</v>
      </c>
      <c r="R2579" s="48">
        <f t="shared" si="310"/>
        <v>1.6291988762213385</v>
      </c>
      <c r="U2579" s="94">
        <v>2.9360135062629125</v>
      </c>
      <c r="V2579" s="105">
        <v>1.6291988762213385</v>
      </c>
      <c r="W2579" s="49">
        <f t="shared" si="311"/>
        <v>1.443148520914469</v>
      </c>
    </row>
    <row r="2580" spans="1:23" hidden="1">
      <c r="A2580" s="22" t="s">
        <v>113</v>
      </c>
      <c r="B2580" s="23" t="s">
        <v>270</v>
      </c>
      <c r="C2580" s="23" t="s">
        <v>271</v>
      </c>
      <c r="D2580" s="23">
        <v>1984</v>
      </c>
      <c r="H2580" s="106">
        <v>899.28471420000005</v>
      </c>
      <c r="I2580" s="106"/>
      <c r="J2580" s="106"/>
      <c r="K2580" s="106">
        <v>91.630341619999996</v>
      </c>
      <c r="O2580" s="94">
        <f t="shared" si="308"/>
        <v>2.9538972114552577</v>
      </c>
      <c r="R2580" s="48">
        <f t="shared" si="310"/>
        <v>1.9620393057225411</v>
      </c>
      <c r="U2580" s="94">
        <v>2.9538972114552577</v>
      </c>
      <c r="V2580" s="105">
        <v>1.9620393057225411</v>
      </c>
      <c r="W2580" s="49">
        <f t="shared" si="311"/>
        <v>1.1202954255690163</v>
      </c>
    </row>
    <row r="2581" spans="1:23" hidden="1">
      <c r="A2581" s="22" t="s">
        <v>113</v>
      </c>
      <c r="B2581" s="23" t="s">
        <v>270</v>
      </c>
      <c r="C2581" s="23" t="s">
        <v>271</v>
      </c>
      <c r="D2581" s="23">
        <v>1984</v>
      </c>
      <c r="H2581" s="106">
        <v>315.49285501000003</v>
      </c>
      <c r="I2581" s="106"/>
      <c r="J2581" s="106"/>
      <c r="K2581" s="106">
        <v>17.46412054</v>
      </c>
      <c r="O2581" s="94">
        <f t="shared" si="308"/>
        <v>2.4989895281923014</v>
      </c>
      <c r="R2581" s="48">
        <f t="shared" si="310"/>
        <v>1.2421467202775935</v>
      </c>
      <c r="U2581" s="94">
        <v>2.4989895281923014</v>
      </c>
      <c r="V2581" s="105">
        <v>1.2421467202775935</v>
      </c>
      <c r="W2581" s="49">
        <f t="shared" si="311"/>
        <v>1.9432570046912159</v>
      </c>
    </row>
    <row r="2582" spans="1:23" hidden="1">
      <c r="A2582" s="22" t="s">
        <v>113</v>
      </c>
      <c r="B2582" s="23" t="s">
        <v>270</v>
      </c>
      <c r="C2582" s="23" t="s">
        <v>271</v>
      </c>
      <c r="D2582" s="23">
        <v>1984</v>
      </c>
      <c r="H2582" s="106">
        <v>407.79941695999997</v>
      </c>
      <c r="I2582" s="106"/>
      <c r="J2582" s="106"/>
      <c r="K2582" s="106">
        <v>98.336280299999999</v>
      </c>
      <c r="O2582" s="94">
        <f t="shared" si="308"/>
        <v>2.6104466005219749</v>
      </c>
      <c r="R2582" s="48">
        <f t="shared" si="310"/>
        <v>1.9927137765010501</v>
      </c>
      <c r="U2582" s="94">
        <v>2.6104466005219749</v>
      </c>
      <c r="V2582" s="105">
        <v>1.9927137765010501</v>
      </c>
      <c r="W2582" s="49">
        <f t="shared" si="311"/>
        <v>1.1939069547529439</v>
      </c>
    </row>
    <row r="2583" spans="1:23" hidden="1">
      <c r="A2583" s="22" t="s">
        <v>113</v>
      </c>
      <c r="B2583" s="23" t="s">
        <v>270</v>
      </c>
      <c r="C2583" s="23" t="s">
        <v>271</v>
      </c>
      <c r="D2583" s="23">
        <v>1984</v>
      </c>
      <c r="H2583" s="106">
        <v>407.66063465000002</v>
      </c>
      <c r="I2583" s="106"/>
      <c r="J2583" s="106"/>
      <c r="K2583" s="106">
        <v>10.45286643</v>
      </c>
      <c r="O2583" s="94">
        <f t="shared" si="308"/>
        <v>2.6102987762554597</v>
      </c>
      <c r="R2583" s="48">
        <f t="shared" si="310"/>
        <v>1.0192354008804418</v>
      </c>
      <c r="U2583" s="94">
        <v>2.6102987762554597</v>
      </c>
      <c r="V2583" s="105">
        <v>1.0192354008804418</v>
      </c>
      <c r="W2583" s="49">
        <f t="shared" si="311"/>
        <v>2.1225522542617403</v>
      </c>
    </row>
    <row r="2584" spans="1:23" hidden="1">
      <c r="A2584" s="22" t="s">
        <v>113</v>
      </c>
      <c r="B2584" s="23" t="s">
        <v>270</v>
      </c>
      <c r="C2584" s="23" t="s">
        <v>271</v>
      </c>
      <c r="D2584" s="23">
        <v>1984</v>
      </c>
      <c r="H2584" s="106">
        <v>1314.6275065</v>
      </c>
      <c r="I2584" s="106"/>
      <c r="J2584" s="106"/>
      <c r="K2584" s="106">
        <v>21.547736929999999</v>
      </c>
      <c r="O2584" s="94">
        <f t="shared" si="308"/>
        <v>3.11880271496412</v>
      </c>
      <c r="R2584" s="48">
        <f t="shared" si="310"/>
        <v>1.333401664732337</v>
      </c>
      <c r="U2584" s="94">
        <v>3.11880271496412</v>
      </c>
      <c r="V2584" s="105">
        <v>1.333401664732337</v>
      </c>
      <c r="W2584" s="49">
        <f t="shared" si="311"/>
        <v>1.6705596163332816</v>
      </c>
    </row>
    <row r="2585" spans="1:23" hidden="1">
      <c r="A2585" s="22" t="s">
        <v>113</v>
      </c>
      <c r="B2585" s="23" t="s">
        <v>270</v>
      </c>
      <c r="C2585" s="23" t="s">
        <v>271</v>
      </c>
      <c r="D2585" s="23">
        <v>1984</v>
      </c>
      <c r="H2585" s="106">
        <v>259.19622006999998</v>
      </c>
      <c r="I2585" s="106"/>
      <c r="J2585" s="106"/>
      <c r="K2585" s="106">
        <v>49.280585029999997</v>
      </c>
      <c r="O2585" s="94">
        <f t="shared" si="308"/>
        <v>2.4136286638084674</v>
      </c>
      <c r="R2585" s="48">
        <f t="shared" si="310"/>
        <v>1.6926758548745635</v>
      </c>
      <c r="U2585" s="94">
        <v>2.4136286638084674</v>
      </c>
      <c r="V2585" s="105">
        <v>1.6926758548745635</v>
      </c>
      <c r="W2585" s="49">
        <f t="shared" si="311"/>
        <v>1.5390649419593883</v>
      </c>
    </row>
    <row r="2586" spans="1:23" hidden="1">
      <c r="A2586" s="22" t="s">
        <v>113</v>
      </c>
      <c r="B2586" s="23" t="s">
        <v>270</v>
      </c>
      <c r="C2586" s="23" t="s">
        <v>271</v>
      </c>
      <c r="D2586" s="23">
        <v>1984</v>
      </c>
      <c r="H2586" s="106">
        <v>433.93130912999999</v>
      </c>
      <c r="I2586" s="106"/>
      <c r="J2586" s="106"/>
      <c r="K2586" s="106">
        <v>110.88270654999999</v>
      </c>
      <c r="O2586" s="94">
        <f t="shared" si="308"/>
        <v>2.6374209865934648</v>
      </c>
      <c r="R2586" s="48">
        <f t="shared" si="310"/>
        <v>2.0448638181460157</v>
      </c>
      <c r="U2586" s="94">
        <v>2.6374209865934648</v>
      </c>
      <c r="V2586" s="105">
        <v>2.0448638181460157</v>
      </c>
      <c r="W2586" s="49">
        <f t="shared" si="311"/>
        <v>1.1360815378295028</v>
      </c>
    </row>
    <row r="2587" spans="1:23" hidden="1">
      <c r="A2587" s="22" t="s">
        <v>113</v>
      </c>
      <c r="B2587" s="23" t="s">
        <v>270</v>
      </c>
      <c r="C2587" s="23" t="s">
        <v>271</v>
      </c>
      <c r="D2587" s="23">
        <v>1984</v>
      </c>
      <c r="H2587" s="106">
        <v>595.41676964999999</v>
      </c>
      <c r="I2587" s="106"/>
      <c r="J2587" s="106"/>
      <c r="K2587" s="106">
        <v>14.23910235</v>
      </c>
      <c r="O2587" s="94">
        <f t="shared" si="308"/>
        <v>2.77482106219498</v>
      </c>
      <c r="R2587" s="48">
        <f t="shared" si="310"/>
        <v>1.1534826117215151</v>
      </c>
      <c r="U2587" s="94">
        <v>2.77482106219498</v>
      </c>
      <c r="V2587" s="105">
        <v>1.1534826117215151</v>
      </c>
      <c r="W2587" s="49">
        <f t="shared" si="311"/>
        <v>1.9452153679533204</v>
      </c>
    </row>
    <row r="2588" spans="1:23" hidden="1">
      <c r="A2588" s="22" t="s">
        <v>113</v>
      </c>
      <c r="B2588" s="23" t="s">
        <v>270</v>
      </c>
      <c r="C2588" s="23" t="s">
        <v>271</v>
      </c>
      <c r="D2588" s="23">
        <v>1984</v>
      </c>
      <c r="H2588" s="106">
        <v>334.81625043999998</v>
      </c>
      <c r="I2588" s="106"/>
      <c r="J2588" s="106"/>
      <c r="K2588" s="106">
        <v>104.44926143000001</v>
      </c>
      <c r="O2588" s="94">
        <f t="shared" si="308"/>
        <v>2.5248065284883343</v>
      </c>
      <c r="R2588" s="48">
        <f t="shared" si="310"/>
        <v>2.0189053733923488</v>
      </c>
      <c r="U2588" s="94">
        <v>2.5248065284883343</v>
      </c>
      <c r="V2588" s="105">
        <v>2.0189053733923488</v>
      </c>
      <c r="W2588" s="49">
        <f t="shared" si="311"/>
        <v>1.1945740987981817</v>
      </c>
    </row>
    <row r="2589" spans="1:23" hidden="1">
      <c r="A2589" s="22" t="s">
        <v>113</v>
      </c>
      <c r="B2589" s="23" t="s">
        <v>270</v>
      </c>
      <c r="C2589" s="23" t="s">
        <v>271</v>
      </c>
      <c r="D2589" s="23">
        <v>1984</v>
      </c>
      <c r="H2589" s="106">
        <v>496.23640162999999</v>
      </c>
      <c r="I2589" s="106"/>
      <c r="J2589" s="106"/>
      <c r="K2589" s="106">
        <v>12.47718165</v>
      </c>
      <c r="O2589" s="94">
        <f t="shared" si="308"/>
        <v>2.6956886189591409</v>
      </c>
      <c r="R2589" s="48">
        <f t="shared" si="310"/>
        <v>1.0961164978399358</v>
      </c>
      <c r="U2589" s="94">
        <v>2.6956886189591409</v>
      </c>
      <c r="V2589" s="105">
        <v>1.0961164978399358</v>
      </c>
      <c r="W2589" s="49">
        <f t="shared" si="311"/>
        <v>2.0236390173921963</v>
      </c>
    </row>
    <row r="2590" spans="1:23" hidden="1">
      <c r="A2590" s="22" t="s">
        <v>113</v>
      </c>
      <c r="B2590" s="23" t="s">
        <v>270</v>
      </c>
      <c r="C2590" s="23" t="s">
        <v>271</v>
      </c>
      <c r="D2590" s="23">
        <v>1984</v>
      </c>
      <c r="H2590" s="106">
        <v>222.45972685000001</v>
      </c>
      <c r="I2590" s="106"/>
      <c r="J2590" s="106"/>
      <c r="K2590" s="106">
        <v>21.820230500000001</v>
      </c>
      <c r="O2590" s="94">
        <f t="shared" si="308"/>
        <v>2.3472513996319515</v>
      </c>
      <c r="R2590" s="48">
        <f t="shared" si="310"/>
        <v>1.3388593339860235</v>
      </c>
      <c r="U2590" s="94">
        <v>2.3472513996319515</v>
      </c>
      <c r="V2590" s="105">
        <v>1.3388593339860235</v>
      </c>
      <c r="W2590" s="49">
        <f t="shared" si="311"/>
        <v>1.8964521447365317</v>
      </c>
    </row>
    <row r="2591" spans="1:23" hidden="1">
      <c r="A2591" s="22" t="s">
        <v>113</v>
      </c>
      <c r="B2591" s="23" t="s">
        <v>270</v>
      </c>
      <c r="C2591" s="23" t="s">
        <v>271</v>
      </c>
      <c r="D2591" s="23">
        <v>1984</v>
      </c>
      <c r="H2591" s="106">
        <v>895.27635461</v>
      </c>
      <c r="I2591" s="106"/>
      <c r="J2591" s="106"/>
      <c r="K2591" s="106">
        <v>32.62277005</v>
      </c>
      <c r="O2591" s="94">
        <f t="shared" si="308"/>
        <v>2.9519571143733891</v>
      </c>
      <c r="R2591" s="48">
        <f t="shared" si="310"/>
        <v>1.5135208348879821</v>
      </c>
      <c r="U2591" s="94">
        <v>2.9519571143733891</v>
      </c>
      <c r="V2591" s="105">
        <v>1.5135208348879821</v>
      </c>
      <c r="W2591" s="49">
        <f t="shared" si="311"/>
        <v>1.5487183017005102</v>
      </c>
    </row>
    <row r="2592" spans="1:23" hidden="1">
      <c r="A2592" s="22" t="s">
        <v>113</v>
      </c>
      <c r="B2592" s="23" t="s">
        <v>270</v>
      </c>
      <c r="C2592" s="23" t="s">
        <v>271</v>
      </c>
      <c r="D2592" s="23">
        <v>1984</v>
      </c>
      <c r="H2592" s="106">
        <v>1136.0391674800001</v>
      </c>
      <c r="I2592" s="106"/>
      <c r="J2592" s="106"/>
      <c r="K2592" s="106">
        <v>134.79577551</v>
      </c>
      <c r="O2592" s="94">
        <f t="shared" si="308"/>
        <v>3.0553933049024633</v>
      </c>
      <c r="R2592" s="48">
        <f t="shared" si="310"/>
        <v>2.1296762816544583</v>
      </c>
      <c r="U2592" s="94">
        <v>3.0553933049024633</v>
      </c>
      <c r="V2592" s="105">
        <v>2.1296762816544583</v>
      </c>
      <c r="W2592" s="49">
        <f t="shared" si="311"/>
        <v>0.92998593743622371</v>
      </c>
    </row>
    <row r="2593" spans="1:23" hidden="1">
      <c r="A2593" s="22" t="s">
        <v>113</v>
      </c>
      <c r="B2593" s="23" t="s">
        <v>270</v>
      </c>
      <c r="C2593" s="23" t="s">
        <v>271</v>
      </c>
      <c r="D2593" s="23">
        <v>1984</v>
      </c>
      <c r="H2593" s="106">
        <v>1237.9217086599999</v>
      </c>
      <c r="I2593" s="106"/>
      <c r="J2593" s="106"/>
      <c r="K2593" s="106">
        <v>32.019352779999998</v>
      </c>
      <c r="O2593" s="94">
        <f t="shared" si="308"/>
        <v>3.0926931789554089</v>
      </c>
      <c r="R2593" s="48">
        <f t="shared" si="310"/>
        <v>1.5054125491037247</v>
      </c>
      <c r="U2593" s="94">
        <v>3.0926931789554089</v>
      </c>
      <c r="V2593" s="105">
        <v>1.5054125491037247</v>
      </c>
      <c r="W2593" s="49">
        <f t="shared" si="311"/>
        <v>1.5142988820606098</v>
      </c>
    </row>
    <row r="2594" spans="1:23" hidden="1">
      <c r="A2594" s="22" t="s">
        <v>113</v>
      </c>
      <c r="B2594" s="23" t="s">
        <v>270</v>
      </c>
      <c r="C2594" s="23" t="s">
        <v>271</v>
      </c>
      <c r="D2594" s="23">
        <v>1984</v>
      </c>
      <c r="H2594" s="106">
        <v>664.03237531000002</v>
      </c>
      <c r="I2594" s="106"/>
      <c r="J2594" s="106"/>
      <c r="K2594" s="106">
        <v>52.45366533</v>
      </c>
      <c r="O2594" s="94">
        <f t="shared" si="308"/>
        <v>2.8221892541808415</v>
      </c>
      <c r="R2594" s="48">
        <f t="shared" si="310"/>
        <v>1.7197758409943131</v>
      </c>
      <c r="U2594" s="94">
        <v>2.8221892541808415</v>
      </c>
      <c r="V2594" s="105">
        <v>1.7197758409943131</v>
      </c>
      <c r="W2594" s="49">
        <f t="shared" si="311"/>
        <v>1.3908403177927096</v>
      </c>
    </row>
    <row r="2595" spans="1:23" hidden="1">
      <c r="A2595" s="22" t="s">
        <v>113</v>
      </c>
      <c r="B2595" s="23" t="s">
        <v>270</v>
      </c>
      <c r="C2595" s="23" t="s">
        <v>271</v>
      </c>
      <c r="D2595" s="23">
        <v>1984</v>
      </c>
      <c r="H2595" s="106">
        <v>957.41817379999998</v>
      </c>
      <c r="I2595" s="106"/>
      <c r="J2595" s="106"/>
      <c r="K2595" s="106">
        <v>123.69080597</v>
      </c>
      <c r="O2595" s="94">
        <f t="shared" si="308"/>
        <v>2.9811016670420485</v>
      </c>
      <c r="R2595" s="48">
        <f t="shared" si="310"/>
        <v>2.0923374193955717</v>
      </c>
      <c r="U2595" s="94">
        <v>2.9811016670420485</v>
      </c>
      <c r="V2595" s="105">
        <v>2.0923374193955717</v>
      </c>
      <c r="W2595" s="49">
        <f t="shared" si="311"/>
        <v>0.98785565125846142</v>
      </c>
    </row>
    <row r="2596" spans="1:23" hidden="1">
      <c r="A2596" s="22" t="s">
        <v>113</v>
      </c>
      <c r="B2596" s="23" t="s">
        <v>270</v>
      </c>
      <c r="C2596" s="23" t="s">
        <v>271</v>
      </c>
      <c r="D2596" s="23">
        <v>1984</v>
      </c>
      <c r="H2596" s="106">
        <v>179.01270088000001</v>
      </c>
      <c r="I2596" s="106"/>
      <c r="J2596" s="106"/>
      <c r="K2596" s="106">
        <v>112.30288315</v>
      </c>
      <c r="O2596" s="94">
        <f t="shared" si="308"/>
        <v>2.2528838450939626</v>
      </c>
      <c r="R2596" s="48">
        <f t="shared" si="310"/>
        <v>2.0503909060393948</v>
      </c>
      <c r="U2596" s="94">
        <v>2.2528838450939626</v>
      </c>
      <c r="V2596" s="105">
        <v>2.0503909060393948</v>
      </c>
      <c r="W2596" s="49">
        <f t="shared" si="311"/>
        <v>1.2459875821807904</v>
      </c>
    </row>
    <row r="2597" spans="1:23" hidden="1">
      <c r="A2597" s="22" t="s">
        <v>113</v>
      </c>
      <c r="B2597" s="23" t="s">
        <v>270</v>
      </c>
      <c r="C2597" s="23" t="s">
        <v>271</v>
      </c>
      <c r="D2597" s="23">
        <v>1984</v>
      </c>
      <c r="H2597" s="106">
        <v>1273.9561266799999</v>
      </c>
      <c r="I2597" s="106"/>
      <c r="J2597" s="106"/>
      <c r="K2597" s="106">
        <v>88.944179000000005</v>
      </c>
      <c r="O2597" s="94">
        <f t="shared" si="308"/>
        <v>3.1051544717443309</v>
      </c>
      <c r="R2597" s="48">
        <f t="shared" si="310"/>
        <v>1.9491175307122268</v>
      </c>
      <c r="U2597" s="94">
        <v>3.1051544717443309</v>
      </c>
      <c r="V2597" s="105">
        <v>1.9491175307122268</v>
      </c>
      <c r="W2597" s="49">
        <f t="shared" si="311"/>
        <v>1.0873162363661748</v>
      </c>
    </row>
    <row r="2598" spans="1:23" hidden="1">
      <c r="A2598" s="22" t="s">
        <v>113</v>
      </c>
      <c r="B2598" s="23" t="s">
        <v>270</v>
      </c>
      <c r="C2598" s="23" t="s">
        <v>271</v>
      </c>
      <c r="D2598" s="23">
        <v>1984</v>
      </c>
      <c r="H2598" s="106">
        <v>716.56556061000003</v>
      </c>
      <c r="I2598" s="106"/>
      <c r="J2598" s="106"/>
      <c r="K2598" s="106">
        <v>13.61440498</v>
      </c>
      <c r="O2598" s="94">
        <f t="shared" si="308"/>
        <v>2.8552559313817842</v>
      </c>
      <c r="R2598" s="48">
        <f t="shared" si="310"/>
        <v>1.1339986651728946</v>
      </c>
      <c r="U2598" s="94">
        <v>2.8552559313817842</v>
      </c>
      <c r="V2598" s="105">
        <v>1.1339986651728946</v>
      </c>
      <c r="W2598" s="49">
        <f t="shared" si="311"/>
        <v>1.9397088825468196</v>
      </c>
    </row>
    <row r="2599" spans="1:23" hidden="1">
      <c r="A2599" s="22" t="s">
        <v>113</v>
      </c>
      <c r="B2599" s="23" t="s">
        <v>270</v>
      </c>
      <c r="C2599" s="23" t="s">
        <v>271</v>
      </c>
      <c r="D2599" s="23">
        <v>1984</v>
      </c>
      <c r="H2599" s="106">
        <v>838.58786373999999</v>
      </c>
      <c r="I2599" s="106"/>
      <c r="J2599" s="106"/>
      <c r="K2599" s="106">
        <v>28.212197440000001</v>
      </c>
      <c r="O2599" s="94">
        <f t="shared" si="308"/>
        <v>2.9235485728911978</v>
      </c>
      <c r="R2599" s="48">
        <f t="shared" si="310"/>
        <v>1.4504369145459677</v>
      </c>
      <c r="U2599" s="94">
        <v>2.9235485728911978</v>
      </c>
      <c r="V2599" s="105">
        <v>1.4504369145459677</v>
      </c>
      <c r="W2599" s="49">
        <f t="shared" si="311"/>
        <v>1.6174031103387945</v>
      </c>
    </row>
    <row r="2600" spans="1:23" hidden="1">
      <c r="A2600" s="22" t="s">
        <v>113</v>
      </c>
      <c r="B2600" s="23" t="s">
        <v>270</v>
      </c>
      <c r="C2600" s="23" t="s">
        <v>271</v>
      </c>
      <c r="D2600" s="23">
        <v>1984</v>
      </c>
      <c r="H2600" s="106">
        <v>429.6045666</v>
      </c>
      <c r="I2600" s="106"/>
      <c r="J2600" s="106"/>
      <c r="K2600" s="106">
        <v>144.99706187000001</v>
      </c>
      <c r="O2600" s="94">
        <f t="shared" si="308"/>
        <v>2.633068889168781</v>
      </c>
      <c r="R2600" s="48">
        <f t="shared" si="310"/>
        <v>2.1613592020517047</v>
      </c>
      <c r="U2600" s="94">
        <v>2.633068889168781</v>
      </c>
      <c r="V2600" s="105">
        <v>2.1613592020517047</v>
      </c>
      <c r="W2600" s="49">
        <f t="shared" si="311"/>
        <v>1.0262601513621554</v>
      </c>
    </row>
    <row r="2601" spans="1:23" hidden="1">
      <c r="A2601" s="22" t="s">
        <v>113</v>
      </c>
      <c r="B2601" s="23" t="s">
        <v>270</v>
      </c>
      <c r="C2601" s="23" t="s">
        <v>271</v>
      </c>
      <c r="D2601" s="23">
        <v>1984</v>
      </c>
      <c r="H2601" s="106">
        <v>521.83765557000004</v>
      </c>
      <c r="I2601" s="106"/>
      <c r="J2601" s="106"/>
      <c r="K2601" s="106">
        <v>81.927154020000003</v>
      </c>
      <c r="O2601" s="94">
        <f t="shared" si="308"/>
        <v>2.7175354143889918</v>
      </c>
      <c r="R2601" s="48">
        <f t="shared" si="310"/>
        <v>1.9134278686287443</v>
      </c>
      <c r="U2601" s="94">
        <v>2.7175354143889918</v>
      </c>
      <c r="V2601" s="105">
        <v>1.9134278686287443</v>
      </c>
      <c r="W2601" s="49">
        <f t="shared" si="311"/>
        <v>1.2374620481343439</v>
      </c>
    </row>
    <row r="2602" spans="1:23" hidden="1">
      <c r="A2602" s="22" t="s">
        <v>113</v>
      </c>
      <c r="B2602" s="23" t="s">
        <v>270</v>
      </c>
      <c r="C2602" s="23" t="s">
        <v>271</v>
      </c>
      <c r="D2602" s="23">
        <v>1984</v>
      </c>
      <c r="H2602" s="106">
        <v>1765.1393682999999</v>
      </c>
      <c r="I2602" s="106"/>
      <c r="J2602" s="106"/>
      <c r="K2602" s="106">
        <v>136.23326474000001</v>
      </c>
      <c r="O2602" s="94">
        <f t="shared" si="308"/>
        <v>3.2467790012219151</v>
      </c>
      <c r="R2602" s="48">
        <f t="shared" si="310"/>
        <v>2.1342831643250824</v>
      </c>
      <c r="U2602" s="94">
        <v>3.2467790012219151</v>
      </c>
      <c r="V2602" s="105">
        <v>2.1342831643250824</v>
      </c>
      <c r="W2602" s="49">
        <f t="shared" si="311"/>
        <v>0.86826670792091021</v>
      </c>
    </row>
    <row r="2603" spans="1:23" hidden="1">
      <c r="A2603" s="22" t="s">
        <v>113</v>
      </c>
      <c r="B2603" s="23" t="s">
        <v>270</v>
      </c>
      <c r="C2603" s="23" t="s">
        <v>271</v>
      </c>
      <c r="D2603" s="23">
        <v>1984</v>
      </c>
      <c r="H2603" s="106">
        <v>1422.1184856499999</v>
      </c>
      <c r="I2603" s="106"/>
      <c r="J2603" s="106"/>
      <c r="K2603" s="106">
        <v>100.02534368000001</v>
      </c>
      <c r="O2603" s="94">
        <f t="shared" si="308"/>
        <v>3.1529357817104064</v>
      </c>
      <c r="R2603" s="48">
        <f t="shared" si="310"/>
        <v>2.0001100522586941</v>
      </c>
      <c r="U2603" s="94">
        <v>3.1529357817104064</v>
      </c>
      <c r="V2603" s="105">
        <v>2.0001100522586941</v>
      </c>
      <c r="W2603" s="49">
        <f t="shared" si="311"/>
        <v>1.024362792307935</v>
      </c>
    </row>
    <row r="2604" spans="1:23" hidden="1">
      <c r="A2604" s="22" t="s">
        <v>113</v>
      </c>
      <c r="B2604" s="23" t="s">
        <v>270</v>
      </c>
      <c r="C2604" s="23" t="s">
        <v>271</v>
      </c>
      <c r="D2604" s="23">
        <v>1984</v>
      </c>
      <c r="H2604" s="106">
        <v>874.54064510000001</v>
      </c>
      <c r="I2604" s="106"/>
      <c r="J2604" s="106"/>
      <c r="K2604" s="106">
        <v>205.13356113</v>
      </c>
      <c r="O2604" s="94">
        <f t="shared" si="308"/>
        <v>2.9417799985287543</v>
      </c>
      <c r="R2604" s="48">
        <f t="shared" si="310"/>
        <v>2.3120367194672746</v>
      </c>
      <c r="U2604" s="94">
        <v>2.9417799985287543</v>
      </c>
      <c r="V2604" s="105">
        <v>2.3120367194672746</v>
      </c>
      <c r="W2604" s="49">
        <f t="shared" si="311"/>
        <v>0.79006229595284105</v>
      </c>
    </row>
    <row r="2605" spans="1:23" hidden="1">
      <c r="A2605" s="22" t="s">
        <v>113</v>
      </c>
      <c r="B2605" s="23" t="s">
        <v>270</v>
      </c>
      <c r="C2605" s="23" t="s">
        <v>271</v>
      </c>
      <c r="D2605" s="23">
        <v>1984</v>
      </c>
      <c r="H2605" s="106">
        <v>1257.04917613</v>
      </c>
      <c r="I2605" s="106"/>
      <c r="J2605" s="106"/>
      <c r="K2605" s="106">
        <v>24.399271219999999</v>
      </c>
      <c r="O2605" s="94">
        <f t="shared" si="308"/>
        <v>3.0993522677449477</v>
      </c>
      <c r="R2605" s="48">
        <f t="shared" si="310"/>
        <v>1.3873768546231839</v>
      </c>
      <c r="U2605" s="94">
        <v>3.0993522677449477</v>
      </c>
      <c r="V2605" s="105">
        <v>1.3873768546231839</v>
      </c>
      <c r="W2605" s="49">
        <f t="shared" si="311"/>
        <v>1.6248985701195462</v>
      </c>
    </row>
    <row r="2606" spans="1:23" hidden="1">
      <c r="A2606" s="22" t="s">
        <v>113</v>
      </c>
      <c r="B2606" s="23" t="s">
        <v>270</v>
      </c>
      <c r="C2606" s="23" t="s">
        <v>271</v>
      </c>
      <c r="D2606" s="23">
        <v>1984</v>
      </c>
      <c r="H2606" s="106">
        <v>683.15984277999996</v>
      </c>
      <c r="I2606" s="106"/>
      <c r="J2606" s="106"/>
      <c r="K2606" s="106">
        <v>97.683810589999993</v>
      </c>
      <c r="O2606" s="94">
        <f t="shared" si="308"/>
        <v>2.8345223299121813</v>
      </c>
      <c r="R2606" s="48">
        <f t="shared" si="310"/>
        <v>1.9898225928484832</v>
      </c>
      <c r="U2606" s="94">
        <v>2.8345223299121813</v>
      </c>
      <c r="V2606" s="105">
        <v>1.9898225928484832</v>
      </c>
      <c r="W2606" s="49">
        <f t="shared" si="311"/>
        <v>1.129548661623818</v>
      </c>
    </row>
    <row r="2607" spans="1:23" hidden="1">
      <c r="A2607" s="22" t="s">
        <v>113</v>
      </c>
      <c r="B2607" s="23" t="s">
        <v>270</v>
      </c>
      <c r="C2607" s="23" t="s">
        <v>271</v>
      </c>
      <c r="D2607" s="23">
        <v>1984</v>
      </c>
      <c r="H2607" s="106">
        <v>646.87235113999998</v>
      </c>
      <c r="I2607" s="106"/>
      <c r="J2607" s="106"/>
      <c r="K2607" s="106">
        <v>164.83661348000001</v>
      </c>
      <c r="O2607" s="94">
        <f t="shared" si="308"/>
        <v>2.810818588759989</v>
      </c>
      <c r="R2607" s="48">
        <f t="shared" si="310"/>
        <v>2.217053683491129</v>
      </c>
      <c r="U2607" s="94">
        <v>2.810818588759989</v>
      </c>
      <c r="V2607" s="105">
        <v>2.217053683491129</v>
      </c>
      <c r="W2607" s="49">
        <f t="shared" si="311"/>
        <v>0.91989277784691204</v>
      </c>
    </row>
    <row r="2608" spans="1:23" hidden="1">
      <c r="A2608" s="22" t="s">
        <v>113</v>
      </c>
      <c r="B2608" s="23" t="s">
        <v>270</v>
      </c>
      <c r="C2608" s="23" t="s">
        <v>271</v>
      </c>
      <c r="D2608" s="23">
        <v>1984</v>
      </c>
      <c r="H2608" s="106">
        <v>221.30865005999999</v>
      </c>
      <c r="I2608" s="106"/>
      <c r="J2608" s="106"/>
      <c r="K2608" s="106">
        <v>4.8336559000000001</v>
      </c>
      <c r="O2608" s="94">
        <f t="shared" si="308"/>
        <v>2.3449983890737043</v>
      </c>
      <c r="R2608" s="48">
        <f t="shared" si="310"/>
        <v>0.6842757304633742</v>
      </c>
      <c r="U2608" s="94">
        <v>2.3449983890737043</v>
      </c>
      <c r="V2608" s="105">
        <v>0.6842757304633742</v>
      </c>
      <c r="W2608" s="49">
        <f t="shared" si="311"/>
        <v>2.5215342762230413</v>
      </c>
    </row>
    <row r="2609" spans="1:23" hidden="1">
      <c r="A2609" s="22" t="s">
        <v>113</v>
      </c>
      <c r="B2609" s="23" t="s">
        <v>270</v>
      </c>
      <c r="C2609" s="23" t="s">
        <v>271</v>
      </c>
      <c r="D2609" s="23">
        <v>1984</v>
      </c>
      <c r="H2609" s="106">
        <v>161.91798603000001</v>
      </c>
      <c r="I2609" s="106"/>
      <c r="J2609" s="106"/>
      <c r="K2609" s="106">
        <v>14.175622710000001</v>
      </c>
      <c r="O2609" s="94">
        <f t="shared" si="308"/>
        <v>2.2092950933470985</v>
      </c>
      <c r="R2609" s="48">
        <f t="shared" si="310"/>
        <v>1.1515421457714186</v>
      </c>
      <c r="U2609" s="94">
        <v>2.2092950933470985</v>
      </c>
      <c r="V2609" s="105">
        <v>1.1515421457714186</v>
      </c>
      <c r="W2609" s="49">
        <f t="shared" si="311"/>
        <v>2.1164553180318912</v>
      </c>
    </row>
    <row r="2610" spans="1:23" hidden="1">
      <c r="A2610" s="22" t="s">
        <v>113</v>
      </c>
      <c r="B2610" s="23" t="s">
        <v>270</v>
      </c>
      <c r="C2610" s="23" t="s">
        <v>271</v>
      </c>
      <c r="D2610" s="23">
        <v>1984</v>
      </c>
      <c r="H2610" s="106">
        <v>804.96172694999996</v>
      </c>
      <c r="I2610" s="106"/>
      <c r="J2610" s="106"/>
      <c r="K2610" s="106">
        <v>81.323736760000003</v>
      </c>
      <c r="O2610" s="94">
        <f t="shared" si="308"/>
        <v>2.9057752317100207</v>
      </c>
      <c r="R2610" s="48">
        <f t="shared" si="310"/>
        <v>1.9102173259050468</v>
      </c>
      <c r="U2610" s="94">
        <v>2.9057752317100207</v>
      </c>
      <c r="V2610" s="105">
        <v>1.9102173259050468</v>
      </c>
      <c r="W2610" s="49">
        <f t="shared" si="311"/>
        <v>1.1841421288513245</v>
      </c>
    </row>
    <row r="2611" spans="1:23" hidden="1">
      <c r="A2611" s="22" t="s">
        <v>113</v>
      </c>
      <c r="B2611" s="23" t="s">
        <v>270</v>
      </c>
      <c r="C2611" s="23" t="s">
        <v>271</v>
      </c>
      <c r="D2611" s="23">
        <v>1984</v>
      </c>
      <c r="H2611" s="106">
        <v>732.21530671999994</v>
      </c>
      <c r="I2611" s="106"/>
      <c r="J2611" s="106"/>
      <c r="K2611" s="106">
        <v>55.912945039999997</v>
      </c>
      <c r="O2611" s="94">
        <f t="shared" si="308"/>
        <v>2.8646388034236172</v>
      </c>
      <c r="R2611" s="48">
        <f t="shared" si="310"/>
        <v>1.7475123679684983</v>
      </c>
      <c r="U2611" s="94">
        <v>2.8646388034236172</v>
      </c>
      <c r="V2611" s="105">
        <v>1.7475123679684983</v>
      </c>
      <c r="W2611" s="49">
        <f t="shared" si="311"/>
        <v>1.3516677604549117</v>
      </c>
    </row>
    <row r="2612" spans="1:23" hidden="1">
      <c r="A2612" s="22" t="s">
        <v>113</v>
      </c>
      <c r="B2612" s="23" t="s">
        <v>270</v>
      </c>
      <c r="C2612" s="23" t="s">
        <v>271</v>
      </c>
      <c r="D2612" s="23">
        <v>1984</v>
      </c>
      <c r="H2612" s="106">
        <v>979.53354271000001</v>
      </c>
      <c r="I2612" s="106"/>
      <c r="J2612" s="106"/>
      <c r="K2612" s="106">
        <v>66.131544030000001</v>
      </c>
      <c r="O2612" s="94">
        <f t="shared" si="308"/>
        <v>2.9910193123720399</v>
      </c>
      <c r="R2612" s="48">
        <f t="shared" si="310"/>
        <v>1.8204086626689102</v>
      </c>
      <c r="U2612" s="94">
        <v>2.9910193123720399</v>
      </c>
      <c r="V2612" s="105">
        <v>1.8204086626689102</v>
      </c>
      <c r="W2612" s="49">
        <f t="shared" si="311"/>
        <v>1.2442779135496163</v>
      </c>
    </row>
    <row r="2613" spans="1:23" hidden="1">
      <c r="A2613" s="22" t="s">
        <v>113</v>
      </c>
      <c r="B2613" s="23" t="s">
        <v>270</v>
      </c>
      <c r="C2613" s="23" t="s">
        <v>271</v>
      </c>
      <c r="D2613" s="23">
        <v>1984</v>
      </c>
      <c r="H2613" s="106">
        <v>356.17239848999998</v>
      </c>
      <c r="I2613" s="106"/>
      <c r="J2613" s="106"/>
      <c r="K2613" s="106">
        <v>132.40879677000001</v>
      </c>
      <c r="O2613" s="94">
        <f t="shared" si="308"/>
        <v>2.5516602608657273</v>
      </c>
      <c r="R2613" s="48">
        <f t="shared" si="310"/>
        <v>2.1219168390444683</v>
      </c>
      <c r="U2613" s="94">
        <v>2.5516602608657273</v>
      </c>
      <c r="V2613" s="105">
        <v>2.1219168390444683</v>
      </c>
      <c r="W2613" s="49">
        <f t="shared" si="311"/>
        <v>1.0882681082637791</v>
      </c>
    </row>
    <row r="2614" spans="1:23" hidden="1">
      <c r="A2614" s="22" t="s">
        <v>113</v>
      </c>
      <c r="B2614" s="23" t="s">
        <v>270</v>
      </c>
      <c r="C2614" s="23" t="s">
        <v>271</v>
      </c>
      <c r="D2614" s="23">
        <v>1984</v>
      </c>
      <c r="H2614" s="106">
        <v>167.99175291</v>
      </c>
      <c r="I2614" s="106"/>
      <c r="J2614" s="106"/>
      <c r="K2614" s="106">
        <v>16.487219369999998</v>
      </c>
      <c r="O2614" s="94">
        <f t="shared" si="308"/>
        <v>2.225287961763998</v>
      </c>
      <c r="R2614" s="48">
        <f t="shared" si="310"/>
        <v>1.2171474164635843</v>
      </c>
      <c r="U2614" s="94">
        <v>2.225287961763998</v>
      </c>
      <c r="V2614" s="105">
        <v>1.2171474164635843</v>
      </c>
      <c r="W2614" s="49">
        <f t="shared" si="311"/>
        <v>2.04908419280321</v>
      </c>
    </row>
    <row r="2615" spans="1:23" hidden="1">
      <c r="A2615" s="22" t="s">
        <v>113</v>
      </c>
      <c r="B2615" s="23" t="s">
        <v>270</v>
      </c>
      <c r="C2615" s="23" t="s">
        <v>271</v>
      </c>
      <c r="D2615" s="23">
        <v>1984</v>
      </c>
      <c r="H2615" s="106">
        <v>972.59442733000003</v>
      </c>
      <c r="I2615" s="106"/>
      <c r="J2615" s="106"/>
      <c r="K2615" s="106">
        <v>52.687566169999997</v>
      </c>
      <c r="O2615" s="94">
        <f t="shared" ref="O2615:O2678" si="312">LOG10(H2615)</f>
        <v>2.98793177686411</v>
      </c>
      <c r="R2615" s="48">
        <f t="shared" ref="R2615:R2678" si="313">LOG10(K2615)</f>
        <v>1.7217081373970087</v>
      </c>
      <c r="U2615" s="94">
        <v>2.98793177686411</v>
      </c>
      <c r="V2615" s="105">
        <v>1.7217081373970087</v>
      </c>
      <c r="W2615" s="49">
        <f t="shared" si="311"/>
        <v>1.3393531374444818</v>
      </c>
    </row>
    <row r="2616" spans="1:23" hidden="1">
      <c r="A2616" s="22" t="s">
        <v>113</v>
      </c>
      <c r="B2616" s="23" t="s">
        <v>270</v>
      </c>
      <c r="C2616" s="23" t="s">
        <v>271</v>
      </c>
      <c r="D2616" s="23">
        <v>1984</v>
      </c>
      <c r="H2616" s="106">
        <v>9.4288845299999995</v>
      </c>
      <c r="I2616" s="106"/>
      <c r="J2616" s="106"/>
      <c r="K2616" s="106">
        <v>1.2946659700000001</v>
      </c>
      <c r="O2616" s="94">
        <f t="shared" si="312"/>
        <v>0.97446031722086845</v>
      </c>
      <c r="R2616" s="48">
        <f t="shared" si="313"/>
        <v>0.11215773282018965</v>
      </c>
      <c r="U2616" s="94">
        <v>0.97446031722086845</v>
      </c>
      <c r="V2616" s="105">
        <v>0.11215773282018965</v>
      </c>
      <c r="W2616" s="49">
        <f t="shared" si="311"/>
        <v>3.4777875019313673</v>
      </c>
    </row>
    <row r="2617" spans="1:23" hidden="1">
      <c r="A2617" s="22" t="s">
        <v>113</v>
      </c>
      <c r="B2617" s="23" t="s">
        <v>270</v>
      </c>
      <c r="C2617" s="23" t="s">
        <v>271</v>
      </c>
      <c r="D2617" s="23">
        <v>1984</v>
      </c>
      <c r="H2617" s="106">
        <v>392.01088854</v>
      </c>
      <c r="I2617" s="106"/>
      <c r="J2617" s="106"/>
      <c r="K2617" s="106">
        <v>28.44790167</v>
      </c>
      <c r="O2617" s="94">
        <f t="shared" si="312"/>
        <v>2.5932981302019957</v>
      </c>
      <c r="R2617" s="48">
        <f t="shared" si="313"/>
        <v>1.4540502381564651</v>
      </c>
      <c r="U2617" s="94">
        <v>2.5932981302019957</v>
      </c>
      <c r="V2617" s="105">
        <v>1.4540502381564651</v>
      </c>
      <c r="W2617" s="49">
        <f t="shared" si="311"/>
        <v>1.7128744926930473</v>
      </c>
    </row>
    <row r="2618" spans="1:23" hidden="1">
      <c r="A2618" s="22" t="s">
        <v>113</v>
      </c>
      <c r="B2618" s="23" t="s">
        <v>270</v>
      </c>
      <c r="C2618" s="23" t="s">
        <v>271</v>
      </c>
      <c r="D2618" s="23">
        <v>1984</v>
      </c>
      <c r="H2618" s="106">
        <v>1486.88084136</v>
      </c>
      <c r="I2618" s="106"/>
      <c r="J2618" s="106"/>
      <c r="K2618" s="106">
        <v>193.99035953999999</v>
      </c>
      <c r="O2618" s="94">
        <f t="shared" si="312"/>
        <v>3.1722761655539728</v>
      </c>
      <c r="R2618" s="48">
        <f t="shared" si="313"/>
        <v>2.2877801479579993</v>
      </c>
      <c r="U2618" s="94">
        <v>3.1722761655539728</v>
      </c>
      <c r="V2618" s="105">
        <v>2.2877801479579993</v>
      </c>
      <c r="W2618" s="49">
        <f t="shared" si="311"/>
        <v>0.74416136728577698</v>
      </c>
    </row>
    <row r="2619" spans="1:23" hidden="1">
      <c r="A2619" s="22" t="s">
        <v>113</v>
      </c>
      <c r="B2619" s="23" t="s">
        <v>270</v>
      </c>
      <c r="C2619" s="23" t="s">
        <v>271</v>
      </c>
      <c r="D2619" s="23">
        <v>1984</v>
      </c>
      <c r="H2619" s="106">
        <v>606.21729864999998</v>
      </c>
      <c r="I2619" s="106"/>
      <c r="J2619" s="106"/>
      <c r="K2619" s="106">
        <v>130.91973032999999</v>
      </c>
      <c r="O2619" s="94">
        <f t="shared" si="312"/>
        <v>2.7826283249729582</v>
      </c>
      <c r="R2619" s="48">
        <f t="shared" si="313"/>
        <v>2.1170051020720075</v>
      </c>
      <c r="U2619" s="94">
        <v>2.7826283249729582</v>
      </c>
      <c r="V2619" s="105">
        <v>2.1170051020720075</v>
      </c>
      <c r="W2619" s="49">
        <f t="shared" si="311"/>
        <v>1.0237727971473167</v>
      </c>
    </row>
    <row r="2620" spans="1:23" hidden="1">
      <c r="A2620" s="22" t="s">
        <v>113</v>
      </c>
      <c r="B2620" s="23" t="s">
        <v>270</v>
      </c>
      <c r="C2620" s="23" t="s">
        <v>271</v>
      </c>
      <c r="D2620" s="23">
        <v>1984</v>
      </c>
      <c r="H2620" s="106">
        <v>1222.9577104299999</v>
      </c>
      <c r="I2620" s="106"/>
      <c r="J2620" s="106"/>
      <c r="K2620" s="106">
        <v>107.56174754</v>
      </c>
      <c r="O2620" s="94">
        <f t="shared" si="312"/>
        <v>3.0874114395019947</v>
      </c>
      <c r="R2620" s="48">
        <f t="shared" si="313"/>
        <v>2.0316578495275901</v>
      </c>
      <c r="U2620" s="94">
        <v>3.0874114395019947</v>
      </c>
      <c r="V2620" s="105">
        <v>2.0316578495275901</v>
      </c>
      <c r="W2620" s="49">
        <f t="shared" si="311"/>
        <v>1.0138955008833725</v>
      </c>
    </row>
    <row r="2621" spans="1:23" hidden="1">
      <c r="A2621" s="22" t="s">
        <v>113</v>
      </c>
      <c r="B2621" s="23" t="s">
        <v>270</v>
      </c>
      <c r="C2621" s="23" t="s">
        <v>271</v>
      </c>
      <c r="D2621" s="23">
        <v>1984</v>
      </c>
      <c r="H2621" s="106">
        <v>843.48606284000005</v>
      </c>
      <c r="I2621" s="106"/>
      <c r="J2621" s="106"/>
      <c r="K2621" s="106">
        <v>34.855738520000003</v>
      </c>
      <c r="O2621" s="94">
        <f t="shared" si="312"/>
        <v>2.9260779110132442</v>
      </c>
      <c r="R2621" s="48">
        <f t="shared" si="313"/>
        <v>1.5422742889592824</v>
      </c>
      <c r="U2621" s="94">
        <v>2.9260779110132442</v>
      </c>
      <c r="V2621" s="105">
        <v>1.5422742889592824</v>
      </c>
      <c r="W2621" s="49">
        <f t="shared" si="311"/>
        <v>1.529041839896663</v>
      </c>
    </row>
    <row r="2622" spans="1:23" hidden="1">
      <c r="A2622" s="22" t="s">
        <v>113</v>
      </c>
      <c r="B2622" s="23" t="s">
        <v>270</v>
      </c>
      <c r="C2622" s="23" t="s">
        <v>271</v>
      </c>
      <c r="D2622" s="23">
        <v>1984</v>
      </c>
      <c r="H2622" s="106">
        <v>1832.8896254599999</v>
      </c>
      <c r="I2622" s="106"/>
      <c r="J2622" s="106"/>
      <c r="K2622" s="106">
        <v>127.69867961</v>
      </c>
      <c r="O2622" s="94">
        <f t="shared" si="312"/>
        <v>3.2631363130271742</v>
      </c>
      <c r="R2622" s="48">
        <f t="shared" si="313"/>
        <v>2.1061864067304819</v>
      </c>
      <c r="U2622" s="94">
        <v>3.2631363130271742</v>
      </c>
      <c r="V2622" s="105">
        <v>2.1061864067304819</v>
      </c>
      <c r="W2622" s="49">
        <f t="shared" si="311"/>
        <v>0.89016878771485408</v>
      </c>
    </row>
    <row r="2623" spans="1:23" hidden="1">
      <c r="A2623" s="22" t="s">
        <v>113</v>
      </c>
      <c r="B2623" s="23" t="s">
        <v>270</v>
      </c>
      <c r="C2623" s="23" t="s">
        <v>271</v>
      </c>
      <c r="D2623" s="23">
        <v>1984</v>
      </c>
      <c r="H2623" s="106">
        <v>981.75405964000004</v>
      </c>
      <c r="I2623" s="106"/>
      <c r="J2623" s="106"/>
      <c r="K2623" s="106">
        <v>25.208816970000001</v>
      </c>
      <c r="O2623" s="94">
        <f t="shared" si="312"/>
        <v>2.9920027057923213</v>
      </c>
      <c r="R2623" s="48">
        <f t="shared" si="313"/>
        <v>1.4015524650554041</v>
      </c>
      <c r="U2623" s="94">
        <v>2.9920027057923213</v>
      </c>
      <c r="V2623" s="105">
        <v>1.4015524650554041</v>
      </c>
      <c r="W2623" s="49">
        <f t="shared" ref="W2623:W2686" si="314">0.9539*(4.064-0.314*U2623-V2623)</f>
        <v>1.6435302899322872</v>
      </c>
    </row>
    <row r="2624" spans="1:23" hidden="1">
      <c r="A2624" s="22" t="s">
        <v>113</v>
      </c>
      <c r="B2624" s="23" t="s">
        <v>270</v>
      </c>
      <c r="C2624" s="23" t="s">
        <v>271</v>
      </c>
      <c r="D2624" s="23">
        <v>1984</v>
      </c>
      <c r="H2624" s="106">
        <v>595.84944389999998</v>
      </c>
      <c r="I2624" s="106"/>
      <c r="J2624" s="106"/>
      <c r="K2624" s="106">
        <v>70.170796809999999</v>
      </c>
      <c r="O2624" s="94">
        <f t="shared" si="312"/>
        <v>2.7751365383586823</v>
      </c>
      <c r="R2624" s="48">
        <f t="shared" si="313"/>
        <v>1.8461564080981665</v>
      </c>
      <c r="U2624" s="94">
        <v>2.7751365383586823</v>
      </c>
      <c r="V2624" s="105">
        <v>1.8461564080981665</v>
      </c>
      <c r="W2624" s="49">
        <f t="shared" si="314"/>
        <v>1.2843793407178901</v>
      </c>
    </row>
    <row r="2625" spans="1:23" hidden="1">
      <c r="A2625" s="22" t="s">
        <v>113</v>
      </c>
      <c r="B2625" s="23" t="s">
        <v>270</v>
      </c>
      <c r="C2625" s="23" t="s">
        <v>271</v>
      </c>
      <c r="D2625" s="23">
        <v>1984</v>
      </c>
      <c r="H2625" s="106">
        <v>1209.29989862</v>
      </c>
      <c r="I2625" s="106"/>
      <c r="J2625" s="106"/>
      <c r="K2625" s="106">
        <v>215.57163377000001</v>
      </c>
      <c r="O2625" s="94">
        <f t="shared" si="312"/>
        <v>3.0825340164642325</v>
      </c>
      <c r="R2625" s="48">
        <f t="shared" si="313"/>
        <v>2.3335916131582541</v>
      </c>
      <c r="U2625" s="94">
        <v>3.0825340164642325</v>
      </c>
      <c r="V2625" s="105">
        <v>2.3335916131582541</v>
      </c>
      <c r="W2625" s="49">
        <f t="shared" si="314"/>
        <v>0.72734179194049864</v>
      </c>
    </row>
    <row r="2626" spans="1:23" hidden="1">
      <c r="A2626" s="22" t="s">
        <v>113</v>
      </c>
      <c r="B2626" s="23" t="s">
        <v>270</v>
      </c>
      <c r="C2626" s="23" t="s">
        <v>271</v>
      </c>
      <c r="D2626" s="23">
        <v>1984</v>
      </c>
      <c r="H2626" s="106">
        <v>457.31204615000001</v>
      </c>
      <c r="I2626" s="106"/>
      <c r="J2626" s="106"/>
      <c r="K2626" s="106">
        <v>38.345315329999998</v>
      </c>
      <c r="O2626" s="94">
        <f t="shared" si="312"/>
        <v>2.6602126413709937</v>
      </c>
      <c r="R2626" s="48">
        <f t="shared" si="313"/>
        <v>1.5837123135104203</v>
      </c>
      <c r="U2626" s="94">
        <v>2.6602126413709937</v>
      </c>
      <c r="V2626" s="105">
        <v>1.5837123135104203</v>
      </c>
      <c r="W2626" s="49">
        <f t="shared" si="314"/>
        <v>1.56914729682082</v>
      </c>
    </row>
    <row r="2627" spans="1:23" hidden="1">
      <c r="A2627" s="22" t="s">
        <v>113</v>
      </c>
      <c r="B2627" s="23" t="s">
        <v>270</v>
      </c>
      <c r="C2627" s="23" t="s">
        <v>271</v>
      </c>
      <c r="D2627" s="23">
        <v>1984</v>
      </c>
      <c r="H2627" s="106">
        <v>1031.1850521700001</v>
      </c>
      <c r="I2627" s="106"/>
      <c r="J2627" s="106"/>
      <c r="K2627" s="106">
        <v>65.790521310000003</v>
      </c>
      <c r="O2627" s="94">
        <f t="shared" si="312"/>
        <v>3.0133366089544071</v>
      </c>
      <c r="R2627" s="48">
        <f t="shared" si="313"/>
        <v>1.8181633276672777</v>
      </c>
      <c r="U2627" s="94">
        <v>3.0133366089544071</v>
      </c>
      <c r="V2627" s="105">
        <v>1.8181633276672777</v>
      </c>
      <c r="W2627" s="49">
        <f t="shared" si="314"/>
        <v>1.2397351592757586</v>
      </c>
    </row>
    <row r="2628" spans="1:23" hidden="1">
      <c r="A2628" s="22" t="s">
        <v>113</v>
      </c>
      <c r="B2628" s="23" t="s">
        <v>270</v>
      </c>
      <c r="C2628" s="23" t="s">
        <v>271</v>
      </c>
      <c r="D2628" s="23">
        <v>1984</v>
      </c>
      <c r="H2628" s="106">
        <v>137.32902657</v>
      </c>
      <c r="I2628" s="106"/>
      <c r="J2628" s="106"/>
      <c r="K2628" s="106">
        <v>3.30347196</v>
      </c>
      <c r="O2628" s="94">
        <f t="shared" si="312"/>
        <v>2.1377623416565861</v>
      </c>
      <c r="R2628" s="48">
        <f t="shared" si="313"/>
        <v>0.51897062485132794</v>
      </c>
      <c r="U2628" s="94">
        <v>2.1377623416565861</v>
      </c>
      <c r="V2628" s="105">
        <v>0.51897062485132794</v>
      </c>
      <c r="W2628" s="49">
        <f t="shared" si="314"/>
        <v>2.7412911106745659</v>
      </c>
    </row>
    <row r="2629" spans="1:23" hidden="1">
      <c r="A2629" s="22" t="s">
        <v>113</v>
      </c>
      <c r="B2629" s="23" t="s">
        <v>270</v>
      </c>
      <c r="C2629" s="23" t="s">
        <v>271</v>
      </c>
      <c r="D2629" s="23">
        <v>1984</v>
      </c>
      <c r="H2629" s="106">
        <v>1304.7494716599999</v>
      </c>
      <c r="I2629" s="106"/>
      <c r="J2629" s="106"/>
      <c r="K2629" s="106">
        <v>81.84167291</v>
      </c>
      <c r="O2629" s="94">
        <f t="shared" si="312"/>
        <v>3.115527129666074</v>
      </c>
      <c r="R2629" s="48">
        <f t="shared" si="313"/>
        <v>1.9129744981253669</v>
      </c>
      <c r="U2629" s="94">
        <v>3.115527129666074</v>
      </c>
      <c r="V2629" s="105">
        <v>1.9129744981253669</v>
      </c>
      <c r="W2629" s="49">
        <f t="shared" si="314"/>
        <v>1.1186862089358336</v>
      </c>
    </row>
    <row r="2630" spans="1:23" hidden="1">
      <c r="A2630" s="22" t="s">
        <v>113</v>
      </c>
      <c r="B2630" s="23" t="s">
        <v>270</v>
      </c>
      <c r="C2630" s="23" t="s">
        <v>271</v>
      </c>
      <c r="D2630" s="23">
        <v>1984</v>
      </c>
      <c r="H2630" s="106">
        <v>1159.6239961199999</v>
      </c>
      <c r="I2630" s="106"/>
      <c r="J2630" s="106"/>
      <c r="K2630" s="106">
        <v>158.33752464</v>
      </c>
      <c r="O2630" s="94">
        <f t="shared" si="312"/>
        <v>3.0643171936393907</v>
      </c>
      <c r="R2630" s="48">
        <f t="shared" si="313"/>
        <v>2.1995838511405639</v>
      </c>
      <c r="U2630" s="94">
        <v>3.0643171936393907</v>
      </c>
      <c r="V2630" s="105">
        <v>2.1995838511405639</v>
      </c>
      <c r="W2630" s="49">
        <f t="shared" si="314"/>
        <v>0.86062818269905517</v>
      </c>
    </row>
    <row r="2631" spans="1:23" hidden="1">
      <c r="A2631" s="22" t="s">
        <v>113</v>
      </c>
      <c r="B2631" s="23" t="s">
        <v>270</v>
      </c>
      <c r="C2631" s="23" t="s">
        <v>271</v>
      </c>
      <c r="D2631" s="23">
        <v>1984</v>
      </c>
      <c r="H2631" s="106">
        <v>556.05973990999996</v>
      </c>
      <c r="I2631" s="106"/>
      <c r="J2631" s="106"/>
      <c r="K2631" s="106">
        <v>129.72335552000001</v>
      </c>
      <c r="O2631" s="94">
        <f t="shared" si="312"/>
        <v>2.7451214522287049</v>
      </c>
      <c r="R2631" s="48">
        <f t="shared" si="313"/>
        <v>2.1130181739276401</v>
      </c>
      <c r="U2631" s="94">
        <v>2.7451214522287049</v>
      </c>
      <c r="V2631" s="105">
        <v>2.1130181739276401</v>
      </c>
      <c r="W2631" s="49">
        <f t="shared" si="314"/>
        <v>1.0388101589602023</v>
      </c>
    </row>
    <row r="2632" spans="1:23" hidden="1">
      <c r="A2632" s="22" t="s">
        <v>113</v>
      </c>
      <c r="B2632" s="23" t="s">
        <v>270</v>
      </c>
      <c r="C2632" s="23" t="s">
        <v>271</v>
      </c>
      <c r="D2632" s="23">
        <v>1984</v>
      </c>
      <c r="H2632" s="106">
        <v>932.02101148999998</v>
      </c>
      <c r="I2632" s="106"/>
      <c r="J2632" s="106"/>
      <c r="K2632" s="106">
        <v>142.57004767999999</v>
      </c>
      <c r="O2632" s="94">
        <f t="shared" si="312"/>
        <v>2.9694257032030196</v>
      </c>
      <c r="R2632" s="48">
        <f t="shared" si="313"/>
        <v>2.1540282948452356</v>
      </c>
      <c r="U2632" s="94">
        <v>2.9694257032030196</v>
      </c>
      <c r="V2632" s="105">
        <v>2.1540282948452356</v>
      </c>
      <c r="W2632" s="49">
        <f t="shared" si="314"/>
        <v>0.93250596356552673</v>
      </c>
    </row>
    <row r="2633" spans="1:23" hidden="1">
      <c r="A2633" s="22" t="s">
        <v>113</v>
      </c>
      <c r="B2633" s="23" t="s">
        <v>270</v>
      </c>
      <c r="C2633" s="23" t="s">
        <v>271</v>
      </c>
      <c r="D2633" s="23">
        <v>1984</v>
      </c>
      <c r="H2633" s="106">
        <v>994.63632326000004</v>
      </c>
      <c r="I2633" s="106"/>
      <c r="J2633" s="106"/>
      <c r="K2633" s="106">
        <v>29.869160319999999</v>
      </c>
      <c r="O2633" s="94">
        <f t="shared" si="312"/>
        <v>2.9976643152454265</v>
      </c>
      <c r="R2633" s="48">
        <f t="shared" si="313"/>
        <v>1.4752230139159366</v>
      </c>
      <c r="U2633" s="94">
        <v>2.9976643152454265</v>
      </c>
      <c r="V2633" s="105">
        <v>1.4752230139159366</v>
      </c>
      <c r="W2633" s="49">
        <f t="shared" si="314"/>
        <v>1.571560162067428</v>
      </c>
    </row>
    <row r="2634" spans="1:23" hidden="1">
      <c r="A2634" s="22" t="s">
        <v>113</v>
      </c>
      <c r="B2634" s="23" t="s">
        <v>270</v>
      </c>
      <c r="C2634" s="23" t="s">
        <v>271</v>
      </c>
      <c r="D2634" s="23">
        <v>1984</v>
      </c>
      <c r="H2634" s="106">
        <v>1208.9733520100001</v>
      </c>
      <c r="I2634" s="106"/>
      <c r="J2634" s="106"/>
      <c r="K2634" s="106">
        <v>124.46716918</v>
      </c>
      <c r="O2634" s="94">
        <f t="shared" si="312"/>
        <v>3.0824167283193691</v>
      </c>
      <c r="R2634" s="48">
        <f t="shared" si="313"/>
        <v>2.0950548122811359</v>
      </c>
      <c r="U2634" s="94">
        <v>3.0824167283193691</v>
      </c>
      <c r="V2634" s="105">
        <v>2.0950548122811359</v>
      </c>
      <c r="W2634" s="49">
        <f t="shared" si="314"/>
        <v>0.95491717698185674</v>
      </c>
    </row>
    <row r="2635" spans="1:23" hidden="1">
      <c r="A2635" s="22" t="s">
        <v>113</v>
      </c>
      <c r="B2635" s="23" t="s">
        <v>270</v>
      </c>
      <c r="C2635" s="23" t="s">
        <v>271</v>
      </c>
      <c r="D2635" s="23">
        <v>1984</v>
      </c>
      <c r="H2635" s="106">
        <v>766.91088363999995</v>
      </c>
      <c r="I2635" s="106"/>
      <c r="J2635" s="106"/>
      <c r="K2635" s="106">
        <v>49.134509719999997</v>
      </c>
      <c r="O2635" s="94">
        <f t="shared" si="312"/>
        <v>2.8847449011172066</v>
      </c>
      <c r="R2635" s="48">
        <f t="shared" si="313"/>
        <v>1.6913866268791204</v>
      </c>
      <c r="U2635" s="94">
        <v>2.8847449011172066</v>
      </c>
      <c r="V2635" s="105">
        <v>1.6913866268791204</v>
      </c>
      <c r="W2635" s="49">
        <f t="shared" si="314"/>
        <v>1.3991838340108362</v>
      </c>
    </row>
    <row r="2636" spans="1:23" hidden="1">
      <c r="A2636" s="22" t="s">
        <v>113</v>
      </c>
      <c r="B2636" s="23" t="s">
        <v>270</v>
      </c>
      <c r="C2636" s="23" t="s">
        <v>271</v>
      </c>
      <c r="D2636" s="23">
        <v>1984</v>
      </c>
      <c r="H2636" s="106">
        <v>1179.16781051</v>
      </c>
      <c r="I2636" s="106"/>
      <c r="J2636" s="106"/>
      <c r="K2636" s="106">
        <v>144.31393438000001</v>
      </c>
      <c r="O2636" s="94">
        <f t="shared" si="312"/>
        <v>3.0715756150971565</v>
      </c>
      <c r="R2636" s="48">
        <f t="shared" si="313"/>
        <v>2.1593082668673884</v>
      </c>
      <c r="U2636" s="94">
        <v>3.0715756150971565</v>
      </c>
      <c r="V2636" s="105">
        <v>2.1593082668673884</v>
      </c>
      <c r="W2636" s="49">
        <f t="shared" si="314"/>
        <v>0.89687298675346816</v>
      </c>
    </row>
    <row r="2637" spans="1:23" hidden="1">
      <c r="A2637" s="22" t="s">
        <v>113</v>
      </c>
      <c r="B2637" s="23" t="s">
        <v>270</v>
      </c>
      <c r="C2637" s="23" t="s">
        <v>271</v>
      </c>
      <c r="D2637" s="23">
        <v>1984</v>
      </c>
      <c r="H2637" s="106">
        <v>832.77533415000005</v>
      </c>
      <c r="I2637" s="106"/>
      <c r="J2637" s="106"/>
      <c r="K2637" s="106">
        <v>100.51550749</v>
      </c>
      <c r="O2637" s="94">
        <f t="shared" si="312"/>
        <v>2.9205278533886623</v>
      </c>
      <c r="R2637" s="48">
        <f t="shared" si="313"/>
        <v>2.0022330696946775</v>
      </c>
      <c r="U2637" s="94">
        <v>2.9205278533886623</v>
      </c>
      <c r="V2637" s="105">
        <v>2.0022330696946775</v>
      </c>
      <c r="W2637" s="49">
        <f t="shared" si="314"/>
        <v>1.0919495377431496</v>
      </c>
    </row>
    <row r="2638" spans="1:23" hidden="1">
      <c r="A2638" s="22" t="s">
        <v>113</v>
      </c>
      <c r="B2638" s="23" t="s">
        <v>270</v>
      </c>
      <c r="C2638" s="23" t="s">
        <v>271</v>
      </c>
      <c r="D2638" s="23">
        <v>1984</v>
      </c>
      <c r="H2638" s="106">
        <v>1149.3214506899999</v>
      </c>
      <c r="I2638" s="106"/>
      <c r="J2638" s="106"/>
      <c r="K2638" s="106">
        <v>147.80856070999999</v>
      </c>
      <c r="O2638" s="94">
        <f t="shared" si="312"/>
        <v>3.0604415123578037</v>
      </c>
      <c r="R2638" s="48">
        <f t="shared" si="313"/>
        <v>2.169699588060479</v>
      </c>
      <c r="U2638" s="94">
        <v>3.0604415123578037</v>
      </c>
      <c r="V2638" s="105">
        <v>2.169699588060479</v>
      </c>
      <c r="W2638" s="49">
        <f t="shared" si="314"/>
        <v>0.89029564313674281</v>
      </c>
    </row>
    <row r="2639" spans="1:23" hidden="1">
      <c r="A2639" s="22" t="s">
        <v>113</v>
      </c>
      <c r="B2639" s="23" t="s">
        <v>270</v>
      </c>
      <c r="C2639" s="23" t="s">
        <v>271</v>
      </c>
      <c r="D2639" s="23">
        <v>1984</v>
      </c>
      <c r="H2639" s="106">
        <v>1080.01193349</v>
      </c>
      <c r="I2639" s="106"/>
      <c r="J2639" s="106"/>
      <c r="K2639" s="106">
        <v>85.324036120000002</v>
      </c>
      <c r="O2639" s="94">
        <f t="shared" si="312"/>
        <v>3.0334285542093795</v>
      </c>
      <c r="R2639" s="48">
        <f t="shared" si="313"/>
        <v>1.9310713908841115</v>
      </c>
      <c r="U2639" s="94">
        <v>3.0334285542093795</v>
      </c>
      <c r="V2639" s="105">
        <v>1.9310713908841115</v>
      </c>
      <c r="W2639" s="49">
        <f t="shared" si="314"/>
        <v>1.1260141259075034</v>
      </c>
    </row>
    <row r="2640" spans="1:23" hidden="1">
      <c r="A2640" s="22" t="s">
        <v>113</v>
      </c>
      <c r="B2640" s="23" t="s">
        <v>270</v>
      </c>
      <c r="C2640" s="23" t="s">
        <v>271</v>
      </c>
      <c r="D2640" s="23">
        <v>1984</v>
      </c>
      <c r="H2640" s="106">
        <v>1670.37554314</v>
      </c>
      <c r="I2640" s="106"/>
      <c r="J2640" s="106"/>
      <c r="K2640" s="106">
        <v>90.871471369999995</v>
      </c>
      <c r="O2640" s="94">
        <f t="shared" si="312"/>
        <v>3.2228141226313758</v>
      </c>
      <c r="R2640" s="48">
        <f t="shared" si="313"/>
        <v>1.9584275601059844</v>
      </c>
      <c r="U2640" s="94">
        <v>3.2228141226313758</v>
      </c>
      <c r="V2640" s="105">
        <v>1.9584275601059844</v>
      </c>
      <c r="W2640" s="49">
        <f t="shared" si="314"/>
        <v>1.043193439459388</v>
      </c>
    </row>
    <row r="2641" spans="1:23" hidden="1">
      <c r="A2641" s="22" t="s">
        <v>113</v>
      </c>
      <c r="B2641" s="23" t="s">
        <v>270</v>
      </c>
      <c r="C2641" s="23" t="s">
        <v>271</v>
      </c>
      <c r="D2641" s="23">
        <v>1984</v>
      </c>
      <c r="H2641" s="106">
        <v>1.4529836599999999</v>
      </c>
      <c r="I2641" s="106"/>
      <c r="J2641" s="106"/>
      <c r="K2641" s="106">
        <v>0.93957672999999997</v>
      </c>
      <c r="O2641" s="94">
        <f t="shared" si="312"/>
        <v>0.16226073032573216</v>
      </c>
      <c r="R2641" s="48">
        <f t="shared" si="313"/>
        <v>-2.706774770300803E-2</v>
      </c>
      <c r="U2641" s="94">
        <v>0.16226073032573216</v>
      </c>
      <c r="V2641" s="105">
        <v>-2.706774770300803E-2</v>
      </c>
      <c r="W2641" s="49">
        <f t="shared" si="314"/>
        <v>3.8538684441873761</v>
      </c>
    </row>
    <row r="2642" spans="1:23" hidden="1">
      <c r="A2642" s="22" t="s">
        <v>113</v>
      </c>
      <c r="B2642" s="23" t="s">
        <v>270</v>
      </c>
      <c r="C2642" s="23" t="s">
        <v>271</v>
      </c>
      <c r="D2642" s="23">
        <v>1984</v>
      </c>
      <c r="H2642" s="106">
        <v>1379.93682777</v>
      </c>
      <c r="I2642" s="106"/>
      <c r="J2642" s="106"/>
      <c r="K2642" s="106">
        <v>48.818373899999997</v>
      </c>
      <c r="O2642" s="94">
        <f t="shared" si="312"/>
        <v>3.1398592052571268</v>
      </c>
      <c r="R2642" s="48">
        <f t="shared" si="313"/>
        <v>1.6885833093290503</v>
      </c>
      <c r="U2642" s="94">
        <v>3.1398592052571268</v>
      </c>
      <c r="V2642" s="105">
        <v>1.6885833093290503</v>
      </c>
      <c r="W2642" s="49">
        <f t="shared" si="314"/>
        <v>1.3254449087200599</v>
      </c>
    </row>
    <row r="2643" spans="1:23" hidden="1">
      <c r="A2643" s="22" t="s">
        <v>113</v>
      </c>
      <c r="B2643" s="23" t="s">
        <v>270</v>
      </c>
      <c r="C2643" s="23" t="s">
        <v>271</v>
      </c>
      <c r="D2643" s="23">
        <v>1984</v>
      </c>
      <c r="H2643" s="106">
        <v>1139.1495239000001</v>
      </c>
      <c r="I2643" s="106"/>
      <c r="J2643" s="106"/>
      <c r="K2643" s="106">
        <v>135.53318530000001</v>
      </c>
      <c r="O2643" s="94">
        <f t="shared" si="312"/>
        <v>3.0565807329839987</v>
      </c>
      <c r="R2643" s="48">
        <f t="shared" si="313"/>
        <v>2.1320456452334033</v>
      </c>
      <c r="U2643" s="94">
        <v>3.0565807329839987</v>
      </c>
      <c r="V2643" s="105">
        <v>2.1320456452334033</v>
      </c>
      <c r="W2643" s="49">
        <f t="shared" si="314"/>
        <v>0.92737013759711762</v>
      </c>
    </row>
    <row r="2644" spans="1:23" hidden="1">
      <c r="A2644" s="22" t="s">
        <v>113</v>
      </c>
      <c r="B2644" s="23" t="s">
        <v>270</v>
      </c>
      <c r="C2644" s="23" t="s">
        <v>271</v>
      </c>
      <c r="D2644" s="23">
        <v>1984</v>
      </c>
      <c r="H2644" s="106">
        <v>2135.15749164</v>
      </c>
      <c r="I2644" s="106"/>
      <c r="J2644" s="106"/>
      <c r="K2644" s="106">
        <v>166.48131323999999</v>
      </c>
      <c r="O2644" s="94">
        <f t="shared" si="312"/>
        <v>3.3294299145964468</v>
      </c>
      <c r="R2644" s="48">
        <f t="shared" si="313"/>
        <v>2.2213654930243054</v>
      </c>
      <c r="U2644" s="94">
        <v>3.3294299145964468</v>
      </c>
      <c r="V2644" s="105">
        <v>2.2213654930243054</v>
      </c>
      <c r="W2644" s="49">
        <f t="shared" si="314"/>
        <v>0.76044289280658028</v>
      </c>
    </row>
    <row r="2645" spans="1:23" hidden="1">
      <c r="A2645" s="22" t="s">
        <v>113</v>
      </c>
      <c r="B2645" s="23" t="s">
        <v>270</v>
      </c>
      <c r="C2645" s="23" t="s">
        <v>271</v>
      </c>
      <c r="D2645" s="23">
        <v>1984</v>
      </c>
      <c r="H2645" s="106">
        <v>2102.1191387399999</v>
      </c>
      <c r="I2645" s="106"/>
      <c r="J2645" s="106"/>
      <c r="K2645" s="106">
        <v>122.09822443</v>
      </c>
      <c r="O2645" s="94">
        <f t="shared" si="312"/>
        <v>3.3226573262645842</v>
      </c>
      <c r="R2645" s="48">
        <f t="shared" si="313"/>
        <v>2.0867093484177728</v>
      </c>
      <c r="U2645" s="94">
        <v>3.3226573262645842</v>
      </c>
      <c r="V2645" s="105">
        <v>2.0867093484177728</v>
      </c>
      <c r="W2645" s="49">
        <f t="shared" si="314"/>
        <v>0.89091994595781732</v>
      </c>
    </row>
    <row r="2646" spans="1:23" hidden="1">
      <c r="A2646" s="22" t="s">
        <v>113</v>
      </c>
      <c r="B2646" s="23" t="s">
        <v>270</v>
      </c>
      <c r="C2646" s="23" t="s">
        <v>271</v>
      </c>
      <c r="D2646" s="23">
        <v>1984</v>
      </c>
      <c r="H2646" s="106">
        <v>1696.3359983400001</v>
      </c>
      <c r="I2646" s="106"/>
      <c r="J2646" s="106"/>
      <c r="K2646" s="106">
        <v>151.58253350999999</v>
      </c>
      <c r="O2646" s="94">
        <f t="shared" si="312"/>
        <v>3.2295118784468806</v>
      </c>
      <c r="R2646" s="48">
        <f t="shared" si="313"/>
        <v>2.1806491614725276</v>
      </c>
      <c r="U2646" s="94">
        <v>3.2295118784468806</v>
      </c>
      <c r="V2646" s="105">
        <v>2.1806491614725276</v>
      </c>
      <c r="W2646" s="49">
        <f t="shared" si="314"/>
        <v>0.82921011128430544</v>
      </c>
    </row>
    <row r="2647" spans="1:23" hidden="1">
      <c r="A2647" s="22" t="s">
        <v>113</v>
      </c>
      <c r="B2647" s="23" t="s">
        <v>270</v>
      </c>
      <c r="C2647" s="23" t="s">
        <v>271</v>
      </c>
      <c r="D2647" s="23">
        <v>1984</v>
      </c>
      <c r="H2647" s="106">
        <v>1125.43456644</v>
      </c>
      <c r="I2647" s="106"/>
      <c r="J2647" s="106"/>
      <c r="K2647" s="106">
        <v>84.413500029999994</v>
      </c>
      <c r="O2647" s="94">
        <f t="shared" si="312"/>
        <v>3.0513202498828487</v>
      </c>
      <c r="R2647" s="48">
        <f t="shared" si="313"/>
        <v>1.9264119077593438</v>
      </c>
      <c r="U2647" s="94">
        <v>3.0513202498828487</v>
      </c>
      <c r="V2647" s="105">
        <v>1.9264119077593438</v>
      </c>
      <c r="W2647" s="49">
        <f t="shared" si="314"/>
        <v>1.1250998038703017</v>
      </c>
    </row>
    <row r="2648" spans="1:23" hidden="1">
      <c r="A2648" s="22" t="s">
        <v>113</v>
      </c>
      <c r="B2648" s="23" t="s">
        <v>270</v>
      </c>
      <c r="C2648" s="23" t="s">
        <v>271</v>
      </c>
      <c r="D2648" s="23">
        <v>1984</v>
      </c>
      <c r="H2648" s="106">
        <v>732.59899898000003</v>
      </c>
      <c r="I2648" s="106"/>
      <c r="J2648" s="106"/>
      <c r="K2648" s="106">
        <v>135.20117956999999</v>
      </c>
      <c r="O2648" s="94">
        <f t="shared" si="312"/>
        <v>2.8648663209108913</v>
      </c>
      <c r="R2648" s="48">
        <f t="shared" si="313"/>
        <v>2.130980480647831</v>
      </c>
      <c r="U2648" s="94">
        <v>2.8648663209108913</v>
      </c>
      <c r="V2648" s="105">
        <v>2.130980480647831</v>
      </c>
      <c r="W2648" s="49">
        <f t="shared" si="314"/>
        <v>0.98580938068572777</v>
      </c>
    </row>
    <row r="2649" spans="1:23" hidden="1">
      <c r="A2649" s="22" t="s">
        <v>113</v>
      </c>
      <c r="B2649" s="23" t="s">
        <v>270</v>
      </c>
      <c r="C2649" s="23" t="s">
        <v>271</v>
      </c>
      <c r="D2649" s="23">
        <v>1984</v>
      </c>
      <c r="H2649" s="106">
        <v>939.95609402000002</v>
      </c>
      <c r="I2649" s="106"/>
      <c r="J2649" s="106"/>
      <c r="K2649" s="106">
        <v>106.57041918</v>
      </c>
      <c r="O2649" s="94">
        <f t="shared" si="312"/>
        <v>2.9731075678867498</v>
      </c>
      <c r="R2649" s="48">
        <f t="shared" si="313"/>
        <v>2.0276366740181642</v>
      </c>
      <c r="U2649" s="94">
        <v>2.9731075678867498</v>
      </c>
      <c r="V2649" s="105">
        <v>2.0276366740181642</v>
      </c>
      <c r="W2649" s="49">
        <f t="shared" si="314"/>
        <v>1.0519681216258214</v>
      </c>
    </row>
    <row r="2650" spans="1:23" hidden="1">
      <c r="A2650" s="22" t="s">
        <v>113</v>
      </c>
      <c r="B2650" s="23" t="s">
        <v>270</v>
      </c>
      <c r="C2650" s="23" t="s">
        <v>271</v>
      </c>
      <c r="D2650" s="23">
        <v>1984</v>
      </c>
      <c r="H2650" s="106">
        <v>662.90578951999998</v>
      </c>
      <c r="I2650" s="106"/>
      <c r="J2650" s="106"/>
      <c r="K2650" s="106">
        <v>58.685851130000003</v>
      </c>
      <c r="O2650" s="94">
        <f t="shared" si="312"/>
        <v>2.8214518119661034</v>
      </c>
      <c r="R2650" s="48">
        <f t="shared" si="313"/>
        <v>1.7685334076046111</v>
      </c>
      <c r="U2650" s="94">
        <v>2.8214518119661034</v>
      </c>
      <c r="V2650" s="105">
        <v>1.7685334076046111</v>
      </c>
      <c r="W2650" s="49">
        <f t="shared" si="314"/>
        <v>1.3445513570875389</v>
      </c>
    </row>
    <row r="2651" spans="1:23" hidden="1">
      <c r="A2651" s="22" t="s">
        <v>113</v>
      </c>
      <c r="B2651" s="23" t="s">
        <v>270</v>
      </c>
      <c r="C2651" s="23" t="s">
        <v>271</v>
      </c>
      <c r="D2651" s="23">
        <v>1994</v>
      </c>
      <c r="H2651" s="106">
        <v>97.347052989999995</v>
      </c>
      <c r="I2651" s="106"/>
      <c r="J2651" s="106"/>
      <c r="K2651" s="106">
        <v>14.29502746</v>
      </c>
      <c r="O2651" s="94">
        <f t="shared" si="312"/>
        <v>1.9883228085570899</v>
      </c>
      <c r="R2651" s="48">
        <f t="shared" si="313"/>
        <v>1.1551849939517913</v>
      </c>
      <c r="U2651" s="94">
        <v>1.9883228085570899</v>
      </c>
      <c r="V2651" s="105">
        <v>1.1551849939517913</v>
      </c>
      <c r="W2651" s="49">
        <f t="shared" si="314"/>
        <v>2.1791670403654475</v>
      </c>
    </row>
    <row r="2652" spans="1:23" hidden="1">
      <c r="A2652" s="22" t="s">
        <v>113</v>
      </c>
      <c r="B2652" s="23" t="s">
        <v>270</v>
      </c>
      <c r="C2652" s="23" t="s">
        <v>271</v>
      </c>
      <c r="D2652" s="23">
        <v>1994</v>
      </c>
      <c r="H2652" s="106">
        <v>348.13006063</v>
      </c>
      <c r="I2652" s="106"/>
      <c r="J2652" s="106"/>
      <c r="K2652" s="106">
        <v>1.1637857700000001</v>
      </c>
      <c r="O2652" s="94">
        <f t="shared" si="312"/>
        <v>2.5417415257320508</v>
      </c>
      <c r="R2652" s="48">
        <f t="shared" si="313"/>
        <v>6.5873042625170103E-2</v>
      </c>
      <c r="U2652" s="94">
        <v>2.5417415257320508</v>
      </c>
      <c r="V2652" s="105">
        <v>6.5873042625170103E-2</v>
      </c>
      <c r="W2652" s="49">
        <f t="shared" si="314"/>
        <v>3.052499190841568</v>
      </c>
    </row>
    <row r="2653" spans="1:23" hidden="1">
      <c r="A2653" s="22" t="s">
        <v>113</v>
      </c>
      <c r="B2653" s="23" t="s">
        <v>270</v>
      </c>
      <c r="C2653" s="23" t="s">
        <v>271</v>
      </c>
      <c r="D2653" s="23">
        <v>1994</v>
      </c>
      <c r="H2653" s="106">
        <v>4.8892504499999996</v>
      </c>
      <c r="I2653" s="106"/>
      <c r="J2653" s="106"/>
      <c r="K2653" s="106">
        <v>2.6214911000000001</v>
      </c>
      <c r="O2653" s="94">
        <f t="shared" si="312"/>
        <v>0.68924228440376567</v>
      </c>
      <c r="R2653" s="48">
        <f t="shared" si="313"/>
        <v>0.4185483876162307</v>
      </c>
      <c r="U2653" s="94">
        <v>0.68924228440376567</v>
      </c>
      <c r="V2653" s="105">
        <v>0.4185483876162307</v>
      </c>
      <c r="W2653" s="49">
        <f t="shared" si="314"/>
        <v>3.2709512735137531</v>
      </c>
    </row>
    <row r="2654" spans="1:23" hidden="1">
      <c r="A2654" s="22" t="s">
        <v>113</v>
      </c>
      <c r="B2654" s="23" t="s">
        <v>270</v>
      </c>
      <c r="C2654" s="23" t="s">
        <v>271</v>
      </c>
      <c r="D2654" s="23">
        <v>1994</v>
      </c>
      <c r="H2654" s="106">
        <v>120.40023543</v>
      </c>
      <c r="I2654" s="106"/>
      <c r="J2654" s="106"/>
      <c r="K2654" s="106">
        <v>31.504744469999999</v>
      </c>
      <c r="O2654" s="94">
        <f t="shared" si="312"/>
        <v>2.0806273361398282</v>
      </c>
      <c r="R2654" s="48">
        <f t="shared" si="313"/>
        <v>1.4983759614715706</v>
      </c>
      <c r="U2654" s="94">
        <v>2.0806273361398282</v>
      </c>
      <c r="V2654" s="105">
        <v>1.4983759614715706</v>
      </c>
      <c r="W2654" s="49">
        <f t="shared" si="314"/>
        <v>1.8241496997459212</v>
      </c>
    </row>
    <row r="2655" spans="1:23" hidden="1">
      <c r="A2655" s="22" t="s">
        <v>113</v>
      </c>
      <c r="B2655" s="23" t="s">
        <v>270</v>
      </c>
      <c r="C2655" s="23" t="s">
        <v>271</v>
      </c>
      <c r="D2655" s="23">
        <v>1994</v>
      </c>
      <c r="H2655" s="106">
        <v>150.01320011000001</v>
      </c>
      <c r="I2655" s="106"/>
      <c r="J2655" s="106"/>
      <c r="K2655" s="106">
        <v>9.0376291200000001</v>
      </c>
      <c r="O2655" s="94">
        <f t="shared" si="312"/>
        <v>2.1761294756070537</v>
      </c>
      <c r="R2655" s="48">
        <f t="shared" si="313"/>
        <v>0.95605451508299377</v>
      </c>
      <c r="U2655" s="94">
        <v>2.1761294756070537</v>
      </c>
      <c r="V2655" s="105">
        <v>0.95605451508299377</v>
      </c>
      <c r="W2655" s="49">
        <f t="shared" si="314"/>
        <v>2.3128648873329198</v>
      </c>
    </row>
    <row r="2656" spans="1:23" hidden="1">
      <c r="A2656" s="22" t="s">
        <v>113</v>
      </c>
      <c r="B2656" s="23" t="s">
        <v>270</v>
      </c>
      <c r="C2656" s="23" t="s">
        <v>271</v>
      </c>
      <c r="D2656" s="23">
        <v>1994</v>
      </c>
      <c r="H2656" s="106">
        <v>93.883357259999997</v>
      </c>
      <c r="I2656" s="106"/>
      <c r="J2656" s="106"/>
      <c r="K2656" s="106">
        <v>15.163811900000001</v>
      </c>
      <c r="O2656" s="94">
        <f t="shared" si="312"/>
        <v>1.9725886115339508</v>
      </c>
      <c r="R2656" s="48">
        <f t="shared" si="313"/>
        <v>1.1808083885677239</v>
      </c>
      <c r="U2656" s="94">
        <v>1.9725886115339508</v>
      </c>
      <c r="V2656" s="105">
        <v>1.1808083885677239</v>
      </c>
      <c r="W2656" s="49">
        <f t="shared" si="314"/>
        <v>2.1594376633109857</v>
      </c>
    </row>
    <row r="2657" spans="1:23" hidden="1">
      <c r="A2657" s="22" t="s">
        <v>113</v>
      </c>
      <c r="B2657" s="23" t="s">
        <v>270</v>
      </c>
      <c r="C2657" s="23" t="s">
        <v>271</v>
      </c>
      <c r="D2657" s="23">
        <v>1994</v>
      </c>
      <c r="H2657" s="106">
        <v>338.09841355999998</v>
      </c>
      <c r="I2657" s="106"/>
      <c r="J2657" s="106"/>
      <c r="K2657" s="106">
        <v>6.1186143</v>
      </c>
      <c r="O2657" s="94">
        <f t="shared" si="312"/>
        <v>2.5290431329551972</v>
      </c>
      <c r="R2657" s="48">
        <f t="shared" si="313"/>
        <v>0.78665307737361345</v>
      </c>
      <c r="U2657" s="94">
        <v>2.5290431329551972</v>
      </c>
      <c r="V2657" s="105">
        <v>0.78665307737361345</v>
      </c>
      <c r="W2657" s="49">
        <f t="shared" si="314"/>
        <v>2.3687505967121578</v>
      </c>
    </row>
    <row r="2658" spans="1:23" hidden="1">
      <c r="A2658" s="22" t="s">
        <v>113</v>
      </c>
      <c r="B2658" s="23" t="s">
        <v>270</v>
      </c>
      <c r="C2658" s="23" t="s">
        <v>271</v>
      </c>
      <c r="D2658" s="23">
        <v>1994</v>
      </c>
      <c r="H2658" s="106">
        <v>149.89883279</v>
      </c>
      <c r="I2658" s="106"/>
      <c r="J2658" s="106"/>
      <c r="K2658" s="106">
        <v>16.911832879999999</v>
      </c>
      <c r="O2658" s="94">
        <f t="shared" si="312"/>
        <v>2.175798251161583</v>
      </c>
      <c r="R2658" s="48">
        <f t="shared" si="313"/>
        <v>1.2281906783566563</v>
      </c>
      <c r="U2658" s="94">
        <v>2.175798251161583</v>
      </c>
      <c r="V2658" s="105">
        <v>1.2281906783566563</v>
      </c>
      <c r="W2658" s="49">
        <f t="shared" si="314"/>
        <v>2.0533734110557127</v>
      </c>
    </row>
    <row r="2659" spans="1:23" hidden="1">
      <c r="A2659" s="22" t="s">
        <v>113</v>
      </c>
      <c r="B2659" s="23" t="s">
        <v>270</v>
      </c>
      <c r="C2659" s="23" t="s">
        <v>271</v>
      </c>
      <c r="D2659" s="23">
        <v>1994</v>
      </c>
      <c r="H2659" s="106">
        <v>100.38595585</v>
      </c>
      <c r="I2659" s="106"/>
      <c r="J2659" s="106"/>
      <c r="K2659" s="106">
        <v>2.6153640199999999</v>
      </c>
      <c r="O2659" s="94">
        <f t="shared" si="312"/>
        <v>2.0016729585910857</v>
      </c>
      <c r="R2659" s="48">
        <f t="shared" si="313"/>
        <v>0.41753214478064143</v>
      </c>
      <c r="U2659" s="94">
        <v>2.0016729585910857</v>
      </c>
      <c r="V2659" s="105">
        <v>0.41753214478064143</v>
      </c>
      <c r="W2659" s="49">
        <f t="shared" si="314"/>
        <v>2.8788153948409345</v>
      </c>
    </row>
    <row r="2660" spans="1:23" hidden="1">
      <c r="A2660" s="22" t="s">
        <v>113</v>
      </c>
      <c r="B2660" s="23" t="s">
        <v>270</v>
      </c>
      <c r="C2660" s="23" t="s">
        <v>271</v>
      </c>
      <c r="D2660" s="23">
        <v>1994</v>
      </c>
      <c r="H2660" s="106">
        <v>209.28814403000001</v>
      </c>
      <c r="I2660" s="106"/>
      <c r="J2660" s="106"/>
      <c r="K2660" s="106">
        <v>11.659480370000001</v>
      </c>
      <c r="O2660" s="94">
        <f t="shared" si="312"/>
        <v>2.320744626675102</v>
      </c>
      <c r="R2660" s="48">
        <f t="shared" si="313"/>
        <v>1.0666791955799124</v>
      </c>
      <c r="U2660" s="94">
        <v>2.320744626675102</v>
      </c>
      <c r="V2660" s="105">
        <v>1.0666791955799124</v>
      </c>
      <c r="W2660" s="49">
        <f t="shared" si="314"/>
        <v>2.1640242093293125</v>
      </c>
    </row>
    <row r="2661" spans="1:23" hidden="1">
      <c r="A2661" s="22" t="s">
        <v>113</v>
      </c>
      <c r="B2661" s="23" t="s">
        <v>270</v>
      </c>
      <c r="C2661" s="23" t="s">
        <v>271</v>
      </c>
      <c r="D2661" s="23">
        <v>1994</v>
      </c>
      <c r="H2661" s="106">
        <v>14.471597360000001</v>
      </c>
      <c r="I2661" s="106"/>
      <c r="J2661" s="106"/>
      <c r="K2661" s="106">
        <v>8.1569509199999999</v>
      </c>
      <c r="O2661" s="94">
        <f t="shared" si="312"/>
        <v>1.1605164707421127</v>
      </c>
      <c r="R2661" s="48">
        <f t="shared" si="313"/>
        <v>0.91152784918502228</v>
      </c>
      <c r="U2661" s="94">
        <v>1.1605164707421127</v>
      </c>
      <c r="V2661" s="105">
        <v>0.91152784918502228</v>
      </c>
      <c r="W2661" s="49">
        <f t="shared" si="314"/>
        <v>2.6595399529699639</v>
      </c>
    </row>
    <row r="2662" spans="1:23" hidden="1">
      <c r="A2662" s="22" t="s">
        <v>113</v>
      </c>
      <c r="B2662" s="23" t="s">
        <v>270</v>
      </c>
      <c r="C2662" s="23" t="s">
        <v>271</v>
      </c>
      <c r="D2662" s="23">
        <v>1994</v>
      </c>
      <c r="H2662" s="106">
        <v>162.97755182</v>
      </c>
      <c r="I2662" s="106"/>
      <c r="J2662" s="106"/>
      <c r="K2662" s="106">
        <v>19.243008069999998</v>
      </c>
      <c r="O2662" s="94">
        <f t="shared" si="312"/>
        <v>2.2121277897285991</v>
      </c>
      <c r="R2662" s="48">
        <f t="shared" si="313"/>
        <v>1.2842729619891877</v>
      </c>
      <c r="U2662" s="94">
        <v>2.2121277897285991</v>
      </c>
      <c r="V2662" s="105">
        <v>1.2842729619891877</v>
      </c>
      <c r="W2662" s="49">
        <f t="shared" si="314"/>
        <v>1.9889949301911709</v>
      </c>
    </row>
    <row r="2663" spans="1:23" hidden="1">
      <c r="A2663" s="22" t="s">
        <v>113</v>
      </c>
      <c r="B2663" s="23" t="s">
        <v>270</v>
      </c>
      <c r="C2663" s="23" t="s">
        <v>271</v>
      </c>
      <c r="D2663" s="23">
        <v>1994</v>
      </c>
      <c r="H2663" s="106">
        <v>334.54485779999999</v>
      </c>
      <c r="I2663" s="106"/>
      <c r="J2663" s="106"/>
      <c r="K2663" s="106">
        <v>16.323272419999999</v>
      </c>
      <c r="O2663" s="94">
        <f t="shared" si="312"/>
        <v>2.5244543588418198</v>
      </c>
      <c r="R2663" s="48">
        <f t="shared" si="313"/>
        <v>1.2128072286507774</v>
      </c>
      <c r="U2663" s="94">
        <v>2.5244543588418198</v>
      </c>
      <c r="V2663" s="105">
        <v>1.2128072286507774</v>
      </c>
      <c r="W2663" s="49">
        <f t="shared" si="314"/>
        <v>1.9636166025396709</v>
      </c>
    </row>
    <row r="2664" spans="1:23" hidden="1">
      <c r="A2664" s="22" t="s">
        <v>113</v>
      </c>
      <c r="B2664" s="23" t="s">
        <v>270</v>
      </c>
      <c r="C2664" s="23" t="s">
        <v>271</v>
      </c>
      <c r="D2664" s="23">
        <v>1994</v>
      </c>
      <c r="H2664" s="106">
        <v>166.20434383</v>
      </c>
      <c r="I2664" s="106"/>
      <c r="J2664" s="106"/>
      <c r="K2664" s="106">
        <v>70.590133050000006</v>
      </c>
      <c r="O2664" s="94">
        <f t="shared" si="312"/>
        <v>2.2206423700903715</v>
      </c>
      <c r="R2664" s="48">
        <f t="shared" si="313"/>
        <v>1.8487440004652596</v>
      </c>
      <c r="U2664" s="94">
        <v>2.2206423700903715</v>
      </c>
      <c r="V2664" s="105">
        <v>1.8487440004652596</v>
      </c>
      <c r="W2664" s="49">
        <f t="shared" si="314"/>
        <v>1.4479956803118184</v>
      </c>
    </row>
    <row r="2665" spans="1:23" hidden="1">
      <c r="A2665" s="22" t="s">
        <v>113</v>
      </c>
      <c r="B2665" s="23" t="s">
        <v>270</v>
      </c>
      <c r="C2665" s="23" t="s">
        <v>271</v>
      </c>
      <c r="D2665" s="23">
        <v>1994</v>
      </c>
      <c r="H2665" s="106">
        <v>360.80032496000001</v>
      </c>
      <c r="I2665" s="106"/>
      <c r="J2665" s="106"/>
      <c r="K2665" s="106">
        <v>9.0275374500000005</v>
      </c>
      <c r="O2665" s="94">
        <f t="shared" si="312"/>
        <v>2.5572669200236495</v>
      </c>
      <c r="R2665" s="48">
        <f t="shared" si="313"/>
        <v>0.95556929873770247</v>
      </c>
      <c r="U2665" s="94">
        <v>2.5572669200236495</v>
      </c>
      <c r="V2665" s="105">
        <v>0.95556929873770247</v>
      </c>
      <c r="W2665" s="49">
        <f t="shared" si="314"/>
        <v>2.1991676946207899</v>
      </c>
    </row>
    <row r="2666" spans="1:23" hidden="1">
      <c r="A2666" s="22" t="s">
        <v>113</v>
      </c>
      <c r="B2666" s="23" t="s">
        <v>270</v>
      </c>
      <c r="C2666" s="23" t="s">
        <v>271</v>
      </c>
      <c r="D2666" s="23">
        <v>1994</v>
      </c>
      <c r="H2666" s="106">
        <v>251.86546041</v>
      </c>
      <c r="I2666" s="106"/>
      <c r="J2666" s="106"/>
      <c r="K2666" s="106">
        <v>1.1479274399999999</v>
      </c>
      <c r="O2666" s="94">
        <f t="shared" si="312"/>
        <v>2.401168614573006</v>
      </c>
      <c r="R2666" s="48">
        <f t="shared" si="313"/>
        <v>5.9914437362016716E-2</v>
      </c>
      <c r="U2666" s="94">
        <v>2.401168614573006</v>
      </c>
      <c r="V2666" s="105">
        <v>5.9914437362016716E-2</v>
      </c>
      <c r="W2666" s="49">
        <f t="shared" si="314"/>
        <v>3.1002881493878385</v>
      </c>
    </row>
    <row r="2667" spans="1:23" hidden="1">
      <c r="A2667" s="22" t="s">
        <v>113</v>
      </c>
      <c r="B2667" s="23" t="s">
        <v>270</v>
      </c>
      <c r="C2667" s="23" t="s">
        <v>271</v>
      </c>
      <c r="D2667" s="23">
        <v>1994</v>
      </c>
      <c r="H2667" s="106">
        <v>307.96262688000002</v>
      </c>
      <c r="I2667" s="106"/>
      <c r="J2667" s="106"/>
      <c r="K2667" s="106">
        <v>38.491061700000003</v>
      </c>
      <c r="O2667" s="94">
        <f t="shared" si="312"/>
        <v>2.4884980154465195</v>
      </c>
      <c r="R2667" s="48">
        <f t="shared" si="313"/>
        <v>1.5853598904162913</v>
      </c>
      <c r="U2667" s="94">
        <v>2.4884980154465195</v>
      </c>
      <c r="V2667" s="105">
        <v>1.5853598904162913</v>
      </c>
      <c r="W2667" s="49">
        <f t="shared" si="314"/>
        <v>1.619008427854487</v>
      </c>
    </row>
    <row r="2668" spans="1:23" hidden="1">
      <c r="A2668" s="22" t="s">
        <v>113</v>
      </c>
      <c r="B2668" s="23" t="s">
        <v>270</v>
      </c>
      <c r="C2668" s="23" t="s">
        <v>271</v>
      </c>
      <c r="D2668" s="23">
        <v>1994</v>
      </c>
      <c r="H2668" s="106">
        <v>393.72177259</v>
      </c>
      <c r="I2668" s="106"/>
      <c r="J2668" s="106"/>
      <c r="K2668" s="106">
        <v>8.1479405099999997</v>
      </c>
      <c r="O2668" s="94">
        <f t="shared" si="312"/>
        <v>2.5951894316920359</v>
      </c>
      <c r="R2668" s="48">
        <f t="shared" si="313"/>
        <v>0.91104784945514583</v>
      </c>
      <c r="U2668" s="94">
        <v>2.5951894316920359</v>
      </c>
      <c r="V2668" s="105">
        <v>0.91104784945514583</v>
      </c>
      <c r="W2668" s="49">
        <f t="shared" si="314"/>
        <v>2.2302779799529522</v>
      </c>
    </row>
    <row r="2669" spans="1:23" hidden="1">
      <c r="A2669" s="22" t="s">
        <v>113</v>
      </c>
      <c r="B2669" s="23" t="s">
        <v>270</v>
      </c>
      <c r="C2669" s="23" t="s">
        <v>271</v>
      </c>
      <c r="D2669" s="23">
        <v>1994</v>
      </c>
      <c r="H2669" s="106">
        <v>350.80135426999999</v>
      </c>
      <c r="I2669" s="106"/>
      <c r="J2669" s="106"/>
      <c r="K2669" s="106">
        <v>16.312099499999999</v>
      </c>
      <c r="O2669" s="94">
        <f t="shared" si="312"/>
        <v>2.5450612612927848</v>
      </c>
      <c r="R2669" s="48">
        <f t="shared" si="313"/>
        <v>1.212509861873146</v>
      </c>
      <c r="U2669" s="94">
        <v>2.5450612612927848</v>
      </c>
      <c r="V2669" s="105">
        <v>1.212509861873146</v>
      </c>
      <c r="W2669" s="49">
        <f t="shared" si="314"/>
        <v>1.9577279864949888</v>
      </c>
    </row>
    <row r="2670" spans="1:23" hidden="1">
      <c r="A2670" s="22" t="s">
        <v>113</v>
      </c>
      <c r="B2670" s="23" t="s">
        <v>270</v>
      </c>
      <c r="C2670" s="23" t="s">
        <v>271</v>
      </c>
      <c r="D2670" s="23">
        <v>1994</v>
      </c>
      <c r="H2670" s="106">
        <v>139.54042197999999</v>
      </c>
      <c r="I2670" s="106"/>
      <c r="J2670" s="106"/>
      <c r="K2670" s="106">
        <v>10.76726884</v>
      </c>
      <c r="O2670" s="94">
        <f t="shared" si="312"/>
        <v>2.1447000319820124</v>
      </c>
      <c r="R2670" s="48">
        <f t="shared" si="313"/>
        <v>1.0321055567671131</v>
      </c>
      <c r="U2670" s="94">
        <v>2.1447000319820124</v>
      </c>
      <c r="V2670" s="105">
        <v>1.0321055567671131</v>
      </c>
      <c r="W2670" s="49">
        <f t="shared" si="314"/>
        <v>2.2497336902004514</v>
      </c>
    </row>
    <row r="2671" spans="1:23" hidden="1">
      <c r="A2671" s="22" t="s">
        <v>113</v>
      </c>
      <c r="B2671" s="23" t="s">
        <v>270</v>
      </c>
      <c r="C2671" s="23" t="s">
        <v>271</v>
      </c>
      <c r="D2671" s="23">
        <v>1994</v>
      </c>
      <c r="H2671" s="106">
        <v>337.55108428</v>
      </c>
      <c r="I2671" s="106"/>
      <c r="J2671" s="106"/>
      <c r="K2671" s="106">
        <v>34.107854060000001</v>
      </c>
      <c r="O2671" s="94">
        <f t="shared" si="312"/>
        <v>2.5283395073657648</v>
      </c>
      <c r="R2671" s="48">
        <f t="shared" si="313"/>
        <v>1.5328543960647432</v>
      </c>
      <c r="U2671" s="94">
        <v>2.5283395073657648</v>
      </c>
      <c r="V2671" s="105">
        <v>1.5328543960647432</v>
      </c>
      <c r="W2671" s="49">
        <f t="shared" si="314"/>
        <v>1.6571599119859137</v>
      </c>
    </row>
    <row r="2672" spans="1:23" hidden="1">
      <c r="A2672" s="22" t="s">
        <v>113</v>
      </c>
      <c r="B2672" s="23" t="s">
        <v>270</v>
      </c>
      <c r="C2672" s="23" t="s">
        <v>271</v>
      </c>
      <c r="D2672" s="23">
        <v>1994</v>
      </c>
      <c r="H2672" s="106">
        <v>7.4788531499999999</v>
      </c>
      <c r="I2672" s="106"/>
      <c r="J2672" s="106"/>
      <c r="K2672" s="106">
        <v>16.600613060000001</v>
      </c>
      <c r="O2672" s="94">
        <f t="shared" si="312"/>
        <v>0.87383500577714657</v>
      </c>
      <c r="R2672" s="48">
        <f t="shared" si="313"/>
        <v>1.2201241268146781</v>
      </c>
      <c r="U2672" s="94">
        <v>0.87383500577714657</v>
      </c>
      <c r="V2672" s="105">
        <v>1.2201241268146781</v>
      </c>
      <c r="W2672" s="49">
        <f t="shared" si="314"/>
        <v>2.4510381148600811</v>
      </c>
    </row>
    <row r="2673" spans="1:23" hidden="1">
      <c r="A2673" s="22" t="s">
        <v>113</v>
      </c>
      <c r="B2673" s="23" t="s">
        <v>270</v>
      </c>
      <c r="C2673" s="23" t="s">
        <v>271</v>
      </c>
      <c r="D2673" s="23">
        <v>1994</v>
      </c>
      <c r="H2673" s="106">
        <v>50.366595099999998</v>
      </c>
      <c r="I2673" s="106"/>
      <c r="J2673" s="106"/>
      <c r="K2673" s="106">
        <v>0.84247428999999996</v>
      </c>
      <c r="O2673" s="94">
        <f t="shared" si="312"/>
        <v>1.702142592524118</v>
      </c>
      <c r="R2673" s="48">
        <f t="shared" si="313"/>
        <v>-7.4443343728435543E-2</v>
      </c>
      <c r="U2673" s="94">
        <v>1.702142592524118</v>
      </c>
      <c r="V2673" s="105">
        <v>-7.4443343728435543E-2</v>
      </c>
      <c r="W2673" s="49">
        <f t="shared" si="314"/>
        <v>3.437827526413805</v>
      </c>
    </row>
    <row r="2674" spans="1:23" hidden="1">
      <c r="A2674" s="22" t="s">
        <v>113</v>
      </c>
      <c r="B2674" s="23" t="s">
        <v>270</v>
      </c>
      <c r="C2674" s="23" t="s">
        <v>271</v>
      </c>
      <c r="D2674" s="23">
        <v>1994</v>
      </c>
      <c r="H2674" s="106">
        <v>202.18103249999999</v>
      </c>
      <c r="I2674" s="106"/>
      <c r="J2674" s="106"/>
      <c r="K2674" s="106">
        <v>20.97264779</v>
      </c>
      <c r="O2674" s="94">
        <f t="shared" si="312"/>
        <v>2.3057404100731289</v>
      </c>
      <c r="R2674" s="48">
        <f t="shared" si="313"/>
        <v>1.321653263464611</v>
      </c>
      <c r="U2674" s="94">
        <v>2.3057404100731289</v>
      </c>
      <c r="V2674" s="105">
        <v>1.321653263464611</v>
      </c>
      <c r="W2674" s="49">
        <f t="shared" si="314"/>
        <v>1.9252985779501175</v>
      </c>
    </row>
    <row r="2675" spans="1:23" hidden="1">
      <c r="A2675" s="22" t="s">
        <v>113</v>
      </c>
      <c r="B2675" s="23" t="s">
        <v>270</v>
      </c>
      <c r="C2675" s="23" t="s">
        <v>271</v>
      </c>
      <c r="D2675" s="23">
        <v>1994</v>
      </c>
      <c r="H2675" s="106">
        <v>522.30330749999996</v>
      </c>
      <c r="I2675" s="106"/>
      <c r="J2675" s="106"/>
      <c r="K2675" s="106">
        <v>7.2596935599999997</v>
      </c>
      <c r="O2675" s="94">
        <f t="shared" si="312"/>
        <v>2.717922776027403</v>
      </c>
      <c r="R2675" s="48">
        <f t="shared" si="313"/>
        <v>0.86091828901829837</v>
      </c>
      <c r="U2675" s="94">
        <v>2.717922776027403</v>
      </c>
      <c r="V2675" s="105">
        <v>0.86091828901829837</v>
      </c>
      <c r="W2675" s="49">
        <f t="shared" si="314"/>
        <v>2.2413349117849477</v>
      </c>
    </row>
    <row r="2676" spans="1:23" hidden="1">
      <c r="A2676" s="22" t="s">
        <v>113</v>
      </c>
      <c r="B2676" s="23" t="s">
        <v>270</v>
      </c>
      <c r="C2676" s="23" t="s">
        <v>271</v>
      </c>
      <c r="D2676" s="23">
        <v>1994</v>
      </c>
      <c r="H2676" s="106">
        <v>33.799673069999997</v>
      </c>
      <c r="I2676" s="106"/>
      <c r="J2676" s="106"/>
      <c r="K2676" s="106">
        <v>25.05688979</v>
      </c>
      <c r="O2676" s="94">
        <f t="shared" si="312"/>
        <v>1.5289124995503871</v>
      </c>
      <c r="R2676" s="48">
        <f t="shared" si="313"/>
        <v>1.3989271627926696</v>
      </c>
      <c r="U2676" s="94">
        <v>1.5289124995503871</v>
      </c>
      <c r="V2676" s="105">
        <v>1.3989271627926696</v>
      </c>
      <c r="W2676" s="49">
        <f t="shared" si="314"/>
        <v>2.0842660745492427</v>
      </c>
    </row>
    <row r="2677" spans="1:23" hidden="1">
      <c r="A2677" s="22" t="s">
        <v>113</v>
      </c>
      <c r="B2677" s="23" t="s">
        <v>270</v>
      </c>
      <c r="C2677" s="23" t="s">
        <v>271</v>
      </c>
      <c r="D2677" s="23">
        <v>1994</v>
      </c>
      <c r="H2677" s="106">
        <v>264.78079756</v>
      </c>
      <c r="I2677" s="106"/>
      <c r="J2677" s="106"/>
      <c r="K2677" s="106">
        <v>3.7582453600000001</v>
      </c>
      <c r="O2677" s="94">
        <f t="shared" si="312"/>
        <v>2.422886485993784</v>
      </c>
      <c r="R2677" s="48">
        <f t="shared" si="313"/>
        <v>0.57498512994641915</v>
      </c>
      <c r="U2677" s="94">
        <v>2.422886485993784</v>
      </c>
      <c r="V2677" s="105">
        <v>0.57498512994641915</v>
      </c>
      <c r="W2677" s="49">
        <f t="shared" si="314"/>
        <v>2.6024571789814166</v>
      </c>
    </row>
    <row r="2678" spans="1:23" hidden="1">
      <c r="A2678" s="22" t="s">
        <v>113</v>
      </c>
      <c r="B2678" s="23" t="s">
        <v>270</v>
      </c>
      <c r="C2678" s="23" t="s">
        <v>271</v>
      </c>
      <c r="D2678" s="23">
        <v>1994</v>
      </c>
      <c r="H2678" s="106">
        <v>433.08046605999999</v>
      </c>
      <c r="I2678" s="106"/>
      <c r="J2678" s="106"/>
      <c r="K2678" s="106">
        <v>31.47374864</v>
      </c>
      <c r="O2678" s="94">
        <f t="shared" si="312"/>
        <v>2.636568595473848</v>
      </c>
      <c r="R2678" s="48">
        <f t="shared" si="313"/>
        <v>1.4979484720746936</v>
      </c>
      <c r="U2678" s="94">
        <v>2.636568595473848</v>
      </c>
      <c r="V2678" s="105">
        <v>1.4979484720746936</v>
      </c>
      <c r="W2678" s="49">
        <f t="shared" si="314"/>
        <v>1.6580393985560835</v>
      </c>
    </row>
    <row r="2679" spans="1:23" hidden="1">
      <c r="A2679" s="22" t="s">
        <v>113</v>
      </c>
      <c r="B2679" s="23" t="s">
        <v>270</v>
      </c>
      <c r="C2679" s="23" t="s">
        <v>271</v>
      </c>
      <c r="D2679" s="23">
        <v>1994</v>
      </c>
      <c r="H2679" s="106">
        <v>40.33494803</v>
      </c>
      <c r="I2679" s="106"/>
      <c r="J2679" s="106"/>
      <c r="K2679" s="106">
        <v>12.21560333</v>
      </c>
      <c r="O2679" s="94">
        <f t="shared" ref="O2679:O2742" si="315">LOG10(H2679)</f>
        <v>1.6056815017079213</v>
      </c>
      <c r="R2679" s="48">
        <f t="shared" ref="R2679:R2742" si="316">LOG10(K2679)</f>
        <v>1.0869149216916898</v>
      </c>
      <c r="U2679" s="94">
        <v>1.6056815017079213</v>
      </c>
      <c r="V2679" s="105">
        <v>1.0869149216916898</v>
      </c>
      <c r="W2679" s="49">
        <f t="shared" si="314"/>
        <v>2.3589003466718328</v>
      </c>
    </row>
    <row r="2680" spans="1:23" hidden="1">
      <c r="A2680" s="22" t="s">
        <v>113</v>
      </c>
      <c r="B2680" s="23" t="s">
        <v>270</v>
      </c>
      <c r="C2680" s="23" t="s">
        <v>271</v>
      </c>
      <c r="D2680" s="23">
        <v>1994</v>
      </c>
      <c r="H2680" s="106">
        <v>716.89928863</v>
      </c>
      <c r="I2680" s="106"/>
      <c r="J2680" s="106"/>
      <c r="K2680" s="106">
        <v>50.726848109999999</v>
      </c>
      <c r="O2680" s="94">
        <f t="shared" si="315"/>
        <v>2.8554581494413869</v>
      </c>
      <c r="R2680" s="48">
        <f t="shared" si="316"/>
        <v>1.7052378784624844</v>
      </c>
      <c r="U2680" s="94">
        <v>2.8554581494413869</v>
      </c>
      <c r="V2680" s="105">
        <v>1.7052378784624844</v>
      </c>
      <c r="W2680" s="49">
        <f t="shared" si="314"/>
        <v>1.3947432277064646</v>
      </c>
    </row>
    <row r="2681" spans="1:23" hidden="1">
      <c r="A2681" s="22" t="s">
        <v>113</v>
      </c>
      <c r="B2681" s="23" t="s">
        <v>270</v>
      </c>
      <c r="C2681" s="23" t="s">
        <v>271</v>
      </c>
      <c r="D2681" s="23">
        <v>1994</v>
      </c>
      <c r="H2681" s="106">
        <v>145.92865325</v>
      </c>
      <c r="I2681" s="106"/>
      <c r="J2681" s="106"/>
      <c r="K2681" s="106">
        <v>66.772779610000001</v>
      </c>
      <c r="O2681" s="94">
        <f t="shared" si="315"/>
        <v>2.1641405744609101</v>
      </c>
      <c r="R2681" s="48">
        <f t="shared" si="316"/>
        <v>1.8245994553731941</v>
      </c>
      <c r="U2681" s="94">
        <v>2.1641405744609101</v>
      </c>
      <c r="V2681" s="105">
        <v>1.8245994553731941</v>
      </c>
      <c r="W2681" s="49">
        <f t="shared" si="314"/>
        <v>1.4879508396103356</v>
      </c>
    </row>
    <row r="2682" spans="1:23" hidden="1">
      <c r="A2682" s="22" t="s">
        <v>113</v>
      </c>
      <c r="B2682" s="23" t="s">
        <v>270</v>
      </c>
      <c r="C2682" s="23" t="s">
        <v>271</v>
      </c>
      <c r="D2682" s="23">
        <v>1994</v>
      </c>
      <c r="H2682" s="106">
        <v>763.07917534000001</v>
      </c>
      <c r="I2682" s="106"/>
      <c r="J2682" s="106"/>
      <c r="K2682" s="106">
        <v>8.1291988400000008</v>
      </c>
      <c r="O2682" s="94">
        <f t="shared" si="315"/>
        <v>2.8825696016892546</v>
      </c>
      <c r="R2682" s="48">
        <f t="shared" si="316"/>
        <v>0.91004774651511888</v>
      </c>
      <c r="U2682" s="94">
        <v>2.8825696016892546</v>
      </c>
      <c r="V2682" s="105">
        <v>0.91004774651511888</v>
      </c>
      <c r="W2682" s="49">
        <f t="shared" si="314"/>
        <v>2.1451545476810949</v>
      </c>
    </row>
    <row r="2683" spans="1:23" hidden="1">
      <c r="A2683" s="22" t="s">
        <v>113</v>
      </c>
      <c r="B2683" s="23" t="s">
        <v>270</v>
      </c>
      <c r="C2683" s="23" t="s">
        <v>271</v>
      </c>
      <c r="D2683" s="23">
        <v>1994</v>
      </c>
      <c r="H2683" s="106">
        <v>267.99942048000003</v>
      </c>
      <c r="I2683" s="106"/>
      <c r="J2683" s="106"/>
      <c r="K2683" s="106">
        <v>14.25538162</v>
      </c>
      <c r="O2683" s="94">
        <f t="shared" si="315"/>
        <v>2.4281338549145715</v>
      </c>
      <c r="R2683" s="48">
        <f t="shared" si="316"/>
        <v>1.1539788479689985</v>
      </c>
      <c r="U2683" s="94">
        <v>2.4281338549145715</v>
      </c>
      <c r="V2683" s="105">
        <v>1.1539788479689985</v>
      </c>
      <c r="W2683" s="49">
        <f t="shared" si="314"/>
        <v>2.0485833552826271</v>
      </c>
    </row>
    <row r="2684" spans="1:23" hidden="1">
      <c r="A2684" s="22" t="s">
        <v>113</v>
      </c>
      <c r="B2684" s="23" t="s">
        <v>270</v>
      </c>
      <c r="C2684" s="23" t="s">
        <v>271</v>
      </c>
      <c r="D2684" s="23">
        <v>1994</v>
      </c>
      <c r="H2684" s="106">
        <v>502.29719702</v>
      </c>
      <c r="I2684" s="106"/>
      <c r="J2684" s="106"/>
      <c r="K2684" s="106">
        <v>5.2105444299999997</v>
      </c>
      <c r="O2684" s="94">
        <f t="shared" si="315"/>
        <v>2.700960754663345</v>
      </c>
      <c r="R2684" s="48">
        <f t="shared" si="316"/>
        <v>0.71688310345150907</v>
      </c>
      <c r="U2684" s="94">
        <v>2.700960754663345</v>
      </c>
      <c r="V2684" s="105">
        <v>0.71688310345150907</v>
      </c>
      <c r="W2684" s="49">
        <f t="shared" si="314"/>
        <v>2.3838106179613687</v>
      </c>
    </row>
    <row r="2685" spans="1:23" hidden="1">
      <c r="A2685" s="22" t="s">
        <v>113</v>
      </c>
      <c r="B2685" s="23" t="s">
        <v>270</v>
      </c>
      <c r="C2685" s="23" t="s">
        <v>271</v>
      </c>
      <c r="D2685" s="23">
        <v>1994</v>
      </c>
      <c r="H2685" s="106">
        <v>258.02495707000003</v>
      </c>
      <c r="I2685" s="106"/>
      <c r="J2685" s="106"/>
      <c r="K2685" s="106">
        <v>20.089086259999998</v>
      </c>
      <c r="O2685" s="94">
        <f t="shared" si="315"/>
        <v>2.4116617144655144</v>
      </c>
      <c r="R2685" s="48">
        <f t="shared" si="316"/>
        <v>1.3029601835743021</v>
      </c>
      <c r="U2685" s="94">
        <v>2.4116617144655144</v>
      </c>
      <c r="V2685" s="105">
        <v>1.3029601835743021</v>
      </c>
      <c r="W2685" s="49">
        <f t="shared" si="314"/>
        <v>1.9114038705278755</v>
      </c>
    </row>
    <row r="2686" spans="1:23" hidden="1">
      <c r="A2686" s="22" t="s">
        <v>113</v>
      </c>
      <c r="B2686" s="23" t="s">
        <v>270</v>
      </c>
      <c r="C2686" s="23" t="s">
        <v>271</v>
      </c>
      <c r="D2686" s="23">
        <v>1994</v>
      </c>
      <c r="H2686" s="106">
        <v>1030.2003703800001</v>
      </c>
      <c r="I2686" s="106"/>
      <c r="J2686" s="106"/>
      <c r="K2686" s="106">
        <v>26.213466960000002</v>
      </c>
      <c r="O2686" s="94">
        <f t="shared" si="315"/>
        <v>3.0129217016831364</v>
      </c>
      <c r="R2686" s="48">
        <f t="shared" si="316"/>
        <v>1.4185244639844798</v>
      </c>
      <c r="U2686" s="94">
        <v>3.0129217016831364</v>
      </c>
      <c r="V2686" s="105">
        <v>1.4185244639844798</v>
      </c>
      <c r="W2686" s="49">
        <f t="shared" si="314"/>
        <v>1.6210749462772438</v>
      </c>
    </row>
    <row r="2687" spans="1:23" hidden="1">
      <c r="A2687" s="22" t="s">
        <v>113</v>
      </c>
      <c r="B2687" s="23" t="s">
        <v>270</v>
      </c>
      <c r="C2687" s="23" t="s">
        <v>271</v>
      </c>
      <c r="D2687" s="23">
        <v>1994</v>
      </c>
      <c r="H2687" s="106">
        <v>66.3290042</v>
      </c>
      <c r="I2687" s="106"/>
      <c r="J2687" s="106"/>
      <c r="K2687" s="106">
        <v>12.207674170000001</v>
      </c>
      <c r="O2687" s="94">
        <f t="shared" si="315"/>
        <v>1.8217034772668459</v>
      </c>
      <c r="R2687" s="48">
        <f t="shared" si="316"/>
        <v>1.0866329291904691</v>
      </c>
      <c r="U2687" s="94">
        <v>1.8217034772668459</v>
      </c>
      <c r="V2687" s="105">
        <v>1.0866329291904691</v>
      </c>
      <c r="W2687" s="49">
        <f t="shared" ref="W2687:W2750" si="317">0.9539*(4.064-0.314*U2687-V2687)</f>
        <v>2.2944654434982508</v>
      </c>
    </row>
    <row r="2688" spans="1:23" hidden="1">
      <c r="A2688" s="22" t="s">
        <v>113</v>
      </c>
      <c r="B2688" s="23" t="s">
        <v>270</v>
      </c>
      <c r="C2688" s="23" t="s">
        <v>271</v>
      </c>
      <c r="D2688" s="23">
        <v>1994</v>
      </c>
      <c r="H2688" s="106">
        <v>251.12207289</v>
      </c>
      <c r="I2688" s="106"/>
      <c r="J2688" s="106"/>
      <c r="K2688" s="106">
        <v>64.135070020000001</v>
      </c>
      <c r="O2688" s="94">
        <f t="shared" si="315"/>
        <v>2.3998848875955106</v>
      </c>
      <c r="R2688" s="48">
        <f t="shared" si="316"/>
        <v>1.8070955732195162</v>
      </c>
      <c r="U2688" s="94">
        <v>2.3998848875955106</v>
      </c>
      <c r="V2688" s="105">
        <v>1.8070955732195162</v>
      </c>
      <c r="W2688" s="49">
        <f t="shared" si="317"/>
        <v>1.4340365717028134</v>
      </c>
    </row>
    <row r="2689" spans="1:23" hidden="1">
      <c r="A2689" s="22" t="s">
        <v>113</v>
      </c>
      <c r="B2689" s="23" t="s">
        <v>270</v>
      </c>
      <c r="C2689" s="23" t="s">
        <v>271</v>
      </c>
      <c r="D2689" s="23">
        <v>1994</v>
      </c>
      <c r="H2689" s="106">
        <v>59.614009170000003</v>
      </c>
      <c r="I2689" s="106"/>
      <c r="J2689" s="106"/>
      <c r="K2689" s="106">
        <v>13.07069194</v>
      </c>
      <c r="O2689" s="94">
        <f t="shared" si="315"/>
        <v>1.7753483300471979</v>
      </c>
      <c r="R2689" s="48">
        <f t="shared" si="316"/>
        <v>1.116298578993669</v>
      </c>
      <c r="U2689" s="94">
        <v>1.7753483300471979</v>
      </c>
      <c r="V2689" s="105">
        <v>1.116298578993669</v>
      </c>
      <c r="W2689" s="49">
        <f t="shared" si="317"/>
        <v>2.280051887079884</v>
      </c>
    </row>
    <row r="2690" spans="1:23" hidden="1">
      <c r="A2690" s="22" t="s">
        <v>113</v>
      </c>
      <c r="B2690" s="23" t="s">
        <v>270</v>
      </c>
      <c r="C2690" s="23" t="s">
        <v>271</v>
      </c>
      <c r="D2690" s="23">
        <v>1994</v>
      </c>
      <c r="H2690" s="106">
        <v>211.33858655</v>
      </c>
      <c r="I2690" s="106"/>
      <c r="J2690" s="106"/>
      <c r="K2690" s="106">
        <v>4.0226110100000003</v>
      </c>
      <c r="O2690" s="94">
        <f t="shared" si="315"/>
        <v>2.3249787984995574</v>
      </c>
      <c r="R2690" s="48">
        <f t="shared" si="316"/>
        <v>0.60450803794576002</v>
      </c>
      <c r="U2690" s="94">
        <v>2.3249787984995574</v>
      </c>
      <c r="V2690" s="105">
        <v>0.60450803794576002</v>
      </c>
      <c r="W2690" s="49">
        <f t="shared" si="317"/>
        <v>2.6036210379744791</v>
      </c>
    </row>
    <row r="2691" spans="1:23" hidden="1">
      <c r="A2691" s="22" t="s">
        <v>113</v>
      </c>
      <c r="B2691" s="23" t="s">
        <v>270</v>
      </c>
      <c r="C2691" s="23" t="s">
        <v>271</v>
      </c>
      <c r="D2691" s="23">
        <v>1994</v>
      </c>
      <c r="H2691" s="106">
        <v>359.68115912000002</v>
      </c>
      <c r="I2691" s="106"/>
      <c r="J2691" s="106"/>
      <c r="K2691" s="106">
        <v>48.077965599999999</v>
      </c>
      <c r="O2691" s="94">
        <f t="shared" si="315"/>
        <v>2.5559176891264825</v>
      </c>
      <c r="R2691" s="48">
        <f t="shared" si="316"/>
        <v>1.6819460823851407</v>
      </c>
      <c r="U2691" s="94">
        <v>2.5559176891264825</v>
      </c>
      <c r="V2691" s="105">
        <v>1.6819460823851407</v>
      </c>
      <c r="W2691" s="49">
        <f t="shared" si="317"/>
        <v>1.5066810085442801</v>
      </c>
    </row>
    <row r="2692" spans="1:23" hidden="1">
      <c r="A2692" s="22" t="s">
        <v>113</v>
      </c>
      <c r="B2692" s="23" t="s">
        <v>270</v>
      </c>
      <c r="C2692" s="23" t="s">
        <v>271</v>
      </c>
      <c r="D2692" s="23">
        <v>1994</v>
      </c>
      <c r="H2692" s="106">
        <v>108.6285714</v>
      </c>
      <c r="I2692" s="106"/>
      <c r="J2692" s="106"/>
      <c r="K2692" s="106">
        <v>9.5595124899999995</v>
      </c>
      <c r="O2692" s="94">
        <f t="shared" si="315"/>
        <v>2.035944068064921</v>
      </c>
      <c r="R2692" s="48">
        <f t="shared" si="316"/>
        <v>0.98043574496423436</v>
      </c>
      <c r="U2692" s="94">
        <v>2.035944068064921</v>
      </c>
      <c r="V2692" s="105">
        <v>0.98043574496423436</v>
      </c>
      <c r="W2692" s="49">
        <f t="shared" si="317"/>
        <v>2.3315966102690986</v>
      </c>
    </row>
    <row r="2693" spans="1:23" hidden="1">
      <c r="A2693" s="22" t="s">
        <v>113</v>
      </c>
      <c r="B2693" s="23" t="s">
        <v>270</v>
      </c>
      <c r="C2693" s="23" t="s">
        <v>271</v>
      </c>
      <c r="D2693" s="23">
        <v>1994</v>
      </c>
      <c r="H2693" s="106">
        <v>1045.9177066699999</v>
      </c>
      <c r="I2693" s="106"/>
      <c r="J2693" s="106"/>
      <c r="K2693" s="106">
        <v>23.266700060000002</v>
      </c>
      <c r="O2693" s="94">
        <f t="shared" si="315"/>
        <v>3.0194975153676973</v>
      </c>
      <c r="R2693" s="48">
        <f t="shared" si="316"/>
        <v>1.3667347912214067</v>
      </c>
      <c r="U2693" s="94">
        <v>3.0194975153676973</v>
      </c>
      <c r="V2693" s="105">
        <v>1.3667347912214067</v>
      </c>
      <c r="W2693" s="49">
        <f t="shared" si="317"/>
        <v>1.6685074971623965</v>
      </c>
    </row>
    <row r="2694" spans="1:23" hidden="1">
      <c r="A2694" s="22" t="s">
        <v>113</v>
      </c>
      <c r="B2694" s="23" t="s">
        <v>270</v>
      </c>
      <c r="C2694" s="23" t="s">
        <v>271</v>
      </c>
      <c r="D2694" s="23">
        <v>1994</v>
      </c>
      <c r="H2694" s="106">
        <v>728.99771640999995</v>
      </c>
      <c r="I2694" s="106"/>
      <c r="J2694" s="106"/>
      <c r="K2694" s="106">
        <v>7.7920290200000002</v>
      </c>
      <c r="O2694" s="94">
        <f t="shared" si="315"/>
        <v>2.8627261678898686</v>
      </c>
      <c r="R2694" s="48">
        <f t="shared" si="316"/>
        <v>0.89165056132466536</v>
      </c>
      <c r="U2694" s="94">
        <v>2.8627261678898686</v>
      </c>
      <c r="V2694" s="105">
        <v>0.89165056132466536</v>
      </c>
      <c r="W2694" s="49">
        <f t="shared" si="317"/>
        <v>2.1686472192056563</v>
      </c>
    </row>
    <row r="2695" spans="1:23" hidden="1">
      <c r="A2695" s="22" t="s">
        <v>113</v>
      </c>
      <c r="B2695" s="23" t="s">
        <v>270</v>
      </c>
      <c r="C2695" s="23" t="s">
        <v>271</v>
      </c>
      <c r="D2695" s="23">
        <v>1994</v>
      </c>
      <c r="H2695" s="106">
        <v>662.83622648999994</v>
      </c>
      <c r="I2695" s="106"/>
      <c r="J2695" s="106"/>
      <c r="K2695" s="106">
        <v>91.818135799999993</v>
      </c>
      <c r="O2695" s="94">
        <f t="shared" si="315"/>
        <v>2.821406236220994</v>
      </c>
      <c r="R2695" s="48">
        <f t="shared" si="316"/>
        <v>1.9629284709611285</v>
      </c>
      <c r="U2695" s="94">
        <v>2.821406236220994</v>
      </c>
      <c r="V2695" s="105">
        <v>1.9629284709611285</v>
      </c>
      <c r="W2695" s="49">
        <f t="shared" si="317"/>
        <v>1.1591315572085807</v>
      </c>
    </row>
    <row r="2696" spans="1:23" hidden="1">
      <c r="A2696" s="22" t="s">
        <v>113</v>
      </c>
      <c r="B2696" s="23" t="s">
        <v>270</v>
      </c>
      <c r="C2696" s="23" t="s">
        <v>271</v>
      </c>
      <c r="D2696" s="23">
        <v>1994</v>
      </c>
      <c r="H2696" s="106">
        <v>1062.10885039</v>
      </c>
      <c r="I2696" s="106"/>
      <c r="J2696" s="106"/>
      <c r="K2696" s="106">
        <v>88.605922000000007</v>
      </c>
      <c r="O2696" s="94">
        <f t="shared" si="315"/>
        <v>3.0261690277635771</v>
      </c>
      <c r="R2696" s="48">
        <f t="shared" si="316"/>
        <v>1.9474627490425065</v>
      </c>
      <c r="U2696" s="94">
        <v>3.0261690277635771</v>
      </c>
      <c r="V2696" s="105">
        <v>1.9474627490425065</v>
      </c>
      <c r="W2696" s="49">
        <f t="shared" si="317"/>
        <v>1.1125528161150791</v>
      </c>
    </row>
    <row r="2697" spans="1:23" hidden="1">
      <c r="A2697" s="22" t="s">
        <v>113</v>
      </c>
      <c r="B2697" s="23" t="s">
        <v>270</v>
      </c>
      <c r="C2697" s="23" t="s">
        <v>271</v>
      </c>
      <c r="D2697" s="23">
        <v>1994</v>
      </c>
      <c r="H2697" s="106">
        <v>365.67727389999999</v>
      </c>
      <c r="I2697" s="106"/>
      <c r="J2697" s="106"/>
      <c r="K2697" s="106">
        <v>38.417536699999999</v>
      </c>
      <c r="O2697" s="94">
        <f t="shared" si="315"/>
        <v>2.5630979706565746</v>
      </c>
      <c r="R2697" s="48">
        <f t="shared" si="316"/>
        <v>1.5845295148230774</v>
      </c>
      <c r="U2697" s="94">
        <v>2.5630979706565746</v>
      </c>
      <c r="V2697" s="105">
        <v>1.5845295148230774</v>
      </c>
      <c r="W2697" s="49">
        <f t="shared" si="317"/>
        <v>1.5974560013885442</v>
      </c>
    </row>
    <row r="2698" spans="1:23" hidden="1">
      <c r="A2698" s="22" t="s">
        <v>113</v>
      </c>
      <c r="B2698" s="23" t="s">
        <v>270</v>
      </c>
      <c r="C2698" s="23" t="s">
        <v>271</v>
      </c>
      <c r="D2698" s="23">
        <v>1994</v>
      </c>
      <c r="H2698" s="106">
        <v>708.90174589000003</v>
      </c>
      <c r="I2698" s="106"/>
      <c r="J2698" s="106"/>
      <c r="K2698" s="106">
        <v>107.55969541</v>
      </c>
      <c r="O2698" s="94">
        <f t="shared" si="315"/>
        <v>2.8505860459379524</v>
      </c>
      <c r="R2698" s="48">
        <f t="shared" si="316"/>
        <v>2.031649563707981</v>
      </c>
      <c r="U2698" s="94">
        <v>2.8505860459379524</v>
      </c>
      <c r="V2698" s="105">
        <v>2.031649563707981</v>
      </c>
      <c r="W2698" s="49">
        <f t="shared" si="317"/>
        <v>1.0848384360038104</v>
      </c>
    </row>
    <row r="2699" spans="1:23" hidden="1">
      <c r="A2699" s="22" t="s">
        <v>113</v>
      </c>
      <c r="B2699" s="23" t="s">
        <v>270</v>
      </c>
      <c r="C2699" s="23" t="s">
        <v>271</v>
      </c>
      <c r="D2699" s="23">
        <v>1994</v>
      </c>
      <c r="H2699" s="106">
        <v>306.23077902</v>
      </c>
      <c r="I2699" s="106"/>
      <c r="J2699" s="106"/>
      <c r="K2699" s="106">
        <v>64.960964880000006</v>
      </c>
      <c r="O2699" s="94">
        <f t="shared" si="315"/>
        <v>2.4860488391602842</v>
      </c>
      <c r="R2699" s="48">
        <f t="shared" si="316"/>
        <v>1.8126524669558348</v>
      </c>
      <c r="U2699" s="94">
        <v>2.4860488391602842</v>
      </c>
      <c r="V2699" s="105">
        <v>1.8126524669558348</v>
      </c>
      <c r="W2699" s="49">
        <f t="shared" si="317"/>
        <v>1.4029276276408809</v>
      </c>
    </row>
    <row r="2700" spans="1:23" hidden="1">
      <c r="A2700" s="22" t="s">
        <v>113</v>
      </c>
      <c r="B2700" s="23" t="s">
        <v>270</v>
      </c>
      <c r="C2700" s="23" t="s">
        <v>271</v>
      </c>
      <c r="D2700" s="23">
        <v>1994</v>
      </c>
      <c r="H2700" s="106">
        <v>1167.5228355500001</v>
      </c>
      <c r="I2700" s="106"/>
      <c r="J2700" s="106"/>
      <c r="K2700" s="106">
        <v>23.239308390000001</v>
      </c>
      <c r="O2700" s="94">
        <f t="shared" si="315"/>
        <v>3.067265383676153</v>
      </c>
      <c r="R2700" s="48">
        <f t="shared" si="316"/>
        <v>1.36622319915392</v>
      </c>
      <c r="U2700" s="94">
        <v>3.067265383676153</v>
      </c>
      <c r="V2700" s="105">
        <v>1.36622319915392</v>
      </c>
      <c r="W2700" s="49">
        <f t="shared" si="317"/>
        <v>1.6546878531876295</v>
      </c>
    </row>
    <row r="2701" spans="1:23" hidden="1">
      <c r="A2701" s="22" t="s">
        <v>113</v>
      </c>
      <c r="B2701" s="23" t="s">
        <v>270</v>
      </c>
      <c r="C2701" s="23" t="s">
        <v>271</v>
      </c>
      <c r="D2701" s="23">
        <v>1994</v>
      </c>
      <c r="H2701" s="106">
        <v>319.33400532000002</v>
      </c>
      <c r="I2701" s="106"/>
      <c r="J2701" s="106"/>
      <c r="K2701" s="106">
        <v>17.11060269</v>
      </c>
      <c r="O2701" s="94">
        <f t="shared" si="315"/>
        <v>2.5042451682622042</v>
      </c>
      <c r="R2701" s="48">
        <f t="shared" si="316"/>
        <v>1.2332653070473245</v>
      </c>
      <c r="U2701" s="94">
        <v>2.5042451682622042</v>
      </c>
      <c r="V2701" s="105">
        <v>1.2332653070473245</v>
      </c>
      <c r="W2701" s="49">
        <f t="shared" si="317"/>
        <v>1.9501547912818877</v>
      </c>
    </row>
    <row r="2702" spans="1:23" hidden="1">
      <c r="A2702" s="22" t="s">
        <v>113</v>
      </c>
      <c r="B2702" s="23" t="s">
        <v>270</v>
      </c>
      <c r="C2702" s="23" t="s">
        <v>271</v>
      </c>
      <c r="D2702" s="23">
        <v>1994</v>
      </c>
      <c r="H2702" s="106">
        <v>101.47244532000001</v>
      </c>
      <c r="I2702" s="106"/>
      <c r="J2702" s="106"/>
      <c r="K2702" s="106">
        <v>20.02493209</v>
      </c>
      <c r="O2702" s="94">
        <f t="shared" si="315"/>
        <v>2.0063481262874938</v>
      </c>
      <c r="R2702" s="48">
        <f t="shared" si="316"/>
        <v>1.301571051947872</v>
      </c>
      <c r="U2702" s="94">
        <v>2.0063481262874938</v>
      </c>
      <c r="V2702" s="105">
        <v>1.301571051947872</v>
      </c>
      <c r="W2702" s="49">
        <f t="shared" si="317"/>
        <v>2.034130353559914</v>
      </c>
    </row>
    <row r="2703" spans="1:23" hidden="1">
      <c r="A2703" s="22" t="s">
        <v>113</v>
      </c>
      <c r="B2703" s="23" t="s">
        <v>270</v>
      </c>
      <c r="C2703" s="23" t="s">
        <v>271</v>
      </c>
      <c r="D2703" s="23">
        <v>1994</v>
      </c>
      <c r="H2703" s="106">
        <v>550.30696072000001</v>
      </c>
      <c r="I2703" s="106"/>
      <c r="J2703" s="106"/>
      <c r="K2703" s="106">
        <v>28.194136919999998</v>
      </c>
      <c r="O2703" s="94">
        <f t="shared" si="315"/>
        <v>2.7406050061478227</v>
      </c>
      <c r="R2703" s="48">
        <f t="shared" si="316"/>
        <v>1.4501588044885305</v>
      </c>
      <c r="U2703" s="94">
        <v>2.7406050061478227</v>
      </c>
      <c r="V2703" s="105">
        <v>1.4501588044885305</v>
      </c>
      <c r="W2703" s="49">
        <f t="shared" si="317"/>
        <v>1.6724644981739665</v>
      </c>
    </row>
    <row r="2704" spans="1:23" hidden="1">
      <c r="A2704" s="22" t="s">
        <v>113</v>
      </c>
      <c r="B2704" s="23" t="s">
        <v>270</v>
      </c>
      <c r="C2704" s="23" t="s">
        <v>271</v>
      </c>
      <c r="D2704" s="23">
        <v>1994</v>
      </c>
      <c r="H2704" s="106">
        <v>42.050457710000003</v>
      </c>
      <c r="I2704" s="106"/>
      <c r="J2704" s="106"/>
      <c r="K2704" s="106">
        <v>88.585378250000005</v>
      </c>
      <c r="O2704" s="94">
        <f t="shared" si="315"/>
        <v>1.6237707273597446</v>
      </c>
      <c r="R2704" s="48">
        <f t="shared" si="316"/>
        <v>1.947362043903033</v>
      </c>
      <c r="U2704" s="94">
        <v>1.6237707273597446</v>
      </c>
      <c r="V2704" s="105">
        <v>1.947362043903033</v>
      </c>
      <c r="W2704" s="49">
        <f t="shared" si="317"/>
        <v>1.5327016687167603</v>
      </c>
    </row>
    <row r="2705" spans="1:23" hidden="1">
      <c r="A2705" s="22" t="s">
        <v>113</v>
      </c>
      <c r="B2705" s="23" t="s">
        <v>270</v>
      </c>
      <c r="C2705" s="23" t="s">
        <v>271</v>
      </c>
      <c r="D2705" s="23">
        <v>1994</v>
      </c>
      <c r="H2705" s="106">
        <v>976.01477183999998</v>
      </c>
      <c r="I2705" s="106"/>
      <c r="J2705" s="106"/>
      <c r="K2705" s="106">
        <v>8.9341895299999994</v>
      </c>
      <c r="O2705" s="94">
        <f t="shared" si="315"/>
        <v>2.989456390699532</v>
      </c>
      <c r="R2705" s="48">
        <f t="shared" si="316"/>
        <v>0.95105516136170587</v>
      </c>
      <c r="U2705" s="94">
        <v>2.989456390699532</v>
      </c>
      <c r="V2705" s="105">
        <v>0.95105516136170587</v>
      </c>
      <c r="W2705" s="49">
        <f t="shared" si="317"/>
        <v>2.0740223519353478</v>
      </c>
    </row>
    <row r="2706" spans="1:23" hidden="1">
      <c r="A2706" s="22" t="s">
        <v>113</v>
      </c>
      <c r="B2706" s="23" t="s">
        <v>270</v>
      </c>
      <c r="C2706" s="23" t="s">
        <v>271</v>
      </c>
      <c r="D2706" s="23">
        <v>1994</v>
      </c>
      <c r="H2706" s="106">
        <v>127.67889792</v>
      </c>
      <c r="I2706" s="106"/>
      <c r="J2706" s="106"/>
      <c r="K2706" s="106">
        <v>82.16347356</v>
      </c>
      <c r="O2706" s="94">
        <f t="shared" si="315"/>
        <v>2.1061191253433686</v>
      </c>
      <c r="R2706" s="48">
        <f t="shared" si="316"/>
        <v>1.9146787913006662</v>
      </c>
      <c r="U2706" s="94">
        <v>2.1061191253433686</v>
      </c>
      <c r="V2706" s="105">
        <v>1.9146787913006662</v>
      </c>
      <c r="W2706" s="49">
        <f t="shared" si="317"/>
        <v>1.4194030124074724</v>
      </c>
    </row>
    <row r="2707" spans="1:23" hidden="1">
      <c r="A2707" s="22" t="s">
        <v>113</v>
      </c>
      <c r="B2707" s="23" t="s">
        <v>270</v>
      </c>
      <c r="C2707" s="23" t="s">
        <v>271</v>
      </c>
      <c r="D2707" s="23">
        <v>1994</v>
      </c>
      <c r="H2707" s="106">
        <v>1038.5410150499999</v>
      </c>
      <c r="I2707" s="106"/>
      <c r="J2707" s="106"/>
      <c r="K2707" s="106">
        <v>95.583589230000001</v>
      </c>
      <c r="O2707" s="94">
        <f t="shared" si="315"/>
        <v>3.0164236527807464</v>
      </c>
      <c r="R2707" s="48">
        <f t="shared" si="316"/>
        <v>1.9803833345496655</v>
      </c>
      <c r="U2707" s="94">
        <v>3.0164236527807464</v>
      </c>
      <c r="V2707" s="105">
        <v>1.9803833345496655</v>
      </c>
      <c r="W2707" s="49">
        <f t="shared" si="317"/>
        <v>1.0840688491433823</v>
      </c>
    </row>
    <row r="2708" spans="1:23" hidden="1">
      <c r="A2708" s="22" t="s">
        <v>113</v>
      </c>
      <c r="B2708" s="23" t="s">
        <v>270</v>
      </c>
      <c r="C2708" s="23" t="s">
        <v>271</v>
      </c>
      <c r="D2708" s="23">
        <v>1994</v>
      </c>
      <c r="H2708" s="106">
        <v>289.32075505</v>
      </c>
      <c r="I2708" s="106"/>
      <c r="J2708" s="106"/>
      <c r="K2708" s="106">
        <v>24.09800117</v>
      </c>
      <c r="O2708" s="94">
        <f t="shared" si="315"/>
        <v>2.4613795898193156</v>
      </c>
      <c r="R2708" s="48">
        <f t="shared" si="316"/>
        <v>1.3819810211292196</v>
      </c>
      <c r="U2708" s="94">
        <v>2.4613795898193156</v>
      </c>
      <c r="V2708" s="105">
        <v>1.3819810211292196</v>
      </c>
      <c r="W2708" s="49">
        <f t="shared" si="317"/>
        <v>1.8211341668560426</v>
      </c>
    </row>
    <row r="2709" spans="1:23" hidden="1">
      <c r="A2709" s="22" t="s">
        <v>113</v>
      </c>
      <c r="B2709" s="23" t="s">
        <v>270</v>
      </c>
      <c r="C2709" s="23" t="s">
        <v>271</v>
      </c>
      <c r="D2709" s="23">
        <v>1994</v>
      </c>
      <c r="H2709" s="106">
        <v>431.11988357000001</v>
      </c>
      <c r="I2709" s="106"/>
      <c r="J2709" s="106"/>
      <c r="K2709" s="106">
        <v>101.70436577</v>
      </c>
      <c r="O2709" s="94">
        <f t="shared" si="315"/>
        <v>2.6345980533006399</v>
      </c>
      <c r="R2709" s="48">
        <f t="shared" si="316"/>
        <v>2.0073395958836602</v>
      </c>
      <c r="U2709" s="94">
        <v>2.6345980533006399</v>
      </c>
      <c r="V2709" s="105">
        <v>2.0073395958836602</v>
      </c>
      <c r="W2709" s="49">
        <f t="shared" si="317"/>
        <v>1.1727214314109238</v>
      </c>
    </row>
    <row r="2710" spans="1:23" hidden="1">
      <c r="A2710" s="22" t="s">
        <v>113</v>
      </c>
      <c r="B2710" s="23" t="s">
        <v>270</v>
      </c>
      <c r="C2710" s="23" t="s">
        <v>271</v>
      </c>
      <c r="D2710" s="23">
        <v>1994</v>
      </c>
      <c r="H2710" s="106">
        <v>328.80198492</v>
      </c>
      <c r="I2710" s="106"/>
      <c r="J2710" s="106"/>
      <c r="K2710" s="106">
        <v>51.521747130000001</v>
      </c>
      <c r="O2710" s="94">
        <f t="shared" si="315"/>
        <v>2.5169344306356556</v>
      </c>
      <c r="R2710" s="48">
        <f t="shared" si="316"/>
        <v>1.7119905817596146</v>
      </c>
      <c r="U2710" s="94">
        <v>2.5169344306356556</v>
      </c>
      <c r="V2710" s="105">
        <v>1.7119905817596146</v>
      </c>
      <c r="W2710" s="49">
        <f t="shared" si="317"/>
        <v>1.4896980054971309</v>
      </c>
    </row>
    <row r="2711" spans="1:23" hidden="1">
      <c r="A2711" s="22" t="s">
        <v>113</v>
      </c>
      <c r="B2711" s="23" t="s">
        <v>270</v>
      </c>
      <c r="C2711" s="23" t="s">
        <v>271</v>
      </c>
      <c r="D2711" s="23">
        <v>1994</v>
      </c>
      <c r="H2711" s="106">
        <v>64.744200019999994</v>
      </c>
      <c r="I2711" s="106"/>
      <c r="J2711" s="106"/>
      <c r="K2711" s="106">
        <v>35.761445860000002</v>
      </c>
      <c r="O2711" s="94">
        <f t="shared" si="315"/>
        <v>1.8112008690910335</v>
      </c>
      <c r="R2711" s="48">
        <f t="shared" si="316"/>
        <v>1.5534150693052455</v>
      </c>
      <c r="U2711" s="94">
        <v>1.8112008690910335</v>
      </c>
      <c r="V2711" s="105">
        <v>1.5534150693052455</v>
      </c>
      <c r="W2711" s="49">
        <f t="shared" si="317"/>
        <v>1.852347749555582</v>
      </c>
    </row>
    <row r="2712" spans="1:23" hidden="1">
      <c r="A2712" s="22" t="s">
        <v>113</v>
      </c>
      <c r="B2712" s="23" t="s">
        <v>270</v>
      </c>
      <c r="C2712" s="23" t="s">
        <v>271</v>
      </c>
      <c r="D2712" s="23">
        <v>1994</v>
      </c>
      <c r="H2712" s="106">
        <v>15.174139419999999</v>
      </c>
      <c r="I2712" s="106"/>
      <c r="J2712" s="106"/>
      <c r="K2712" s="106">
        <v>79.23256499</v>
      </c>
      <c r="O2712" s="94">
        <f t="shared" si="315"/>
        <v>1.1811040700442803</v>
      </c>
      <c r="R2712" s="48">
        <f t="shared" si="316"/>
        <v>1.8989037155374895</v>
      </c>
      <c r="U2712" s="94">
        <v>1.1811040700442803</v>
      </c>
      <c r="V2712" s="105">
        <v>1.8989037155374895</v>
      </c>
      <c r="W2712" s="49">
        <f t="shared" si="317"/>
        <v>1.7115156216104037</v>
      </c>
    </row>
    <row r="2713" spans="1:23" hidden="1">
      <c r="A2713" s="22" t="s">
        <v>113</v>
      </c>
      <c r="B2713" s="23" t="s">
        <v>270</v>
      </c>
      <c r="C2713" s="23" t="s">
        <v>271</v>
      </c>
      <c r="D2713" s="23">
        <v>1994</v>
      </c>
      <c r="H2713" s="106">
        <v>156.90791519000001</v>
      </c>
      <c r="I2713" s="106"/>
      <c r="J2713" s="106"/>
      <c r="K2713" s="106">
        <v>12.12477833</v>
      </c>
      <c r="O2713" s="94">
        <f t="shared" si="315"/>
        <v>2.1956448520422343</v>
      </c>
      <c r="R2713" s="48">
        <f t="shared" si="316"/>
        <v>1.0836738074031407</v>
      </c>
      <c r="U2713" s="94">
        <v>2.1956448520422343</v>
      </c>
      <c r="V2713" s="105">
        <v>1.0836738074031407</v>
      </c>
      <c r="W2713" s="49">
        <f t="shared" si="317"/>
        <v>2.1852835090681348</v>
      </c>
    </row>
    <row r="2714" spans="1:23" hidden="1">
      <c r="A2714" s="22" t="s">
        <v>113</v>
      </c>
      <c r="B2714" s="23" t="s">
        <v>270</v>
      </c>
      <c r="C2714" s="23" t="s">
        <v>271</v>
      </c>
      <c r="D2714" s="23">
        <v>1994</v>
      </c>
      <c r="H2714" s="106">
        <v>493.51542128</v>
      </c>
      <c r="I2714" s="106"/>
      <c r="J2714" s="106"/>
      <c r="K2714" s="106">
        <v>20.874254029999999</v>
      </c>
      <c r="O2714" s="94">
        <f t="shared" si="315"/>
        <v>2.6933007279725603</v>
      </c>
      <c r="R2714" s="48">
        <f t="shared" si="316"/>
        <v>1.3196109643260174</v>
      </c>
      <c r="U2714" s="94">
        <v>2.6933007279725603</v>
      </c>
      <c r="V2714" s="105">
        <v>1.3196109643260174</v>
      </c>
      <c r="W2714" s="49">
        <f t="shared" si="317"/>
        <v>1.8111628779037219</v>
      </c>
    </row>
    <row r="2715" spans="1:23" hidden="1">
      <c r="A2715" s="22" t="s">
        <v>113</v>
      </c>
      <c r="B2715" s="23" t="s">
        <v>270</v>
      </c>
      <c r="C2715" s="23" t="s">
        <v>271</v>
      </c>
      <c r="D2715" s="23">
        <v>1994</v>
      </c>
      <c r="H2715" s="106">
        <v>1186.4506256699999</v>
      </c>
      <c r="I2715" s="106"/>
      <c r="J2715" s="106"/>
      <c r="K2715" s="106">
        <v>11.53117203</v>
      </c>
      <c r="O2715" s="94">
        <f t="shared" si="315"/>
        <v>3.0742496696960147</v>
      </c>
      <c r="R2715" s="48">
        <f t="shared" si="316"/>
        <v>1.0618734512923589</v>
      </c>
      <c r="U2715" s="94">
        <v>3.0742496696960147</v>
      </c>
      <c r="V2715" s="105">
        <v>1.0618734512923589</v>
      </c>
      <c r="W2715" s="49">
        <f t="shared" si="317"/>
        <v>1.9429151121963881</v>
      </c>
    </row>
    <row r="2716" spans="1:23" hidden="1">
      <c r="A2716" s="22" t="s">
        <v>113</v>
      </c>
      <c r="B2716" s="23" t="s">
        <v>270</v>
      </c>
      <c r="C2716" s="23" t="s">
        <v>271</v>
      </c>
      <c r="D2716" s="23">
        <v>1994</v>
      </c>
      <c r="H2716" s="106">
        <v>635.13482973999999</v>
      </c>
      <c r="I2716" s="106"/>
      <c r="J2716" s="106"/>
      <c r="K2716" s="106">
        <v>22.906823989999999</v>
      </c>
      <c r="O2716" s="94">
        <f t="shared" si="315"/>
        <v>2.8028659293807499</v>
      </c>
      <c r="R2716" s="48">
        <f t="shared" si="316"/>
        <v>1.359964878834355</v>
      </c>
      <c r="U2716" s="94">
        <v>2.8028659293807499</v>
      </c>
      <c r="V2716" s="105">
        <v>1.359964878834355</v>
      </c>
      <c r="W2716" s="49">
        <f t="shared" si="317"/>
        <v>1.7398518057285113</v>
      </c>
    </row>
    <row r="2717" spans="1:23" hidden="1">
      <c r="A2717" s="22" t="s">
        <v>113</v>
      </c>
      <c r="B2717" s="23" t="s">
        <v>270</v>
      </c>
      <c r="C2717" s="23" t="s">
        <v>271</v>
      </c>
      <c r="D2717" s="23">
        <v>1994</v>
      </c>
      <c r="H2717" s="106">
        <v>347.97484785</v>
      </c>
      <c r="I2717" s="106"/>
      <c r="J2717" s="106"/>
      <c r="K2717" s="106">
        <v>87.087666670000004</v>
      </c>
      <c r="O2717" s="94">
        <f t="shared" si="315"/>
        <v>2.5415478536169118</v>
      </c>
      <c r="R2717" s="48">
        <f t="shared" si="316"/>
        <v>1.9399566547042968</v>
      </c>
      <c r="U2717" s="94">
        <v>2.5415478536169118</v>
      </c>
      <c r="V2717" s="105">
        <v>1.9399566547042968</v>
      </c>
      <c r="W2717" s="49">
        <f t="shared" si="317"/>
        <v>1.2648688428421073</v>
      </c>
    </row>
    <row r="2718" spans="1:23" hidden="1">
      <c r="A2718" s="22" t="s">
        <v>113</v>
      </c>
      <c r="B2718" s="23" t="s">
        <v>270</v>
      </c>
      <c r="C2718" s="23" t="s">
        <v>271</v>
      </c>
      <c r="D2718" s="23">
        <v>1994</v>
      </c>
      <c r="H2718" s="106">
        <v>110.32774289</v>
      </c>
      <c r="I2718" s="106"/>
      <c r="J2718" s="106"/>
      <c r="K2718" s="106">
        <v>126.46769589</v>
      </c>
      <c r="O2718" s="94">
        <f t="shared" si="315"/>
        <v>2.0426847333744642</v>
      </c>
      <c r="R2718" s="48">
        <f t="shared" si="316"/>
        <v>2.1019796062362137</v>
      </c>
      <c r="U2718" s="94">
        <v>2.0426847333744642</v>
      </c>
      <c r="V2718" s="105">
        <v>2.1019796062362137</v>
      </c>
      <c r="W2718" s="49">
        <f t="shared" si="317"/>
        <v>1.2597369259211828</v>
      </c>
    </row>
    <row r="2719" spans="1:23" hidden="1">
      <c r="A2719" s="22" t="s">
        <v>113</v>
      </c>
      <c r="B2719" s="23" t="s">
        <v>270</v>
      </c>
      <c r="C2719" s="23" t="s">
        <v>271</v>
      </c>
      <c r="D2719" s="23">
        <v>1994</v>
      </c>
      <c r="H2719" s="106">
        <v>935.37353066000003</v>
      </c>
      <c r="I2719" s="106"/>
      <c r="J2719" s="106"/>
      <c r="K2719" s="106">
        <v>23.184885470000001</v>
      </c>
      <c r="O2719" s="94">
        <f t="shared" si="315"/>
        <v>2.9709850760161984</v>
      </c>
      <c r="R2719" s="48">
        <f t="shared" si="316"/>
        <v>1.3652049548848375</v>
      </c>
      <c r="U2719" s="94">
        <v>2.9709850760161984</v>
      </c>
      <c r="V2719" s="105">
        <v>1.3652049548848375</v>
      </c>
      <c r="W2719" s="49">
        <f t="shared" si="317"/>
        <v>1.6844974770356318</v>
      </c>
    </row>
    <row r="2720" spans="1:23" hidden="1">
      <c r="A2720" s="22" t="s">
        <v>113</v>
      </c>
      <c r="B2720" s="23" t="s">
        <v>270</v>
      </c>
      <c r="C2720" s="23" t="s">
        <v>271</v>
      </c>
      <c r="D2720" s="23">
        <v>1994</v>
      </c>
      <c r="H2720" s="106">
        <v>766.97583304</v>
      </c>
      <c r="I2720" s="106"/>
      <c r="J2720" s="106"/>
      <c r="K2720" s="106">
        <v>67.23915882</v>
      </c>
      <c r="O2720" s="94">
        <f t="shared" si="315"/>
        <v>2.8847816797994041</v>
      </c>
      <c r="R2720" s="48">
        <f t="shared" si="316"/>
        <v>1.8276222716603929</v>
      </c>
      <c r="U2720" s="94">
        <v>2.8847816797994041</v>
      </c>
      <c r="V2720" s="105">
        <v>1.8276222716603929</v>
      </c>
      <c r="W2720" s="49">
        <f t="shared" si="317"/>
        <v>1.2692176363339067</v>
      </c>
    </row>
    <row r="2721" spans="1:23" hidden="1">
      <c r="A2721" s="22" t="s">
        <v>113</v>
      </c>
      <c r="B2721" s="23" t="s">
        <v>270</v>
      </c>
      <c r="C2721" s="23" t="s">
        <v>271</v>
      </c>
      <c r="D2721" s="23">
        <v>1994</v>
      </c>
      <c r="H2721" s="106">
        <v>394.03219815</v>
      </c>
      <c r="I2721" s="106"/>
      <c r="J2721" s="106"/>
      <c r="K2721" s="106">
        <v>30.768773580000001</v>
      </c>
      <c r="O2721" s="94">
        <f t="shared" si="315"/>
        <v>2.5955317114385954</v>
      </c>
      <c r="R2721" s="48">
        <f t="shared" si="316"/>
        <v>1.48811018594348</v>
      </c>
      <c r="U2721" s="94">
        <v>2.5955317114385954</v>
      </c>
      <c r="V2721" s="105">
        <v>1.48811018594348</v>
      </c>
      <c r="W2721" s="49">
        <f t="shared" si="317"/>
        <v>1.6797156959725537</v>
      </c>
    </row>
    <row r="2722" spans="1:23" hidden="1">
      <c r="A2722" s="22" t="s">
        <v>113</v>
      </c>
      <c r="B2722" s="23" t="s">
        <v>270</v>
      </c>
      <c r="C2722" s="23" t="s">
        <v>271</v>
      </c>
      <c r="D2722" s="23">
        <v>1994</v>
      </c>
      <c r="H2722" s="106">
        <v>991.31548435000002</v>
      </c>
      <c r="I2722" s="106"/>
      <c r="J2722" s="106"/>
      <c r="K2722" s="106">
        <v>12.970135689999999</v>
      </c>
      <c r="O2722" s="94">
        <f t="shared" si="315"/>
        <v>2.9962118899120482</v>
      </c>
      <c r="R2722" s="48">
        <f t="shared" si="316"/>
        <v>1.1129445195775263</v>
      </c>
      <c r="U2722" s="94">
        <v>2.9962118899120482</v>
      </c>
      <c r="V2722" s="105">
        <v>1.1129445195775263</v>
      </c>
      <c r="W2722" s="49">
        <f t="shared" si="317"/>
        <v>1.9175726549338477</v>
      </c>
    </row>
    <row r="2723" spans="1:23" hidden="1">
      <c r="A2723" s="22" t="s">
        <v>113</v>
      </c>
      <c r="B2723" s="23" t="s">
        <v>270</v>
      </c>
      <c r="C2723" s="23" t="s">
        <v>271</v>
      </c>
      <c r="D2723" s="23">
        <v>1994</v>
      </c>
      <c r="H2723" s="106">
        <v>7.8056169000000004</v>
      </c>
      <c r="I2723" s="106"/>
      <c r="J2723" s="106"/>
      <c r="K2723" s="106">
        <v>83.572162219999996</v>
      </c>
      <c r="O2723" s="94">
        <f t="shared" si="315"/>
        <v>0.89240723227717</v>
      </c>
      <c r="R2723" s="48">
        <f t="shared" si="316"/>
        <v>1.9220616385925287</v>
      </c>
      <c r="U2723" s="94">
        <v>0.89240723227717</v>
      </c>
      <c r="V2723" s="105">
        <v>1.9220616385925287</v>
      </c>
      <c r="W2723" s="49">
        <f t="shared" si="317"/>
        <v>1.7758970836616605</v>
      </c>
    </row>
    <row r="2724" spans="1:23" hidden="1">
      <c r="A2724" s="22" t="s">
        <v>113</v>
      </c>
      <c r="B2724" s="23" t="s">
        <v>270</v>
      </c>
      <c r="C2724" s="23" t="s">
        <v>271</v>
      </c>
      <c r="D2724" s="23">
        <v>1994</v>
      </c>
      <c r="H2724" s="106">
        <v>552.35740324000005</v>
      </c>
      <c r="I2724" s="106"/>
      <c r="J2724" s="106"/>
      <c r="K2724" s="106">
        <v>0.71020136</v>
      </c>
      <c r="O2724" s="94">
        <f t="shared" si="315"/>
        <v>2.7422201792275183</v>
      </c>
      <c r="R2724" s="48">
        <f t="shared" si="316"/>
        <v>-0.14861850038144661</v>
      </c>
      <c r="U2724" s="94">
        <v>2.7422201792275183</v>
      </c>
      <c r="V2724" s="105">
        <v>-0.14861850038144661</v>
      </c>
      <c r="W2724" s="49">
        <f t="shared" si="317"/>
        <v>3.1970543852188111</v>
      </c>
    </row>
    <row r="2725" spans="1:23" hidden="1">
      <c r="A2725" s="22" t="s">
        <v>113</v>
      </c>
      <c r="B2725" s="23" t="s">
        <v>270</v>
      </c>
      <c r="C2725" s="23" t="s">
        <v>271</v>
      </c>
      <c r="D2725" s="23">
        <v>1994</v>
      </c>
      <c r="H2725" s="106">
        <v>238.81124867</v>
      </c>
      <c r="I2725" s="106"/>
      <c r="J2725" s="106"/>
      <c r="K2725" s="106">
        <v>73.649169749999999</v>
      </c>
      <c r="O2725" s="94">
        <f t="shared" si="315"/>
        <v>2.3780547794098186</v>
      </c>
      <c r="R2725" s="48">
        <f t="shared" si="316"/>
        <v>1.8671678553873943</v>
      </c>
      <c r="U2725" s="94">
        <v>2.3780547794098186</v>
      </c>
      <c r="V2725" s="105">
        <v>1.8671678553873943</v>
      </c>
      <c r="W2725" s="49">
        <f t="shared" si="317"/>
        <v>1.3832722761651504</v>
      </c>
    </row>
    <row r="2726" spans="1:23" hidden="1">
      <c r="A2726" s="22" t="s">
        <v>113</v>
      </c>
      <c r="B2726" s="23" t="s">
        <v>270</v>
      </c>
      <c r="C2726" s="23" t="s">
        <v>271</v>
      </c>
      <c r="D2726" s="23">
        <v>1994</v>
      </c>
      <c r="H2726" s="106">
        <v>1585.1595821000001</v>
      </c>
      <c r="I2726" s="106"/>
      <c r="J2726" s="106"/>
      <c r="K2726" s="106">
        <v>85.027344630000002</v>
      </c>
      <c r="O2726" s="94">
        <f t="shared" si="315"/>
        <v>3.2000729902993448</v>
      </c>
      <c r="R2726" s="48">
        <f t="shared" si="316"/>
        <v>1.9295586164451797</v>
      </c>
      <c r="U2726" s="94">
        <v>3.2000729902993448</v>
      </c>
      <c r="V2726" s="105">
        <v>1.9295586164451797</v>
      </c>
      <c r="W2726" s="49">
        <f t="shared" si="317"/>
        <v>1.0775430533827277</v>
      </c>
    </row>
    <row r="2727" spans="1:23" hidden="1">
      <c r="A2727" s="22" t="s">
        <v>113</v>
      </c>
      <c r="B2727" s="23" t="s">
        <v>270</v>
      </c>
      <c r="C2727" s="23" t="s">
        <v>271</v>
      </c>
      <c r="D2727" s="23">
        <v>1994</v>
      </c>
      <c r="H2727" s="106">
        <v>1766.6686751100001</v>
      </c>
      <c r="I2727" s="106"/>
      <c r="J2727" s="106"/>
      <c r="K2727" s="106">
        <v>107.19189016999999</v>
      </c>
      <c r="O2727" s="94">
        <f t="shared" si="315"/>
        <v>3.2471551086105763</v>
      </c>
      <c r="R2727" s="48">
        <f t="shared" si="316"/>
        <v>2.0301619291286817</v>
      </c>
      <c r="U2727" s="94">
        <v>3.2471551086105763</v>
      </c>
      <c r="V2727" s="105">
        <v>2.0301619291286817</v>
      </c>
      <c r="W2727" s="49">
        <f t="shared" si="317"/>
        <v>0.96747530075961141</v>
      </c>
    </row>
    <row r="2728" spans="1:23" hidden="1">
      <c r="A2728" s="22" t="s">
        <v>113</v>
      </c>
      <c r="B2728" s="23" t="s">
        <v>270</v>
      </c>
      <c r="C2728" s="23" t="s">
        <v>271</v>
      </c>
      <c r="D2728" s="23">
        <v>1994</v>
      </c>
      <c r="H2728" s="106">
        <v>1423.31349763</v>
      </c>
      <c r="I2728" s="106"/>
      <c r="J2728" s="106"/>
      <c r="K2728" s="106">
        <v>77.430481510000007</v>
      </c>
      <c r="O2728" s="94">
        <f t="shared" si="315"/>
        <v>3.1533005678956219</v>
      </c>
      <c r="R2728" s="48">
        <f t="shared" si="316"/>
        <v>1.8889119599801241</v>
      </c>
      <c r="U2728" s="94">
        <v>3.1533005678956219</v>
      </c>
      <c r="V2728" s="105">
        <v>1.8889119599801241</v>
      </c>
      <c r="W2728" s="49">
        <f t="shared" si="317"/>
        <v>1.1303253900962507</v>
      </c>
    </row>
    <row r="2729" spans="1:23" hidden="1">
      <c r="A2729" s="22" t="s">
        <v>113</v>
      </c>
      <c r="B2729" s="23" t="s">
        <v>270</v>
      </c>
      <c r="C2729" s="23" t="s">
        <v>271</v>
      </c>
      <c r="D2729" s="23">
        <v>1994</v>
      </c>
      <c r="H2729" s="106">
        <v>1403.44626174</v>
      </c>
      <c r="I2729" s="106"/>
      <c r="J2729" s="106"/>
      <c r="K2729" s="106">
        <v>123.52597482</v>
      </c>
      <c r="O2729" s="94">
        <f t="shared" si="315"/>
        <v>3.1471957880594554</v>
      </c>
      <c r="R2729" s="48">
        <f t="shared" si="316"/>
        <v>2.0917582898618092</v>
      </c>
      <c r="U2729" s="94">
        <v>3.1471957880594554</v>
      </c>
      <c r="V2729" s="105">
        <v>2.0917582898618092</v>
      </c>
      <c r="W2729" s="49">
        <f t="shared" si="317"/>
        <v>0.93865880776062682</v>
      </c>
    </row>
    <row r="2730" spans="1:23" hidden="1">
      <c r="A2730" s="22" t="s">
        <v>113</v>
      </c>
      <c r="B2730" s="23" t="s">
        <v>270</v>
      </c>
      <c r="C2730" s="23" t="s">
        <v>271</v>
      </c>
      <c r="D2730" s="23">
        <v>1994</v>
      </c>
      <c r="H2730" s="106">
        <v>1505.7396530999999</v>
      </c>
      <c r="I2730" s="106"/>
      <c r="J2730" s="106"/>
      <c r="K2730" s="106">
        <v>109.51837994</v>
      </c>
      <c r="O2730" s="94">
        <f t="shared" si="315"/>
        <v>3.1777498875377774</v>
      </c>
      <c r="R2730" s="48">
        <f t="shared" si="316"/>
        <v>2.0394870108351899</v>
      </c>
      <c r="U2730" s="94">
        <v>3.1777498875377774</v>
      </c>
      <c r="V2730" s="105">
        <v>2.0394870108351899</v>
      </c>
      <c r="W2730" s="49">
        <f t="shared" si="317"/>
        <v>0.97936867639951453</v>
      </c>
    </row>
    <row r="2731" spans="1:23" hidden="1">
      <c r="A2731" s="22" t="s">
        <v>113</v>
      </c>
      <c r="B2731" s="23" t="s">
        <v>270</v>
      </c>
      <c r="C2731" s="23" t="s">
        <v>271</v>
      </c>
      <c r="D2731" s="23">
        <v>1994</v>
      </c>
      <c r="H2731" s="106">
        <v>512.32067499000004</v>
      </c>
      <c r="I2731" s="106"/>
      <c r="J2731" s="106"/>
      <c r="K2731" s="106">
        <v>19.65460393</v>
      </c>
      <c r="O2731" s="94">
        <f t="shared" si="315"/>
        <v>2.7095418824289292</v>
      </c>
      <c r="R2731" s="48">
        <f t="shared" si="316"/>
        <v>1.2934642965535348</v>
      </c>
      <c r="U2731" s="94">
        <v>2.7095418824289292</v>
      </c>
      <c r="V2731" s="105">
        <v>1.2934642965535348</v>
      </c>
      <c r="W2731" s="49">
        <f t="shared" si="317"/>
        <v>1.8312395589998109</v>
      </c>
    </row>
    <row r="2732" spans="1:23" hidden="1">
      <c r="A2732" s="22" t="s">
        <v>113</v>
      </c>
      <c r="B2732" s="23" t="s">
        <v>270</v>
      </c>
      <c r="C2732" s="23" t="s">
        <v>271</v>
      </c>
      <c r="D2732" s="23">
        <v>1994</v>
      </c>
      <c r="H2732" s="106">
        <v>89.872332249999999</v>
      </c>
      <c r="I2732" s="106"/>
      <c r="J2732" s="106"/>
      <c r="K2732" s="106">
        <v>66.918928579999999</v>
      </c>
      <c r="O2732" s="94">
        <f t="shared" si="315"/>
        <v>1.953626012083016</v>
      </c>
      <c r="R2732" s="48">
        <f t="shared" si="316"/>
        <v>1.8255489789801542</v>
      </c>
      <c r="U2732" s="94">
        <v>1.953626012083016</v>
      </c>
      <c r="V2732" s="105">
        <v>1.8255489789801542</v>
      </c>
      <c r="W2732" s="49">
        <f t="shared" si="317"/>
        <v>1.5500993791320701</v>
      </c>
    </row>
    <row r="2733" spans="1:23" hidden="1">
      <c r="A2733" s="22" t="s">
        <v>113</v>
      </c>
      <c r="B2733" s="23" t="s">
        <v>270</v>
      </c>
      <c r="C2733" s="23" t="s">
        <v>271</v>
      </c>
      <c r="D2733" s="23">
        <v>1994</v>
      </c>
      <c r="H2733" s="106">
        <v>885.21529532</v>
      </c>
      <c r="I2733" s="106"/>
      <c r="J2733" s="106"/>
      <c r="K2733" s="106">
        <v>69.543302749999995</v>
      </c>
      <c r="O2733" s="94">
        <f t="shared" si="315"/>
        <v>2.9470489093398187</v>
      </c>
      <c r="R2733" s="48">
        <f t="shared" si="316"/>
        <v>1.8422553123472269</v>
      </c>
      <c r="U2733" s="94">
        <v>2.9470489093398187</v>
      </c>
      <c r="V2733" s="105">
        <v>1.8422553123472269</v>
      </c>
      <c r="W2733" s="49">
        <f t="shared" si="317"/>
        <v>1.2366086118015349</v>
      </c>
    </row>
    <row r="2734" spans="1:23" hidden="1">
      <c r="A2734" s="22" t="s">
        <v>113</v>
      </c>
      <c r="B2734" s="23" t="s">
        <v>270</v>
      </c>
      <c r="C2734" s="23" t="s">
        <v>271</v>
      </c>
      <c r="D2734" s="23">
        <v>1994</v>
      </c>
      <c r="H2734" s="106">
        <v>1149.2240656500001</v>
      </c>
      <c r="I2734" s="106"/>
      <c r="J2734" s="106"/>
      <c r="K2734" s="106">
        <v>90.549108619999998</v>
      </c>
      <c r="O2734" s="94">
        <f t="shared" si="315"/>
        <v>3.0604047118809659</v>
      </c>
      <c r="R2734" s="48">
        <f t="shared" si="316"/>
        <v>1.9568841794063365</v>
      </c>
      <c r="U2734" s="94">
        <v>3.0604047118809659</v>
      </c>
      <c r="V2734" s="105">
        <v>1.9568841794063365</v>
      </c>
      <c r="W2734" s="49">
        <f t="shared" si="317"/>
        <v>1.0933112841000343</v>
      </c>
    </row>
    <row r="2735" spans="1:23" hidden="1">
      <c r="A2735" s="22" t="s">
        <v>113</v>
      </c>
      <c r="B2735" s="23" t="s">
        <v>270</v>
      </c>
      <c r="C2735" s="23" t="s">
        <v>271</v>
      </c>
      <c r="D2735" s="23">
        <v>1994</v>
      </c>
      <c r="H2735" s="106">
        <v>1878.39736971</v>
      </c>
      <c r="I2735" s="106"/>
      <c r="J2735" s="106"/>
      <c r="K2735" s="106">
        <v>184.48811620000001</v>
      </c>
      <c r="O2735" s="94">
        <f t="shared" si="315"/>
        <v>3.2737874714322817</v>
      </c>
      <c r="R2735" s="48">
        <f t="shared" si="316"/>
        <v>2.2659683963217159</v>
      </c>
      <c r="U2735" s="94">
        <v>3.2737874714322817</v>
      </c>
      <c r="V2735" s="105">
        <v>2.2659683963217159</v>
      </c>
      <c r="W2735" s="49">
        <f t="shared" si="317"/>
        <v>0.73456246388294955</v>
      </c>
    </row>
    <row r="2736" spans="1:23" hidden="1">
      <c r="A2736" s="22" t="s">
        <v>113</v>
      </c>
      <c r="B2736" s="23" t="s">
        <v>270</v>
      </c>
      <c r="C2736" s="23" t="s">
        <v>271</v>
      </c>
      <c r="D2736" s="23">
        <v>1994</v>
      </c>
      <c r="H2736" s="106">
        <v>907.99072855999998</v>
      </c>
      <c r="I2736" s="106"/>
      <c r="J2736" s="106"/>
      <c r="K2736" s="106">
        <v>57.565394490000003</v>
      </c>
      <c r="O2736" s="94">
        <f t="shared" si="315"/>
        <v>2.9580814139882783</v>
      </c>
      <c r="R2736" s="48">
        <f t="shared" si="316"/>
        <v>1.7601614851857583</v>
      </c>
      <c r="U2736" s="94">
        <v>2.9580814139882783</v>
      </c>
      <c r="V2736" s="105">
        <v>1.7601614851857583</v>
      </c>
      <c r="W2736" s="49">
        <f t="shared" si="317"/>
        <v>1.3116134069890319</v>
      </c>
    </row>
    <row r="2737" spans="1:23" hidden="1">
      <c r="A2737" s="22" t="s">
        <v>113</v>
      </c>
      <c r="B2737" s="23" t="s">
        <v>270</v>
      </c>
      <c r="C2737" s="23" t="s">
        <v>271</v>
      </c>
      <c r="D2737" s="23">
        <v>1994</v>
      </c>
      <c r="H2737" s="106">
        <v>409.58615256000002</v>
      </c>
      <c r="I2737" s="106"/>
      <c r="J2737" s="106"/>
      <c r="K2737" s="106">
        <v>30.429801680000001</v>
      </c>
      <c r="O2737" s="94">
        <f t="shared" si="315"/>
        <v>2.6123452654276402</v>
      </c>
      <c r="R2737" s="48">
        <f t="shared" si="316"/>
        <v>1.4832991219420542</v>
      </c>
      <c r="U2737" s="94">
        <v>2.6123452654276402</v>
      </c>
      <c r="V2737" s="105">
        <v>1.4832991219420542</v>
      </c>
      <c r="W2737" s="49">
        <f t="shared" si="317"/>
        <v>1.6792688968903668</v>
      </c>
    </row>
    <row r="2738" spans="1:23" hidden="1">
      <c r="A2738" s="22" t="s">
        <v>113</v>
      </c>
      <c r="B2738" s="23" t="s">
        <v>270</v>
      </c>
      <c r="C2738" s="23" t="s">
        <v>271</v>
      </c>
      <c r="D2738" s="23">
        <v>1994</v>
      </c>
      <c r="H2738" s="106">
        <v>1224.64930783</v>
      </c>
      <c r="I2738" s="106"/>
      <c r="J2738" s="106"/>
      <c r="K2738" s="106">
        <v>112.99351772</v>
      </c>
      <c r="O2738" s="94">
        <f t="shared" si="315"/>
        <v>3.0880117413706447</v>
      </c>
      <c r="R2738" s="48">
        <f t="shared" si="316"/>
        <v>2.0530535293313386</v>
      </c>
      <c r="U2738" s="94">
        <v>3.0880117413706447</v>
      </c>
      <c r="V2738" s="105">
        <v>2.0530535293313386</v>
      </c>
      <c r="W2738" s="49">
        <f t="shared" si="317"/>
        <v>0.99330635674149026</v>
      </c>
    </row>
    <row r="2739" spans="1:23" hidden="1">
      <c r="A2739" s="22" t="s">
        <v>113</v>
      </c>
      <c r="B2739" s="23" t="s">
        <v>270</v>
      </c>
      <c r="C2739" s="23" t="s">
        <v>271</v>
      </c>
      <c r="D2739" s="23">
        <v>1994</v>
      </c>
      <c r="H2739" s="106">
        <v>1475.4649918299999</v>
      </c>
      <c r="I2739" s="106"/>
      <c r="J2739" s="106"/>
      <c r="K2739" s="106">
        <v>63.392972049999997</v>
      </c>
      <c r="O2739" s="94">
        <f t="shared" si="315"/>
        <v>3.1689289095083462</v>
      </c>
      <c r="R2739" s="48">
        <f t="shared" si="316"/>
        <v>1.8020411132589216</v>
      </c>
      <c r="U2739" s="94">
        <v>3.1689289095083462</v>
      </c>
      <c r="V2739" s="105">
        <v>1.8020411132589216</v>
      </c>
      <c r="W2739" s="49">
        <f t="shared" si="317"/>
        <v>1.208510418013391</v>
      </c>
    </row>
    <row r="2740" spans="1:23" hidden="1">
      <c r="A2740" s="22" t="s">
        <v>113</v>
      </c>
      <c r="B2740" s="23" t="s">
        <v>270</v>
      </c>
      <c r="C2740" s="23" t="s">
        <v>271</v>
      </c>
      <c r="D2740" s="23">
        <v>1994</v>
      </c>
      <c r="H2740" s="106">
        <v>336.80769674999999</v>
      </c>
      <c r="I2740" s="106"/>
      <c r="J2740" s="106"/>
      <c r="K2740" s="106">
        <v>98.695607190000004</v>
      </c>
      <c r="O2740" s="94">
        <f t="shared" si="315"/>
        <v>2.5273820074649636</v>
      </c>
      <c r="R2740" s="48">
        <f t="shared" si="316"/>
        <v>1.9942978232309474</v>
      </c>
      <c r="U2740" s="94">
        <v>2.5273820074649636</v>
      </c>
      <c r="V2740" s="105">
        <v>1.9942978232309474</v>
      </c>
      <c r="W2740" s="49">
        <f t="shared" si="317"/>
        <v>1.2172758215868589</v>
      </c>
    </row>
    <row r="2741" spans="1:23" hidden="1">
      <c r="A2741" s="22" t="s">
        <v>113</v>
      </c>
      <c r="B2741" s="23" t="s">
        <v>270</v>
      </c>
      <c r="C2741" s="23" t="s">
        <v>271</v>
      </c>
      <c r="D2741" s="23">
        <v>1994</v>
      </c>
      <c r="H2741" s="106">
        <v>600.74294525000005</v>
      </c>
      <c r="I2741" s="106"/>
      <c r="J2741" s="106"/>
      <c r="K2741" s="106">
        <v>54.928045320000003</v>
      </c>
      <c r="O2741" s="94">
        <f t="shared" si="315"/>
        <v>2.7786886794226944</v>
      </c>
      <c r="R2741" s="48">
        <f t="shared" si="316"/>
        <v>1.7397941444092637</v>
      </c>
      <c r="U2741" s="94">
        <v>2.7786886794226944</v>
      </c>
      <c r="V2741" s="105">
        <v>1.7397941444092637</v>
      </c>
      <c r="W2741" s="49">
        <f t="shared" si="317"/>
        <v>1.3847743504193926</v>
      </c>
    </row>
    <row r="2742" spans="1:23" hidden="1">
      <c r="A2742" s="22" t="s">
        <v>113</v>
      </c>
      <c r="B2742" s="23" t="s">
        <v>270</v>
      </c>
      <c r="C2742" s="23" t="s">
        <v>271</v>
      </c>
      <c r="D2742" s="23">
        <v>1994</v>
      </c>
      <c r="H2742" s="106">
        <v>392.81500319000003</v>
      </c>
      <c r="I2742" s="106"/>
      <c r="J2742" s="106"/>
      <c r="K2742" s="106">
        <v>1.5342941400000001</v>
      </c>
      <c r="O2742" s="94">
        <f t="shared" si="315"/>
        <v>2.594188066890355</v>
      </c>
      <c r="R2742" s="48">
        <f t="shared" si="316"/>
        <v>0.18590862632304256</v>
      </c>
      <c r="U2742" s="94">
        <v>2.594188066890355</v>
      </c>
      <c r="V2742" s="105">
        <v>0.18590862632304256</v>
      </c>
      <c r="W2742" s="49">
        <f t="shared" si="317"/>
        <v>2.9222882182903427</v>
      </c>
    </row>
    <row r="2743" spans="1:23" hidden="1">
      <c r="A2743" s="22" t="s">
        <v>113</v>
      </c>
      <c r="B2743" s="23" t="s">
        <v>270</v>
      </c>
      <c r="C2743" s="23" t="s">
        <v>271</v>
      </c>
      <c r="D2743" s="23">
        <v>1994</v>
      </c>
      <c r="H2743" s="106">
        <v>1273.94978833</v>
      </c>
      <c r="I2743" s="106"/>
      <c r="J2743" s="106"/>
      <c r="K2743" s="106">
        <v>59.592918619999999</v>
      </c>
      <c r="O2743" s="94">
        <f t="shared" ref="O2743:O2791" si="318">LOG10(H2743)</f>
        <v>3.1051523109813193</v>
      </c>
      <c r="R2743" s="48">
        <f t="shared" ref="R2743:R2791" si="319">LOG10(K2743)</f>
        <v>1.7751946559319316</v>
      </c>
      <c r="U2743" s="94">
        <v>3.1051523109813193</v>
      </c>
      <c r="V2743" s="105">
        <v>1.7751946559319316</v>
      </c>
      <c r="W2743" s="49">
        <f t="shared" si="317"/>
        <v>1.2532219138207754</v>
      </c>
    </row>
    <row r="2744" spans="1:23" hidden="1">
      <c r="A2744" s="22" t="s">
        <v>113</v>
      </c>
      <c r="B2744" s="23" t="s">
        <v>270</v>
      </c>
      <c r="C2744" s="23" t="s">
        <v>271</v>
      </c>
      <c r="D2744" s="23">
        <v>1994</v>
      </c>
      <c r="H2744" s="106">
        <v>950.48635401000001</v>
      </c>
      <c r="I2744" s="106"/>
      <c r="J2744" s="106"/>
      <c r="K2744" s="106">
        <v>95.479068389999995</v>
      </c>
      <c r="O2744" s="94">
        <f t="shared" si="318"/>
        <v>2.9779458861454926</v>
      </c>
      <c r="R2744" s="48">
        <f t="shared" si="319"/>
        <v>1.9799081728498391</v>
      </c>
      <c r="U2744" s="94">
        <v>2.9779458861454926</v>
      </c>
      <c r="V2744" s="105">
        <v>1.9799081728498391</v>
      </c>
      <c r="W2744" s="49">
        <f t="shared" si="317"/>
        <v>1.0960471435491641</v>
      </c>
    </row>
    <row r="2745" spans="1:23" hidden="1">
      <c r="A2745" s="22" t="s">
        <v>113</v>
      </c>
      <c r="B2745" s="23" t="s">
        <v>270</v>
      </c>
      <c r="C2745" s="23" t="s">
        <v>271</v>
      </c>
      <c r="D2745" s="23">
        <v>1994</v>
      </c>
      <c r="H2745" s="106">
        <v>1244.10808903</v>
      </c>
      <c r="I2745" s="106"/>
      <c r="J2745" s="106"/>
      <c r="K2745" s="106">
        <v>132.81607557000001</v>
      </c>
      <c r="O2745" s="94">
        <f t="shared" si="318"/>
        <v>3.0948581138194511</v>
      </c>
      <c r="R2745" s="48">
        <f t="shared" si="319"/>
        <v>2.1232506436224954</v>
      </c>
      <c r="U2745" s="94">
        <v>3.0948581138194511</v>
      </c>
      <c r="V2745" s="105">
        <v>2.1232506436224954</v>
      </c>
      <c r="W2745" s="49">
        <f t="shared" si="317"/>
        <v>0.92429467244997621</v>
      </c>
    </row>
    <row r="2746" spans="1:23" hidden="1">
      <c r="A2746" s="22" t="s">
        <v>113</v>
      </c>
      <c r="B2746" s="23" t="s">
        <v>270</v>
      </c>
      <c r="C2746" s="23" t="s">
        <v>271</v>
      </c>
      <c r="D2746" s="23">
        <v>1994</v>
      </c>
      <c r="H2746" s="106">
        <v>13.00932959</v>
      </c>
      <c r="I2746" s="106"/>
      <c r="J2746" s="106"/>
      <c r="K2746" s="106">
        <v>1.23100349</v>
      </c>
      <c r="O2746" s="94">
        <f t="shared" si="318"/>
        <v>1.1142549166334124</v>
      </c>
      <c r="R2746" s="48">
        <f t="shared" si="319"/>
        <v>9.0259284194998901E-2</v>
      </c>
      <c r="U2746" s="94">
        <v>1.1142549166334124</v>
      </c>
      <c r="V2746" s="105">
        <v>9.0259284194998901E-2</v>
      </c>
      <c r="W2746" s="49">
        <f t="shared" si="317"/>
        <v>3.4568045106037344</v>
      </c>
    </row>
    <row r="2747" spans="1:23" hidden="1">
      <c r="A2747" s="22" t="s">
        <v>113</v>
      </c>
      <c r="B2747" s="23" t="s">
        <v>270</v>
      </c>
      <c r="C2747" s="23" t="s">
        <v>271</v>
      </c>
      <c r="D2747" s="23">
        <v>1994</v>
      </c>
      <c r="H2747" s="106">
        <v>2012.9014975499999</v>
      </c>
      <c r="I2747" s="106"/>
      <c r="J2747" s="106"/>
      <c r="K2747" s="106">
        <v>98.090107140000001</v>
      </c>
      <c r="O2747" s="94">
        <f t="shared" si="318"/>
        <v>3.3038225229675513</v>
      </c>
      <c r="R2747" s="48">
        <f t="shared" si="319"/>
        <v>1.9916252088971962</v>
      </c>
      <c r="U2747" s="94">
        <v>3.3038225229675513</v>
      </c>
      <c r="V2747" s="105">
        <v>1.9916252088971962</v>
      </c>
      <c r="W2747" s="49">
        <f t="shared" si="317"/>
        <v>0.98726219357011791</v>
      </c>
    </row>
    <row r="2748" spans="1:23" hidden="1">
      <c r="A2748" s="22" t="s">
        <v>113</v>
      </c>
      <c r="B2748" s="23" t="s">
        <v>270</v>
      </c>
      <c r="C2748" s="23" t="s">
        <v>271</v>
      </c>
      <c r="D2748" s="23">
        <v>1994</v>
      </c>
      <c r="H2748" s="106">
        <v>867.66808203999994</v>
      </c>
      <c r="I2748" s="106"/>
      <c r="J2748" s="106"/>
      <c r="K2748" s="106">
        <v>120.55506</v>
      </c>
      <c r="O2748" s="94">
        <f t="shared" si="318"/>
        <v>2.9383536218279067</v>
      </c>
      <c r="R2748" s="48">
        <f t="shared" si="319"/>
        <v>2.0811854435310573</v>
      </c>
      <c r="U2748" s="94">
        <v>2.9383536218279067</v>
      </c>
      <c r="V2748" s="105">
        <v>2.0811854435310573</v>
      </c>
      <c r="W2748" s="49">
        <f t="shared" si="317"/>
        <v>1.0112976121791697</v>
      </c>
    </row>
    <row r="2749" spans="1:23" hidden="1">
      <c r="A2749" s="22" t="s">
        <v>113</v>
      </c>
      <c r="B2749" s="23" t="s">
        <v>270</v>
      </c>
      <c r="C2749" s="23" t="s">
        <v>271</v>
      </c>
      <c r="D2749" s="23">
        <v>1994</v>
      </c>
      <c r="H2749" s="106">
        <v>1233.83953825</v>
      </c>
      <c r="I2749" s="106"/>
      <c r="J2749" s="106"/>
      <c r="K2749" s="106">
        <v>65.404637840000007</v>
      </c>
      <c r="O2749" s="94">
        <f t="shared" si="318"/>
        <v>3.0912586830490456</v>
      </c>
      <c r="R2749" s="48">
        <f t="shared" si="319"/>
        <v>1.8156085452188431</v>
      </c>
      <c r="U2749" s="94">
        <v>3.0912586830490456</v>
      </c>
      <c r="V2749" s="105">
        <v>1.8156085452188431</v>
      </c>
      <c r="W2749" s="49">
        <f t="shared" si="317"/>
        <v>1.2188325881789535</v>
      </c>
    </row>
    <row r="2750" spans="1:23" hidden="1">
      <c r="A2750" s="22" t="s">
        <v>113</v>
      </c>
      <c r="B2750" s="23" t="s">
        <v>270</v>
      </c>
      <c r="C2750" s="23" t="s">
        <v>271</v>
      </c>
      <c r="D2750" s="23">
        <v>1994</v>
      </c>
      <c r="H2750" s="106">
        <v>1009.40185781</v>
      </c>
      <c r="I2750" s="106"/>
      <c r="J2750" s="106"/>
      <c r="K2750" s="106">
        <v>44.105632989999997</v>
      </c>
      <c r="O2750" s="94">
        <f t="shared" si="318"/>
        <v>3.0040640997199266</v>
      </c>
      <c r="R2750" s="48">
        <f t="shared" si="319"/>
        <v>1.6444940593146955</v>
      </c>
      <c r="U2750" s="94">
        <v>3.0040640997199266</v>
      </c>
      <c r="V2750" s="105">
        <v>1.6444940593146955</v>
      </c>
      <c r="W2750" s="49">
        <f t="shared" si="317"/>
        <v>1.4081756189767409</v>
      </c>
    </row>
    <row r="2751" spans="1:23" hidden="1">
      <c r="A2751" s="22" t="s">
        <v>113</v>
      </c>
      <c r="B2751" s="23" t="s">
        <v>270</v>
      </c>
      <c r="C2751" s="23" t="s">
        <v>271</v>
      </c>
      <c r="D2751" s="23">
        <v>1994</v>
      </c>
      <c r="H2751" s="106">
        <v>2134.6863465000001</v>
      </c>
      <c r="I2751" s="106"/>
      <c r="J2751" s="106"/>
      <c r="K2751" s="106">
        <v>166.63901996999999</v>
      </c>
      <c r="O2751" s="94">
        <f t="shared" si="318"/>
        <v>3.329334072339416</v>
      </c>
      <c r="R2751" s="48">
        <f t="shared" si="319"/>
        <v>2.22177670279379</v>
      </c>
      <c r="U2751" s="94">
        <v>3.329334072339416</v>
      </c>
      <c r="V2751" s="105">
        <v>2.22177670279379</v>
      </c>
      <c r="W2751" s="49">
        <f t="shared" ref="W2751:W2798" si="320">0.9539*(4.064-0.314*U2751-V2751)</f>
        <v>0.76007934692116874</v>
      </c>
    </row>
    <row r="2752" spans="1:23" hidden="1">
      <c r="A2752" s="22" t="s">
        <v>113</v>
      </c>
      <c r="B2752" s="23" t="s">
        <v>270</v>
      </c>
      <c r="C2752" s="23" t="s">
        <v>271</v>
      </c>
      <c r="D2752" s="23">
        <v>1994</v>
      </c>
      <c r="H2752" s="106">
        <v>1408.4865925500001</v>
      </c>
      <c r="I2752" s="106"/>
      <c r="J2752" s="106"/>
      <c r="K2752" s="106">
        <v>96.903254959999998</v>
      </c>
      <c r="O2752" s="94">
        <f t="shared" si="318"/>
        <v>3.1487527172719059</v>
      </c>
      <c r="R2752" s="48">
        <f t="shared" si="319"/>
        <v>1.9863383651562876</v>
      </c>
      <c r="U2752" s="94">
        <v>3.1487527172719059</v>
      </c>
      <c r="V2752" s="105">
        <v>1.9863383651562876</v>
      </c>
      <c r="W2752" s="49">
        <f t="shared" si="320"/>
        <v>1.0387525353376366</v>
      </c>
    </row>
    <row r="2753" spans="1:23" hidden="1">
      <c r="A2753" s="22" t="s">
        <v>113</v>
      </c>
      <c r="B2753" s="23" t="s">
        <v>270</v>
      </c>
      <c r="C2753" s="23" t="s">
        <v>271</v>
      </c>
      <c r="D2753" s="23">
        <v>1994</v>
      </c>
      <c r="H2753" s="106">
        <v>98.163962359999999</v>
      </c>
      <c r="I2753" s="106"/>
      <c r="J2753" s="106"/>
      <c r="K2753" s="106">
        <v>26.003704450000001</v>
      </c>
      <c r="O2753" s="94">
        <f t="shared" si="318"/>
        <v>1.9919520802441355</v>
      </c>
      <c r="R2753" s="48">
        <f t="shared" si="319"/>
        <v>1.4150352213397721</v>
      </c>
      <c r="U2753" s="94">
        <v>1.9919520802441355</v>
      </c>
      <c r="V2753" s="105">
        <v>1.4150352213397721</v>
      </c>
      <c r="W2753" s="49">
        <f t="shared" si="320"/>
        <v>1.9302088523096987</v>
      </c>
    </row>
    <row r="2754" spans="1:23" hidden="1">
      <c r="A2754" s="22" t="s">
        <v>113</v>
      </c>
      <c r="B2754" s="23" t="s">
        <v>270</v>
      </c>
      <c r="C2754" s="23" t="s">
        <v>271</v>
      </c>
      <c r="D2754" s="23">
        <v>1994</v>
      </c>
      <c r="H2754" s="106">
        <v>268.71830073000001</v>
      </c>
      <c r="I2754" s="106"/>
      <c r="J2754" s="106"/>
      <c r="K2754" s="106">
        <v>19.828504989999999</v>
      </c>
      <c r="O2754" s="94">
        <f t="shared" si="318"/>
        <v>2.4292972445329322</v>
      </c>
      <c r="R2754" s="48">
        <f t="shared" si="319"/>
        <v>1.297289970934024</v>
      </c>
      <c r="U2754" s="94">
        <v>2.4292972445329322</v>
      </c>
      <c r="V2754" s="105">
        <v>1.297289970934024</v>
      </c>
      <c r="W2754" s="49">
        <f t="shared" si="320"/>
        <v>1.9115304112762057</v>
      </c>
    </row>
    <row r="2755" spans="1:23">
      <c r="A2755" s="22" t="s">
        <v>182</v>
      </c>
      <c r="B2755" s="23" t="s">
        <v>270</v>
      </c>
      <c r="C2755" s="23" t="s">
        <v>272</v>
      </c>
      <c r="D2755" s="26">
        <v>1984</v>
      </c>
      <c r="H2755" s="46">
        <v>1021.96474633</v>
      </c>
      <c r="I2755" s="46">
        <v>1805.0501022399999</v>
      </c>
      <c r="J2755" s="46">
        <f t="shared" ref="J2755:J2791" si="321">H2755+3*(I2755-H2755)</f>
        <v>3371.2208140599996</v>
      </c>
      <c r="K2755" s="104">
        <v>12.25534538</v>
      </c>
      <c r="L2755" s="104">
        <v>23.18272176</v>
      </c>
      <c r="M2755" s="46">
        <f t="shared" ref="M2755:M2791" si="322">L2755+3*(L2755-K2755)</f>
        <v>55.964850900000002</v>
      </c>
      <c r="O2755" s="94">
        <f t="shared" si="318"/>
        <v>3.0094359146456413</v>
      </c>
      <c r="P2755" s="94">
        <f t="shared" ref="P2755:P2774" si="323">LOG10(I2755)</f>
        <v>3.2564892609920255</v>
      </c>
      <c r="Q2755" s="94">
        <f t="shared" ref="Q2755:Q2774" si="324">LOG10(J2755)</f>
        <v>3.5277871996248162</v>
      </c>
      <c r="R2755" s="48">
        <f t="shared" si="319"/>
        <v>1.0883255550425674</v>
      </c>
      <c r="S2755" s="48">
        <f t="shared" ref="S2755:S2756" si="325">LOG10(L2755)</f>
        <v>1.3651644228250543</v>
      </c>
      <c r="T2755" s="48">
        <f t="shared" ref="T2755:T2756" si="326">LOG10(M2755)</f>
        <v>1.7479153510627659</v>
      </c>
      <c r="U2755" s="53">
        <v>3.5277871996248162</v>
      </c>
      <c r="V2755" s="53">
        <v>1.7479153510627659</v>
      </c>
      <c r="W2755" s="49">
        <f t="shared" si="320"/>
        <v>1.1526540967684846</v>
      </c>
    </row>
    <row r="2756" spans="1:23">
      <c r="A2756" s="22" t="s">
        <v>182</v>
      </c>
      <c r="B2756" s="23" t="s">
        <v>270</v>
      </c>
      <c r="C2756" s="23" t="s">
        <v>273</v>
      </c>
      <c r="D2756" s="26">
        <v>1984</v>
      </c>
      <c r="H2756" s="46">
        <v>21.915423199999999</v>
      </c>
      <c r="I2756" s="46">
        <v>37.01627156</v>
      </c>
      <c r="J2756" s="46">
        <f t="shared" si="321"/>
        <v>67.217968280000008</v>
      </c>
      <c r="K2756" s="104">
        <v>0.67839338999999999</v>
      </c>
      <c r="L2756" s="104">
        <v>1.0018159099999999</v>
      </c>
      <c r="M2756" s="46">
        <f t="shared" si="322"/>
        <v>1.9720834699999998</v>
      </c>
      <c r="O2756" s="94">
        <f t="shared" si="318"/>
        <v>1.3407498615585451</v>
      </c>
      <c r="P2756" s="94">
        <f t="shared" si="323"/>
        <v>1.5683926725891202</v>
      </c>
      <c r="Q2756" s="94">
        <f t="shared" si="324"/>
        <v>1.8274853814134386</v>
      </c>
      <c r="R2756" s="48">
        <f t="shared" si="319"/>
        <v>-0.16851839232638793</v>
      </c>
      <c r="S2756" s="48">
        <f t="shared" si="325"/>
        <v>7.8792450895601011E-4</v>
      </c>
      <c r="T2756" s="48">
        <f t="shared" si="326"/>
        <v>0.29492529285327895</v>
      </c>
      <c r="U2756" s="53">
        <v>1.8274853814134386</v>
      </c>
      <c r="V2756" s="53">
        <v>0.29492529285327895</v>
      </c>
      <c r="W2756" s="49">
        <f t="shared" si="320"/>
        <v>3.0479435352735491</v>
      </c>
    </row>
    <row r="2757" spans="1:23">
      <c r="A2757" s="22" t="s">
        <v>182</v>
      </c>
      <c r="B2757" s="23" t="s">
        <v>270</v>
      </c>
      <c r="C2757" s="23" t="s">
        <v>274</v>
      </c>
      <c r="D2757" s="26">
        <v>1984</v>
      </c>
      <c r="H2757" s="46">
        <v>44.151683970000001</v>
      </c>
      <c r="I2757" s="46">
        <v>69.320927069999996</v>
      </c>
      <c r="J2757" s="46">
        <f t="shared" si="321"/>
        <v>119.65941326999999</v>
      </c>
      <c r="K2757" s="104">
        <v>0</v>
      </c>
      <c r="L2757" s="104">
        <v>0</v>
      </c>
      <c r="M2757" s="46">
        <f t="shared" si="322"/>
        <v>0</v>
      </c>
      <c r="O2757" s="94">
        <f t="shared" si="318"/>
        <v>1.6449472724647012</v>
      </c>
      <c r="P2757" s="94">
        <f t="shared" si="323"/>
        <v>1.840864362159206</v>
      </c>
      <c r="Q2757" s="94">
        <f t="shared" si="324"/>
        <v>2.0779468690206016</v>
      </c>
      <c r="R2757" s="48"/>
      <c r="S2757" s="48"/>
      <c r="T2757" s="48"/>
      <c r="U2757" s="53">
        <v>2.0779468690206016</v>
      </c>
      <c r="V2757" s="53"/>
      <c r="W2757" s="49"/>
    </row>
    <row r="2758" spans="1:23">
      <c r="A2758" s="22" t="s">
        <v>182</v>
      </c>
      <c r="B2758" s="23" t="s">
        <v>270</v>
      </c>
      <c r="C2758" s="23" t="s">
        <v>275</v>
      </c>
      <c r="D2758" s="26">
        <v>1984</v>
      </c>
      <c r="H2758" s="46">
        <v>471.77771702000001</v>
      </c>
      <c r="I2758" s="46">
        <v>771.41621337000004</v>
      </c>
      <c r="J2758" s="46">
        <f t="shared" si="321"/>
        <v>1370.6932060700001</v>
      </c>
      <c r="K2758" s="104">
        <v>4.5552611599999997</v>
      </c>
      <c r="L2758" s="104">
        <v>7.50275582</v>
      </c>
      <c r="M2758" s="46">
        <f t="shared" si="322"/>
        <v>16.345239800000002</v>
      </c>
      <c r="O2758" s="94">
        <f t="shared" si="318"/>
        <v>2.6737374244601502</v>
      </c>
      <c r="P2758" s="94">
        <f t="shared" si="323"/>
        <v>2.8872887624832599</v>
      </c>
      <c r="Q2758" s="94">
        <f t="shared" si="324"/>
        <v>3.1369402601718641</v>
      </c>
      <c r="R2758" s="48">
        <f t="shared" si="319"/>
        <v>0.6585132807811469</v>
      </c>
      <c r="S2758" s="48">
        <f t="shared" ref="S2758:S2762" si="327">LOG10(L2758)</f>
        <v>0.87522081240348681</v>
      </c>
      <c r="T2758" s="48">
        <f t="shared" ref="T2758:T2762" si="328">LOG10(M2758)</f>
        <v>1.213391296470552</v>
      </c>
      <c r="U2758" s="53">
        <v>3.1369402601718641</v>
      </c>
      <c r="V2758" s="53">
        <v>1.213391296470552</v>
      </c>
      <c r="W2758" s="49">
        <f t="shared" si="320"/>
        <v>1.7796048656448669</v>
      </c>
    </row>
    <row r="2759" spans="1:23">
      <c r="A2759" s="22" t="s">
        <v>182</v>
      </c>
      <c r="B2759" s="23" t="s">
        <v>270</v>
      </c>
      <c r="C2759" s="23" t="s">
        <v>276</v>
      </c>
      <c r="D2759" s="26">
        <v>1984</v>
      </c>
      <c r="H2759" s="46">
        <v>18.124517390000001</v>
      </c>
      <c r="I2759" s="46">
        <v>30.70739519</v>
      </c>
      <c r="J2759" s="46">
        <f t="shared" si="321"/>
        <v>55.873150789999997</v>
      </c>
      <c r="K2759" s="104">
        <v>0.45489245</v>
      </c>
      <c r="L2759" s="104">
        <v>0.67052168000000001</v>
      </c>
      <c r="M2759" s="46">
        <f t="shared" si="322"/>
        <v>1.31740937</v>
      </c>
      <c r="O2759" s="94">
        <f t="shared" si="318"/>
        <v>1.2582664512347348</v>
      </c>
      <c r="P2759" s="94">
        <f t="shared" si="323"/>
        <v>1.4872429781953189</v>
      </c>
      <c r="Q2759" s="94">
        <f t="shared" si="324"/>
        <v>1.7472031627173765</v>
      </c>
      <c r="R2759" s="48">
        <f t="shared" si="319"/>
        <v>-0.34209127123895866</v>
      </c>
      <c r="S2759" s="48">
        <f t="shared" si="327"/>
        <v>-0.17358717552729636</v>
      </c>
      <c r="T2759" s="48">
        <f t="shared" si="328"/>
        <v>0.11972074801154013</v>
      </c>
      <c r="U2759" s="53">
        <v>1.7472031627173765</v>
      </c>
      <c r="V2759" s="53">
        <v>0.11972074801154013</v>
      </c>
      <c r="W2759" s="49">
        <f t="shared" si="320"/>
        <v>3.2391176500401344</v>
      </c>
    </row>
    <row r="2760" spans="1:23">
      <c r="A2760" s="22" t="s">
        <v>182</v>
      </c>
      <c r="B2760" s="23" t="s">
        <v>270</v>
      </c>
      <c r="C2760" s="23" t="s">
        <v>277</v>
      </c>
      <c r="D2760" s="26">
        <v>1984</v>
      </c>
      <c r="H2760" s="46">
        <v>347.55318618000001</v>
      </c>
      <c r="I2760" s="46">
        <v>458.34389071999999</v>
      </c>
      <c r="J2760" s="46">
        <f t="shared" si="321"/>
        <v>679.92529979999995</v>
      </c>
      <c r="K2760" s="104">
        <v>5.9519873800000003</v>
      </c>
      <c r="L2760" s="104">
        <v>7.5695053200000002</v>
      </c>
      <c r="M2760" s="46">
        <f t="shared" si="322"/>
        <v>12.42205914</v>
      </c>
      <c r="O2760" s="94">
        <f t="shared" si="318"/>
        <v>2.5410212742412823</v>
      </c>
      <c r="P2760" s="94">
        <f t="shared" si="323"/>
        <v>2.661191447000002</v>
      </c>
      <c r="Q2760" s="94">
        <f t="shared" si="324"/>
        <v>2.8324612014316619</v>
      </c>
      <c r="R2760" s="48">
        <f t="shared" si="319"/>
        <v>0.77466200170412403</v>
      </c>
      <c r="S2760" s="48">
        <f t="shared" si="327"/>
        <v>0.87906749854708344</v>
      </c>
      <c r="T2760" s="48">
        <f t="shared" si="328"/>
        <v>1.094193592540712</v>
      </c>
      <c r="U2760" s="53">
        <v>2.8324612014316619</v>
      </c>
      <c r="V2760" s="53">
        <v>1.094193592540712</v>
      </c>
      <c r="W2760" s="49">
        <f t="shared" si="320"/>
        <v>1.9845065237010766</v>
      </c>
    </row>
    <row r="2761" spans="1:23">
      <c r="A2761" s="22" t="s">
        <v>182</v>
      </c>
      <c r="B2761" s="23" t="s">
        <v>270</v>
      </c>
      <c r="C2761" s="23" t="s">
        <v>272</v>
      </c>
      <c r="D2761" s="26">
        <v>1994</v>
      </c>
      <c r="H2761" s="46">
        <v>125.37541567</v>
      </c>
      <c r="I2761" s="46">
        <v>248.76643547</v>
      </c>
      <c r="J2761" s="46">
        <f t="shared" si="321"/>
        <v>495.54847507000005</v>
      </c>
      <c r="K2761" s="104">
        <v>0.32034815999999999</v>
      </c>
      <c r="L2761" s="104">
        <v>0.53593473999999997</v>
      </c>
      <c r="M2761" s="46">
        <f t="shared" si="322"/>
        <v>1.1826944799999999</v>
      </c>
      <c r="O2761" s="94">
        <f t="shared" si="318"/>
        <v>2.0982123858919883</v>
      </c>
      <c r="P2761" s="94">
        <f t="shared" si="323"/>
        <v>2.3957917832796025</v>
      </c>
      <c r="Q2761" s="94">
        <f t="shared" si="324"/>
        <v>2.6950861440396405</v>
      </c>
      <c r="R2761" s="48">
        <f t="shared" si="319"/>
        <v>-0.49437776614423434</v>
      </c>
      <c r="S2761" s="48">
        <f t="shared" si="327"/>
        <v>-0.27088809050014928</v>
      </c>
      <c r="T2761" s="48">
        <f t="shared" si="328"/>
        <v>7.2872569829391887E-2</v>
      </c>
      <c r="U2761" s="53">
        <v>2.6950861440396405</v>
      </c>
      <c r="V2761" s="53">
        <v>7.2872569829391887E-2</v>
      </c>
      <c r="W2761" s="49">
        <f t="shared" si="320"/>
        <v>2.9998918563807271</v>
      </c>
    </row>
    <row r="2762" spans="1:23">
      <c r="A2762" s="22" t="s">
        <v>182</v>
      </c>
      <c r="B2762" s="23" t="s">
        <v>270</v>
      </c>
      <c r="C2762" s="23" t="s">
        <v>273</v>
      </c>
      <c r="D2762" s="26">
        <v>1994</v>
      </c>
      <c r="H2762" s="46">
        <v>16.712082379999998</v>
      </c>
      <c r="I2762" s="46">
        <v>36.845384359999997</v>
      </c>
      <c r="J2762" s="46">
        <f t="shared" si="321"/>
        <v>77.111988319999995</v>
      </c>
      <c r="K2762" s="104">
        <v>3.0204390000000001E-2</v>
      </c>
      <c r="L2762" s="104">
        <v>0.20988830999999999</v>
      </c>
      <c r="M2762" s="46">
        <f t="shared" si="322"/>
        <v>0.74894006999999996</v>
      </c>
      <c r="O2762" s="94">
        <f t="shared" si="318"/>
        <v>1.2230305677747437</v>
      </c>
      <c r="P2762" s="94">
        <f t="shared" si="323"/>
        <v>1.5663830913122339</v>
      </c>
      <c r="Q2762" s="94">
        <f t="shared" si="324"/>
        <v>1.8871219014814049</v>
      </c>
      <c r="R2762" s="48">
        <f t="shared" si="319"/>
        <v>-1.5199299307442835</v>
      </c>
      <c r="S2762" s="48">
        <f t="shared" si="327"/>
        <v>-0.67801174933505137</v>
      </c>
      <c r="T2762" s="48">
        <f t="shared" si="328"/>
        <v>-0.12555293304769041</v>
      </c>
      <c r="U2762" s="53">
        <v>1.8871219014814049</v>
      </c>
      <c r="V2762" s="53">
        <v>-0.12555293304769041</v>
      </c>
      <c r="W2762" s="49">
        <f t="shared" si="320"/>
        <v>3.4311751101417349</v>
      </c>
    </row>
    <row r="2763" spans="1:23">
      <c r="A2763" s="22" t="s">
        <v>182</v>
      </c>
      <c r="B2763" s="23" t="s">
        <v>270</v>
      </c>
      <c r="C2763" s="23" t="s">
        <v>274</v>
      </c>
      <c r="D2763" s="26">
        <v>1994</v>
      </c>
      <c r="H2763" s="46">
        <v>1.1648348100000001</v>
      </c>
      <c r="I2763" s="46">
        <v>18.787141219999999</v>
      </c>
      <c r="J2763" s="46">
        <f t="shared" si="321"/>
        <v>54.031754040000003</v>
      </c>
      <c r="K2763" s="104">
        <v>0</v>
      </c>
      <c r="L2763" s="104">
        <v>0</v>
      </c>
      <c r="M2763" s="46">
        <f t="shared" si="322"/>
        <v>0</v>
      </c>
      <c r="O2763" s="94">
        <f t="shared" si="318"/>
        <v>6.6264340647724268E-2</v>
      </c>
      <c r="P2763" s="94">
        <f t="shared" si="323"/>
        <v>1.2738606999070323</v>
      </c>
      <c r="Q2763" s="94">
        <f t="shared" si="324"/>
        <v>1.7326490663274279</v>
      </c>
      <c r="R2763" s="48"/>
      <c r="S2763" s="48"/>
      <c r="T2763" s="48"/>
      <c r="U2763" s="53">
        <v>1.7326490663274279</v>
      </c>
      <c r="V2763" s="53"/>
      <c r="W2763" s="49"/>
    </row>
    <row r="2764" spans="1:23">
      <c r="A2764" s="22" t="s">
        <v>182</v>
      </c>
      <c r="B2764" s="23" t="s">
        <v>270</v>
      </c>
      <c r="C2764" s="23" t="s">
        <v>275</v>
      </c>
      <c r="D2764" s="26">
        <v>1994</v>
      </c>
      <c r="H2764" s="46">
        <v>51.105746699999997</v>
      </c>
      <c r="I2764" s="46">
        <v>103.98312841000001</v>
      </c>
      <c r="J2764" s="46">
        <f t="shared" si="321"/>
        <v>209.73789183000002</v>
      </c>
      <c r="K2764" s="104">
        <v>1.8583170899999999</v>
      </c>
      <c r="L2764" s="104">
        <v>3.6915282500000002</v>
      </c>
      <c r="M2764" s="46">
        <f t="shared" si="322"/>
        <v>9.191161730000001</v>
      </c>
      <c r="O2764" s="94">
        <f t="shared" si="318"/>
        <v>1.70846973809505</v>
      </c>
      <c r="P2764" s="94">
        <f t="shared" si="323"/>
        <v>2.0169628793676311</v>
      </c>
      <c r="Q2764" s="94">
        <f t="shared" si="324"/>
        <v>2.3216768984008525</v>
      </c>
      <c r="R2764" s="48">
        <f t="shared" si="319"/>
        <v>0.26911982089962189</v>
      </c>
      <c r="S2764" s="48">
        <f t="shared" ref="S2764" si="329">LOG10(L2764)</f>
        <v>0.56720619627796609</v>
      </c>
      <c r="T2764" s="48">
        <f t="shared" ref="T2764" si="330">LOG10(M2764)</f>
        <v>0.96337040812621344</v>
      </c>
      <c r="U2764" s="53">
        <v>2.3216768984008525</v>
      </c>
      <c r="V2764" s="53">
        <v>0.96337040812621344</v>
      </c>
      <c r="W2764" s="49">
        <f t="shared" si="320"/>
        <v>2.2622912233656494</v>
      </c>
    </row>
    <row r="2765" spans="1:23">
      <c r="A2765" s="22" t="s">
        <v>182</v>
      </c>
      <c r="B2765" s="23" t="s">
        <v>270</v>
      </c>
      <c r="C2765" s="23" t="s">
        <v>276</v>
      </c>
      <c r="D2765" s="26">
        <v>1994</v>
      </c>
      <c r="H2765" s="46">
        <v>0.32434879</v>
      </c>
      <c r="I2765" s="46">
        <v>5.3568024200000002</v>
      </c>
      <c r="J2765" s="46">
        <f t="shared" si="321"/>
        <v>15.421709680000001</v>
      </c>
      <c r="K2765" s="104">
        <v>0</v>
      </c>
      <c r="L2765" s="104">
        <v>0</v>
      </c>
      <c r="M2765" s="46">
        <f t="shared" si="322"/>
        <v>0</v>
      </c>
      <c r="O2765" s="94">
        <f t="shared" si="318"/>
        <v>-0.4889877178888441</v>
      </c>
      <c r="P2765" s="94">
        <f t="shared" si="323"/>
        <v>0.72890562817495352</v>
      </c>
      <c r="Q2765" s="94">
        <f t="shared" si="324"/>
        <v>1.1881325230943522</v>
      </c>
      <c r="R2765" s="48"/>
      <c r="S2765" s="48"/>
      <c r="T2765" s="48"/>
      <c r="U2765" s="53">
        <v>1.1881325230943522</v>
      </c>
      <c r="V2765" s="53"/>
      <c r="W2765" s="49"/>
    </row>
    <row r="2766" spans="1:23">
      <c r="A2766" s="22" t="s">
        <v>182</v>
      </c>
      <c r="B2766" s="23" t="s">
        <v>270</v>
      </c>
      <c r="C2766" s="23" t="s">
        <v>277</v>
      </c>
      <c r="D2766" s="26">
        <v>1994</v>
      </c>
      <c r="H2766" s="46">
        <v>7.4492987199999998</v>
      </c>
      <c r="I2766" s="46">
        <v>17.521180950000002</v>
      </c>
      <c r="J2766" s="46">
        <f t="shared" si="321"/>
        <v>37.664945410000009</v>
      </c>
      <c r="K2766" s="104">
        <v>0.19962736</v>
      </c>
      <c r="L2766" s="104">
        <v>0.37935395</v>
      </c>
      <c r="M2766" s="46">
        <f t="shared" si="322"/>
        <v>0.91853371999999989</v>
      </c>
      <c r="O2766" s="94">
        <f t="shared" si="318"/>
        <v>0.8721153900141162</v>
      </c>
      <c r="P2766" s="94">
        <f t="shared" si="323"/>
        <v>1.2435633748219952</v>
      </c>
      <c r="Q2766" s="94">
        <f t="shared" si="324"/>
        <v>1.5759373423207623</v>
      </c>
      <c r="R2766" s="48">
        <f t="shared" si="319"/>
        <v>-0.69977993658210758</v>
      </c>
      <c r="S2766" s="48">
        <f t="shared" ref="S2766:S2774" si="331">LOG10(L2766)</f>
        <v>-0.42095538951141415</v>
      </c>
      <c r="T2766" s="48">
        <f t="shared" ref="T2766:T2774" si="332">LOG10(M2766)</f>
        <v>-3.690489581857212E-2</v>
      </c>
      <c r="U2766" s="53">
        <v>1.5759373423207623</v>
      </c>
      <c r="V2766" s="53">
        <v>-3.690489581857212E-2</v>
      </c>
      <c r="W2766" s="49">
        <f t="shared" si="320"/>
        <v>3.4398211780376466</v>
      </c>
    </row>
    <row r="2767" spans="1:23" hidden="1">
      <c r="A2767" s="22" t="s">
        <v>278</v>
      </c>
      <c r="B2767" s="23" t="s">
        <v>270</v>
      </c>
      <c r="C2767" s="23" t="s">
        <v>277</v>
      </c>
      <c r="D2767" s="23">
        <v>1984</v>
      </c>
      <c r="H2767" s="104">
        <v>302.21665574000002</v>
      </c>
      <c r="I2767" s="104">
        <v>423.18394603000002</v>
      </c>
      <c r="J2767" s="46">
        <f t="shared" si="321"/>
        <v>665.11852661</v>
      </c>
      <c r="K2767" s="104">
        <v>11.909700770000001</v>
      </c>
      <c r="L2767" s="104">
        <v>16.519619160000001</v>
      </c>
      <c r="M2767" s="46">
        <f t="shared" si="322"/>
        <v>30.349374330000003</v>
      </c>
      <c r="O2767" s="94">
        <f t="shared" si="318"/>
        <v>2.4803183954650994</v>
      </c>
      <c r="P2767" s="94">
        <f t="shared" si="323"/>
        <v>2.6265291838786649</v>
      </c>
      <c r="Q2767" s="94">
        <f t="shared" si="324"/>
        <v>2.8228990451013756</v>
      </c>
      <c r="R2767" s="48">
        <f t="shared" si="319"/>
        <v>1.075900850015914</v>
      </c>
      <c r="S2767" s="48">
        <f t="shared" si="331"/>
        <v>1.2180000309615435</v>
      </c>
      <c r="T2767" s="48">
        <f t="shared" si="332"/>
        <v>1.4821497422702761</v>
      </c>
      <c r="U2767" s="53">
        <v>2.8228990451013756</v>
      </c>
      <c r="V2767" s="53">
        <v>1.4821497422702761</v>
      </c>
      <c r="W2767" s="49">
        <f t="shared" si="320"/>
        <v>1.6172992535240123</v>
      </c>
    </row>
    <row r="2768" spans="1:23" hidden="1">
      <c r="A2768" s="22" t="s">
        <v>278</v>
      </c>
      <c r="B2768" s="23" t="s">
        <v>270</v>
      </c>
      <c r="C2768" s="23" t="s">
        <v>277</v>
      </c>
      <c r="D2768" s="23">
        <v>1994</v>
      </c>
      <c r="H2768" s="104">
        <v>19.829437200000001</v>
      </c>
      <c r="I2768" s="104">
        <v>33.134439049999997</v>
      </c>
      <c r="J2768" s="46">
        <f t="shared" si="321"/>
        <v>59.74444274999999</v>
      </c>
      <c r="K2768" s="104">
        <v>1.2284703800000001</v>
      </c>
      <c r="L2768" s="104">
        <v>2.2049926700000002</v>
      </c>
      <c r="M2768" s="46">
        <f t="shared" si="322"/>
        <v>5.1345595400000006</v>
      </c>
      <c r="O2768" s="94">
        <f t="shared" si="318"/>
        <v>1.2973103882142303</v>
      </c>
      <c r="P2768" s="94">
        <f t="shared" si="323"/>
        <v>1.5202796225941819</v>
      </c>
      <c r="Q2768" s="94">
        <f t="shared" si="324"/>
        <v>1.7762975147205338</v>
      </c>
      <c r="R2768" s="48">
        <f t="shared" si="319"/>
        <v>8.9364689544114292E-2</v>
      </c>
      <c r="S2768" s="48">
        <f t="shared" si="331"/>
        <v>0.34340715009236372</v>
      </c>
      <c r="T2768" s="48">
        <f t="shared" si="332"/>
        <v>0.71050319427176045</v>
      </c>
      <c r="U2768" s="53">
        <v>1.7762975147205338</v>
      </c>
      <c r="V2768" s="53">
        <v>0.71050319427176045</v>
      </c>
      <c r="W2768" s="49">
        <f t="shared" si="320"/>
        <v>2.6668558004065055</v>
      </c>
    </row>
    <row r="2769" spans="1:45" s="11" customFormat="1" hidden="1">
      <c r="A2769" s="16" t="s">
        <v>113</v>
      </c>
      <c r="B2769" s="11" t="s">
        <v>279</v>
      </c>
      <c r="C2769" s="11" t="s">
        <v>175</v>
      </c>
      <c r="D2769" s="11">
        <v>1995</v>
      </c>
      <c r="E2769" s="11">
        <v>1</v>
      </c>
      <c r="H2769" s="18">
        <v>1131.69698801</v>
      </c>
      <c r="I2769" s="18">
        <v>1443.3435067600001</v>
      </c>
      <c r="J2769" s="46">
        <f t="shared" si="321"/>
        <v>2066.6365442599999</v>
      </c>
      <c r="K2769" s="18">
        <v>82.395212760000007</v>
      </c>
      <c r="L2769" s="18">
        <v>105.03360216999999</v>
      </c>
      <c r="M2769" s="46">
        <f t="shared" si="322"/>
        <v>172.94877039999994</v>
      </c>
      <c r="O2769" s="94">
        <f t="shared" si="318"/>
        <v>3.0537301600226456</v>
      </c>
      <c r="P2769" s="94">
        <f t="shared" si="323"/>
        <v>3.1593697027751526</v>
      </c>
      <c r="Q2769" s="94">
        <f t="shared" si="324"/>
        <v>3.3152641047348808</v>
      </c>
      <c r="R2769" s="48">
        <f t="shared" si="319"/>
        <v>1.9159019795088585</v>
      </c>
      <c r="S2769" s="48">
        <f t="shared" si="331"/>
        <v>2.0213282600455602</v>
      </c>
      <c r="T2769" s="48">
        <f t="shared" si="332"/>
        <v>2.2379174786927147</v>
      </c>
      <c r="U2769" s="12">
        <v>3.3152641047348808</v>
      </c>
      <c r="V2769" s="12">
        <v>2.2379174786927147</v>
      </c>
      <c r="W2769" s="49">
        <f t="shared" si="320"/>
        <v>0.74889696220994617</v>
      </c>
      <c r="AE2769" s="114">
        <v>16.852405210000001</v>
      </c>
      <c r="AF2769" s="114"/>
      <c r="AG2769" s="114"/>
      <c r="AH2769" s="114"/>
      <c r="AI2769" s="114"/>
      <c r="AJ2769" s="114"/>
      <c r="AK2769" s="114">
        <v>12.948388319999999</v>
      </c>
      <c r="AL2769" s="114">
        <v>5.5305242300000002</v>
      </c>
      <c r="AM2769" s="114"/>
      <c r="AN2769" s="114"/>
      <c r="AO2769" s="114">
        <v>1.41448616</v>
      </c>
      <c r="AS2769" s="11">
        <v>0.10816415</v>
      </c>
    </row>
    <row r="2770" spans="1:45" s="11" customFormat="1" hidden="1">
      <c r="A2770" s="16" t="s">
        <v>113</v>
      </c>
      <c r="B2770" s="11" t="s">
        <v>279</v>
      </c>
      <c r="C2770" s="11" t="s">
        <v>175</v>
      </c>
      <c r="D2770" s="11">
        <v>1995</v>
      </c>
      <c r="E2770" s="11">
        <v>2</v>
      </c>
      <c r="H2770" s="18">
        <v>1164.3143739300001</v>
      </c>
      <c r="I2770" s="18">
        <v>1330.7195484700001</v>
      </c>
      <c r="J2770" s="46">
        <f t="shared" si="321"/>
        <v>1663.52989755</v>
      </c>
      <c r="K2770" s="18">
        <v>70.736236779999999</v>
      </c>
      <c r="L2770" s="18">
        <v>90.483104209999993</v>
      </c>
      <c r="M2770" s="46">
        <f t="shared" si="322"/>
        <v>149.72370649999999</v>
      </c>
      <c r="O2770" s="94">
        <f t="shared" si="318"/>
        <v>3.0660702590331113</v>
      </c>
      <c r="P2770" s="94">
        <f t="shared" si="323"/>
        <v>3.1240865367777175</v>
      </c>
      <c r="Q2770" s="94">
        <f t="shared" si="324"/>
        <v>3.2210306105696187</v>
      </c>
      <c r="R2770" s="48">
        <f t="shared" si="319"/>
        <v>1.8496419513063604</v>
      </c>
      <c r="S2770" s="48">
        <f t="shared" si="331"/>
        <v>1.9565674915432612</v>
      </c>
      <c r="T2770" s="48">
        <f t="shared" si="332"/>
        <v>2.1752905697953921</v>
      </c>
      <c r="U2770" s="12">
        <v>3.2210306105696187</v>
      </c>
      <c r="V2770" s="12">
        <v>2.1752905697953921</v>
      </c>
      <c r="W2770" s="49">
        <f t="shared" si="320"/>
        <v>0.83686202025355483</v>
      </c>
      <c r="AE2770" s="114">
        <v>17.837562779999999</v>
      </c>
      <c r="AF2770" s="114"/>
      <c r="AG2770" s="114"/>
      <c r="AH2770" s="114"/>
      <c r="AI2770" s="114"/>
      <c r="AJ2770" s="114"/>
      <c r="AK2770" s="114">
        <v>15.18100592</v>
      </c>
      <c r="AL2770" s="114">
        <v>5.2685437200000003</v>
      </c>
      <c r="AM2770" s="114"/>
      <c r="AN2770" s="114"/>
      <c r="AO2770" s="114">
        <v>0.98556655999999998</v>
      </c>
      <c r="AS2770" s="11">
        <v>0.22619004000000001</v>
      </c>
    </row>
    <row r="2771" spans="1:45" s="11" customFormat="1" hidden="1">
      <c r="A2771" s="16" t="s">
        <v>113</v>
      </c>
      <c r="B2771" s="11" t="s">
        <v>279</v>
      </c>
      <c r="C2771" s="11" t="s">
        <v>175</v>
      </c>
      <c r="D2771" s="11">
        <v>1995</v>
      </c>
      <c r="E2771" s="11">
        <v>3</v>
      </c>
      <c r="H2771" s="18">
        <v>1290.64813407</v>
      </c>
      <c r="I2771" s="18">
        <v>1375.3675760599999</v>
      </c>
      <c r="J2771" s="46">
        <f t="shared" si="321"/>
        <v>1544.8064600399998</v>
      </c>
      <c r="K2771" s="18">
        <v>77.077374370000001</v>
      </c>
      <c r="L2771" s="18">
        <v>94.496937880000004</v>
      </c>
      <c r="M2771" s="46">
        <f t="shared" si="322"/>
        <v>146.75562841000001</v>
      </c>
      <c r="O2771" s="94">
        <f t="shared" si="318"/>
        <v>3.1108078578663942</v>
      </c>
      <c r="P2771" s="94">
        <f t="shared" si="323"/>
        <v>3.138418781744984</v>
      </c>
      <c r="Q2771" s="94">
        <f t="shared" si="324"/>
        <v>3.1888740768989008</v>
      </c>
      <c r="R2771" s="48">
        <f t="shared" si="319"/>
        <v>1.8869269120544803</v>
      </c>
      <c r="S2771" s="48">
        <f t="shared" si="331"/>
        <v>1.9754177356694174</v>
      </c>
      <c r="T2771" s="48">
        <f t="shared" si="332"/>
        <v>2.1665947664138967</v>
      </c>
      <c r="U2771" s="12">
        <v>3.1888740768989008</v>
      </c>
      <c r="V2771" s="12">
        <v>2.1665947664138967</v>
      </c>
      <c r="W2771" s="49">
        <f t="shared" si="320"/>
        <v>0.85478861998427136</v>
      </c>
      <c r="AE2771" s="114">
        <v>18.371247109999999</v>
      </c>
      <c r="AF2771" s="114"/>
      <c r="AG2771" s="114"/>
      <c r="AH2771" s="114"/>
      <c r="AI2771" s="114"/>
      <c r="AJ2771" s="114"/>
      <c r="AK2771" s="114">
        <v>15.71406036</v>
      </c>
      <c r="AL2771" s="114">
        <v>5.5089955699999997</v>
      </c>
      <c r="AM2771" s="114"/>
      <c r="AN2771" s="114"/>
      <c r="AO2771" s="114">
        <v>0.60126661000000003</v>
      </c>
      <c r="AS2771" s="11">
        <v>0.20146525000000001</v>
      </c>
    </row>
    <row r="2772" spans="1:45" s="11" customFormat="1" hidden="1">
      <c r="A2772" s="16" t="s">
        <v>113</v>
      </c>
      <c r="B2772" s="11" t="s">
        <v>279</v>
      </c>
      <c r="C2772" s="11" t="s">
        <v>175</v>
      </c>
      <c r="D2772" s="11">
        <v>1995</v>
      </c>
      <c r="E2772" s="11">
        <v>4</v>
      </c>
      <c r="H2772" s="18">
        <v>1271.8126857499999</v>
      </c>
      <c r="I2772" s="18">
        <v>1420.05567907</v>
      </c>
      <c r="J2772" s="46">
        <f t="shared" si="321"/>
        <v>1716.5416657100002</v>
      </c>
      <c r="K2772" s="18">
        <v>77.032461490000003</v>
      </c>
      <c r="L2772" s="18">
        <v>88.645503829999996</v>
      </c>
      <c r="M2772" s="46">
        <f t="shared" si="322"/>
        <v>123.48463084999997</v>
      </c>
      <c r="O2772" s="94">
        <f t="shared" si="318"/>
        <v>3.1044231525580734</v>
      </c>
      <c r="P2772" s="94">
        <f t="shared" si="323"/>
        <v>3.1523053730019246</v>
      </c>
      <c r="Q2772" s="94">
        <f t="shared" si="324"/>
        <v>3.2346543495434892</v>
      </c>
      <c r="R2772" s="48">
        <f t="shared" si="319"/>
        <v>1.886673775499065</v>
      </c>
      <c r="S2772" s="48">
        <f t="shared" si="331"/>
        <v>1.9476567127362583</v>
      </c>
      <c r="T2772" s="48">
        <f t="shared" si="332"/>
        <v>2.0916129077787207</v>
      </c>
      <c r="U2772" s="12">
        <v>3.2346543495434892</v>
      </c>
      <c r="V2772" s="12">
        <v>2.0916129077787207</v>
      </c>
      <c r="W2772" s="49">
        <f t="shared" si="320"/>
        <v>0.91260149708460492</v>
      </c>
      <c r="AE2772" s="114">
        <v>22.245960369999999</v>
      </c>
      <c r="AF2772" s="114"/>
      <c r="AG2772" s="114"/>
      <c r="AH2772" s="114"/>
      <c r="AI2772" s="114"/>
      <c r="AJ2772" s="114"/>
      <c r="AK2772" s="114">
        <v>18.66203329</v>
      </c>
      <c r="AL2772" s="114">
        <v>13.304843200000001</v>
      </c>
      <c r="AM2772" s="114"/>
      <c r="AN2772" s="114"/>
      <c r="AO2772" s="114">
        <v>2.1187601100000002</v>
      </c>
      <c r="AS2772" s="11">
        <v>1.33661721</v>
      </c>
    </row>
    <row r="2773" spans="1:45" s="11" customFormat="1" hidden="1">
      <c r="A2773" s="16" t="s">
        <v>113</v>
      </c>
      <c r="B2773" s="11" t="s">
        <v>279</v>
      </c>
      <c r="C2773" s="11" t="s">
        <v>175</v>
      </c>
      <c r="D2773" s="11">
        <v>1995</v>
      </c>
      <c r="E2773" s="11">
        <v>5</v>
      </c>
      <c r="H2773" s="18">
        <v>1591.7908847199999</v>
      </c>
      <c r="I2773" s="18">
        <v>1709.83304006</v>
      </c>
      <c r="J2773" s="46">
        <f t="shared" si="321"/>
        <v>1945.9173507400003</v>
      </c>
      <c r="K2773" s="18">
        <v>142.01425710000001</v>
      </c>
      <c r="L2773" s="18">
        <v>165.22605132000001</v>
      </c>
      <c r="M2773" s="46">
        <f t="shared" si="322"/>
        <v>234.86143398000002</v>
      </c>
      <c r="O2773" s="94">
        <f t="shared" si="318"/>
        <v>3.2018860134158915</v>
      </c>
      <c r="P2773" s="94">
        <f t="shared" si="323"/>
        <v>3.2329537049414494</v>
      </c>
      <c r="Q2773" s="94">
        <f t="shared" si="324"/>
        <v>3.2891243904648055</v>
      </c>
      <c r="R2773" s="48">
        <f t="shared" si="319"/>
        <v>2.1523319462777386</v>
      </c>
      <c r="S2773" s="48">
        <f t="shared" si="331"/>
        <v>2.218078523931919</v>
      </c>
      <c r="T2773" s="48">
        <f t="shared" si="332"/>
        <v>2.3708117082005238</v>
      </c>
      <c r="U2773" s="12">
        <v>3.2891243904648055</v>
      </c>
      <c r="V2773" s="12">
        <v>2.3708117082005238</v>
      </c>
      <c r="W2773" s="49">
        <f t="shared" si="320"/>
        <v>0.6299586441433056</v>
      </c>
      <c r="AE2773" s="114">
        <v>26.299697009999999</v>
      </c>
      <c r="AF2773" s="114"/>
      <c r="AG2773" s="114"/>
      <c r="AH2773" s="114"/>
      <c r="AI2773" s="114"/>
      <c r="AJ2773" s="114"/>
      <c r="AK2773" s="114">
        <v>20.894650890000001</v>
      </c>
      <c r="AL2773" s="114">
        <v>19.59077538</v>
      </c>
      <c r="AM2773" s="114"/>
      <c r="AN2773" s="114"/>
      <c r="AO2773" s="114">
        <v>2.0201821799999999</v>
      </c>
      <c r="AS2773" s="11">
        <v>1.24649247</v>
      </c>
    </row>
    <row r="2774" spans="1:45" s="11" customFormat="1" hidden="1">
      <c r="A2774" s="16" t="s">
        <v>113</v>
      </c>
      <c r="B2774" s="11" t="s">
        <v>279</v>
      </c>
      <c r="C2774" s="11" t="s">
        <v>175</v>
      </c>
      <c r="D2774" s="11">
        <v>1995</v>
      </c>
      <c r="E2774" s="11">
        <v>6</v>
      </c>
      <c r="H2774" s="18">
        <v>1521.5667228499999</v>
      </c>
      <c r="I2774" s="18">
        <v>1727.22577318</v>
      </c>
      <c r="J2774" s="46">
        <f t="shared" si="321"/>
        <v>2138.5438738400003</v>
      </c>
      <c r="K2774" s="18">
        <v>132.67441905000001</v>
      </c>
      <c r="L2774" s="18">
        <v>140.80620263</v>
      </c>
      <c r="M2774" s="46">
        <f t="shared" si="322"/>
        <v>165.20155336999997</v>
      </c>
      <c r="O2774" s="94">
        <f t="shared" si="318"/>
        <v>3.1822910015382302</v>
      </c>
      <c r="P2774" s="94">
        <f t="shared" si="323"/>
        <v>3.2373491097953409</v>
      </c>
      <c r="Q2774" s="94">
        <f t="shared" si="324"/>
        <v>3.3301181645629749</v>
      </c>
      <c r="R2774" s="48">
        <f t="shared" si="319"/>
        <v>2.1227871946324455</v>
      </c>
      <c r="S2774" s="48">
        <f t="shared" si="331"/>
        <v>2.1486217862595738</v>
      </c>
      <c r="T2774" s="48">
        <f t="shared" si="332"/>
        <v>2.2180141266214557</v>
      </c>
      <c r="U2774" s="12">
        <v>3.3301181645629749</v>
      </c>
      <c r="V2774" s="12">
        <v>2.2180141266214557</v>
      </c>
      <c r="W2774" s="49">
        <f t="shared" si="320"/>
        <v>0.76343361342233418</v>
      </c>
      <c r="AE2774" s="114">
        <v>28.639274289999999</v>
      </c>
      <c r="AF2774" s="114"/>
      <c r="AG2774" s="114"/>
      <c r="AH2774" s="114"/>
      <c r="AI2774" s="114"/>
      <c r="AJ2774" s="114"/>
      <c r="AK2774" s="114">
        <v>24.11095959</v>
      </c>
      <c r="AL2774" s="114">
        <v>14.282942569999999</v>
      </c>
      <c r="AM2774" s="114"/>
      <c r="AN2774" s="114"/>
      <c r="AO2774" s="114">
        <v>1.10918936</v>
      </c>
      <c r="AS2774" s="11">
        <v>1.1206251599999999</v>
      </c>
    </row>
    <row r="2775" spans="1:45" s="11" customFormat="1" hidden="1">
      <c r="A2775" s="16" t="s">
        <v>113</v>
      </c>
      <c r="B2775" s="11" t="s">
        <v>279</v>
      </c>
      <c r="C2775" s="11" t="s">
        <v>175</v>
      </c>
      <c r="D2775" s="11">
        <v>1995</v>
      </c>
      <c r="E2775" s="11">
        <v>7</v>
      </c>
      <c r="H2775" s="18"/>
      <c r="I2775" s="18"/>
      <c r="J2775" s="46">
        <f t="shared" si="321"/>
        <v>0</v>
      </c>
      <c r="K2775" s="18"/>
      <c r="L2775" s="18"/>
      <c r="M2775" s="46">
        <f t="shared" si="322"/>
        <v>0</v>
      </c>
      <c r="O2775" s="94"/>
      <c r="P2775" s="94"/>
      <c r="Q2775" s="94"/>
      <c r="R2775" s="48"/>
      <c r="S2775" s="48"/>
      <c r="T2775" s="48"/>
      <c r="U2775" s="12"/>
      <c r="V2775" s="12"/>
      <c r="W2775" s="49"/>
      <c r="AE2775" s="114">
        <v>29.986076000000001</v>
      </c>
      <c r="AF2775" s="114"/>
      <c r="AG2775" s="114"/>
      <c r="AH2775" s="114"/>
      <c r="AI2775" s="114"/>
      <c r="AJ2775" s="114"/>
      <c r="AK2775" s="114">
        <v>28.57981187</v>
      </c>
      <c r="AL2775" s="114">
        <v>25.603380869999999</v>
      </c>
      <c r="AM2775" s="114"/>
      <c r="AN2775" s="114"/>
      <c r="AO2775" s="114">
        <v>1.5463025100000001</v>
      </c>
      <c r="AS2775" s="11">
        <v>1.2683770599999999</v>
      </c>
    </row>
    <row r="2776" spans="1:45" s="11" customFormat="1" hidden="1">
      <c r="A2776" s="16" t="s">
        <v>113</v>
      </c>
      <c r="B2776" s="11" t="s">
        <v>279</v>
      </c>
      <c r="C2776" s="11" t="s">
        <v>175</v>
      </c>
      <c r="D2776" s="11">
        <v>1995</v>
      </c>
      <c r="E2776" s="11">
        <v>8</v>
      </c>
      <c r="H2776" s="18">
        <v>1081.42237118</v>
      </c>
      <c r="I2776" s="18">
        <v>1205.46782472</v>
      </c>
      <c r="J2776" s="46">
        <f t="shared" si="321"/>
        <v>1453.5587317999998</v>
      </c>
      <c r="K2776" s="18">
        <v>114.58856272</v>
      </c>
      <c r="L2776" s="18">
        <v>126.78317585000001</v>
      </c>
      <c r="M2776" s="46">
        <f t="shared" si="322"/>
        <v>163.36701524000003</v>
      </c>
      <c r="O2776" s="94">
        <f t="shared" si="318"/>
        <v>3.0339953495003176</v>
      </c>
      <c r="P2776" s="94">
        <f t="shared" ref="P2776:P2777" si="333">LOG10(I2776)</f>
        <v>3.0811556230643302</v>
      </c>
      <c r="Q2776" s="94">
        <f t="shared" ref="Q2776:Q2777" si="334">LOG10(J2776)</f>
        <v>3.1624325843564192</v>
      </c>
      <c r="R2776" s="48">
        <f t="shared" si="319"/>
        <v>2.0591412721211313</v>
      </c>
      <c r="S2776" s="48">
        <f t="shared" ref="S2776:S2777" si="335">LOG10(L2776)</f>
        <v>2.1030616264141511</v>
      </c>
      <c r="T2776" s="48">
        <f t="shared" ref="T2776:T2777" si="336">LOG10(M2776)</f>
        <v>2.2131643744404701</v>
      </c>
      <c r="U2776" s="12">
        <v>3.1624325843564192</v>
      </c>
      <c r="V2776" s="12">
        <v>2.2131643744404701</v>
      </c>
      <c r="W2776" s="49">
        <f t="shared" si="320"/>
        <v>0.81828574836491286</v>
      </c>
      <c r="AE2776" s="114">
        <v>30.609801040000001</v>
      </c>
      <c r="AF2776" s="114"/>
      <c r="AG2776" s="114"/>
      <c r="AH2776" s="114"/>
      <c r="AI2776" s="114"/>
      <c r="AJ2776" s="114"/>
      <c r="AK2776" s="114">
        <v>25.177688539999998</v>
      </c>
      <c r="AL2776" s="114">
        <v>17.062612529999999</v>
      </c>
      <c r="AM2776" s="114"/>
      <c r="AN2776" s="114"/>
      <c r="AO2776" s="114">
        <v>2.7959388700000001</v>
      </c>
      <c r="AS2776" s="11">
        <v>2.8079344100000001</v>
      </c>
    </row>
    <row r="2777" spans="1:45" s="11" customFormat="1" hidden="1">
      <c r="A2777" s="16" t="s">
        <v>113</v>
      </c>
      <c r="B2777" s="11" t="s">
        <v>279</v>
      </c>
      <c r="C2777" s="11" t="s">
        <v>175</v>
      </c>
      <c r="D2777" s="11">
        <v>1995</v>
      </c>
      <c r="E2777" s="11">
        <v>9</v>
      </c>
      <c r="H2777" s="18">
        <v>1192.6917802099999</v>
      </c>
      <c r="I2777" s="18">
        <v>1253.22169751</v>
      </c>
      <c r="J2777" s="46">
        <f t="shared" si="321"/>
        <v>1374.2815321100002</v>
      </c>
      <c r="K2777" s="18">
        <v>95.387539930000003</v>
      </c>
      <c r="L2777" s="18">
        <v>103.51728202</v>
      </c>
      <c r="M2777" s="46">
        <f t="shared" si="322"/>
        <v>127.90650828999998</v>
      </c>
      <c r="O2777" s="94">
        <f t="shared" si="318"/>
        <v>3.0765282261945845</v>
      </c>
      <c r="P2777" s="94">
        <f t="shared" si="333"/>
        <v>3.098027905382418</v>
      </c>
      <c r="Q2777" s="94">
        <f t="shared" si="334"/>
        <v>3.1380757103925592</v>
      </c>
      <c r="R2777" s="48">
        <f t="shared" si="319"/>
        <v>1.979491648361748</v>
      </c>
      <c r="S2777" s="48">
        <f t="shared" si="335"/>
        <v>2.0150128605115234</v>
      </c>
      <c r="T2777" s="48">
        <f t="shared" si="336"/>
        <v>2.1068926433255761</v>
      </c>
      <c r="U2777" s="12">
        <v>3.1380757103925592</v>
      </c>
      <c r="V2777" s="12">
        <v>2.1068926433255761</v>
      </c>
      <c r="W2777" s="49">
        <f t="shared" si="320"/>
        <v>0.92695383560668598</v>
      </c>
      <c r="AE2777" s="114">
        <v>29.880799249999999</v>
      </c>
      <c r="AF2777" s="114"/>
      <c r="AG2777" s="114"/>
      <c r="AH2777" s="114"/>
      <c r="AI2777" s="114"/>
      <c r="AJ2777" s="114"/>
      <c r="AK2777" s="114">
        <v>22.49050716</v>
      </c>
      <c r="AL2777" s="114">
        <v>17.285026859999999</v>
      </c>
      <c r="AM2777" s="114"/>
      <c r="AN2777" s="114"/>
      <c r="AO2777" s="114">
        <v>0.91166212999999996</v>
      </c>
      <c r="AS2777" s="11">
        <v>1.57581791</v>
      </c>
    </row>
    <row r="2778" spans="1:45" s="11" customFormat="1" hidden="1">
      <c r="A2778" s="16" t="s">
        <v>113</v>
      </c>
      <c r="B2778" s="11" t="s">
        <v>279</v>
      </c>
      <c r="C2778" s="11" t="s">
        <v>175</v>
      </c>
      <c r="D2778" s="11">
        <v>1995</v>
      </c>
      <c r="E2778" s="11">
        <v>10</v>
      </c>
      <c r="H2778" s="18"/>
      <c r="I2778" s="18"/>
      <c r="J2778" s="46">
        <f t="shared" si="321"/>
        <v>0</v>
      </c>
      <c r="K2778" s="18"/>
      <c r="L2778" s="18"/>
      <c r="M2778" s="46">
        <f t="shared" si="322"/>
        <v>0</v>
      </c>
      <c r="O2778" s="94"/>
      <c r="P2778" s="94"/>
      <c r="Q2778" s="94"/>
      <c r="R2778" s="48"/>
      <c r="S2778" s="48"/>
      <c r="T2778" s="48"/>
      <c r="U2778" s="12"/>
      <c r="V2778" s="12"/>
      <c r="W2778" s="49"/>
      <c r="AE2778" s="114">
        <v>25.451875340000001</v>
      </c>
      <c r="AF2778" s="114"/>
      <c r="AG2778" s="114"/>
      <c r="AH2778" s="114"/>
      <c r="AI2778" s="114"/>
      <c r="AJ2778" s="114"/>
      <c r="AK2778" s="114">
        <v>18.551919000000002</v>
      </c>
      <c r="AL2778" s="114">
        <v>4.9367405299999998</v>
      </c>
      <c r="AM2778" s="114"/>
      <c r="AN2778" s="114"/>
      <c r="AO2778" s="114">
        <v>1.27737765</v>
      </c>
      <c r="AS2778" s="11">
        <v>1.7414410899999999</v>
      </c>
    </row>
    <row r="2779" spans="1:45" s="11" customFormat="1" hidden="1">
      <c r="A2779" s="16" t="s">
        <v>113</v>
      </c>
      <c r="B2779" s="11" t="s">
        <v>279</v>
      </c>
      <c r="C2779" s="11" t="s">
        <v>175</v>
      </c>
      <c r="D2779" s="11">
        <v>1995</v>
      </c>
      <c r="E2779" s="11">
        <v>11</v>
      </c>
      <c r="H2779" s="18">
        <v>1209.4112462400001</v>
      </c>
      <c r="I2779" s="18">
        <v>1306.2334656600001</v>
      </c>
      <c r="J2779" s="46">
        <f t="shared" si="321"/>
        <v>1499.8779045000001</v>
      </c>
      <c r="K2779" s="18">
        <v>69.175003750000002</v>
      </c>
      <c r="L2779" s="18">
        <v>78.458700690000001</v>
      </c>
      <c r="M2779" s="46">
        <f t="shared" si="322"/>
        <v>106.30979151</v>
      </c>
      <c r="O2779" s="94">
        <f t="shared" si="318"/>
        <v>3.0825740027660906</v>
      </c>
      <c r="P2779" s="94">
        <f t="shared" ref="P2779" si="337">LOG10(I2779)</f>
        <v>3.1160208061781374</v>
      </c>
      <c r="Q2779" s="94">
        <f t="shared" ref="Q2779" si="338">LOG10(J2779)</f>
        <v>3.1760559073489567</v>
      </c>
      <c r="R2779" s="48">
        <f t="shared" si="319"/>
        <v>1.8399491913562387</v>
      </c>
      <c r="S2779" s="48">
        <f t="shared" ref="S2779" si="339">LOG10(L2779)</f>
        <v>1.894641111748709</v>
      </c>
      <c r="T2779" s="48">
        <f t="shared" ref="T2779" si="340">LOG10(M2779)</f>
        <v>2.02657326643229</v>
      </c>
      <c r="U2779" s="12">
        <v>3.1760559073489567</v>
      </c>
      <c r="V2779" s="12">
        <v>2.02657326643229</v>
      </c>
      <c r="W2779" s="49">
        <f t="shared" si="320"/>
        <v>0.99219448592390524</v>
      </c>
      <c r="AE2779" s="114">
        <v>23.368665450000002</v>
      </c>
      <c r="AF2779" s="114"/>
      <c r="AG2779" s="114"/>
      <c r="AH2779" s="114"/>
      <c r="AI2779" s="114"/>
      <c r="AJ2779" s="114"/>
      <c r="AK2779" s="114">
        <v>13.27061859</v>
      </c>
      <c r="AL2779" s="114">
        <v>3.1645536399999998</v>
      </c>
      <c r="AM2779" s="114"/>
      <c r="AN2779" s="114"/>
      <c r="AO2779" s="114">
        <v>0.80382293999999999</v>
      </c>
      <c r="AS2779" s="11">
        <v>0.78876824000000001</v>
      </c>
    </row>
    <row r="2780" spans="1:45" s="11" customFormat="1" hidden="1">
      <c r="A2780" s="16" t="s">
        <v>113</v>
      </c>
      <c r="B2780" s="11" t="s">
        <v>279</v>
      </c>
      <c r="C2780" s="11" t="s">
        <v>175</v>
      </c>
      <c r="D2780" s="11">
        <v>1995</v>
      </c>
      <c r="E2780" s="11">
        <v>12</v>
      </c>
      <c r="H2780" s="18"/>
      <c r="I2780" s="18"/>
      <c r="J2780" s="46">
        <f t="shared" si="321"/>
        <v>0</v>
      </c>
      <c r="K2780" s="18"/>
      <c r="L2780" s="18"/>
      <c r="M2780" s="46">
        <f t="shared" si="322"/>
        <v>0</v>
      </c>
      <c r="O2780" s="94"/>
      <c r="P2780" s="94"/>
      <c r="Q2780" s="94"/>
      <c r="R2780" s="48"/>
      <c r="S2780" s="48"/>
      <c r="T2780" s="48"/>
      <c r="U2780" s="12"/>
      <c r="V2780" s="12"/>
      <c r="W2780" s="49"/>
      <c r="AE2780" s="114">
        <v>16.674757320000001</v>
      </c>
      <c r="AF2780" s="114"/>
      <c r="AG2780" s="114"/>
      <c r="AH2780" s="114"/>
      <c r="AI2780" s="114"/>
      <c r="AJ2780" s="114"/>
      <c r="AK2780" s="114">
        <v>14.15825034</v>
      </c>
      <c r="AL2780" s="114">
        <v>6.1669288599999996</v>
      </c>
      <c r="AM2780" s="114"/>
      <c r="AN2780" s="114"/>
      <c r="AO2780" s="114">
        <v>0.79455392999999996</v>
      </c>
      <c r="AS2780" s="11">
        <v>1.0198599800000001</v>
      </c>
    </row>
    <row r="2781" spans="1:45" s="11" customFormat="1" hidden="1">
      <c r="A2781" s="16" t="s">
        <v>113</v>
      </c>
      <c r="B2781" s="11" t="s">
        <v>279</v>
      </c>
      <c r="C2781" s="11" t="s">
        <v>175</v>
      </c>
      <c r="D2781" s="11">
        <v>1996</v>
      </c>
      <c r="E2781" s="11">
        <v>1</v>
      </c>
      <c r="H2781" s="18">
        <v>1168.6665647499999</v>
      </c>
      <c r="I2781" s="18">
        <v>1332.12619578</v>
      </c>
      <c r="J2781" s="46">
        <f t="shared" si="321"/>
        <v>1659.0454578400002</v>
      </c>
      <c r="K2781" s="18">
        <v>47.605847160000003</v>
      </c>
      <c r="L2781" s="18">
        <v>56.316139290000002</v>
      </c>
      <c r="M2781" s="46">
        <f t="shared" si="322"/>
        <v>82.447015679999993</v>
      </c>
      <c r="O2781" s="94">
        <f t="shared" si="318"/>
        <v>3.0676906191643134</v>
      </c>
      <c r="P2781" s="94">
        <f t="shared" ref="P2781:P2789" si="341">LOG10(I2781)</f>
        <v>3.1245453686292128</v>
      </c>
      <c r="Q2781" s="94">
        <f t="shared" ref="Q2781:Q2789" si="342">LOG10(J2781)</f>
        <v>3.219858285854742</v>
      </c>
      <c r="R2781" s="48">
        <f t="shared" si="319"/>
        <v>1.6776602979592941</v>
      </c>
      <c r="S2781" s="48">
        <f t="shared" ref="S2781:S2789" si="343">LOG10(L2781)</f>
        <v>1.7506328744273825</v>
      </c>
      <c r="T2781" s="48">
        <f t="shared" ref="T2781:T2789" si="344">LOG10(M2781)</f>
        <v>1.9161749401847241</v>
      </c>
      <c r="U2781" s="12">
        <v>3.219858285854742</v>
      </c>
      <c r="V2781" s="12">
        <v>1.9161749401847241</v>
      </c>
      <c r="W2781" s="49">
        <f t="shared" si="320"/>
        <v>1.0843835594304643</v>
      </c>
      <c r="AE2781" s="114">
        <v>15.4944939</v>
      </c>
      <c r="AF2781" s="114"/>
      <c r="AG2781" s="114"/>
      <c r="AH2781" s="114"/>
      <c r="AI2781" s="114"/>
      <c r="AJ2781" s="114"/>
      <c r="AK2781" s="114">
        <v>13.70730365</v>
      </c>
      <c r="AL2781" s="114">
        <v>11.19270714</v>
      </c>
      <c r="AM2781" s="114"/>
      <c r="AN2781" s="114"/>
      <c r="AO2781" s="114">
        <v>0.80309565000000005</v>
      </c>
      <c r="AS2781" s="11">
        <v>1.46502285</v>
      </c>
    </row>
    <row r="2782" spans="1:45" s="11" customFormat="1" hidden="1">
      <c r="A2782" s="16" t="s">
        <v>113</v>
      </c>
      <c r="B2782" s="11" t="s">
        <v>279</v>
      </c>
      <c r="C2782" s="11" t="s">
        <v>175</v>
      </c>
      <c r="D2782" s="11">
        <v>1996</v>
      </c>
      <c r="E2782" s="11">
        <v>2</v>
      </c>
      <c r="H2782" s="18">
        <v>947.14165487000002</v>
      </c>
      <c r="I2782" s="18">
        <v>1059.1083762400001</v>
      </c>
      <c r="J2782" s="46">
        <f t="shared" si="321"/>
        <v>1283.0418189800002</v>
      </c>
      <c r="K2782" s="18">
        <v>40.598416759999999</v>
      </c>
      <c r="L2782" s="18">
        <v>46.402896429999998</v>
      </c>
      <c r="M2782" s="46">
        <f t="shared" si="322"/>
        <v>63.816335439999996</v>
      </c>
      <c r="O2782" s="94">
        <f t="shared" si="318"/>
        <v>2.9764149371106381</v>
      </c>
      <c r="P2782" s="94">
        <f t="shared" si="341"/>
        <v>3.0249404027843285</v>
      </c>
      <c r="Q2782" s="94">
        <f t="shared" si="342"/>
        <v>3.1082408118357789</v>
      </c>
      <c r="R2782" s="48">
        <f t="shared" si="319"/>
        <v>1.6085090974736824</v>
      </c>
      <c r="S2782" s="48">
        <f t="shared" si="343"/>
        <v>1.6665450896994229</v>
      </c>
      <c r="T2782" s="48">
        <f t="shared" si="344"/>
        <v>1.8049318618462027</v>
      </c>
      <c r="U2782" s="12">
        <v>3.1082408118357789</v>
      </c>
      <c r="V2782" s="12">
        <v>1.8049318618462027</v>
      </c>
      <c r="W2782" s="49">
        <f t="shared" si="320"/>
        <v>1.2239305111161203</v>
      </c>
      <c r="AE2782" s="114">
        <v>18.375585139999998</v>
      </c>
      <c r="AF2782" s="114"/>
      <c r="AG2782" s="114"/>
      <c r="AH2782" s="114"/>
      <c r="AI2782" s="114"/>
      <c r="AJ2782" s="114"/>
      <c r="AK2782" s="114">
        <v>20.948752089999999</v>
      </c>
      <c r="AL2782" s="114">
        <v>9.42052026</v>
      </c>
      <c r="AM2782" s="114"/>
      <c r="AN2782" s="114"/>
      <c r="AO2782" s="114">
        <v>0.78489034000000002</v>
      </c>
      <c r="AS2782" s="11">
        <v>1.2440158699999999</v>
      </c>
    </row>
    <row r="2783" spans="1:45" s="11" customFormat="1" hidden="1">
      <c r="A2783" s="16" t="s">
        <v>113</v>
      </c>
      <c r="B2783" s="11" t="s">
        <v>279</v>
      </c>
      <c r="C2783" s="11" t="s">
        <v>175</v>
      </c>
      <c r="D2783" s="11">
        <v>1996</v>
      </c>
      <c r="E2783" s="11">
        <v>3</v>
      </c>
      <c r="H2783" s="18">
        <v>1088.63594713</v>
      </c>
      <c r="I2783" s="18">
        <v>1221.94283068</v>
      </c>
      <c r="J2783" s="46">
        <f t="shared" si="321"/>
        <v>1488.5565977800002</v>
      </c>
      <c r="K2783" s="18">
        <v>53.905134099999998</v>
      </c>
      <c r="L2783" s="18">
        <v>64.348910380000007</v>
      </c>
      <c r="M2783" s="46">
        <f t="shared" si="322"/>
        <v>95.680239220000033</v>
      </c>
      <c r="O2783" s="94">
        <f t="shared" si="318"/>
        <v>3.0368826707696326</v>
      </c>
      <c r="P2783" s="94">
        <f t="shared" si="341"/>
        <v>3.0870508876569405</v>
      </c>
      <c r="Q2783" s="94">
        <f t="shared" si="342"/>
        <v>3.1727653520067576</v>
      </c>
      <c r="R2783" s="48">
        <f t="shared" si="319"/>
        <v>1.7316301307732636</v>
      </c>
      <c r="S2783" s="48">
        <f t="shared" si="343"/>
        <v>1.808541197394876</v>
      </c>
      <c r="T2783" s="48">
        <f t="shared" si="344"/>
        <v>1.9808222524699637</v>
      </c>
      <c r="U2783" s="12">
        <v>3.1727653520067576</v>
      </c>
      <c r="V2783" s="12">
        <v>1.9808222524699637</v>
      </c>
      <c r="W2783" s="49">
        <f t="shared" si="320"/>
        <v>1.0368219804152183</v>
      </c>
      <c r="AE2783" s="114">
        <v>20.985284570000001</v>
      </c>
      <c r="AF2783" s="114"/>
      <c r="AG2783" s="114"/>
      <c r="AH2783" s="114"/>
      <c r="AI2783" s="114"/>
      <c r="AJ2783" s="114"/>
      <c r="AK2783" s="114">
        <v>24.16547417</v>
      </c>
      <c r="AL2783" s="114">
        <v>17.719382110000002</v>
      </c>
      <c r="AM2783" s="114"/>
      <c r="AN2783" s="114"/>
      <c r="AO2783" s="114">
        <v>0.70420050999999995</v>
      </c>
      <c r="AS2783" s="11">
        <v>1.37388277</v>
      </c>
    </row>
    <row r="2784" spans="1:45" s="11" customFormat="1" hidden="1">
      <c r="A2784" s="16" t="s">
        <v>113</v>
      </c>
      <c r="B2784" s="11" t="s">
        <v>279</v>
      </c>
      <c r="C2784" s="11" t="s">
        <v>175</v>
      </c>
      <c r="D2784" s="11">
        <v>1996</v>
      </c>
      <c r="E2784" s="11">
        <v>4</v>
      </c>
      <c r="H2784" s="18">
        <v>664.34943992000001</v>
      </c>
      <c r="I2784" s="18">
        <v>745.93899146000001</v>
      </c>
      <c r="J2784" s="46">
        <f t="shared" si="321"/>
        <v>909.11809454000002</v>
      </c>
      <c r="K2784" s="18">
        <v>42.24717888</v>
      </c>
      <c r="L2784" s="18">
        <v>44.566316800000003</v>
      </c>
      <c r="M2784" s="46">
        <f t="shared" si="322"/>
        <v>51.523730560000011</v>
      </c>
      <c r="O2784" s="94">
        <f t="shared" si="318"/>
        <v>2.8223965732084975</v>
      </c>
      <c r="P2784" s="94">
        <f t="shared" si="341"/>
        <v>2.872703309033326</v>
      </c>
      <c r="Q2784" s="94">
        <f t="shared" si="342"/>
        <v>2.9586203017871764</v>
      </c>
      <c r="R2784" s="48">
        <f t="shared" si="319"/>
        <v>1.6257977135755319</v>
      </c>
      <c r="S2784" s="48">
        <f t="shared" si="343"/>
        <v>1.6490067431386013</v>
      </c>
      <c r="T2784" s="48">
        <f t="shared" si="344"/>
        <v>1.7120073004497243</v>
      </c>
      <c r="U2784" s="12">
        <v>2.9586203017871764</v>
      </c>
      <c r="V2784" s="12">
        <v>1.7120073004497243</v>
      </c>
      <c r="W2784" s="49">
        <f t="shared" si="320"/>
        <v>1.3573862736563245</v>
      </c>
      <c r="AE2784" s="114">
        <v>26.84512578</v>
      </c>
      <c r="AF2784" s="114"/>
      <c r="AG2784" s="114"/>
      <c r="AH2784" s="114"/>
      <c r="AI2784" s="114"/>
      <c r="AJ2784" s="114"/>
      <c r="AK2784" s="114">
        <v>29.170997969999998</v>
      </c>
      <c r="AL2784" s="114">
        <v>36.594052480000002</v>
      </c>
      <c r="AM2784" s="114"/>
      <c r="AN2784" s="114"/>
      <c r="AO2784" s="114">
        <v>1.40027317</v>
      </c>
      <c r="AS2784" s="11">
        <v>1.2123826799999999</v>
      </c>
    </row>
    <row r="2785" spans="1:48" s="11" customFormat="1" hidden="1">
      <c r="A2785" s="16" t="s">
        <v>113</v>
      </c>
      <c r="B2785" s="11" t="s">
        <v>279</v>
      </c>
      <c r="C2785" s="11" t="s">
        <v>175</v>
      </c>
      <c r="D2785" s="11">
        <v>1996</v>
      </c>
      <c r="E2785" s="11">
        <v>5</v>
      </c>
      <c r="H2785" s="18">
        <v>1044.8816014500001</v>
      </c>
      <c r="I2785" s="18">
        <v>1087.20124702</v>
      </c>
      <c r="J2785" s="46">
        <f t="shared" si="321"/>
        <v>1171.8405381599998</v>
      </c>
      <c r="K2785" s="18">
        <v>100.25522875</v>
      </c>
      <c r="L2785" s="18">
        <v>117.09322147</v>
      </c>
      <c r="M2785" s="46">
        <f t="shared" si="322"/>
        <v>167.60719963000003</v>
      </c>
      <c r="O2785" s="94">
        <f t="shared" si="318"/>
        <v>3.0190670820737853</v>
      </c>
      <c r="P2785" s="94">
        <f t="shared" si="341"/>
        <v>3.0363099418605621</v>
      </c>
      <c r="Q2785" s="94">
        <f t="shared" si="342"/>
        <v>3.0688685177324917</v>
      </c>
      <c r="R2785" s="48">
        <f t="shared" si="319"/>
        <v>2.0011070322453839</v>
      </c>
      <c r="S2785" s="48">
        <f t="shared" si="343"/>
        <v>2.0685317544798494</v>
      </c>
      <c r="T2785" s="48">
        <f t="shared" si="344"/>
        <v>2.2242926699769798</v>
      </c>
      <c r="U2785" s="12">
        <v>3.0688685177324917</v>
      </c>
      <c r="V2785" s="12">
        <v>2.2242926699769798</v>
      </c>
      <c r="W2785" s="49">
        <f t="shared" si="320"/>
        <v>0.83569520688254151</v>
      </c>
      <c r="AE2785" s="114">
        <v>29.72621702</v>
      </c>
      <c r="AF2785" s="114"/>
      <c r="AG2785" s="114"/>
      <c r="AH2785" s="114"/>
      <c r="AI2785" s="114"/>
      <c r="AJ2785" s="114"/>
      <c r="AK2785" s="114">
        <v>32.029629</v>
      </c>
      <c r="AL2785" s="114">
        <v>35.0733727</v>
      </c>
      <c r="AM2785" s="114"/>
      <c r="AN2785" s="114"/>
      <c r="AO2785" s="114">
        <v>1.36421072</v>
      </c>
      <c r="AS2785" s="11">
        <v>0.62853731999999995</v>
      </c>
    </row>
    <row r="2786" spans="1:48" s="11" customFormat="1" hidden="1">
      <c r="A2786" s="16" t="s">
        <v>113</v>
      </c>
      <c r="B2786" s="11" t="s">
        <v>279</v>
      </c>
      <c r="C2786" s="11" t="s">
        <v>175</v>
      </c>
      <c r="D2786" s="11">
        <v>1996</v>
      </c>
      <c r="E2786" s="11">
        <v>6</v>
      </c>
      <c r="H2786" s="18">
        <v>1358.80841171</v>
      </c>
      <c r="I2786" s="18">
        <v>1398.15045343</v>
      </c>
      <c r="J2786" s="46">
        <f t="shared" si="321"/>
        <v>1476.83453687</v>
      </c>
      <c r="K2786" s="18">
        <v>145.49423992000001</v>
      </c>
      <c r="L2786" s="18">
        <v>165.81553289999999</v>
      </c>
      <c r="M2786" s="46">
        <f t="shared" si="322"/>
        <v>226.77941183999994</v>
      </c>
      <c r="O2786" s="94">
        <f t="shared" si="318"/>
        <v>3.1331582267083884</v>
      </c>
      <c r="P2786" s="94">
        <f t="shared" si="341"/>
        <v>3.145553907875088</v>
      </c>
      <c r="Q2786" s="94">
        <f t="shared" si="342"/>
        <v>3.1693318400988728</v>
      </c>
      <c r="R2786" s="48">
        <f t="shared" si="319"/>
        <v>2.1628458000540434</v>
      </c>
      <c r="S2786" s="48">
        <f t="shared" si="343"/>
        <v>2.2196252109958383</v>
      </c>
      <c r="T2786" s="48">
        <f t="shared" si="344"/>
        <v>2.3556036246029803</v>
      </c>
      <c r="U2786" s="12">
        <v>3.1693318400988728</v>
      </c>
      <c r="V2786" s="12">
        <v>2.3556036246029803</v>
      </c>
      <c r="W2786" s="49">
        <f t="shared" si="320"/>
        <v>0.68034645081833822</v>
      </c>
      <c r="AE2786" s="114">
        <v>30.619217750000001</v>
      </c>
      <c r="AF2786" s="114"/>
      <c r="AG2786" s="114"/>
      <c r="AH2786" s="114"/>
      <c r="AI2786" s="114"/>
      <c r="AJ2786" s="114"/>
      <c r="AK2786" s="114">
        <v>32.115457169999999</v>
      </c>
      <c r="AL2786" s="114">
        <v>35.314115479999998</v>
      </c>
      <c r="AM2786" s="114"/>
      <c r="AN2786" s="114"/>
      <c r="AO2786" s="114">
        <v>2.7477833899999999</v>
      </c>
      <c r="AS2786" s="11">
        <v>0.81207293999999997</v>
      </c>
    </row>
    <row r="2787" spans="1:48" s="11" customFormat="1" hidden="1">
      <c r="A2787" s="16" t="s">
        <v>113</v>
      </c>
      <c r="B2787" s="11" t="s">
        <v>279</v>
      </c>
      <c r="C2787" s="11" t="s">
        <v>175</v>
      </c>
      <c r="D2787" s="11">
        <v>1996</v>
      </c>
      <c r="E2787" s="11">
        <v>7</v>
      </c>
      <c r="H2787" s="18">
        <v>1110.0442375299999</v>
      </c>
      <c r="I2787" s="18">
        <v>1255.3336722500001</v>
      </c>
      <c r="J2787" s="46">
        <f t="shared" si="321"/>
        <v>1545.9125416900004</v>
      </c>
      <c r="K2787" s="18">
        <v>102.48862389999999</v>
      </c>
      <c r="L2787" s="18">
        <v>114.68323703</v>
      </c>
      <c r="M2787" s="46">
        <f t="shared" si="322"/>
        <v>151.26707642000002</v>
      </c>
      <c r="O2787" s="94">
        <f t="shared" si="318"/>
        <v>3.0453402866536359</v>
      </c>
      <c r="P2787" s="94">
        <f t="shared" si="341"/>
        <v>3.0987591782124055</v>
      </c>
      <c r="Q2787" s="94">
        <f t="shared" si="342"/>
        <v>3.1891849205423171</v>
      </c>
      <c r="R2787" s="48">
        <f t="shared" si="319"/>
        <v>2.0106756619610984</v>
      </c>
      <c r="S2787" s="48">
        <f t="shared" si="343"/>
        <v>2.0594999427713625</v>
      </c>
      <c r="T2787" s="48">
        <f t="shared" si="344"/>
        <v>2.1797444132508321</v>
      </c>
      <c r="U2787" s="12">
        <v>3.1891849205423171</v>
      </c>
      <c r="V2787" s="12">
        <v>2.1797444132508321</v>
      </c>
      <c r="W2787" s="49">
        <f t="shared" si="320"/>
        <v>0.84215206654856178</v>
      </c>
      <c r="AE2787" s="114">
        <v>30.433846039999999</v>
      </c>
      <c r="AF2787" s="114"/>
      <c r="AG2787" s="114"/>
      <c r="AH2787" s="114"/>
      <c r="AI2787" s="114"/>
      <c r="AJ2787" s="114"/>
      <c r="AK2787" s="114">
        <v>31.306936149999999</v>
      </c>
      <c r="AL2787" s="114">
        <v>37.320644739999999</v>
      </c>
      <c r="AM2787" s="114"/>
      <c r="AN2787" s="114"/>
      <c r="AO2787" s="114">
        <v>1.32780783</v>
      </c>
      <c r="AS2787" s="11">
        <v>0.59694528999999996</v>
      </c>
    </row>
    <row r="2788" spans="1:48" s="11" customFormat="1" hidden="1">
      <c r="A2788" s="16" t="s">
        <v>113</v>
      </c>
      <c r="B2788" s="11" t="s">
        <v>279</v>
      </c>
      <c r="C2788" s="11" t="s">
        <v>175</v>
      </c>
      <c r="D2788" s="11">
        <v>1996</v>
      </c>
      <c r="E2788" s="11">
        <v>8</v>
      </c>
      <c r="H2788" s="18">
        <v>1330.2226132400001</v>
      </c>
      <c r="I2788" s="18">
        <v>1442.15727427</v>
      </c>
      <c r="J2788" s="46">
        <f t="shared" si="321"/>
        <v>1666.0265963299998</v>
      </c>
      <c r="K2788" s="18">
        <v>104.18740264</v>
      </c>
      <c r="L2788" s="18">
        <v>116.37282904</v>
      </c>
      <c r="M2788" s="46">
        <f t="shared" si="322"/>
        <v>152.92910824000001</v>
      </c>
      <c r="O2788" s="94">
        <f t="shared" si="318"/>
        <v>3.1239243263893322</v>
      </c>
      <c r="P2788" s="94">
        <f t="shared" si="341"/>
        <v>3.159012624893164</v>
      </c>
      <c r="Q2788" s="94">
        <f t="shared" si="342"/>
        <v>3.2216819301723056</v>
      </c>
      <c r="R2788" s="48">
        <f t="shared" si="319"/>
        <v>2.0178152113371146</v>
      </c>
      <c r="S2788" s="48">
        <f t="shared" si="343"/>
        <v>2.0658515922085803</v>
      </c>
      <c r="T2788" s="48">
        <f t="shared" si="344"/>
        <v>2.1844901560784371</v>
      </c>
      <c r="U2788" s="12">
        <v>3.2216819301723056</v>
      </c>
      <c r="V2788" s="12">
        <v>2.1844901560784371</v>
      </c>
      <c r="W2788" s="49">
        <f t="shared" si="320"/>
        <v>0.82789144865469122</v>
      </c>
      <c r="AE2788" s="114">
        <v>30.335975690000001</v>
      </c>
      <c r="AF2788" s="114"/>
      <c r="AG2788" s="114"/>
      <c r="AH2788" s="114"/>
      <c r="AI2788" s="114"/>
      <c r="AJ2788" s="114"/>
      <c r="AK2788" s="114">
        <v>25.042151329999999</v>
      </c>
      <c r="AL2788" s="114">
        <v>22.453505239999998</v>
      </c>
      <c r="AM2788" s="114"/>
      <c r="AN2788" s="114"/>
      <c r="AO2788" s="114">
        <v>1.4167453800000001</v>
      </c>
      <c r="AS2788" s="11">
        <v>1.11355212</v>
      </c>
    </row>
    <row r="2789" spans="1:48" s="11" customFormat="1" hidden="1">
      <c r="A2789" s="16" t="s">
        <v>113</v>
      </c>
      <c r="B2789" s="11" t="s">
        <v>279</v>
      </c>
      <c r="C2789" s="11" t="s">
        <v>175</v>
      </c>
      <c r="D2789" s="11">
        <v>1996</v>
      </c>
      <c r="E2789" s="11">
        <v>9</v>
      </c>
      <c r="H2789" s="18">
        <v>1311.33105933</v>
      </c>
      <c r="I2789" s="18">
        <v>1411.1388976799999</v>
      </c>
      <c r="J2789" s="46">
        <f t="shared" si="321"/>
        <v>1610.7545743799997</v>
      </c>
      <c r="K2789" s="18">
        <v>98.334947839999998</v>
      </c>
      <c r="L2789" s="18">
        <v>108.2073608</v>
      </c>
      <c r="M2789" s="46">
        <f t="shared" si="322"/>
        <v>137.82459968000001</v>
      </c>
      <c r="O2789" s="94">
        <f t="shared" si="318"/>
        <v>3.1177123477462514</v>
      </c>
      <c r="P2789" s="94">
        <f t="shared" si="341"/>
        <v>3.1495697632420301</v>
      </c>
      <c r="Q2789" s="94">
        <f t="shared" si="342"/>
        <v>3.2070293733725177</v>
      </c>
      <c r="R2789" s="48">
        <f t="shared" si="319"/>
        <v>1.9927078917559267</v>
      </c>
      <c r="S2789" s="48">
        <f t="shared" si="343"/>
        <v>2.0342568046346021</v>
      </c>
      <c r="T2789" s="48">
        <f t="shared" si="344"/>
        <v>2.1393267397181885</v>
      </c>
      <c r="U2789" s="12">
        <v>3.2070293733725177</v>
      </c>
      <c r="V2789" s="12">
        <v>2.1393267397181885</v>
      </c>
      <c r="W2789" s="49">
        <f t="shared" si="320"/>
        <v>0.87536163273516587</v>
      </c>
      <c r="AE2789" s="114">
        <v>25.726335519999999</v>
      </c>
      <c r="AF2789" s="114"/>
      <c r="AG2789" s="114"/>
      <c r="AH2789" s="114"/>
      <c r="AI2789" s="114"/>
      <c r="AJ2789" s="114"/>
      <c r="AK2789" s="114">
        <v>20.745782160000001</v>
      </c>
      <c r="AL2789" s="114">
        <v>11.618043630000001</v>
      </c>
      <c r="AM2789" s="114"/>
      <c r="AN2789" s="114"/>
      <c r="AO2789" s="114">
        <v>1.24672341</v>
      </c>
      <c r="AS2789" s="11">
        <v>1.0649943799999999</v>
      </c>
    </row>
    <row r="2790" spans="1:48" s="11" customFormat="1" hidden="1">
      <c r="A2790" s="16" t="s">
        <v>113</v>
      </c>
      <c r="B2790" s="11" t="s">
        <v>279</v>
      </c>
      <c r="C2790" s="11" t="s">
        <v>175</v>
      </c>
      <c r="D2790" s="11">
        <v>1996</v>
      </c>
      <c r="E2790" s="11">
        <v>10</v>
      </c>
      <c r="H2790" s="18"/>
      <c r="I2790" s="18"/>
      <c r="J2790" s="46"/>
      <c r="K2790" s="18"/>
      <c r="L2790" s="18"/>
      <c r="M2790" s="46"/>
      <c r="O2790" s="94"/>
      <c r="P2790" s="94"/>
      <c r="Q2790" s="94"/>
      <c r="R2790" s="48"/>
      <c r="S2790" s="48"/>
      <c r="T2790" s="48"/>
      <c r="U2790" s="12"/>
      <c r="V2790" s="12"/>
      <c r="W2790" s="49"/>
      <c r="AE2790" s="114">
        <v>24.0037117</v>
      </c>
      <c r="AF2790" s="114"/>
      <c r="AG2790" s="114"/>
      <c r="AH2790" s="114"/>
      <c r="AI2790" s="114"/>
      <c r="AJ2790" s="114"/>
      <c r="AK2790" s="114">
        <v>19.579273440000001</v>
      </c>
      <c r="AL2790" s="114">
        <v>13.61991804</v>
      </c>
      <c r="AM2790" s="114"/>
      <c r="AN2790" s="114"/>
      <c r="AO2790" s="114">
        <v>1.2642323799999999</v>
      </c>
      <c r="AS2790" s="11">
        <v>0.93317914000000002</v>
      </c>
    </row>
    <row r="2791" spans="1:48" s="11" customFormat="1" hidden="1">
      <c r="A2791" s="16" t="s">
        <v>113</v>
      </c>
      <c r="B2791" s="11" t="s">
        <v>279</v>
      </c>
      <c r="C2791" s="11" t="s">
        <v>175</v>
      </c>
      <c r="D2791" s="11">
        <v>1996</v>
      </c>
      <c r="E2791" s="11">
        <v>11</v>
      </c>
      <c r="H2791" s="18">
        <v>1110.2165618500001</v>
      </c>
      <c r="I2791" s="18">
        <v>1213.16230574</v>
      </c>
      <c r="J2791" s="46">
        <f t="shared" si="321"/>
        <v>1419.0537935199998</v>
      </c>
      <c r="K2791" s="18">
        <v>57.613764330000002</v>
      </c>
      <c r="L2791" s="18">
        <v>59.930860760000002</v>
      </c>
      <c r="M2791" s="46">
        <f t="shared" si="322"/>
        <v>66.882150050000007</v>
      </c>
      <c r="O2791" s="94">
        <f t="shared" si="318"/>
        <v>3.04540770170816</v>
      </c>
      <c r="P2791" s="94">
        <f t="shared" ref="P2791" si="345">LOG10(I2791)</f>
        <v>3.0839189078507609</v>
      </c>
      <c r="Q2791" s="94">
        <f t="shared" ref="Q2791:Q2798" si="346">LOG10(J2791)</f>
        <v>3.1519988590135588</v>
      </c>
      <c r="R2791" s="48">
        <f t="shared" si="319"/>
        <v>1.7605262517989664</v>
      </c>
      <c r="S2791" s="48">
        <f t="shared" ref="S2791" si="347">LOG10(L2791)</f>
        <v>1.7776505153176045</v>
      </c>
      <c r="T2791" s="48">
        <f t="shared" ref="T2791:T2798" si="348">LOG10(M2791)</f>
        <v>1.8253102258520428</v>
      </c>
      <c r="U2791" s="12">
        <v>3.1519988590135588</v>
      </c>
      <c r="V2791" s="12">
        <v>1.8253102258520428</v>
      </c>
      <c r="W2791" s="49">
        <f t="shared" si="320"/>
        <v>1.1913849781132435</v>
      </c>
      <c r="AE2791" s="114">
        <v>16.68671337</v>
      </c>
      <c r="AF2791" s="114"/>
      <c r="AG2791" s="114"/>
      <c r="AH2791" s="114"/>
      <c r="AI2791" s="114"/>
      <c r="AJ2791" s="114"/>
      <c r="AK2791" s="114">
        <v>15.01384509</v>
      </c>
      <c r="AL2791" s="114">
        <v>8.8261547</v>
      </c>
      <c r="AM2791" s="114"/>
      <c r="AN2791" s="114"/>
      <c r="AO2791" s="114">
        <v>1.4067800399999999</v>
      </c>
      <c r="AS2791" s="11">
        <v>0.98577762999999996</v>
      </c>
    </row>
    <row r="2792" spans="1:48" s="11" customFormat="1" hidden="1">
      <c r="A2792" s="16" t="s">
        <v>113</v>
      </c>
      <c r="B2792" s="11" t="s">
        <v>279</v>
      </c>
      <c r="C2792" s="11" t="s">
        <v>175</v>
      </c>
      <c r="D2792" s="11">
        <v>1996</v>
      </c>
      <c r="E2792" s="11">
        <v>12</v>
      </c>
      <c r="H2792" s="18"/>
      <c r="I2792" s="18"/>
      <c r="J2792" s="18"/>
      <c r="K2792" s="18"/>
      <c r="L2792" s="18"/>
      <c r="M2792" s="18"/>
      <c r="O2792" s="94"/>
      <c r="Q2792" s="94"/>
      <c r="R2792" s="48"/>
      <c r="T2792" s="48"/>
      <c r="U2792" s="12"/>
      <c r="V2792" s="12"/>
      <c r="W2792" s="49"/>
      <c r="AE2792" s="114">
        <v>13.700768610000001</v>
      </c>
      <c r="AF2792" s="114"/>
      <c r="AG2792" s="114"/>
      <c r="AH2792" s="114"/>
      <c r="AI2792" s="114"/>
      <c r="AJ2792" s="114"/>
      <c r="AK2792" s="114">
        <v>14.11608551</v>
      </c>
      <c r="AL2792" s="114">
        <v>6.5509535999999997</v>
      </c>
      <c r="AM2792" s="114"/>
      <c r="AN2792" s="114"/>
      <c r="AO2792" s="114">
        <v>1.4153604500000001</v>
      </c>
      <c r="AS2792" s="11">
        <v>0.87179249999999997</v>
      </c>
    </row>
    <row r="2793" spans="1:48" s="11" customFormat="1" hidden="1">
      <c r="A2793" s="16" t="s">
        <v>113</v>
      </c>
      <c r="B2793" s="11" t="s">
        <v>284</v>
      </c>
      <c r="C2793" s="11" t="s">
        <v>285</v>
      </c>
      <c r="D2793" s="11">
        <v>2006</v>
      </c>
      <c r="H2793" s="18"/>
      <c r="I2793" s="18"/>
      <c r="J2793" s="18">
        <v>106.31229236</v>
      </c>
      <c r="K2793" s="18"/>
      <c r="L2793" s="18"/>
      <c r="M2793" s="18">
        <v>1152.9511903099999</v>
      </c>
      <c r="O2793" s="94"/>
      <c r="Q2793" s="94">
        <f t="shared" si="346"/>
        <v>2.0265834827309486</v>
      </c>
      <c r="R2793" s="48"/>
      <c r="T2793" s="48">
        <f t="shared" si="348"/>
        <v>3.0618109220148</v>
      </c>
      <c r="U2793" s="53">
        <v>2.0265834827309486</v>
      </c>
      <c r="V2793" s="12">
        <v>3.0618109220148</v>
      </c>
      <c r="W2793" s="49">
        <f t="shared" si="320"/>
        <v>0.3489765544584878</v>
      </c>
    </row>
    <row r="2794" spans="1:48" s="11" customFormat="1" hidden="1">
      <c r="A2794" s="16" t="s">
        <v>113</v>
      </c>
      <c r="B2794" s="11" t="s">
        <v>284</v>
      </c>
      <c r="C2794" s="11" t="s">
        <v>286</v>
      </c>
      <c r="D2794" s="11">
        <v>2006</v>
      </c>
      <c r="H2794" s="18"/>
      <c r="I2794" s="18"/>
      <c r="J2794" s="18">
        <v>334.88372092999998</v>
      </c>
      <c r="K2794" s="18"/>
      <c r="L2794" s="18"/>
      <c r="M2794" s="18">
        <v>110.98520631</v>
      </c>
      <c r="O2794" s="94"/>
      <c r="Q2794" s="94">
        <f t="shared" si="346"/>
        <v>2.5248940365153616</v>
      </c>
      <c r="R2794" s="48"/>
      <c r="T2794" s="48">
        <f t="shared" si="348"/>
        <v>2.0452650936865617</v>
      </c>
      <c r="U2794" s="53">
        <v>2.5248940365153616</v>
      </c>
      <c r="V2794" s="12">
        <v>2.0452650936865617</v>
      </c>
      <c r="W2794" s="49">
        <f t="shared" si="320"/>
        <v>1.1694033508027395</v>
      </c>
    </row>
    <row r="2795" spans="1:48" s="11" customFormat="1" hidden="1">
      <c r="A2795" s="16" t="s">
        <v>113</v>
      </c>
      <c r="B2795" s="11" t="s">
        <v>284</v>
      </c>
      <c r="C2795" s="11" t="s">
        <v>287</v>
      </c>
      <c r="D2795" s="11">
        <v>2006</v>
      </c>
      <c r="H2795" s="18"/>
      <c r="I2795" s="18"/>
      <c r="J2795" s="18">
        <v>159.46843853999999</v>
      </c>
      <c r="K2795" s="18"/>
      <c r="L2795" s="18"/>
      <c r="M2795" s="18">
        <v>952.14565037</v>
      </c>
      <c r="O2795" s="94"/>
      <c r="Q2795" s="94">
        <f t="shared" si="346"/>
        <v>2.2026747417866295</v>
      </c>
      <c r="R2795" s="48"/>
      <c r="T2795" s="48">
        <f t="shared" si="348"/>
        <v>2.9787033877895581</v>
      </c>
      <c r="U2795" s="53">
        <v>2.2026747417866295</v>
      </c>
      <c r="V2795" s="12">
        <v>2.9787033877895581</v>
      </c>
      <c r="W2795" s="49">
        <f t="shared" si="320"/>
        <v>0.37550916742379703</v>
      </c>
    </row>
    <row r="2796" spans="1:48" s="11" customFormat="1" hidden="1">
      <c r="A2796" s="16" t="s">
        <v>113</v>
      </c>
      <c r="B2796" s="11" t="s">
        <v>284</v>
      </c>
      <c r="C2796" s="11" t="s">
        <v>288</v>
      </c>
      <c r="D2796" s="11">
        <v>2006</v>
      </c>
      <c r="H2796" s="18"/>
      <c r="I2796" s="18"/>
      <c r="J2796" s="18">
        <v>276.41196013000001</v>
      </c>
      <c r="K2796" s="18"/>
      <c r="L2796" s="18"/>
      <c r="M2796" s="18">
        <v>94.600012579999998</v>
      </c>
      <c r="O2796" s="94"/>
      <c r="Q2796" s="94">
        <f t="shared" si="346"/>
        <v>2.4415568306923392</v>
      </c>
      <c r="R2796" s="48"/>
      <c r="T2796" s="48">
        <f t="shared" si="348"/>
        <v>1.9758911941546915</v>
      </c>
      <c r="U2796" s="53">
        <v>2.4415568306923392</v>
      </c>
      <c r="V2796" s="12">
        <v>1.9758911941546915</v>
      </c>
      <c r="W2796" s="49">
        <f t="shared" si="320"/>
        <v>1.2605406568054489</v>
      </c>
    </row>
    <row r="2797" spans="1:48" s="11" customFormat="1" hidden="1">
      <c r="A2797" s="16" t="s">
        <v>113</v>
      </c>
      <c r="B2797" s="11" t="s">
        <v>284</v>
      </c>
      <c r="C2797" s="11" t="s">
        <v>289</v>
      </c>
      <c r="D2797" s="11">
        <v>2006</v>
      </c>
      <c r="H2797" s="18"/>
      <c r="I2797" s="18"/>
      <c r="J2797" s="18">
        <v>302.99003321999999</v>
      </c>
      <c r="K2797" s="18"/>
      <c r="L2797" s="18"/>
      <c r="M2797" s="18">
        <v>1566.9324746299999</v>
      </c>
      <c r="O2797" s="94"/>
      <c r="Q2797" s="94">
        <f t="shared" si="346"/>
        <v>2.4814283427308585</v>
      </c>
      <c r="R2797" s="48"/>
      <c r="T2797" s="48">
        <f t="shared" si="348"/>
        <v>3.1950502813904436</v>
      </c>
      <c r="U2797" s="53">
        <v>2.4814283427308585</v>
      </c>
      <c r="V2797" s="12">
        <v>3.1950502813904436</v>
      </c>
      <c r="W2797" s="49">
        <f t="shared" si="320"/>
        <v>8.5642304796532745E-2</v>
      </c>
    </row>
    <row r="2798" spans="1:48" s="11" customFormat="1" hidden="1">
      <c r="A2798" s="16" t="s">
        <v>113</v>
      </c>
      <c r="B2798" s="11" t="s">
        <v>284</v>
      </c>
      <c r="C2798" s="11" t="s">
        <v>290</v>
      </c>
      <c r="D2798" s="11">
        <v>2006</v>
      </c>
      <c r="H2798" s="18"/>
      <c r="I2798" s="18"/>
      <c r="J2798" s="18">
        <v>685.71428571000001</v>
      </c>
      <c r="K2798" s="18"/>
      <c r="L2798" s="18"/>
      <c r="M2798" s="18">
        <v>823.66823598999997</v>
      </c>
      <c r="O2798" s="94"/>
      <c r="Q2798" s="94">
        <f t="shared" si="346"/>
        <v>2.836143197358616</v>
      </c>
      <c r="R2798" s="48"/>
      <c r="T2798" s="48">
        <f t="shared" si="348"/>
        <v>2.9157523181382827</v>
      </c>
      <c r="U2798" s="53">
        <v>2.836143197358616</v>
      </c>
      <c r="V2798" s="12">
        <v>2.9157523181382827</v>
      </c>
      <c r="W2798" s="49">
        <f t="shared" si="320"/>
        <v>0.2458188069963316</v>
      </c>
    </row>
    <row r="2799" spans="1:48" s="108" customFormat="1" ht="15" hidden="1">
      <c r="A2799" s="107" t="s">
        <v>150</v>
      </c>
      <c r="B2799" s="108" t="s">
        <v>280</v>
      </c>
      <c r="C2799" s="19" t="s">
        <v>283</v>
      </c>
      <c r="D2799" s="108">
        <v>2003</v>
      </c>
      <c r="E2799" s="108">
        <v>1</v>
      </c>
      <c r="F2799" s="108">
        <v>15</v>
      </c>
      <c r="G2799" s="34">
        <f>365*(D2799-2003)+30.47*(E2799-1)+F2799</f>
        <v>15</v>
      </c>
      <c r="H2799" s="111">
        <v>475.64766838999998</v>
      </c>
      <c r="I2799" s="111">
        <v>615.54404145000001</v>
      </c>
      <c r="J2799" s="109">
        <f t="shared" ref="J2799:J2807" si="349">H2799+3*(I2799-H2799)</f>
        <v>895.33678757000007</v>
      </c>
      <c r="K2799" s="112"/>
      <c r="L2799" s="112"/>
      <c r="O2799" s="94">
        <f t="shared" ref="O2799" si="350">LOG10(H2799)</f>
        <v>2.6772853721900152</v>
      </c>
      <c r="P2799" s="94">
        <f t="shared" ref="P2799" si="351">LOG10(I2799)</f>
        <v>2.7892591316368525</v>
      </c>
      <c r="Q2799" s="94">
        <f t="shared" ref="Q2799" si="352">LOG10(J2799)</f>
        <v>2.951986429137639</v>
      </c>
      <c r="R2799" s="48"/>
      <c r="S2799" s="94"/>
      <c r="T2799" s="48"/>
      <c r="U2799" s="94">
        <v>2.951986429137639</v>
      </c>
      <c r="W2799" s="49"/>
      <c r="AE2799" s="115">
        <v>7.4318597999999998</v>
      </c>
      <c r="AF2799" s="116"/>
      <c r="AG2799" s="116"/>
      <c r="AH2799" s="116"/>
      <c r="AI2799" s="116"/>
      <c r="AJ2799" s="116"/>
      <c r="AK2799" s="116"/>
      <c r="AL2799" s="116"/>
      <c r="AM2799" s="116"/>
      <c r="AN2799" s="116"/>
      <c r="AO2799" s="115">
        <v>3.6760124599999999</v>
      </c>
      <c r="AP2799" s="115">
        <v>308.41121494999999</v>
      </c>
      <c r="AU2799" s="110">
        <v>0.41121495000000002</v>
      </c>
      <c r="AV2799" s="110">
        <v>2.6822429900000002</v>
      </c>
    </row>
    <row r="2800" spans="1:48" s="108" customFormat="1" ht="15" hidden="1">
      <c r="A2800" s="107" t="s">
        <v>150</v>
      </c>
      <c r="B2800" s="108" t="s">
        <v>280</v>
      </c>
      <c r="C2800" s="19" t="s">
        <v>283</v>
      </c>
      <c r="D2800" s="108">
        <v>2003</v>
      </c>
      <c r="E2800" s="108">
        <v>2</v>
      </c>
      <c r="F2800" s="108">
        <v>15</v>
      </c>
      <c r="G2800" s="34">
        <f t="shared" ref="G2800:G2808" si="353">365*(D2800-2003)+30.47*(E2800-1)+F2800</f>
        <v>45.47</v>
      </c>
      <c r="H2800" s="111">
        <v>705.69948187</v>
      </c>
      <c r="I2800" s="111">
        <v>879.79274611000005</v>
      </c>
      <c r="J2800" s="109">
        <f t="shared" si="349"/>
        <v>1227.9792745900002</v>
      </c>
      <c r="K2800" s="112">
        <v>186.78160919999999</v>
      </c>
      <c r="L2800" s="112">
        <v>232.75862068999999</v>
      </c>
      <c r="M2800" s="109">
        <f t="shared" ref="M2800:M2808" si="354">L2800+3*(L2800-K2800)</f>
        <v>370.68965515999997</v>
      </c>
      <c r="O2800" s="94">
        <f t="shared" ref="O2800:O2853" si="355">LOG10(H2800)</f>
        <v>2.8486197985718942</v>
      </c>
      <c r="P2800" s="94">
        <f t="shared" ref="P2800:P2853" si="356">LOG10(I2800)</f>
        <v>2.9443803768981907</v>
      </c>
      <c r="Q2800" s="94">
        <f t="shared" ref="Q2800:Q2853" si="357">LOG10(J2800)</f>
        <v>3.0891910369947619</v>
      </c>
      <c r="R2800" s="94">
        <f t="shared" ref="R2800:R2853" si="358">LOG10(K2800)</f>
        <v>2.2713341127069651</v>
      </c>
      <c r="S2800" s="94">
        <f t="shared" ref="S2800:S2853" si="359">LOG10(L2800)</f>
        <v>2.3669057749327123</v>
      </c>
      <c r="T2800" s="94">
        <f t="shared" ref="T2800:T2853" si="360">LOG10(M2800)</f>
        <v>2.5690104663381241</v>
      </c>
      <c r="U2800" s="94">
        <v>3.0891910369947619</v>
      </c>
      <c r="V2800" s="58">
        <v>2.5690104663381241</v>
      </c>
      <c r="W2800" s="49">
        <f t="shared" ref="W2800:W2853" si="361">0.9539*(4.064-0.314*U2800-V2800)</f>
        <v>0.5007818064806222</v>
      </c>
      <c r="AE2800" s="115">
        <v>7.5395023600000002</v>
      </c>
      <c r="AF2800" s="116"/>
      <c r="AG2800" s="116"/>
      <c r="AH2800" s="116"/>
      <c r="AI2800" s="116"/>
      <c r="AJ2800" s="116"/>
      <c r="AK2800" s="116"/>
      <c r="AL2800" s="116"/>
      <c r="AM2800" s="116"/>
      <c r="AN2800" s="116"/>
      <c r="AO2800" s="115">
        <v>0.62305295999999999</v>
      </c>
      <c r="AP2800" s="115">
        <v>186.91588784999999</v>
      </c>
      <c r="AU2800" s="110">
        <v>0.29906542000000003</v>
      </c>
      <c r="AV2800" s="110">
        <v>3.0747663599999999</v>
      </c>
    </row>
    <row r="2801" spans="1:48" s="108" customFormat="1" ht="15" hidden="1">
      <c r="A2801" s="107" t="s">
        <v>150</v>
      </c>
      <c r="B2801" s="108" t="s">
        <v>280</v>
      </c>
      <c r="C2801" s="19" t="s">
        <v>283</v>
      </c>
      <c r="D2801" s="108">
        <v>2003</v>
      </c>
      <c r="E2801" s="108">
        <v>3</v>
      </c>
      <c r="F2801" s="108">
        <v>14</v>
      </c>
      <c r="G2801" s="34">
        <f t="shared" si="353"/>
        <v>74.94</v>
      </c>
      <c r="H2801" s="111">
        <v>567.67404858999998</v>
      </c>
      <c r="I2801" s="111">
        <v>671.94872877</v>
      </c>
      <c r="J2801" s="109">
        <f t="shared" si="349"/>
        <v>880.49808913000004</v>
      </c>
      <c r="K2801" s="112">
        <v>264.36781609000002</v>
      </c>
      <c r="L2801" s="112">
        <v>330.45977011000002</v>
      </c>
      <c r="M2801" s="109">
        <f t="shared" si="354"/>
        <v>528.73563217000003</v>
      </c>
      <c r="O2801" s="94">
        <f t="shared" si="355"/>
        <v>2.7540990407609507</v>
      </c>
      <c r="P2801" s="94">
        <f t="shared" si="356"/>
        <v>2.8273361366524083</v>
      </c>
      <c r="Q2801" s="94">
        <f t="shared" si="357"/>
        <v>2.9447284177919988</v>
      </c>
      <c r="R2801" s="94">
        <f t="shared" si="358"/>
        <v>2.4222085833957645</v>
      </c>
      <c r="S2801" s="94">
        <f t="shared" si="359"/>
        <v>2.5191185964005354</v>
      </c>
      <c r="T2801" s="94">
        <f t="shared" si="360"/>
        <v>2.7232385790515319</v>
      </c>
      <c r="U2801" s="94">
        <v>2.9447284177919988</v>
      </c>
      <c r="V2801" s="58">
        <v>2.7232385790515319</v>
      </c>
      <c r="W2801" s="49">
        <f t="shared" si="361"/>
        <v>0.39693371799496241</v>
      </c>
      <c r="AE2801" s="115">
        <v>11.65216188</v>
      </c>
      <c r="AF2801" s="116"/>
      <c r="AG2801" s="116"/>
      <c r="AH2801" s="116"/>
      <c r="AI2801" s="116"/>
      <c r="AJ2801" s="116"/>
      <c r="AK2801" s="116"/>
      <c r="AL2801" s="116"/>
      <c r="AM2801" s="116"/>
      <c r="AN2801" s="116"/>
      <c r="AO2801" s="115">
        <v>0.43613707000000002</v>
      </c>
      <c r="AP2801" s="115">
        <v>227.41433022000001</v>
      </c>
      <c r="AU2801" s="110">
        <v>0.49844237000000002</v>
      </c>
      <c r="AV2801" s="110">
        <v>0.47975077999999999</v>
      </c>
    </row>
    <row r="2802" spans="1:48" s="108" customFormat="1" ht="15" hidden="1">
      <c r="A2802" s="107" t="s">
        <v>150</v>
      </c>
      <c r="B2802" s="108" t="s">
        <v>280</v>
      </c>
      <c r="C2802" s="19" t="s">
        <v>283</v>
      </c>
      <c r="D2802" s="108">
        <v>2003</v>
      </c>
      <c r="E2802" s="108">
        <v>4</v>
      </c>
      <c r="F2802" s="108">
        <v>20</v>
      </c>
      <c r="G2802" s="34">
        <f t="shared" si="353"/>
        <v>111.41</v>
      </c>
      <c r="H2802" s="111">
        <v>258.21580872999999</v>
      </c>
      <c r="I2802" s="111">
        <v>289.11917097999998</v>
      </c>
      <c r="J2802" s="109">
        <f t="shared" si="349"/>
        <v>350.92589547999995</v>
      </c>
      <c r="K2802" s="112">
        <v>140.80459769999999</v>
      </c>
      <c r="L2802" s="112">
        <v>169.54022989000001</v>
      </c>
      <c r="M2802" s="109">
        <f t="shared" si="354"/>
        <v>255.74712646000006</v>
      </c>
      <c r="O2802" s="94">
        <f t="shared" si="355"/>
        <v>2.4119828275277415</v>
      </c>
      <c r="P2802" s="94">
        <f t="shared" si="356"/>
        <v>2.4610768899231115</v>
      </c>
      <c r="Q2802" s="94">
        <f t="shared" si="357"/>
        <v>2.5452154168022361</v>
      </c>
      <c r="R2802" s="94">
        <f t="shared" si="358"/>
        <v>2.1486168360783875</v>
      </c>
      <c r="S2802" s="94">
        <f t="shared" si="359"/>
        <v>2.229272767708224</v>
      </c>
      <c r="T2802" s="94">
        <f t="shared" si="360"/>
        <v>2.4078107627377601</v>
      </c>
      <c r="U2802" s="94">
        <v>2.5452154168022361</v>
      </c>
      <c r="V2802" s="58">
        <v>2.4078107627377601</v>
      </c>
      <c r="W2802" s="49">
        <f t="shared" si="361"/>
        <v>0.8174842837929277</v>
      </c>
      <c r="AE2802" s="115">
        <v>14.550653658320885</v>
      </c>
      <c r="AF2802" s="116">
        <f t="shared" ref="AF2802:AF2808" si="362">GEOMEAN(AE2802:AE2802)</f>
        <v>14.550653658320885</v>
      </c>
      <c r="AG2802" s="116"/>
      <c r="AH2802" s="116"/>
      <c r="AI2802" s="116"/>
      <c r="AJ2802" s="116"/>
      <c r="AK2802" s="116"/>
      <c r="AL2802" s="116"/>
      <c r="AM2802" s="116"/>
      <c r="AN2802" s="116"/>
      <c r="AO2802" s="115">
        <v>1.77570093</v>
      </c>
      <c r="AP2802" s="115">
        <v>221.18380062</v>
      </c>
      <c r="AU2802" s="110">
        <v>0.53582554999999998</v>
      </c>
      <c r="AV2802" s="110">
        <v>0.10903427</v>
      </c>
    </row>
    <row r="2803" spans="1:48" s="108" customFormat="1" ht="15" hidden="1">
      <c r="A2803" s="107" t="s">
        <v>150</v>
      </c>
      <c r="B2803" s="108" t="s">
        <v>280</v>
      </c>
      <c r="C2803" s="19" t="s">
        <v>283</v>
      </c>
      <c r="D2803" s="108">
        <v>2003</v>
      </c>
      <c r="E2803" s="108">
        <v>5</v>
      </c>
      <c r="F2803" s="108">
        <v>18</v>
      </c>
      <c r="G2803" s="34">
        <f t="shared" si="353"/>
        <v>139.88</v>
      </c>
      <c r="H2803" s="111">
        <v>332.82450483999997</v>
      </c>
      <c r="I2803" s="111">
        <v>382.38341968999998</v>
      </c>
      <c r="J2803" s="109">
        <f t="shared" si="349"/>
        <v>481.50124939</v>
      </c>
      <c r="K2803" s="112">
        <v>442.52873563000003</v>
      </c>
      <c r="L2803" s="112">
        <v>491.37931034000002</v>
      </c>
      <c r="M2803" s="109">
        <f t="shared" si="354"/>
        <v>637.93103446999999</v>
      </c>
      <c r="O2803" s="94">
        <f t="shared" si="355"/>
        <v>2.5222152945567928</v>
      </c>
      <c r="P2803" s="94">
        <f t="shared" si="356"/>
        <v>2.5824990528162681</v>
      </c>
      <c r="Q2803" s="94">
        <f t="shared" si="357"/>
        <v>2.6825974183608206</v>
      </c>
      <c r="R2803" s="94">
        <f t="shared" si="358"/>
        <v>2.6459414768877387</v>
      </c>
      <c r="S2803" s="94">
        <f t="shared" si="359"/>
        <v>2.6914168664413061</v>
      </c>
      <c r="T2803" s="94">
        <f t="shared" si="360"/>
        <v>2.8047737304953717</v>
      </c>
      <c r="U2803" s="94">
        <v>2.6825974183608206</v>
      </c>
      <c r="V2803" s="58">
        <v>2.8047737304953717</v>
      </c>
      <c r="W2803" s="49">
        <f t="shared" si="361"/>
        <v>0.39767201978490746</v>
      </c>
      <c r="AE2803" s="115">
        <v>17.019062692468356</v>
      </c>
      <c r="AF2803" s="116">
        <f t="shared" si="362"/>
        <v>17.019062692468356</v>
      </c>
      <c r="AG2803" s="116"/>
      <c r="AH2803" s="116"/>
      <c r="AI2803" s="116"/>
      <c r="AJ2803" s="116"/>
      <c r="AK2803" s="116"/>
      <c r="AL2803" s="116"/>
      <c r="AM2803" s="116"/>
      <c r="AN2803" s="116"/>
      <c r="AO2803" s="115">
        <v>2.8971962599999999</v>
      </c>
      <c r="AP2803" s="115">
        <v>375.38940810000003</v>
      </c>
      <c r="AU2803" s="110">
        <v>1.70716511</v>
      </c>
      <c r="AV2803" s="110">
        <v>0.67601246000000004</v>
      </c>
    </row>
    <row r="2804" spans="1:48" s="108" customFormat="1" ht="15" hidden="1">
      <c r="A2804" s="107" t="s">
        <v>150</v>
      </c>
      <c r="B2804" s="108" t="s">
        <v>280</v>
      </c>
      <c r="C2804" s="19" t="s">
        <v>283</v>
      </c>
      <c r="D2804" s="108">
        <v>2003</v>
      </c>
      <c r="E2804" s="108">
        <v>6</v>
      </c>
      <c r="F2804" s="108">
        <v>16</v>
      </c>
      <c r="G2804" s="34">
        <f t="shared" si="353"/>
        <v>168.35</v>
      </c>
      <c r="H2804" s="111">
        <v>245.59585491999999</v>
      </c>
      <c r="I2804" s="111">
        <v>267.35751295</v>
      </c>
      <c r="J2804" s="109">
        <f t="shared" si="349"/>
        <v>310.88082901000001</v>
      </c>
      <c r="K2804" s="112">
        <v>468.39080460000002</v>
      </c>
      <c r="L2804" s="112">
        <v>482.75862068999999</v>
      </c>
      <c r="M2804" s="109">
        <f t="shared" si="354"/>
        <v>525.86206895999987</v>
      </c>
      <c r="O2804" s="94">
        <f t="shared" si="355"/>
        <v>2.3902210326622799</v>
      </c>
      <c r="P2804" s="94">
        <f t="shared" si="356"/>
        <v>2.4270923926139667</v>
      </c>
      <c r="Q2804" s="94">
        <f t="shared" si="357"/>
        <v>2.4925939413681251</v>
      </c>
      <c r="R2804" s="94">
        <f t="shared" si="358"/>
        <v>2.6706083604595086</v>
      </c>
      <c r="S2804" s="94">
        <f t="shared" si="359"/>
        <v>2.6837300377795921</v>
      </c>
      <c r="T2804" s="94">
        <f t="shared" si="360"/>
        <v>2.7208718457792918</v>
      </c>
      <c r="U2804" s="94">
        <v>2.4925939413681251</v>
      </c>
      <c r="V2804" s="58">
        <v>2.7208718457792918</v>
      </c>
      <c r="W2804" s="49">
        <f t="shared" si="361"/>
        <v>0.53461674306042239</v>
      </c>
      <c r="AE2804" s="115">
        <v>21.16687512439929</v>
      </c>
      <c r="AF2804" s="116">
        <f t="shared" si="362"/>
        <v>21.16687512439929</v>
      </c>
      <c r="AG2804" s="116"/>
      <c r="AH2804" s="116"/>
      <c r="AI2804" s="116"/>
      <c r="AJ2804" s="116"/>
      <c r="AK2804" s="116"/>
      <c r="AL2804" s="116"/>
      <c r="AM2804" s="116"/>
      <c r="AN2804" s="116"/>
      <c r="AO2804" s="115">
        <v>6.0747663599999999</v>
      </c>
      <c r="AP2804" s="115">
        <v>239.87538941</v>
      </c>
      <c r="AU2804" s="110">
        <v>1.34579439</v>
      </c>
      <c r="AV2804" s="110">
        <v>1.5482866</v>
      </c>
    </row>
    <row r="2805" spans="1:48" s="108" customFormat="1" ht="15" hidden="1">
      <c r="A2805" s="107" t="s">
        <v>150</v>
      </c>
      <c r="B2805" s="108" t="s">
        <v>280</v>
      </c>
      <c r="C2805" s="19" t="s">
        <v>283</v>
      </c>
      <c r="D2805" s="108">
        <v>2003</v>
      </c>
      <c r="E2805" s="108">
        <v>7</v>
      </c>
      <c r="F2805" s="108">
        <v>14</v>
      </c>
      <c r="G2805" s="34">
        <f t="shared" si="353"/>
        <v>196.82</v>
      </c>
      <c r="H2805" s="111">
        <v>286.01036269000002</v>
      </c>
      <c r="I2805" s="111">
        <v>320.20725389</v>
      </c>
      <c r="J2805" s="109">
        <f t="shared" si="349"/>
        <v>388.60103628999997</v>
      </c>
      <c r="K2805" s="112">
        <v>468.39080460000002</v>
      </c>
      <c r="L2805" s="112">
        <v>520.11494253000001</v>
      </c>
      <c r="M2805" s="109">
        <f t="shared" si="354"/>
        <v>675.28735631999996</v>
      </c>
      <c r="O2805" s="94">
        <f t="shared" si="355"/>
        <v>2.4563817687148952</v>
      </c>
      <c r="P2805" s="94">
        <f t="shared" si="356"/>
        <v>2.5054311660864532</v>
      </c>
      <c r="Q2805" s="94">
        <f t="shared" si="357"/>
        <v>2.5895039544069149</v>
      </c>
      <c r="R2805" s="94">
        <f t="shared" si="358"/>
        <v>2.6706083604595086</v>
      </c>
      <c r="S2805" s="94">
        <f t="shared" si="359"/>
        <v>2.7160993309236594</v>
      </c>
      <c r="T2805" s="94">
        <f t="shared" si="360"/>
        <v>2.8294886183239725</v>
      </c>
      <c r="U2805" s="94">
        <v>2.5895039544069149</v>
      </c>
      <c r="V2805" s="58">
        <v>2.8294886183239725</v>
      </c>
      <c r="W2805" s="49">
        <f t="shared" si="361"/>
        <v>0.40198027083861326</v>
      </c>
      <c r="AE2805" s="115">
        <v>23.862871241441049</v>
      </c>
      <c r="AF2805" s="116">
        <f t="shared" si="362"/>
        <v>23.862871241441049</v>
      </c>
      <c r="AG2805" s="116"/>
      <c r="AH2805" s="116"/>
      <c r="AI2805" s="116"/>
      <c r="AJ2805" s="116"/>
      <c r="AK2805" s="116"/>
      <c r="AL2805" s="116"/>
      <c r="AM2805" s="116"/>
      <c r="AN2805" s="116"/>
      <c r="AO2805" s="115">
        <v>7.8816199400000002</v>
      </c>
      <c r="AP2805" s="115">
        <v>221.18380062</v>
      </c>
      <c r="AU2805" s="110">
        <v>3.16510903</v>
      </c>
      <c r="AV2805" s="110">
        <v>0.61059189999999997</v>
      </c>
    </row>
    <row r="2806" spans="1:48" s="108" customFormat="1" ht="15" hidden="1">
      <c r="A2806" s="107" t="s">
        <v>150</v>
      </c>
      <c r="B2806" s="108" t="s">
        <v>280</v>
      </c>
      <c r="C2806" s="19" t="s">
        <v>283</v>
      </c>
      <c r="D2806" s="108">
        <v>2003</v>
      </c>
      <c r="E2806" s="108">
        <v>8</v>
      </c>
      <c r="F2806" s="108">
        <v>8</v>
      </c>
      <c r="G2806" s="34">
        <f t="shared" si="353"/>
        <v>221.29</v>
      </c>
      <c r="H2806" s="111">
        <v>369.94818652999999</v>
      </c>
      <c r="I2806" s="111">
        <v>419.68911917000003</v>
      </c>
      <c r="J2806" s="109">
        <f t="shared" si="349"/>
        <v>519.17098445000011</v>
      </c>
      <c r="K2806" s="112">
        <v>201.14942529000001</v>
      </c>
      <c r="L2806" s="112">
        <v>224.13793103</v>
      </c>
      <c r="M2806" s="109">
        <f t="shared" si="354"/>
        <v>293.10344824999999</v>
      </c>
      <c r="O2806" s="94">
        <f t="shared" si="355"/>
        <v>2.5681409027701645</v>
      </c>
      <c r="P2806" s="94">
        <f t="shared" si="356"/>
        <v>2.6229277098698573</v>
      </c>
      <c r="Q2806" s="94">
        <f t="shared" si="357"/>
        <v>2.7153104125184688</v>
      </c>
      <c r="R2806" s="94">
        <f t="shared" si="358"/>
        <v>2.3035187960733836</v>
      </c>
      <c r="S2806" s="94">
        <f t="shared" si="359"/>
        <v>2.3505153587352137</v>
      </c>
      <c r="T2806" s="94">
        <f t="shared" si="360"/>
        <v>2.4670209277770163</v>
      </c>
      <c r="U2806" s="94">
        <v>2.7153104125184688</v>
      </c>
      <c r="V2806" s="58">
        <v>2.4670209277770163</v>
      </c>
      <c r="W2806" s="49">
        <f t="shared" si="361"/>
        <v>0.71005607180807495</v>
      </c>
      <c r="AE2806" s="115">
        <v>24.585150762475511</v>
      </c>
      <c r="AF2806" s="116">
        <f t="shared" si="362"/>
        <v>24.585150762475511</v>
      </c>
      <c r="AG2806" s="116"/>
      <c r="AH2806" s="116"/>
      <c r="AI2806" s="116"/>
      <c r="AJ2806" s="116"/>
      <c r="AK2806" s="116"/>
      <c r="AL2806" s="116"/>
      <c r="AM2806" s="116"/>
      <c r="AN2806" s="116"/>
      <c r="AO2806" s="115">
        <v>1.83800623</v>
      </c>
      <c r="AP2806" s="115">
        <v>205.60747663999999</v>
      </c>
      <c r="AU2806" s="110">
        <v>0.85981308000000001</v>
      </c>
      <c r="AV2806" s="110">
        <v>0.15264797999999999</v>
      </c>
    </row>
    <row r="2807" spans="1:48" s="108" customFormat="1" ht="15" hidden="1">
      <c r="A2807" s="107" t="s">
        <v>150</v>
      </c>
      <c r="B2807" s="108" t="s">
        <v>280</v>
      </c>
      <c r="C2807" s="19" t="s">
        <v>283</v>
      </c>
      <c r="D2807" s="108">
        <v>2003</v>
      </c>
      <c r="E2807" s="108">
        <v>9</v>
      </c>
      <c r="F2807" s="108">
        <v>11</v>
      </c>
      <c r="G2807" s="34">
        <f t="shared" si="353"/>
        <v>254.76</v>
      </c>
      <c r="H2807" s="111">
        <v>357.51295336999999</v>
      </c>
      <c r="I2807" s="111">
        <v>407.25388600999997</v>
      </c>
      <c r="J2807" s="109">
        <f t="shared" si="349"/>
        <v>506.73575128999994</v>
      </c>
      <c r="K2807" s="112">
        <v>158.04597701</v>
      </c>
      <c r="L2807" s="112">
        <v>175.28735631999999</v>
      </c>
      <c r="M2807" s="109">
        <f t="shared" si="354"/>
        <v>227.01149424999994</v>
      </c>
      <c r="O2807" s="94">
        <f t="shared" si="355"/>
        <v>2.5532917817320619</v>
      </c>
      <c r="P2807" s="94">
        <f t="shared" si="356"/>
        <v>2.6098652370312472</v>
      </c>
      <c r="Q2807" s="94">
        <f t="shared" si="357"/>
        <v>2.704781545775254</v>
      </c>
      <c r="R2807" s="94">
        <f t="shared" si="358"/>
        <v>2.1987834455435569</v>
      </c>
      <c r="S2807" s="94">
        <f t="shared" si="359"/>
        <v>2.2437505910596296</v>
      </c>
      <c r="T2807" s="94">
        <f t="shared" si="360"/>
        <v>2.3560478473383628</v>
      </c>
      <c r="U2807" s="94">
        <v>2.704781545775254</v>
      </c>
      <c r="V2807" s="58">
        <v>2.3560478473383628</v>
      </c>
      <c r="W2807" s="49">
        <f t="shared" si="361"/>
        <v>0.81906694783822132</v>
      </c>
      <c r="AE2807" s="115">
        <v>25.080637836658784</v>
      </c>
      <c r="AF2807" s="116">
        <f t="shared" si="362"/>
        <v>25.080637836658784</v>
      </c>
      <c r="AG2807" s="116"/>
      <c r="AH2807" s="116"/>
      <c r="AI2807" s="116"/>
      <c r="AJ2807" s="116"/>
      <c r="AK2807" s="116"/>
      <c r="AL2807" s="116"/>
      <c r="AM2807" s="116"/>
      <c r="AN2807" s="116"/>
      <c r="AO2807" s="115">
        <v>3.6760124599999999</v>
      </c>
      <c r="AP2807" s="115">
        <v>283.48909657000002</v>
      </c>
      <c r="AU2807" s="110">
        <v>1.7320872300000001</v>
      </c>
      <c r="AV2807" s="110">
        <v>1.91900312</v>
      </c>
    </row>
    <row r="2808" spans="1:48" s="108" customFormat="1" ht="15" hidden="1">
      <c r="A2808" s="107" t="s">
        <v>150</v>
      </c>
      <c r="B2808" s="108" t="s">
        <v>280</v>
      </c>
      <c r="C2808" s="19" t="s">
        <v>283</v>
      </c>
      <c r="D2808" s="108">
        <v>2003</v>
      </c>
      <c r="E2808" s="108">
        <v>10</v>
      </c>
      <c r="F2808" s="108">
        <v>13</v>
      </c>
      <c r="G2808" s="34">
        <f t="shared" si="353"/>
        <v>287.23</v>
      </c>
      <c r="H2808" s="111">
        <v>239.37823834</v>
      </c>
      <c r="I2808" s="111">
        <v>276.68393781999998</v>
      </c>
      <c r="J2808" s="109">
        <f t="shared" ref="J2808:J2818" si="363">H2808+3*(I2808-H2808)</f>
        <v>351.29533677999996</v>
      </c>
      <c r="K2808" s="112">
        <v>160.91954023</v>
      </c>
      <c r="L2808" s="112">
        <v>192.52873563</v>
      </c>
      <c r="M2808" s="109">
        <f t="shared" si="354"/>
        <v>287.35632183000001</v>
      </c>
      <c r="O2808" s="94">
        <f t="shared" si="355"/>
        <v>2.3790846665447796</v>
      </c>
      <c r="P2808" s="94">
        <f t="shared" si="356"/>
        <v>2.4419839480147645</v>
      </c>
      <c r="Q2808" s="94">
        <f t="shared" si="357"/>
        <v>2.5456723848499374</v>
      </c>
      <c r="R2808" s="94">
        <f t="shared" si="358"/>
        <v>2.2066087830599299</v>
      </c>
      <c r="S2808" s="94">
        <f t="shared" si="359"/>
        <v>2.284495558749319</v>
      </c>
      <c r="T2808" s="94">
        <f t="shared" si="360"/>
        <v>2.4584207560396956</v>
      </c>
      <c r="U2808" s="94">
        <v>2.5456723848499374</v>
      </c>
      <c r="V2808" s="58">
        <v>2.4584207560396956</v>
      </c>
      <c r="W2808" s="49">
        <f t="shared" si="361"/>
        <v>0.76907053801051073</v>
      </c>
      <c r="AE2808" s="115">
        <v>24.410891123080649</v>
      </c>
      <c r="AF2808" s="116">
        <f t="shared" si="362"/>
        <v>24.410891123080649</v>
      </c>
      <c r="AG2808" s="116"/>
      <c r="AH2808" s="116"/>
      <c r="AI2808" s="116"/>
      <c r="AJ2808" s="116"/>
      <c r="AK2808" s="116"/>
      <c r="AL2808" s="116"/>
      <c r="AM2808" s="116"/>
      <c r="AN2808" s="116"/>
      <c r="AO2808" s="115">
        <v>1.61993769</v>
      </c>
      <c r="AP2808" s="115">
        <v>381.61993768999997</v>
      </c>
      <c r="AU2808" s="110">
        <v>0.59813084000000005</v>
      </c>
      <c r="AV2808" s="110">
        <v>0.50155762999999998</v>
      </c>
    </row>
    <row r="2809" spans="1:48" s="108" customFormat="1" ht="15" hidden="1">
      <c r="A2809" s="107" t="s">
        <v>150</v>
      </c>
      <c r="B2809" s="108" t="s">
        <v>280</v>
      </c>
      <c r="C2809" s="19" t="s">
        <v>283</v>
      </c>
      <c r="D2809" s="108">
        <v>2003</v>
      </c>
      <c r="E2809" s="108">
        <v>11</v>
      </c>
      <c r="F2809" s="108">
        <v>13</v>
      </c>
      <c r="G2809" s="34">
        <f t="shared" ref="G2809:G2818" si="364">365*(D2809-2003)+30.47*(E2809-1)+F2809</f>
        <v>317.7</v>
      </c>
      <c r="H2809" s="111">
        <v>270.46632124000001</v>
      </c>
      <c r="I2809" s="111">
        <v>286.01036269000002</v>
      </c>
      <c r="J2809" s="109">
        <f t="shared" si="363"/>
        <v>317.09844559000004</v>
      </c>
      <c r="K2809" s="112">
        <v>155.17241379000001</v>
      </c>
      <c r="L2809" s="112">
        <v>172.41379309999999</v>
      </c>
      <c r="M2809" s="109">
        <f t="shared" ref="M2809:M2818" si="365">L2809+3*(L2809-K2809)</f>
        <v>224.13793102999995</v>
      </c>
      <c r="O2809" s="94">
        <f t="shared" si="355"/>
        <v>2.432113193988831</v>
      </c>
      <c r="P2809" s="94">
        <f t="shared" si="356"/>
        <v>2.4563817687148952</v>
      </c>
      <c r="Q2809" s="94">
        <f t="shared" si="357"/>
        <v>2.5011941131297686</v>
      </c>
      <c r="R2809" s="94">
        <f t="shared" si="358"/>
        <v>2.1908145158677019</v>
      </c>
      <c r="S2809" s="94">
        <f t="shared" si="359"/>
        <v>2.2365720064283767</v>
      </c>
      <c r="T2809" s="94">
        <f t="shared" si="360"/>
        <v>2.3505153587352137</v>
      </c>
      <c r="U2809" s="94">
        <v>2.5011941131297686</v>
      </c>
      <c r="V2809" s="58">
        <v>2.3505153587352137</v>
      </c>
      <c r="W2809" s="49">
        <f t="shared" si="361"/>
        <v>0.88532383304493112</v>
      </c>
      <c r="AE2809" s="115">
        <v>18.099262339999999</v>
      </c>
      <c r="AF2809" s="116"/>
      <c r="AG2809" s="116"/>
      <c r="AH2809" s="116"/>
      <c r="AI2809" s="116"/>
      <c r="AJ2809" s="116"/>
      <c r="AK2809" s="116"/>
      <c r="AL2809" s="116"/>
      <c r="AM2809" s="116"/>
      <c r="AN2809" s="116"/>
      <c r="AO2809" s="115">
        <v>5.1090342700000004</v>
      </c>
      <c r="AP2809" s="115">
        <v>286.60436136999999</v>
      </c>
      <c r="AU2809" s="110">
        <v>1.00934579</v>
      </c>
      <c r="AV2809" s="110">
        <v>1.3956386300000001</v>
      </c>
    </row>
    <row r="2810" spans="1:48" s="108" customFormat="1" ht="15" hidden="1">
      <c r="A2810" s="107" t="s">
        <v>150</v>
      </c>
      <c r="B2810" s="108" t="s">
        <v>280</v>
      </c>
      <c r="C2810" s="19" t="s">
        <v>283</v>
      </c>
      <c r="D2810" s="108">
        <v>2003</v>
      </c>
      <c r="E2810" s="108">
        <v>12</v>
      </c>
      <c r="F2810" s="108">
        <v>15</v>
      </c>
      <c r="G2810" s="34">
        <f t="shared" si="364"/>
        <v>350.16999999999996</v>
      </c>
      <c r="H2810" s="111">
        <v>413.47150259</v>
      </c>
      <c r="I2810" s="111">
        <v>432.12435233000002</v>
      </c>
      <c r="J2810" s="109">
        <f t="shared" si="363"/>
        <v>469.43005181000007</v>
      </c>
      <c r="K2810" s="112">
        <v>120.68965516999999</v>
      </c>
      <c r="L2810" s="112">
        <v>137.93103447999999</v>
      </c>
      <c r="M2810" s="109">
        <f t="shared" si="365"/>
        <v>189.65517240999998</v>
      </c>
      <c r="O2810" s="94">
        <f t="shared" si="355"/>
        <v>2.6164455823422483</v>
      </c>
      <c r="P2810" s="94">
        <f t="shared" si="356"/>
        <v>2.6356087416283507</v>
      </c>
      <c r="Q2810" s="94">
        <f t="shared" si="357"/>
        <v>2.6715708886658276</v>
      </c>
      <c r="R2810" s="94">
        <f t="shared" si="358"/>
        <v>2.0816700464426336</v>
      </c>
      <c r="S2810" s="94">
        <f t="shared" si="359"/>
        <v>2.1396619934203205</v>
      </c>
      <c r="T2810" s="94">
        <f t="shared" si="360"/>
        <v>2.2779646915866016</v>
      </c>
      <c r="U2810" s="94">
        <v>2.6715708886658276</v>
      </c>
      <c r="V2810" s="58">
        <v>2.2779646915866016</v>
      </c>
      <c r="W2810" s="49">
        <f t="shared" si="361"/>
        <v>0.90349787889626409</v>
      </c>
      <c r="AE2810" s="115">
        <v>10.934268169999999</v>
      </c>
      <c r="AF2810" s="116"/>
      <c r="AG2810" s="116"/>
      <c r="AH2810" s="116"/>
      <c r="AI2810" s="116"/>
      <c r="AJ2810" s="116"/>
      <c r="AK2810" s="116"/>
      <c r="AL2810" s="116"/>
      <c r="AM2810" s="116"/>
      <c r="AN2810" s="116"/>
      <c r="AO2810" s="115">
        <v>0.87227414000000003</v>
      </c>
      <c r="AP2810" s="115">
        <v>218.06853583</v>
      </c>
      <c r="AU2810" s="110">
        <v>0.97196262</v>
      </c>
      <c r="AV2810" s="110">
        <v>0.30529594999999998</v>
      </c>
    </row>
    <row r="2811" spans="1:48" s="108" customFormat="1" ht="15" hidden="1">
      <c r="A2811" s="107" t="s">
        <v>150</v>
      </c>
      <c r="B2811" s="108" t="s">
        <v>280</v>
      </c>
      <c r="C2811" s="19" t="s">
        <v>283</v>
      </c>
      <c r="D2811" s="108">
        <v>2004</v>
      </c>
      <c r="E2811" s="108">
        <v>1</v>
      </c>
      <c r="F2811" s="108">
        <v>15</v>
      </c>
      <c r="G2811" s="34">
        <f t="shared" si="364"/>
        <v>380</v>
      </c>
      <c r="H2811" s="111">
        <v>391.70984456000002</v>
      </c>
      <c r="I2811" s="111">
        <v>425.90673575</v>
      </c>
      <c r="J2811" s="109">
        <f t="shared" si="363"/>
        <v>494.30051812999994</v>
      </c>
      <c r="K2811" s="112">
        <v>140.80459769999999</v>
      </c>
      <c r="L2811" s="112">
        <v>155.17241379000001</v>
      </c>
      <c r="M2811" s="109">
        <f t="shared" si="365"/>
        <v>198.27586206000007</v>
      </c>
      <c r="O2811" s="94">
        <f t="shared" si="355"/>
        <v>2.5929644864938926</v>
      </c>
      <c r="P2811" s="94">
        <f t="shared" si="356"/>
        <v>2.6293145085309559</v>
      </c>
      <c r="Q2811" s="94">
        <f t="shared" si="357"/>
        <v>2.6939910656921788</v>
      </c>
      <c r="R2811" s="94">
        <f t="shared" si="358"/>
        <v>2.1486168360783875</v>
      </c>
      <c r="S2811" s="94">
        <f t="shared" si="359"/>
        <v>2.1908145158677019</v>
      </c>
      <c r="T2811" s="94">
        <f t="shared" si="360"/>
        <v>2.2972698467710368</v>
      </c>
      <c r="U2811" s="94">
        <v>2.6939910656921788</v>
      </c>
      <c r="V2811" s="58">
        <v>2.2972698467710368</v>
      </c>
      <c r="W2811" s="49">
        <f t="shared" si="361"/>
        <v>0.87836729681008463</v>
      </c>
      <c r="AE2811" s="115">
        <v>7.87985867</v>
      </c>
      <c r="AF2811" s="116"/>
      <c r="AG2811" s="116"/>
      <c r="AH2811" s="116"/>
      <c r="AI2811" s="116"/>
      <c r="AJ2811" s="116"/>
      <c r="AK2811" s="116"/>
      <c r="AL2811" s="116"/>
      <c r="AM2811" s="116"/>
      <c r="AN2811" s="116"/>
      <c r="AO2811" s="115">
        <v>0.28037382999999999</v>
      </c>
      <c r="AP2811" s="115">
        <v>180.68535825999999</v>
      </c>
      <c r="AU2811" s="110">
        <v>0.76012460999999998</v>
      </c>
      <c r="AV2811" s="110">
        <v>2.2679127700000001</v>
      </c>
    </row>
    <row r="2812" spans="1:48" s="108" customFormat="1" ht="15" hidden="1">
      <c r="A2812" s="107" t="s">
        <v>150</v>
      </c>
      <c r="B2812" s="108" t="s">
        <v>280</v>
      </c>
      <c r="C2812" s="19" t="s">
        <v>283</v>
      </c>
      <c r="D2812" s="108">
        <v>2004</v>
      </c>
      <c r="E2812" s="108">
        <v>2</v>
      </c>
      <c r="F2812" s="108">
        <v>11</v>
      </c>
      <c r="G2812" s="34">
        <f t="shared" si="364"/>
        <v>406.47</v>
      </c>
      <c r="H2812" s="111">
        <v>649.74093263999998</v>
      </c>
      <c r="I2812" s="111">
        <v>789.63730569999996</v>
      </c>
      <c r="J2812" s="109">
        <f t="shared" si="363"/>
        <v>1069.4300518199998</v>
      </c>
      <c r="K2812" s="112">
        <v>238.50574713</v>
      </c>
      <c r="L2812" s="112">
        <v>270.11494253000001</v>
      </c>
      <c r="M2812" s="109">
        <f t="shared" si="365"/>
        <v>364.94252873000005</v>
      </c>
      <c r="O2812" s="94">
        <f t="shared" si="355"/>
        <v>2.8127402274852615</v>
      </c>
      <c r="P2812" s="94">
        <f t="shared" si="356"/>
        <v>2.8974276579960927</v>
      </c>
      <c r="Q2812" s="94">
        <f t="shared" si="357"/>
        <v>3.0291523839500512</v>
      </c>
      <c r="R2812" s="94">
        <f t="shared" si="358"/>
        <v>2.3774988484359811</v>
      </c>
      <c r="S2812" s="94">
        <f t="shared" si="359"/>
        <v>2.4315486096551506</v>
      </c>
      <c r="T2812" s="94">
        <f t="shared" si="360"/>
        <v>2.5622244770026734</v>
      </c>
      <c r="U2812" s="94">
        <v>3.0291523839500512</v>
      </c>
      <c r="V2812" s="58">
        <v>2.5622244770026734</v>
      </c>
      <c r="W2812" s="49">
        <f t="shared" si="361"/>
        <v>0.52523801524546454</v>
      </c>
      <c r="AE2812" s="115">
        <v>4.40351026</v>
      </c>
      <c r="AF2812" s="116"/>
      <c r="AG2812" s="116"/>
      <c r="AH2812" s="116"/>
      <c r="AI2812" s="116"/>
      <c r="AJ2812" s="116"/>
      <c r="AK2812" s="116"/>
      <c r="AL2812" s="116"/>
      <c r="AM2812" s="116"/>
      <c r="AN2812" s="116"/>
      <c r="AO2812" s="115">
        <v>1.02803738</v>
      </c>
      <c r="AP2812" s="115">
        <v>171.33956386</v>
      </c>
      <c r="AU2812" s="110">
        <v>0.61059189999999997</v>
      </c>
      <c r="AV2812" s="110">
        <v>2.3987538900000001</v>
      </c>
    </row>
    <row r="2813" spans="1:48" s="108" customFormat="1" ht="15" hidden="1">
      <c r="A2813" s="107" t="s">
        <v>150</v>
      </c>
      <c r="B2813" s="108" t="s">
        <v>280</v>
      </c>
      <c r="C2813" s="19" t="s">
        <v>283</v>
      </c>
      <c r="D2813" s="108">
        <v>2004</v>
      </c>
      <c r="E2813" s="108">
        <v>3</v>
      </c>
      <c r="F2813" s="108">
        <v>7</v>
      </c>
      <c r="G2813" s="34">
        <f t="shared" si="364"/>
        <v>432.94</v>
      </c>
      <c r="H2813" s="111">
        <v>829.30112727999995</v>
      </c>
      <c r="I2813" s="111">
        <v>1002.94101297</v>
      </c>
      <c r="J2813" s="109">
        <f t="shared" si="363"/>
        <v>1350.22078435</v>
      </c>
      <c r="K2813" s="112">
        <v>267.24137931000001</v>
      </c>
      <c r="L2813" s="112">
        <v>310.34482759000002</v>
      </c>
      <c r="M2813" s="109">
        <f t="shared" si="365"/>
        <v>439.65517243000005</v>
      </c>
      <c r="O2813" s="94">
        <f t="shared" si="355"/>
        <v>2.9187122557249605</v>
      </c>
      <c r="P2813" s="94">
        <f t="shared" si="356"/>
        <v>3.0012753911510663</v>
      </c>
      <c r="Q2813" s="94">
        <f t="shared" si="357"/>
        <v>3.1304047889283462</v>
      </c>
      <c r="R2813" s="94">
        <f t="shared" si="358"/>
        <v>2.4269037046067941</v>
      </c>
      <c r="S2813" s="94">
        <f t="shared" si="359"/>
        <v>2.4918445115456769</v>
      </c>
      <c r="T2813" s="94">
        <f t="shared" si="360"/>
        <v>2.6431121868870271</v>
      </c>
      <c r="U2813" s="94">
        <v>3.1304047889283462</v>
      </c>
      <c r="V2813" s="58">
        <v>2.6431121868870271</v>
      </c>
      <c r="W2813" s="49">
        <f t="shared" si="361"/>
        <v>0.41775164268661757</v>
      </c>
      <c r="AE2813" s="115">
        <v>8.2668484815376306</v>
      </c>
      <c r="AF2813" s="116">
        <f t="shared" ref="AF2813:AF2822" si="366">GEOMEAN(AE2813:AE2813)</f>
        <v>8.2668484815376306</v>
      </c>
      <c r="AG2813" s="116"/>
      <c r="AH2813" s="116"/>
      <c r="AI2813" s="116"/>
      <c r="AJ2813" s="116"/>
      <c r="AK2813" s="116"/>
      <c r="AL2813" s="116"/>
      <c r="AM2813" s="116"/>
      <c r="AN2813" s="116"/>
      <c r="AO2813" s="115">
        <v>0.80996884999999996</v>
      </c>
      <c r="AP2813" s="115">
        <v>200.93457943999999</v>
      </c>
      <c r="AU2813" s="110">
        <v>0.36137071999999998</v>
      </c>
      <c r="AV2813" s="110">
        <v>0.32710280000000003</v>
      </c>
    </row>
    <row r="2814" spans="1:48" s="108" customFormat="1" ht="15" hidden="1">
      <c r="A2814" s="107" t="s">
        <v>150</v>
      </c>
      <c r="B2814" s="108" t="s">
        <v>280</v>
      </c>
      <c r="C2814" s="19" t="s">
        <v>283</v>
      </c>
      <c r="D2814" s="108">
        <v>2004</v>
      </c>
      <c r="E2814" s="108">
        <v>4</v>
      </c>
      <c r="F2814" s="108">
        <v>2</v>
      </c>
      <c r="G2814" s="34">
        <f t="shared" si="364"/>
        <v>458.40999999999997</v>
      </c>
      <c r="H2814" s="111">
        <v>504.75196086</v>
      </c>
      <c r="I2814" s="111">
        <v>530.33496013000001</v>
      </c>
      <c r="J2814" s="109">
        <f t="shared" si="363"/>
        <v>581.50095867000005</v>
      </c>
      <c r="K2814" s="112">
        <v>318.96551724</v>
      </c>
      <c r="L2814" s="112">
        <v>341.95402299</v>
      </c>
      <c r="M2814" s="109">
        <f t="shared" si="365"/>
        <v>410.91954024</v>
      </c>
      <c r="O2814" s="94">
        <f t="shared" si="355"/>
        <v>2.703078014765798</v>
      </c>
      <c r="P2814" s="94">
        <f t="shared" si="356"/>
        <v>2.7245502571225169</v>
      </c>
      <c r="Q2814" s="94">
        <f t="shared" si="357"/>
        <v>2.7645504350485561</v>
      </c>
      <c r="R2814" s="94">
        <f t="shared" si="358"/>
        <v>2.5037437348381983</v>
      </c>
      <c r="S2814" s="94">
        <f t="shared" si="359"/>
        <v>2.5339677174478474</v>
      </c>
      <c r="T2814" s="94">
        <f t="shared" si="360"/>
        <v>2.6137567935291712</v>
      </c>
      <c r="U2814" s="94">
        <v>2.7645504350485561</v>
      </c>
      <c r="V2814" s="58">
        <v>2.6137567935291712</v>
      </c>
      <c r="W2814" s="49">
        <f t="shared" si="361"/>
        <v>0.555336131414779</v>
      </c>
      <c r="AE2814" s="115">
        <v>10.099501452924478</v>
      </c>
      <c r="AF2814" s="116">
        <f t="shared" si="366"/>
        <v>10.099501452924478</v>
      </c>
      <c r="AG2814" s="116"/>
      <c r="AH2814" s="116"/>
      <c r="AI2814" s="116"/>
      <c r="AJ2814" s="116"/>
      <c r="AK2814" s="116"/>
      <c r="AL2814" s="116"/>
      <c r="AM2814" s="116"/>
      <c r="AN2814" s="116"/>
      <c r="AO2814" s="115"/>
      <c r="AP2814" s="115"/>
      <c r="AU2814" s="110"/>
      <c r="AV2814" s="110"/>
    </row>
    <row r="2815" spans="1:48" s="108" customFormat="1" ht="15" hidden="1">
      <c r="A2815" s="107" t="s">
        <v>150</v>
      </c>
      <c r="B2815" s="108" t="s">
        <v>280</v>
      </c>
      <c r="C2815" s="19" t="s">
        <v>283</v>
      </c>
      <c r="D2815" s="108">
        <v>2004</v>
      </c>
      <c r="E2815" s="108">
        <v>4</v>
      </c>
      <c r="F2815" s="108">
        <v>29</v>
      </c>
      <c r="G2815" s="34">
        <f t="shared" si="364"/>
        <v>485.40999999999997</v>
      </c>
      <c r="J2815" s="109"/>
      <c r="K2815" s="110"/>
      <c r="L2815" s="110"/>
      <c r="M2815" s="109"/>
      <c r="O2815" s="94"/>
      <c r="P2815" s="94"/>
      <c r="Q2815" s="94"/>
      <c r="R2815" s="94"/>
      <c r="S2815" s="94"/>
      <c r="T2815" s="94"/>
      <c r="U2815" s="94"/>
      <c r="V2815" s="113"/>
      <c r="W2815" s="49"/>
      <c r="AE2815" s="115">
        <v>14.543019178444821</v>
      </c>
      <c r="AF2815" s="116">
        <f t="shared" si="366"/>
        <v>14.543019178444821</v>
      </c>
      <c r="AG2815" s="116"/>
      <c r="AH2815" s="116"/>
      <c r="AI2815" s="116"/>
      <c r="AJ2815" s="116"/>
      <c r="AK2815" s="116"/>
      <c r="AL2815" s="116"/>
      <c r="AM2815" s="116"/>
      <c r="AN2815" s="116"/>
      <c r="AO2815" s="115"/>
      <c r="AP2815" s="115"/>
      <c r="AU2815" s="110"/>
      <c r="AV2815" s="110">
        <v>2.8130841100000001</v>
      </c>
    </row>
    <row r="2816" spans="1:48" s="108" customFormat="1" ht="15" hidden="1">
      <c r="A2816" s="107" t="s">
        <v>150</v>
      </c>
      <c r="B2816" s="108" t="s">
        <v>280</v>
      </c>
      <c r="C2816" s="19" t="s">
        <v>283</v>
      </c>
      <c r="D2816" s="108">
        <v>2004</v>
      </c>
      <c r="E2816" s="108">
        <v>4</v>
      </c>
      <c r="F2816" s="108">
        <v>29</v>
      </c>
      <c r="G2816" s="34">
        <f t="shared" si="364"/>
        <v>485.40999999999997</v>
      </c>
      <c r="J2816" s="109"/>
      <c r="K2816" s="110"/>
      <c r="L2816" s="110"/>
      <c r="M2816" s="109"/>
      <c r="O2816" s="94"/>
      <c r="P2816" s="94"/>
      <c r="Q2816" s="94"/>
      <c r="R2816" s="94"/>
      <c r="S2816" s="94"/>
      <c r="T2816" s="94"/>
      <c r="U2816" s="94"/>
      <c r="V2816" s="113"/>
      <c r="W2816" s="49"/>
      <c r="AE2816" s="115">
        <v>18.685069918637272</v>
      </c>
      <c r="AF2816" s="116">
        <f t="shared" si="366"/>
        <v>18.685069918637272</v>
      </c>
      <c r="AG2816" s="116"/>
      <c r="AH2816" s="116"/>
      <c r="AI2816" s="116"/>
      <c r="AJ2816" s="116"/>
      <c r="AK2816" s="116"/>
      <c r="AL2816" s="116"/>
      <c r="AM2816" s="116"/>
      <c r="AN2816" s="116"/>
      <c r="AO2816" s="115">
        <v>4.6728972000000004</v>
      </c>
      <c r="AP2816" s="115"/>
      <c r="AU2816" s="110"/>
      <c r="AV2816" s="110"/>
    </row>
    <row r="2817" spans="1:48" s="108" customFormat="1" ht="15" hidden="1">
      <c r="A2817" s="107" t="s">
        <v>150</v>
      </c>
      <c r="B2817" s="108" t="s">
        <v>280</v>
      </c>
      <c r="C2817" s="19" t="s">
        <v>283</v>
      </c>
      <c r="D2817" s="108">
        <v>2004</v>
      </c>
      <c r="E2817" s="108">
        <v>5</v>
      </c>
      <c r="F2817" s="108">
        <v>3</v>
      </c>
      <c r="G2817" s="34">
        <f t="shared" si="364"/>
        <v>489.88</v>
      </c>
      <c r="H2817" s="111">
        <v>299.43867939999996</v>
      </c>
      <c r="I2817" s="111">
        <v>317.63815058999995</v>
      </c>
      <c r="J2817" s="109">
        <f t="shared" si="363"/>
        <v>354.03709296999995</v>
      </c>
      <c r="K2817" s="112">
        <v>367.81609194999999</v>
      </c>
      <c r="L2817" s="112">
        <v>422.41379310000002</v>
      </c>
      <c r="M2817" s="109">
        <f t="shared" si="365"/>
        <v>586.20689655000012</v>
      </c>
      <c r="O2817" s="94">
        <f t="shared" si="355"/>
        <v>2.4763078987625318</v>
      </c>
      <c r="P2817" s="94">
        <f t="shared" si="356"/>
        <v>2.5019326587288497</v>
      </c>
      <c r="Q2817" s="94">
        <f t="shared" si="357"/>
        <v>2.5490487660604297</v>
      </c>
      <c r="R2817" s="94">
        <f t="shared" si="358"/>
        <v>2.5656307256965372</v>
      </c>
      <c r="S2817" s="94">
        <f t="shared" si="359"/>
        <v>2.6257380907980501</v>
      </c>
      <c r="T2817" s="94">
        <f t="shared" si="360"/>
        <v>2.7680509234780404</v>
      </c>
      <c r="U2817" s="94">
        <v>2.5490487660604297</v>
      </c>
      <c r="V2817" s="113">
        <v>2.7680509234780404</v>
      </c>
      <c r="W2817" s="49">
        <f t="shared" si="361"/>
        <v>0.47270301205955351</v>
      </c>
      <c r="AE2817" s="115">
        <v>17.080173743371184</v>
      </c>
      <c r="AF2817" s="116">
        <f t="shared" si="366"/>
        <v>17.080173743371184</v>
      </c>
      <c r="AG2817" s="116"/>
      <c r="AH2817" s="116"/>
      <c r="AI2817" s="116"/>
      <c r="AJ2817" s="116"/>
      <c r="AK2817" s="116"/>
      <c r="AL2817" s="116"/>
      <c r="AM2817" s="116"/>
      <c r="AN2817" s="116"/>
      <c r="AO2817" s="115"/>
      <c r="AP2817" s="115">
        <v>202.49221184000001</v>
      </c>
      <c r="AU2817" s="110">
        <v>0.74766354999999995</v>
      </c>
      <c r="AV2817" s="110"/>
    </row>
    <row r="2818" spans="1:48" s="108" customFormat="1" ht="15" hidden="1">
      <c r="A2818" s="107" t="s">
        <v>150</v>
      </c>
      <c r="B2818" s="108" t="s">
        <v>280</v>
      </c>
      <c r="C2818" s="19" t="s">
        <v>283</v>
      </c>
      <c r="D2818" s="108">
        <v>2004</v>
      </c>
      <c r="E2818" s="108">
        <v>6</v>
      </c>
      <c r="F2818" s="108">
        <v>5</v>
      </c>
      <c r="G2818" s="34">
        <f t="shared" si="364"/>
        <v>522.35</v>
      </c>
      <c r="H2818" s="111">
        <v>242.63544927999999</v>
      </c>
      <c r="I2818" s="111">
        <v>270.46632124000001</v>
      </c>
      <c r="J2818" s="109">
        <f t="shared" si="363"/>
        <v>326.12806516000006</v>
      </c>
      <c r="K2818" s="112">
        <v>488.50574712999997</v>
      </c>
      <c r="L2818" s="112">
        <v>600.57471264000003</v>
      </c>
      <c r="M2818" s="109">
        <f t="shared" si="365"/>
        <v>936.78160917000014</v>
      </c>
      <c r="O2818" s="94">
        <f t="shared" si="355"/>
        <v>2.3849542520210449</v>
      </c>
      <c r="P2818" s="94">
        <f t="shared" si="356"/>
        <v>2.432113193988831</v>
      </c>
      <c r="Q2818" s="94">
        <f t="shared" si="357"/>
        <v>2.5133881739045778</v>
      </c>
      <c r="R2818" s="94">
        <f t="shared" si="358"/>
        <v>2.6888696774348606</v>
      </c>
      <c r="S2818" s="94">
        <f t="shared" si="359"/>
        <v>2.7785670421618134</v>
      </c>
      <c r="T2818" s="94">
        <f t="shared" si="360"/>
        <v>2.9716383561095814</v>
      </c>
      <c r="U2818" s="94">
        <v>2.5133881739045778</v>
      </c>
      <c r="V2818" s="113">
        <v>2.9716383561095814</v>
      </c>
      <c r="W2818" s="49">
        <f t="shared" si="361"/>
        <v>0.2891821846735711</v>
      </c>
      <c r="AE2818" s="115">
        <v>17.010378884976184</v>
      </c>
      <c r="AF2818" s="116">
        <f t="shared" si="366"/>
        <v>17.010378884976184</v>
      </c>
      <c r="AG2818" s="116"/>
      <c r="AH2818" s="116"/>
      <c r="AI2818" s="116"/>
      <c r="AJ2818" s="116"/>
      <c r="AK2818" s="116"/>
      <c r="AL2818" s="116"/>
      <c r="AM2818" s="116"/>
      <c r="AN2818" s="116"/>
      <c r="AO2818" s="115">
        <v>2.92834891</v>
      </c>
      <c r="AP2818" s="115">
        <v>208.72274143000001</v>
      </c>
      <c r="AU2818" s="110">
        <v>0.69781930999999997</v>
      </c>
      <c r="AV2818" s="110">
        <v>1.02492212</v>
      </c>
    </row>
    <row r="2819" spans="1:48" s="108" customFormat="1" ht="15" hidden="1">
      <c r="A2819" s="107" t="s">
        <v>150</v>
      </c>
      <c r="B2819" s="108" t="s">
        <v>280</v>
      </c>
      <c r="C2819" s="19" t="s">
        <v>283</v>
      </c>
      <c r="D2819" s="108">
        <v>2004</v>
      </c>
      <c r="E2819" s="108">
        <v>6</v>
      </c>
      <c r="F2819" s="108">
        <v>29</v>
      </c>
      <c r="G2819" s="34">
        <f t="shared" ref="G2819:G2830" si="367">365*(D2819-2003)+30.47*(E2819-1)+F2819</f>
        <v>546.35</v>
      </c>
      <c r="H2819" s="111">
        <v>158.5492228</v>
      </c>
      <c r="I2819" s="111">
        <v>170.98445595999999</v>
      </c>
      <c r="J2819" s="109">
        <f t="shared" ref="J2819:J2830" si="368">H2819+3*(I2819-H2819)</f>
        <v>195.85492227999998</v>
      </c>
      <c r="K2819" s="112">
        <v>425.28735632000001</v>
      </c>
      <c r="L2819" s="112">
        <v>448.27586207000002</v>
      </c>
      <c r="M2819" s="109">
        <f t="shared" ref="M2819:M2830" si="369">L2819+3*(L2819-K2819)</f>
        <v>517.24137932000008</v>
      </c>
      <c r="O2819" s="94">
        <f t="shared" si="355"/>
        <v>2.2001641174794835</v>
      </c>
      <c r="P2819" s="94">
        <f t="shared" si="356"/>
        <v>2.2329566308737987</v>
      </c>
      <c r="Q2819" s="94">
        <f t="shared" si="357"/>
        <v>2.2919344908299113</v>
      </c>
      <c r="R2819" s="94">
        <f t="shared" si="358"/>
        <v>2.6286824714464982</v>
      </c>
      <c r="S2819" s="94">
        <f t="shared" si="359"/>
        <v>2.6515453544088827</v>
      </c>
      <c r="T2819" s="94">
        <f t="shared" si="360"/>
        <v>2.7136932611648321</v>
      </c>
      <c r="U2819" s="94">
        <v>2.2919344908299113</v>
      </c>
      <c r="V2819" s="113">
        <v>2.7136932611648321</v>
      </c>
      <c r="W2819" s="49">
        <f t="shared" si="361"/>
        <v>0.60156683658283372</v>
      </c>
      <c r="AE2819" s="115">
        <v>23.317254622047002</v>
      </c>
      <c r="AF2819" s="116">
        <f t="shared" si="366"/>
        <v>23.317254622047002</v>
      </c>
      <c r="AG2819" s="116"/>
      <c r="AH2819" s="116"/>
      <c r="AI2819" s="116"/>
      <c r="AJ2819" s="116"/>
      <c r="AK2819" s="116"/>
      <c r="AL2819" s="116"/>
      <c r="AM2819" s="116"/>
      <c r="AN2819" s="116"/>
      <c r="AO2819" s="115">
        <v>6.5420560700000001</v>
      </c>
      <c r="AP2819" s="115">
        <v>219.62616822000001</v>
      </c>
      <c r="AU2819" s="110">
        <v>0.89719625999999997</v>
      </c>
      <c r="AV2819" s="110">
        <v>1.3302180699999999</v>
      </c>
    </row>
    <row r="2820" spans="1:48" s="108" customFormat="1" ht="15" hidden="1">
      <c r="A2820" s="107" t="s">
        <v>150</v>
      </c>
      <c r="B2820" s="108" t="s">
        <v>280</v>
      </c>
      <c r="C2820" s="19" t="s">
        <v>283</v>
      </c>
      <c r="D2820" s="108">
        <v>2004</v>
      </c>
      <c r="E2820" s="108">
        <v>7</v>
      </c>
      <c r="F2820" s="108">
        <v>31</v>
      </c>
      <c r="G2820" s="34">
        <f t="shared" si="367"/>
        <v>578.81999999999994</v>
      </c>
      <c r="H2820" s="111">
        <v>192.74611399</v>
      </c>
      <c r="I2820" s="111">
        <v>220.7253886</v>
      </c>
      <c r="J2820" s="109">
        <f t="shared" si="368"/>
        <v>276.68393781999998</v>
      </c>
      <c r="K2820" s="112">
        <v>244.25287356000001</v>
      </c>
      <c r="L2820" s="112">
        <v>267.24137931000001</v>
      </c>
      <c r="M2820" s="109">
        <f t="shared" si="369"/>
        <v>336.20689656000002</v>
      </c>
      <c r="O2820" s="94">
        <f t="shared" si="355"/>
        <v>2.284985630874941</v>
      </c>
      <c r="P2820" s="94">
        <f t="shared" si="356"/>
        <v>2.3438522900929062</v>
      </c>
      <c r="Q2820" s="94">
        <f t="shared" si="357"/>
        <v>2.4419839480147645</v>
      </c>
      <c r="R2820" s="94">
        <f t="shared" si="358"/>
        <v>2.3878396817619896</v>
      </c>
      <c r="S2820" s="94">
        <f t="shared" si="359"/>
        <v>2.4269037046067941</v>
      </c>
      <c r="T2820" s="94">
        <f t="shared" si="360"/>
        <v>2.5266066178102711</v>
      </c>
      <c r="U2820" s="94">
        <v>2.4419839480147645</v>
      </c>
      <c r="V2820" s="113">
        <v>2.5266066178102711</v>
      </c>
      <c r="W2820" s="49">
        <f t="shared" si="361"/>
        <v>0.73508528203523937</v>
      </c>
      <c r="AE2820" s="115">
        <v>24.488514676579253</v>
      </c>
      <c r="AF2820" s="116">
        <f t="shared" si="366"/>
        <v>24.488514676579253</v>
      </c>
      <c r="AG2820" s="116"/>
      <c r="AH2820" s="116"/>
      <c r="AI2820" s="116"/>
      <c r="AJ2820" s="116"/>
      <c r="AK2820" s="116"/>
      <c r="AL2820" s="116"/>
      <c r="AM2820" s="116"/>
      <c r="AN2820" s="116"/>
      <c r="AO2820" s="115">
        <v>2.49221184</v>
      </c>
      <c r="AP2820" s="115">
        <v>214.95327103</v>
      </c>
      <c r="AU2820" s="110">
        <v>1.1713395600000001</v>
      </c>
      <c r="AV2820" s="110">
        <v>0.95950155999999998</v>
      </c>
    </row>
    <row r="2821" spans="1:48" s="108" customFormat="1" ht="15" hidden="1">
      <c r="A2821" s="107" t="s">
        <v>150</v>
      </c>
      <c r="B2821" s="108" t="s">
        <v>280</v>
      </c>
      <c r="C2821" s="19" t="s">
        <v>283</v>
      </c>
      <c r="D2821" s="108">
        <v>2004</v>
      </c>
      <c r="E2821" s="108">
        <v>8</v>
      </c>
      <c r="F2821" s="108">
        <v>29</v>
      </c>
      <c r="G2821" s="34">
        <f t="shared" si="367"/>
        <v>607.29</v>
      </c>
      <c r="H2821" s="111"/>
      <c r="I2821" s="111"/>
      <c r="J2821" s="109"/>
      <c r="K2821" s="112">
        <v>163.79310344999999</v>
      </c>
      <c r="L2821" s="112">
        <v>181.03448276</v>
      </c>
      <c r="M2821" s="109">
        <f t="shared" si="369"/>
        <v>232.75862069000004</v>
      </c>
      <c r="O2821" s="94"/>
      <c r="P2821" s="94"/>
      <c r="Q2821" s="94"/>
      <c r="R2821" s="94">
        <f t="shared" si="358"/>
        <v>2.2142956117304822</v>
      </c>
      <c r="S2821" s="94">
        <f t="shared" si="359"/>
        <v>2.2577613055103098</v>
      </c>
      <c r="T2821" s="94">
        <f t="shared" si="360"/>
        <v>2.3669057749327123</v>
      </c>
      <c r="U2821" s="94"/>
      <c r="V2821" s="113">
        <v>2.3669057749327123</v>
      </c>
      <c r="W2821" s="49">
        <f t="shared" si="361"/>
        <v>1.6188581812916858</v>
      </c>
      <c r="AE2821" s="115">
        <v>27.284566677431545</v>
      </c>
      <c r="AF2821" s="116">
        <f t="shared" si="366"/>
        <v>27.284566677431545</v>
      </c>
      <c r="AG2821" s="116"/>
      <c r="AH2821" s="116"/>
      <c r="AI2821" s="116"/>
      <c r="AJ2821" s="116"/>
      <c r="AK2821" s="116"/>
      <c r="AL2821" s="116"/>
      <c r="AM2821" s="116"/>
      <c r="AN2821" s="116"/>
      <c r="AO2821" s="115">
        <v>6.9158878499999998</v>
      </c>
      <c r="AP2821" s="115"/>
      <c r="AU2821" s="110">
        <v>0.52336448999999996</v>
      </c>
      <c r="AV2821" s="110">
        <v>2.18068536</v>
      </c>
    </row>
    <row r="2822" spans="1:48" s="108" customFormat="1" ht="15" hidden="1">
      <c r="A2822" s="107" t="s">
        <v>150</v>
      </c>
      <c r="B2822" s="108" t="s">
        <v>280</v>
      </c>
      <c r="C2822" s="19" t="s">
        <v>283</v>
      </c>
      <c r="D2822" s="108">
        <v>2004</v>
      </c>
      <c r="E2822" s="108">
        <v>8</v>
      </c>
      <c r="F2822" s="108">
        <v>24</v>
      </c>
      <c r="G2822" s="34">
        <f t="shared" si="367"/>
        <v>602.29</v>
      </c>
      <c r="H2822" s="111">
        <v>136.78756476999999</v>
      </c>
      <c r="I2822" s="111">
        <v>143.00518134999999</v>
      </c>
      <c r="J2822" s="109">
        <f t="shared" si="368"/>
        <v>155.44041450999998</v>
      </c>
      <c r="K2822" s="112"/>
      <c r="L2822" s="112"/>
      <c r="M2822" s="109"/>
      <c r="O2822" s="94">
        <f t="shared" si="355"/>
        <v>2.136046617872092</v>
      </c>
      <c r="P2822" s="94">
        <f t="shared" si="356"/>
        <v>2.1553517730660983</v>
      </c>
      <c r="Q2822" s="94">
        <f t="shared" si="357"/>
        <v>2.1915639457181135</v>
      </c>
      <c r="R2822" s="94"/>
      <c r="S2822" s="94"/>
      <c r="T2822" s="94"/>
      <c r="U2822" s="94">
        <v>2.1915639457181135</v>
      </c>
      <c r="V2822" s="113"/>
      <c r="W2822" s="49"/>
      <c r="AE2822" s="115">
        <v>24.435157040865395</v>
      </c>
      <c r="AF2822" s="116">
        <f t="shared" si="366"/>
        <v>24.435157040865395</v>
      </c>
      <c r="AG2822" s="116"/>
      <c r="AH2822" s="116"/>
      <c r="AI2822" s="116"/>
      <c r="AJ2822" s="116"/>
      <c r="AK2822" s="116"/>
      <c r="AL2822" s="116"/>
      <c r="AM2822" s="116"/>
      <c r="AN2822" s="116"/>
      <c r="AO2822" s="115"/>
      <c r="AP2822" s="115">
        <v>202.49221184000001</v>
      </c>
      <c r="AU2822" s="110"/>
      <c r="AV2822" s="110"/>
    </row>
    <row r="2823" spans="1:48" s="108" customFormat="1" ht="15" hidden="1">
      <c r="A2823" s="107" t="s">
        <v>150</v>
      </c>
      <c r="B2823" s="108" t="s">
        <v>280</v>
      </c>
      <c r="C2823" s="19" t="s">
        <v>283</v>
      </c>
      <c r="D2823" s="108">
        <v>2004</v>
      </c>
      <c r="E2823" s="108">
        <v>9</v>
      </c>
      <c r="F2823" s="108">
        <v>30</v>
      </c>
      <c r="G2823" s="34">
        <f t="shared" si="367"/>
        <v>638.76</v>
      </c>
      <c r="H2823" s="111">
        <v>155.44041451000001</v>
      </c>
      <c r="I2823" s="111">
        <v>177.20207253999999</v>
      </c>
      <c r="J2823" s="109">
        <f t="shared" si="368"/>
        <v>220.72538859999995</v>
      </c>
      <c r="K2823" s="112">
        <v>123.56321839</v>
      </c>
      <c r="L2823" s="112">
        <v>152.29885057000001</v>
      </c>
      <c r="M2823" s="109">
        <f t="shared" si="369"/>
        <v>238.50574711000004</v>
      </c>
      <c r="O2823" s="94">
        <f t="shared" si="355"/>
        <v>2.1915639457181135</v>
      </c>
      <c r="P2823" s="94">
        <f t="shared" si="356"/>
        <v>2.2484687970511548</v>
      </c>
      <c r="Q2823" s="94">
        <f t="shared" si="357"/>
        <v>2.3438522900929062</v>
      </c>
      <c r="R2823" s="94">
        <f t="shared" si="358"/>
        <v>2.0918892116301775</v>
      </c>
      <c r="S2823" s="94">
        <f t="shared" si="359"/>
        <v>2.1826966256407698</v>
      </c>
      <c r="T2823" s="94">
        <f t="shared" si="360"/>
        <v>2.3774988483995632</v>
      </c>
      <c r="U2823" s="94">
        <v>2.3438522900929062</v>
      </c>
      <c r="V2823" s="113">
        <v>2.3774988483995632</v>
      </c>
      <c r="W2823" s="49">
        <f t="shared" si="361"/>
        <v>0.90671202886249491</v>
      </c>
      <c r="AE2823" s="115">
        <v>24.024997689999999</v>
      </c>
      <c r="AF2823" s="116"/>
      <c r="AG2823" s="116"/>
      <c r="AH2823" s="116"/>
      <c r="AI2823" s="116"/>
      <c r="AJ2823" s="116"/>
      <c r="AK2823" s="116"/>
      <c r="AL2823" s="116"/>
      <c r="AM2823" s="116"/>
      <c r="AN2823" s="116"/>
      <c r="AO2823" s="115">
        <v>5.0155763200000001</v>
      </c>
      <c r="AP2823" s="115">
        <v>207.16510903</v>
      </c>
      <c r="AU2823" s="110">
        <v>0.83489097000000001</v>
      </c>
      <c r="AV2823" s="110">
        <v>1.5482866</v>
      </c>
    </row>
    <row r="2824" spans="1:48" s="108" customFormat="1" ht="15" hidden="1">
      <c r="A2824" s="107" t="s">
        <v>150</v>
      </c>
      <c r="B2824" s="108" t="s">
        <v>280</v>
      </c>
      <c r="C2824" s="19" t="s">
        <v>283</v>
      </c>
      <c r="D2824" s="108">
        <v>2004</v>
      </c>
      <c r="E2824" s="108">
        <v>10</v>
      </c>
      <c r="F2824" s="108">
        <v>26</v>
      </c>
      <c r="G2824" s="34">
        <f t="shared" si="367"/>
        <v>665.23</v>
      </c>
      <c r="H2824" s="111">
        <v>223.83419688999999</v>
      </c>
      <c r="I2824" s="111">
        <v>261.13989636999997</v>
      </c>
      <c r="J2824" s="109">
        <f t="shared" si="368"/>
        <v>335.75129532999995</v>
      </c>
      <c r="K2824" s="112">
        <v>140.80459769999999</v>
      </c>
      <c r="L2824" s="112">
        <v>152.29885057000001</v>
      </c>
      <c r="M2824" s="109">
        <f t="shared" si="369"/>
        <v>186.78160918000009</v>
      </c>
      <c r="O2824" s="94">
        <f t="shared" si="355"/>
        <v>2.3499264378048261</v>
      </c>
      <c r="P2824" s="94">
        <f t="shared" si="356"/>
        <v>2.4168732274326676</v>
      </c>
      <c r="Q2824" s="94">
        <f t="shared" si="357"/>
        <v>2.5260176968540398</v>
      </c>
      <c r="R2824" s="94">
        <f t="shared" si="358"/>
        <v>2.1486168360783875</v>
      </c>
      <c r="S2824" s="94">
        <f t="shared" si="359"/>
        <v>2.1826966256407698</v>
      </c>
      <c r="T2824" s="94">
        <f t="shared" si="360"/>
        <v>2.2713341126604623</v>
      </c>
      <c r="U2824" s="94">
        <v>2.5260176968540398</v>
      </c>
      <c r="V2824" s="113">
        <v>2.2713341126604623</v>
      </c>
      <c r="W2824" s="49">
        <f t="shared" si="361"/>
        <v>0.95341954969005749</v>
      </c>
      <c r="AE2824" s="115">
        <v>21.699929909711724</v>
      </c>
      <c r="AF2824" s="116">
        <f>GEOMEAN(AE2824:AE2824)</f>
        <v>21.699929909711724</v>
      </c>
      <c r="AG2824" s="116"/>
      <c r="AH2824" s="116"/>
      <c r="AI2824" s="116"/>
      <c r="AJ2824" s="116"/>
      <c r="AK2824" s="116"/>
      <c r="AL2824" s="116"/>
      <c r="AM2824" s="116"/>
      <c r="AN2824" s="116"/>
      <c r="AO2824" s="115">
        <v>3.70716511</v>
      </c>
      <c r="AP2824" s="115">
        <v>235.20249221</v>
      </c>
      <c r="AU2824" s="110">
        <v>0.93457944000000004</v>
      </c>
      <c r="AV2824" s="110">
        <v>1.5046729000000001</v>
      </c>
    </row>
    <row r="2825" spans="1:48" s="108" customFormat="1" ht="15" hidden="1">
      <c r="A2825" s="107" t="s">
        <v>150</v>
      </c>
      <c r="B2825" s="108" t="s">
        <v>280</v>
      </c>
      <c r="C2825" s="19" t="s">
        <v>283</v>
      </c>
      <c r="D2825" s="108">
        <v>2004</v>
      </c>
      <c r="E2825" s="108">
        <v>11</v>
      </c>
      <c r="F2825" s="108">
        <v>15</v>
      </c>
      <c r="G2825" s="34">
        <f t="shared" si="367"/>
        <v>684.7</v>
      </c>
      <c r="H2825" s="111"/>
      <c r="I2825" s="111"/>
      <c r="J2825" s="109"/>
      <c r="K2825" s="112"/>
      <c r="L2825" s="112"/>
      <c r="M2825" s="109"/>
      <c r="O2825" s="94"/>
      <c r="P2825" s="94"/>
      <c r="Q2825" s="94"/>
      <c r="R2825" s="94"/>
      <c r="S2825" s="94"/>
      <c r="T2825" s="94"/>
      <c r="U2825" s="94"/>
      <c r="V2825" s="113"/>
      <c r="W2825" s="49"/>
      <c r="AE2825" s="115">
        <v>18.808676657692793</v>
      </c>
      <c r="AF2825" s="116">
        <f>GEOMEAN(AE2825:AE2825)</f>
        <v>18.808676657692793</v>
      </c>
      <c r="AG2825" s="116"/>
      <c r="AH2825" s="116"/>
      <c r="AI2825" s="116"/>
      <c r="AJ2825" s="116"/>
      <c r="AK2825" s="116"/>
      <c r="AL2825" s="116"/>
      <c r="AM2825" s="116"/>
      <c r="AN2825" s="116"/>
      <c r="AO2825" s="115"/>
      <c r="AP2825" s="115">
        <v>235.20249221</v>
      </c>
      <c r="AU2825" s="110"/>
      <c r="AV2825" s="110"/>
    </row>
    <row r="2826" spans="1:48" s="108" customFormat="1" ht="15" hidden="1">
      <c r="A2826" s="107" t="s">
        <v>150</v>
      </c>
      <c r="B2826" s="108" t="s">
        <v>280</v>
      </c>
      <c r="C2826" s="19" t="s">
        <v>283</v>
      </c>
      <c r="D2826" s="108">
        <v>2004</v>
      </c>
      <c r="E2826" s="108">
        <v>12</v>
      </c>
      <c r="F2826" s="108">
        <v>4</v>
      </c>
      <c r="G2826" s="34">
        <f t="shared" si="367"/>
        <v>704.17</v>
      </c>
      <c r="H2826" s="111">
        <v>373.05699482</v>
      </c>
      <c r="I2826" s="111">
        <v>391.70984456000002</v>
      </c>
      <c r="J2826" s="109">
        <f t="shared" si="368"/>
        <v>429.01554404000007</v>
      </c>
      <c r="K2826" s="112">
        <v>221.26436781999999</v>
      </c>
      <c r="L2826" s="112">
        <v>235.63218391000001</v>
      </c>
      <c r="M2826" s="109">
        <f t="shared" si="369"/>
        <v>278.73563218000004</v>
      </c>
      <c r="O2826" s="94">
        <f t="shared" si="355"/>
        <v>2.5717751874250632</v>
      </c>
      <c r="P2826" s="94">
        <f t="shared" si="356"/>
        <v>2.5929644864938926</v>
      </c>
      <c r="Q2826" s="94">
        <f t="shared" si="357"/>
        <v>2.6324730277756379</v>
      </c>
      <c r="R2826" s="94">
        <f t="shared" si="358"/>
        <v>2.3449114812335714</v>
      </c>
      <c r="S2826" s="94">
        <f t="shared" si="359"/>
        <v>2.3722346084407371</v>
      </c>
      <c r="T2826" s="94">
        <f t="shared" si="360"/>
        <v>2.4451924903135751</v>
      </c>
      <c r="U2826" s="94">
        <v>2.6324730277756379</v>
      </c>
      <c r="V2826" s="113">
        <v>2.4451924903135751</v>
      </c>
      <c r="W2826" s="49">
        <f t="shared" si="361"/>
        <v>0.75569005283459401</v>
      </c>
      <c r="AE2826" s="115">
        <v>12.43553745</v>
      </c>
      <c r="AF2826" s="116"/>
      <c r="AG2826" s="116"/>
      <c r="AH2826" s="116"/>
      <c r="AI2826" s="116"/>
      <c r="AJ2826" s="116"/>
      <c r="AK2826" s="116"/>
      <c r="AL2826" s="116"/>
      <c r="AM2826" s="116"/>
      <c r="AN2826" s="116"/>
      <c r="AO2826" s="115">
        <v>4.8598130800000003</v>
      </c>
      <c r="AP2826" s="115"/>
      <c r="AU2826" s="110">
        <v>0.82242990999999999</v>
      </c>
      <c r="AV2826" s="110"/>
    </row>
    <row r="2827" spans="1:48" s="108" customFormat="1" ht="15" hidden="1">
      <c r="A2827" s="107" t="s">
        <v>150</v>
      </c>
      <c r="B2827" s="108" t="s">
        <v>280</v>
      </c>
      <c r="C2827" s="19" t="s">
        <v>282</v>
      </c>
      <c r="D2827" s="108">
        <v>2003</v>
      </c>
      <c r="E2827" s="108">
        <v>1</v>
      </c>
      <c r="F2827" s="108">
        <v>18</v>
      </c>
      <c r="G2827" s="34">
        <f t="shared" si="367"/>
        <v>18</v>
      </c>
      <c r="H2827" s="111"/>
      <c r="I2827" s="111"/>
      <c r="J2827" s="109"/>
      <c r="K2827" s="112"/>
      <c r="L2827" s="112"/>
      <c r="M2827" s="109"/>
      <c r="O2827" s="94"/>
      <c r="P2827" s="94"/>
      <c r="Q2827" s="94"/>
      <c r="R2827" s="94"/>
      <c r="S2827" s="94"/>
      <c r="T2827" s="94"/>
      <c r="U2827" s="94"/>
      <c r="V2827" s="113"/>
      <c r="W2827" s="49"/>
      <c r="AE2827" s="116"/>
      <c r="AF2827" s="116"/>
      <c r="AG2827" s="116"/>
      <c r="AH2827" s="116"/>
      <c r="AI2827" s="116"/>
      <c r="AJ2827" s="116"/>
      <c r="AK2827" s="116"/>
      <c r="AL2827" s="116"/>
      <c r="AM2827" s="116"/>
      <c r="AN2827" s="116"/>
      <c r="AO2827" s="115"/>
      <c r="AP2827" s="115">
        <v>306.85358255</v>
      </c>
      <c r="AU2827" s="110">
        <v>0.39875389</v>
      </c>
      <c r="AV2827" s="110"/>
    </row>
    <row r="2828" spans="1:48" s="108" customFormat="1" ht="15" hidden="1">
      <c r="A2828" s="107" t="s">
        <v>150</v>
      </c>
      <c r="B2828" s="108" t="s">
        <v>280</v>
      </c>
      <c r="C2828" s="19" t="s">
        <v>282</v>
      </c>
      <c r="D2828" s="108">
        <v>2003</v>
      </c>
      <c r="E2828" s="108">
        <v>2</v>
      </c>
      <c r="F2828" s="108">
        <v>16</v>
      </c>
      <c r="G2828" s="34">
        <f t="shared" si="367"/>
        <v>46.47</v>
      </c>
      <c r="H2828" s="111"/>
      <c r="I2828" s="111"/>
      <c r="J2828" s="109"/>
      <c r="K2828" s="112"/>
      <c r="L2828" s="112"/>
      <c r="M2828" s="109"/>
      <c r="O2828" s="94"/>
      <c r="P2828" s="94"/>
      <c r="Q2828" s="94"/>
      <c r="R2828" s="94"/>
      <c r="S2828" s="94"/>
      <c r="T2828" s="94"/>
      <c r="U2828" s="94"/>
      <c r="V2828" s="113"/>
      <c r="W2828" s="49"/>
      <c r="AE2828" s="116"/>
      <c r="AF2828" s="116"/>
      <c r="AG2828" s="116"/>
      <c r="AH2828" s="116"/>
      <c r="AI2828" s="116"/>
      <c r="AJ2828" s="116"/>
      <c r="AK2828" s="116"/>
      <c r="AL2828" s="116"/>
      <c r="AM2828" s="116"/>
      <c r="AN2828" s="116"/>
      <c r="AO2828" s="115"/>
      <c r="AP2828" s="115">
        <v>190.03115265</v>
      </c>
      <c r="AU2828" s="110">
        <v>0.32398754000000002</v>
      </c>
      <c r="AV2828" s="110">
        <v>3.18380062</v>
      </c>
    </row>
    <row r="2829" spans="1:48" s="108" customFormat="1" ht="15" hidden="1">
      <c r="A2829" s="107" t="s">
        <v>150</v>
      </c>
      <c r="B2829" s="108" t="s">
        <v>280</v>
      </c>
      <c r="C2829" s="19" t="s">
        <v>282</v>
      </c>
      <c r="D2829" s="108">
        <v>2003</v>
      </c>
      <c r="E2829" s="108">
        <v>3</v>
      </c>
      <c r="F2829" s="108">
        <v>19</v>
      </c>
      <c r="G2829" s="34">
        <f t="shared" si="367"/>
        <v>79.94</v>
      </c>
      <c r="H2829" s="111">
        <v>276.68393781999998</v>
      </c>
      <c r="I2829" s="111">
        <v>329.53367875999999</v>
      </c>
      <c r="J2829" s="109">
        <f t="shared" si="368"/>
        <v>435.23316063999999</v>
      </c>
      <c r="K2829" s="112">
        <v>43.103448280000002</v>
      </c>
      <c r="L2829" s="112">
        <v>60.344827590000001</v>
      </c>
      <c r="M2829" s="109">
        <f t="shared" si="369"/>
        <v>112.06896552000001</v>
      </c>
      <c r="O2829" s="94">
        <f t="shared" si="355"/>
        <v>2.4419839480147645</v>
      </c>
      <c r="P2829" s="94">
        <f t="shared" si="356"/>
        <v>2.5178998066452833</v>
      </c>
      <c r="Q2829" s="94">
        <f t="shared" si="357"/>
        <v>2.6387219770723069</v>
      </c>
      <c r="R2829" s="94">
        <f t="shared" si="358"/>
        <v>1.6345120151507926</v>
      </c>
      <c r="S2829" s="94">
        <f t="shared" si="359"/>
        <v>1.7806400508146369</v>
      </c>
      <c r="T2829" s="94">
        <f t="shared" si="360"/>
        <v>2.0494853630906085</v>
      </c>
      <c r="U2829" s="94">
        <v>2.6387219770723069</v>
      </c>
      <c r="V2829" s="113">
        <v>2.0494853630906085</v>
      </c>
      <c r="W2829" s="49">
        <f t="shared" si="361"/>
        <v>1.1312833674540768</v>
      </c>
      <c r="AE2829" s="116"/>
      <c r="AF2829" s="116"/>
      <c r="AG2829" s="116"/>
      <c r="AH2829" s="116"/>
      <c r="AI2829" s="116"/>
      <c r="AJ2829" s="116"/>
      <c r="AK2829" s="116"/>
      <c r="AL2829" s="116"/>
      <c r="AM2829" s="116"/>
      <c r="AN2829" s="116"/>
      <c r="AO2829" s="115">
        <v>0.46728972000000002</v>
      </c>
      <c r="AP2829" s="115">
        <v>218.06853583</v>
      </c>
      <c r="AU2829" s="110">
        <v>0.44859812999999998</v>
      </c>
      <c r="AV2829" s="110">
        <v>0.74143302</v>
      </c>
    </row>
    <row r="2830" spans="1:48" s="108" customFormat="1" ht="15" hidden="1">
      <c r="A2830" s="107" t="s">
        <v>150</v>
      </c>
      <c r="B2830" s="108" t="s">
        <v>280</v>
      </c>
      <c r="C2830" s="19" t="s">
        <v>282</v>
      </c>
      <c r="D2830" s="108">
        <v>2003</v>
      </c>
      <c r="E2830" s="108">
        <v>4</v>
      </c>
      <c r="F2830" s="108">
        <v>19</v>
      </c>
      <c r="G2830" s="34">
        <f t="shared" si="367"/>
        <v>110.41</v>
      </c>
      <c r="H2830" s="111">
        <v>214.69260574</v>
      </c>
      <c r="I2830" s="111">
        <v>251.81347149999999</v>
      </c>
      <c r="J2830" s="109">
        <f t="shared" si="368"/>
        <v>326.05520301999996</v>
      </c>
      <c r="K2830" s="112">
        <v>120.68965516999999</v>
      </c>
      <c r="L2830" s="112">
        <v>169.54022989000001</v>
      </c>
      <c r="M2830" s="109">
        <f t="shared" si="369"/>
        <v>316.09195405000003</v>
      </c>
      <c r="O2830" s="94">
        <f t="shared" si="355"/>
        <v>2.3318170870929076</v>
      </c>
      <c r="P2830" s="94">
        <f t="shared" si="356"/>
        <v>2.4010789602500515</v>
      </c>
      <c r="Q2830" s="94">
        <f t="shared" si="357"/>
        <v>2.5132911348451068</v>
      </c>
      <c r="R2830" s="94">
        <f t="shared" si="358"/>
        <v>2.0816700464426336</v>
      </c>
      <c r="S2830" s="94">
        <f t="shared" si="359"/>
        <v>2.229272767708224</v>
      </c>
      <c r="T2830" s="94">
        <f t="shared" si="360"/>
        <v>2.4998134412487567</v>
      </c>
      <c r="U2830" s="94">
        <v>2.5132911348451068</v>
      </c>
      <c r="V2830" s="113">
        <v>2.4998134412487567</v>
      </c>
      <c r="W2830" s="49">
        <f t="shared" si="361"/>
        <v>0.73928503654478439</v>
      </c>
      <c r="AE2830" s="116"/>
      <c r="AF2830" s="116"/>
      <c r="AG2830" s="116"/>
      <c r="AH2830" s="116"/>
      <c r="AI2830" s="116"/>
      <c r="AJ2830" s="116"/>
      <c r="AK2830" s="116"/>
      <c r="AL2830" s="116"/>
      <c r="AM2830" s="116"/>
      <c r="AN2830" s="116"/>
      <c r="AO2830" s="115">
        <v>2.3676012499999999</v>
      </c>
      <c r="AP2830" s="115">
        <v>214.95327103</v>
      </c>
      <c r="AU2830" s="110">
        <v>1.34579439</v>
      </c>
      <c r="AV2830" s="110">
        <v>0.34890966000000001</v>
      </c>
    </row>
    <row r="2831" spans="1:48" s="108" customFormat="1" ht="15" hidden="1">
      <c r="A2831" s="107" t="s">
        <v>150</v>
      </c>
      <c r="B2831" s="108" t="s">
        <v>280</v>
      </c>
      <c r="C2831" s="19" t="s">
        <v>282</v>
      </c>
      <c r="D2831" s="108">
        <v>2003</v>
      </c>
      <c r="E2831" s="108">
        <v>5</v>
      </c>
      <c r="F2831" s="108">
        <v>12</v>
      </c>
      <c r="G2831" s="34">
        <f t="shared" ref="G2831:G2848" si="370">365*(D2831-2003)+30.47*(E2831-1)+F2831</f>
        <v>133.88</v>
      </c>
      <c r="H2831" s="111">
        <v>168.05766545999998</v>
      </c>
      <c r="I2831" s="111">
        <v>186.52849741</v>
      </c>
      <c r="J2831" s="109">
        <f t="shared" ref="J2831:J2848" si="371">H2831+3*(I2831-H2831)</f>
        <v>223.47016131000004</v>
      </c>
      <c r="K2831" s="112">
        <v>140.80459769999999</v>
      </c>
      <c r="L2831" s="112">
        <v>172.41379309999999</v>
      </c>
      <c r="M2831" s="109">
        <f t="shared" ref="M2831:M2848" si="372">L2831+3*(L2831-K2831)</f>
        <v>267.24137930000001</v>
      </c>
      <c r="O2831" s="94">
        <f t="shared" si="355"/>
        <v>2.2254583263327516</v>
      </c>
      <c r="P2831" s="94">
        <f t="shared" si="356"/>
        <v>2.2707451917610819</v>
      </c>
      <c r="Q2831" s="94">
        <f t="shared" si="357"/>
        <v>2.3492195424857116</v>
      </c>
      <c r="R2831" s="94">
        <f t="shared" si="358"/>
        <v>2.1486168360783875</v>
      </c>
      <c r="S2831" s="94">
        <f t="shared" si="359"/>
        <v>2.2365720064283767</v>
      </c>
      <c r="T2831" s="94">
        <f t="shared" si="360"/>
        <v>2.4269037045905426</v>
      </c>
      <c r="U2831" s="94">
        <v>2.3492195424857116</v>
      </c>
      <c r="V2831" s="113">
        <v>2.4269037045905426</v>
      </c>
      <c r="W2831" s="49">
        <f t="shared" si="361"/>
        <v>0.85797711241586549</v>
      </c>
      <c r="AE2831" s="116"/>
      <c r="AF2831" s="116"/>
      <c r="AG2831" s="116"/>
      <c r="AH2831" s="116"/>
      <c r="AI2831" s="116"/>
      <c r="AJ2831" s="116"/>
      <c r="AK2831" s="116"/>
      <c r="AL2831" s="116"/>
      <c r="AM2831" s="116"/>
      <c r="AN2831" s="116"/>
      <c r="AO2831" s="115">
        <v>3.8317757000000001</v>
      </c>
      <c r="AP2831" s="115">
        <v>378.5046729</v>
      </c>
      <c r="AU2831" s="110">
        <v>0.98442368000000002</v>
      </c>
      <c r="AV2831" s="110">
        <v>0.69781930999999997</v>
      </c>
    </row>
    <row r="2832" spans="1:48" s="108" customFormat="1" ht="15" hidden="1">
      <c r="A2832" s="107" t="s">
        <v>150</v>
      </c>
      <c r="B2832" s="108" t="s">
        <v>280</v>
      </c>
      <c r="C2832" s="19" t="s">
        <v>282</v>
      </c>
      <c r="D2832" s="108">
        <v>2003</v>
      </c>
      <c r="E2832" s="108">
        <v>6</v>
      </c>
      <c r="F2832" s="108">
        <v>19</v>
      </c>
      <c r="G2832" s="34">
        <f t="shared" si="370"/>
        <v>171.35</v>
      </c>
      <c r="H2832" s="111">
        <v>149.22279793000001</v>
      </c>
      <c r="I2832" s="111">
        <v>180.31088083</v>
      </c>
      <c r="J2832" s="109">
        <f t="shared" si="371"/>
        <v>242.48704662999998</v>
      </c>
      <c r="K2832" s="112">
        <v>86.206896549999996</v>
      </c>
      <c r="L2832" s="112">
        <v>100.57471264</v>
      </c>
      <c r="M2832" s="109">
        <f t="shared" si="372"/>
        <v>143.67816091000003</v>
      </c>
      <c r="O2832" s="94">
        <f t="shared" si="355"/>
        <v>2.1738351787588464</v>
      </c>
      <c r="P2832" s="94">
        <f t="shared" si="356"/>
        <v>2.2560219349411783</v>
      </c>
      <c r="Q2832" s="94">
        <f t="shared" si="357"/>
        <v>2.3846885440625454</v>
      </c>
      <c r="R2832" s="94">
        <f t="shared" si="358"/>
        <v>1.9355420107643957</v>
      </c>
      <c r="S2832" s="94">
        <f t="shared" si="359"/>
        <v>2.0024888003878121</v>
      </c>
      <c r="T2832" s="94">
        <f t="shared" si="360"/>
        <v>2.1573907603606006</v>
      </c>
      <c r="U2832" s="94">
        <v>2.3846885440625454</v>
      </c>
      <c r="V2832" s="113">
        <v>2.1573907603606006</v>
      </c>
      <c r="W2832" s="49">
        <f t="shared" si="361"/>
        <v>1.1044416714071068</v>
      </c>
      <c r="AE2832" s="116"/>
      <c r="AF2832" s="116"/>
      <c r="AG2832" s="116"/>
      <c r="AH2832" s="116"/>
      <c r="AI2832" s="116"/>
      <c r="AJ2832" s="116"/>
      <c r="AK2832" s="116"/>
      <c r="AL2832" s="116"/>
      <c r="AM2832" s="116"/>
      <c r="AN2832" s="116"/>
      <c r="AO2832" s="115">
        <v>6.9781931500000001</v>
      </c>
      <c r="AP2832" s="115">
        <v>230.52959501999999</v>
      </c>
      <c r="AU2832" s="110">
        <v>1.6323987499999999</v>
      </c>
      <c r="AV2832" s="110">
        <v>0.71962616999999995</v>
      </c>
    </row>
    <row r="2833" spans="1:48" s="108" customFormat="1" ht="15" hidden="1">
      <c r="A2833" s="107" t="s">
        <v>150</v>
      </c>
      <c r="B2833" s="108" t="s">
        <v>280</v>
      </c>
      <c r="C2833" s="19" t="s">
        <v>282</v>
      </c>
      <c r="D2833" s="108">
        <v>2003</v>
      </c>
      <c r="E2833" s="108">
        <v>7</v>
      </c>
      <c r="F2833" s="108">
        <v>15</v>
      </c>
      <c r="G2833" s="34">
        <f t="shared" si="370"/>
        <v>197.82</v>
      </c>
      <c r="H2833" s="111">
        <v>177.20207253999999</v>
      </c>
      <c r="I2833" s="111">
        <v>195.85492228000001</v>
      </c>
      <c r="J2833" s="109">
        <f t="shared" si="371"/>
        <v>233.16062176000005</v>
      </c>
      <c r="K2833" s="112">
        <v>103.44827586</v>
      </c>
      <c r="L2833" s="112">
        <v>126.43678161</v>
      </c>
      <c r="M2833" s="109">
        <f t="shared" si="372"/>
        <v>195.40229886</v>
      </c>
      <c r="O2833" s="94">
        <f t="shared" si="355"/>
        <v>2.2484687970511548</v>
      </c>
      <c r="P2833" s="94">
        <f t="shared" si="356"/>
        <v>2.2919344908299113</v>
      </c>
      <c r="Q2833" s="94">
        <f t="shared" si="357"/>
        <v>2.3676552047644819</v>
      </c>
      <c r="R2833" s="94">
        <f t="shared" si="358"/>
        <v>2.0147232568120206</v>
      </c>
      <c r="S2833" s="94">
        <f t="shared" si="359"/>
        <v>2.1018734325423702</v>
      </c>
      <c r="T2833" s="94">
        <f t="shared" si="360"/>
        <v>2.2909296687806036</v>
      </c>
      <c r="U2833" s="94">
        <v>2.3676552047644819</v>
      </c>
      <c r="V2833" s="113">
        <v>2.2909296687806036</v>
      </c>
      <c r="W2833" s="49">
        <f t="shared" si="361"/>
        <v>0.98216081080518292</v>
      </c>
      <c r="AE2833" s="116"/>
      <c r="AF2833" s="116"/>
      <c r="AG2833" s="116"/>
      <c r="AH2833" s="116"/>
      <c r="AI2833" s="116"/>
      <c r="AJ2833" s="116"/>
      <c r="AK2833" s="116"/>
      <c r="AL2833" s="116"/>
      <c r="AM2833" s="116"/>
      <c r="AN2833" s="116"/>
      <c r="AO2833" s="115">
        <v>8.2554517100000009</v>
      </c>
      <c r="AP2833" s="115">
        <v>222.74143301999999</v>
      </c>
      <c r="AU2833" s="110">
        <v>3.52647975</v>
      </c>
      <c r="AV2833" s="110">
        <v>0.39252335999999999</v>
      </c>
    </row>
    <row r="2834" spans="1:48" s="108" customFormat="1" ht="15" hidden="1">
      <c r="A2834" s="107" t="s">
        <v>150</v>
      </c>
      <c r="B2834" s="108" t="s">
        <v>280</v>
      </c>
      <c r="C2834" s="19" t="s">
        <v>282</v>
      </c>
      <c r="D2834" s="108">
        <v>2003</v>
      </c>
      <c r="E2834" s="108">
        <v>8</v>
      </c>
      <c r="F2834" s="108">
        <v>9</v>
      </c>
      <c r="G2834" s="34">
        <f t="shared" si="370"/>
        <v>222.29</v>
      </c>
      <c r="H2834" s="111">
        <v>167.87564767000001</v>
      </c>
      <c r="I2834" s="111">
        <v>183.41968911999999</v>
      </c>
      <c r="J2834" s="109">
        <f t="shared" si="371"/>
        <v>214.50777201999995</v>
      </c>
      <c r="K2834" s="112">
        <v>60.344827590000001</v>
      </c>
      <c r="L2834" s="112">
        <v>63.218390800000002</v>
      </c>
      <c r="M2834" s="109">
        <f t="shared" si="372"/>
        <v>71.839080429999996</v>
      </c>
      <c r="O2834" s="94">
        <f t="shared" si="355"/>
        <v>2.2249877012029935</v>
      </c>
      <c r="P2834" s="94">
        <f t="shared" si="356"/>
        <v>2.2634459530199771</v>
      </c>
      <c r="Q2834" s="94">
        <f t="shared" si="357"/>
        <v>2.3314430321116566</v>
      </c>
      <c r="R2834" s="94">
        <f t="shared" si="358"/>
        <v>1.7806400508146369</v>
      </c>
      <c r="S2834" s="94">
        <f t="shared" si="359"/>
        <v>1.8008434368440402</v>
      </c>
      <c r="T2834" s="94">
        <f t="shared" si="360"/>
        <v>1.8563607645454849</v>
      </c>
      <c r="U2834" s="94">
        <v>2.3314430321116566</v>
      </c>
      <c r="V2834" s="113">
        <v>1.8563607645454849</v>
      </c>
      <c r="W2834" s="49">
        <f t="shared" si="361"/>
        <v>1.407542525084031</v>
      </c>
      <c r="AE2834" s="116"/>
      <c r="AF2834" s="116"/>
      <c r="AG2834" s="116"/>
      <c r="AH2834" s="116"/>
      <c r="AI2834" s="116"/>
      <c r="AJ2834" s="116"/>
      <c r="AK2834" s="116"/>
      <c r="AL2834" s="116"/>
      <c r="AM2834" s="116"/>
      <c r="AN2834" s="116"/>
      <c r="AO2834" s="115">
        <v>4.2679127699999997</v>
      </c>
      <c r="AP2834" s="115"/>
      <c r="AU2834" s="110"/>
      <c r="AV2834" s="110">
        <v>0.28348909999999999</v>
      </c>
    </row>
    <row r="2835" spans="1:48" s="108" customFormat="1" ht="15" hidden="1">
      <c r="A2835" s="107" t="s">
        <v>150</v>
      </c>
      <c r="B2835" s="108" t="s">
        <v>280</v>
      </c>
      <c r="C2835" s="19" t="s">
        <v>282</v>
      </c>
      <c r="D2835" s="108">
        <v>2003</v>
      </c>
      <c r="E2835" s="108">
        <v>8</v>
      </c>
      <c r="F2835" s="108">
        <v>17</v>
      </c>
      <c r="G2835" s="34">
        <f t="shared" si="370"/>
        <v>230.29</v>
      </c>
      <c r="H2835" s="111"/>
      <c r="I2835" s="111"/>
      <c r="J2835" s="109"/>
      <c r="K2835" s="112"/>
      <c r="L2835" s="112"/>
      <c r="M2835" s="109"/>
      <c r="O2835" s="94"/>
      <c r="P2835" s="94"/>
      <c r="Q2835" s="94"/>
      <c r="R2835" s="94"/>
      <c r="S2835" s="94"/>
      <c r="T2835" s="94"/>
      <c r="U2835" s="94"/>
      <c r="V2835" s="113"/>
      <c r="W2835" s="49"/>
      <c r="AE2835" s="116"/>
      <c r="AF2835" s="116"/>
      <c r="AG2835" s="116"/>
      <c r="AH2835" s="116"/>
      <c r="AI2835" s="116"/>
      <c r="AJ2835" s="116"/>
      <c r="AK2835" s="116"/>
      <c r="AL2835" s="116"/>
      <c r="AM2835" s="116"/>
      <c r="AN2835" s="116"/>
      <c r="AO2835" s="115"/>
      <c r="AP2835" s="115">
        <v>197.81931463999999</v>
      </c>
      <c r="AU2835" s="110">
        <v>0.69781930999999997</v>
      </c>
      <c r="AV2835" s="110"/>
    </row>
    <row r="2836" spans="1:48" s="108" customFormat="1" ht="15" hidden="1">
      <c r="A2836" s="107" t="s">
        <v>150</v>
      </c>
      <c r="B2836" s="108" t="s">
        <v>280</v>
      </c>
      <c r="C2836" s="19" t="s">
        <v>282</v>
      </c>
      <c r="D2836" s="108">
        <v>2003</v>
      </c>
      <c r="E2836" s="108">
        <v>9</v>
      </c>
      <c r="F2836" s="108">
        <v>13</v>
      </c>
      <c r="G2836" s="34">
        <f t="shared" si="370"/>
        <v>256.76</v>
      </c>
      <c r="H2836" s="111">
        <v>143.00518134999999</v>
      </c>
      <c r="I2836" s="111">
        <v>177.20207253999999</v>
      </c>
      <c r="J2836" s="109">
        <f t="shared" si="371"/>
        <v>245.59585491999999</v>
      </c>
      <c r="K2836" s="112">
        <v>66.091954020000003</v>
      </c>
      <c r="L2836" s="112">
        <v>77.586206899999993</v>
      </c>
      <c r="M2836" s="109">
        <f t="shared" si="372"/>
        <v>112.06896553999997</v>
      </c>
      <c r="O2836" s="94">
        <f t="shared" si="355"/>
        <v>2.1553517730660983</v>
      </c>
      <c r="P2836" s="94">
        <f t="shared" si="356"/>
        <v>2.2484687970511548</v>
      </c>
      <c r="Q2836" s="94">
        <f t="shared" si="357"/>
        <v>2.3902210326622799</v>
      </c>
      <c r="R2836" s="94">
        <f t="shared" si="358"/>
        <v>1.8201485920513742</v>
      </c>
      <c r="S2836" s="94">
        <f t="shared" si="359"/>
        <v>1.8897845202317083</v>
      </c>
      <c r="T2836" s="94">
        <f t="shared" si="360"/>
        <v>2.0494853631681131</v>
      </c>
      <c r="U2836" s="94">
        <v>2.3902210326622799</v>
      </c>
      <c r="V2836" s="113">
        <v>2.0494853631681131</v>
      </c>
      <c r="W2836" s="49">
        <f t="shared" si="361"/>
        <v>1.2057155133541804</v>
      </c>
      <c r="AE2836" s="116"/>
      <c r="AF2836" s="116"/>
      <c r="AG2836" s="116"/>
      <c r="AH2836" s="116"/>
      <c r="AI2836" s="116"/>
      <c r="AJ2836" s="116"/>
      <c r="AK2836" s="116"/>
      <c r="AL2836" s="116"/>
      <c r="AM2836" s="116"/>
      <c r="AN2836" s="116"/>
      <c r="AO2836" s="115">
        <v>2.49221184</v>
      </c>
      <c r="AP2836" s="115">
        <v>252.33644860000001</v>
      </c>
      <c r="AU2836" s="110">
        <v>1.3956386300000001</v>
      </c>
      <c r="AV2836" s="110">
        <v>0.95950155999999998</v>
      </c>
    </row>
    <row r="2837" spans="1:48" s="108" customFormat="1" ht="15" hidden="1">
      <c r="A2837" s="107" t="s">
        <v>150</v>
      </c>
      <c r="B2837" s="108" t="s">
        <v>280</v>
      </c>
      <c r="C2837" s="19" t="s">
        <v>282</v>
      </c>
      <c r="D2837" s="108">
        <v>2003</v>
      </c>
      <c r="E2837" s="108">
        <v>10</v>
      </c>
      <c r="F2837" s="108">
        <v>10</v>
      </c>
      <c r="G2837" s="34">
        <f t="shared" si="370"/>
        <v>284.23</v>
      </c>
      <c r="H2837" s="111">
        <v>80.82901554</v>
      </c>
      <c r="I2837" s="111">
        <v>93.264248699999996</v>
      </c>
      <c r="J2837" s="109">
        <f t="shared" si="371"/>
        <v>118.13471501999999</v>
      </c>
      <c r="K2837" s="112">
        <v>34.482758619999998</v>
      </c>
      <c r="L2837" s="112">
        <v>43.103448280000002</v>
      </c>
      <c r="M2837" s="109">
        <f t="shared" si="372"/>
        <v>68.965517260000013</v>
      </c>
      <c r="O2837" s="94">
        <f t="shared" si="355"/>
        <v>1.9075672893249731</v>
      </c>
      <c r="P2837" s="94">
        <f t="shared" si="356"/>
        <v>1.9697151960738175</v>
      </c>
      <c r="Q2837" s="94">
        <f t="shared" si="357"/>
        <v>2.0723775379709655</v>
      </c>
      <c r="R2837" s="94">
        <f t="shared" si="358"/>
        <v>1.537602002092358</v>
      </c>
      <c r="S2837" s="94">
        <f t="shared" si="359"/>
        <v>1.6345120151507926</v>
      </c>
      <c r="T2837" s="94">
        <f t="shared" si="360"/>
        <v>1.8386319978822847</v>
      </c>
      <c r="U2837" s="94">
        <v>2.0723775379709655</v>
      </c>
      <c r="V2837" s="113">
        <v>1.8386319978822847</v>
      </c>
      <c r="W2837" s="49">
        <f t="shared" si="361"/>
        <v>1.5020504841103504</v>
      </c>
      <c r="AE2837" s="116"/>
      <c r="AF2837" s="116"/>
      <c r="AG2837" s="116"/>
      <c r="AH2837" s="116"/>
      <c r="AI2837" s="116"/>
      <c r="AJ2837" s="116"/>
      <c r="AK2837" s="116"/>
      <c r="AL2837" s="116"/>
      <c r="AM2837" s="116"/>
      <c r="AN2837" s="116"/>
      <c r="AO2837" s="115">
        <v>1.8068535800000001</v>
      </c>
      <c r="AP2837" s="115">
        <v>456.38629283</v>
      </c>
      <c r="AU2837" s="110">
        <v>0.68535826</v>
      </c>
      <c r="AV2837" s="110">
        <v>0.47975077999999999</v>
      </c>
    </row>
    <row r="2838" spans="1:48" s="108" customFormat="1" ht="15" hidden="1">
      <c r="A2838" s="107" t="s">
        <v>150</v>
      </c>
      <c r="B2838" s="108" t="s">
        <v>280</v>
      </c>
      <c r="C2838" s="19" t="s">
        <v>282</v>
      </c>
      <c r="D2838" s="108">
        <v>2003</v>
      </c>
      <c r="E2838" s="108">
        <v>11</v>
      </c>
      <c r="F2838" s="108">
        <v>7</v>
      </c>
      <c r="G2838" s="34">
        <f t="shared" si="370"/>
        <v>311.7</v>
      </c>
      <c r="H2838" s="111">
        <v>202.07253886000001</v>
      </c>
      <c r="I2838" s="111">
        <v>214.50777202</v>
      </c>
      <c r="J2838" s="109">
        <f t="shared" si="371"/>
        <v>239.37823834</v>
      </c>
      <c r="K2838" s="112">
        <v>34.482758619999998</v>
      </c>
      <c r="L2838" s="112">
        <v>54.597701149999999</v>
      </c>
      <c r="M2838" s="109">
        <f t="shared" si="372"/>
        <v>114.94252874</v>
      </c>
      <c r="O2838" s="94">
        <f t="shared" si="355"/>
        <v>2.3055072980185027</v>
      </c>
      <c r="P2838" s="94">
        <f t="shared" si="356"/>
        <v>2.3314430321116566</v>
      </c>
      <c r="Q2838" s="94">
        <f t="shared" si="357"/>
        <v>2.3790846665447796</v>
      </c>
      <c r="R2838" s="94">
        <f t="shared" si="358"/>
        <v>1.537602002092358</v>
      </c>
      <c r="S2838" s="94">
        <f t="shared" si="359"/>
        <v>1.7371743570108196</v>
      </c>
      <c r="T2838" s="94">
        <f t="shared" si="360"/>
        <v>2.0604807473978846</v>
      </c>
      <c r="U2838" s="94">
        <v>2.3790846665447796</v>
      </c>
      <c r="V2838" s="113">
        <v>2.0604807473978846</v>
      </c>
      <c r="W2838" s="49">
        <f t="shared" si="361"/>
        <v>1.1985626319441995</v>
      </c>
      <c r="AE2838" s="116"/>
      <c r="AF2838" s="116"/>
      <c r="AG2838" s="116"/>
      <c r="AH2838" s="116"/>
      <c r="AI2838" s="116"/>
      <c r="AJ2838" s="116"/>
      <c r="AK2838" s="116"/>
      <c r="AL2838" s="116"/>
      <c r="AM2838" s="116"/>
      <c r="AN2838" s="116"/>
      <c r="AO2838" s="115"/>
      <c r="AP2838" s="115">
        <v>295.95015575999997</v>
      </c>
      <c r="AU2838" s="110">
        <v>0.95950155999999998</v>
      </c>
      <c r="AV2838" s="110">
        <v>1.9408099700000001</v>
      </c>
    </row>
    <row r="2839" spans="1:48" s="108" customFormat="1" ht="15" hidden="1">
      <c r="A2839" s="107" t="s">
        <v>150</v>
      </c>
      <c r="B2839" s="108" t="s">
        <v>280</v>
      </c>
      <c r="C2839" s="19" t="s">
        <v>282</v>
      </c>
      <c r="D2839" s="108">
        <v>2003</v>
      </c>
      <c r="E2839" s="108">
        <v>12</v>
      </c>
      <c r="F2839" s="108">
        <v>6</v>
      </c>
      <c r="G2839" s="34">
        <f t="shared" si="370"/>
        <v>341.16999999999996</v>
      </c>
      <c r="H2839" s="111">
        <v>251.81347149999999</v>
      </c>
      <c r="I2839" s="111">
        <v>317.09844559999999</v>
      </c>
      <c r="J2839" s="109">
        <f t="shared" si="371"/>
        <v>447.66839379999999</v>
      </c>
      <c r="K2839" s="112">
        <v>28.73563218</v>
      </c>
      <c r="L2839" s="112">
        <v>34.482758619999998</v>
      </c>
      <c r="M2839" s="109">
        <f t="shared" si="372"/>
        <v>51.724137939999991</v>
      </c>
      <c r="O2839" s="94">
        <f t="shared" si="355"/>
        <v>2.4010789602500515</v>
      </c>
      <c r="P2839" s="94">
        <f t="shared" si="356"/>
        <v>2.5011941131434643</v>
      </c>
      <c r="Q2839" s="94">
        <f t="shared" si="357"/>
        <v>2.6509564334882096</v>
      </c>
      <c r="R2839" s="94">
        <f t="shared" si="358"/>
        <v>1.4584207559943549</v>
      </c>
      <c r="S2839" s="94">
        <f t="shared" si="359"/>
        <v>1.537602002092358</v>
      </c>
      <c r="T2839" s="94">
        <f t="shared" si="360"/>
        <v>1.7136932612320028</v>
      </c>
      <c r="U2839" s="94">
        <v>2.6509564334882096</v>
      </c>
      <c r="V2839" s="113">
        <v>1.7136932612320028</v>
      </c>
      <c r="W2839" s="49">
        <f t="shared" si="361"/>
        <v>1.44793093275281</v>
      </c>
      <c r="AE2839" s="116"/>
      <c r="AF2839" s="116"/>
      <c r="AG2839" s="116"/>
      <c r="AH2839" s="116"/>
      <c r="AI2839" s="116"/>
      <c r="AJ2839" s="116"/>
      <c r="AK2839" s="116"/>
      <c r="AL2839" s="116"/>
      <c r="AM2839" s="116"/>
      <c r="AN2839" s="116"/>
      <c r="AO2839" s="115">
        <v>1.2772585700000001</v>
      </c>
      <c r="AP2839" s="115">
        <v>227.41433022000001</v>
      </c>
      <c r="AU2839" s="110">
        <v>1.0591900299999999</v>
      </c>
      <c r="AV2839" s="110">
        <v>3.4018691599999999</v>
      </c>
    </row>
    <row r="2840" spans="1:48" s="108" customFormat="1" ht="15" hidden="1">
      <c r="A2840" s="107" t="s">
        <v>150</v>
      </c>
      <c r="B2840" s="108" t="s">
        <v>280</v>
      </c>
      <c r="C2840" s="19" t="s">
        <v>282</v>
      </c>
      <c r="D2840" s="108">
        <v>2004</v>
      </c>
      <c r="E2840" s="108">
        <v>1</v>
      </c>
      <c r="F2840" s="108">
        <v>5</v>
      </c>
      <c r="G2840" s="34">
        <f t="shared" si="370"/>
        <v>370</v>
      </c>
      <c r="H2840" s="111">
        <v>363.73056995000002</v>
      </c>
      <c r="I2840" s="111">
        <v>394.81865284999998</v>
      </c>
      <c r="J2840" s="109">
        <f t="shared" si="371"/>
        <v>456.9948186499999</v>
      </c>
      <c r="K2840" s="112">
        <v>37.35632184</v>
      </c>
      <c r="L2840" s="112">
        <v>40.229885060000001</v>
      </c>
      <c r="M2840" s="109">
        <f t="shared" si="372"/>
        <v>48.850574720000004</v>
      </c>
      <c r="O2840" s="94">
        <f t="shared" si="355"/>
        <v>2.5607798031241966</v>
      </c>
      <c r="P2840" s="94">
        <f t="shared" si="356"/>
        <v>2.5963976623321119</v>
      </c>
      <c r="Q2840" s="94">
        <f t="shared" si="357"/>
        <v>2.6599112761213375</v>
      </c>
      <c r="R2840" s="94">
        <f t="shared" si="358"/>
        <v>1.5723641083709461</v>
      </c>
      <c r="S2840" s="94">
        <f t="shared" si="359"/>
        <v>1.6045487917589556</v>
      </c>
      <c r="T2840" s="94">
        <f t="shared" si="360"/>
        <v>1.6888696774970926</v>
      </c>
      <c r="U2840" s="94">
        <v>2.6599112761213375</v>
      </c>
      <c r="V2840" s="113">
        <v>1.6888696774970926</v>
      </c>
      <c r="W2840" s="49">
        <f t="shared" si="361"/>
        <v>1.4689279536197901</v>
      </c>
      <c r="AE2840" s="116"/>
      <c r="AF2840" s="116"/>
      <c r="AG2840" s="116"/>
      <c r="AH2840" s="116"/>
      <c r="AI2840" s="116"/>
      <c r="AJ2840" s="116"/>
      <c r="AK2840" s="116"/>
      <c r="AL2840" s="116"/>
      <c r="AM2840" s="116"/>
      <c r="AN2840" s="116"/>
      <c r="AO2840" s="115">
        <v>0.99688474000000005</v>
      </c>
      <c r="AP2840" s="115">
        <v>194.70404984000001</v>
      </c>
      <c r="AU2840" s="110">
        <v>0.63551402000000001</v>
      </c>
      <c r="AV2840" s="110">
        <v>5.7570093499999997</v>
      </c>
    </row>
    <row r="2841" spans="1:48" s="108" customFormat="1" ht="15" hidden="1">
      <c r="A2841" s="107" t="s">
        <v>150</v>
      </c>
      <c r="B2841" s="108" t="s">
        <v>280</v>
      </c>
      <c r="C2841" s="19" t="s">
        <v>282</v>
      </c>
      <c r="D2841" s="108">
        <v>2004</v>
      </c>
      <c r="E2841" s="108">
        <v>2</v>
      </c>
      <c r="F2841" s="108">
        <v>19</v>
      </c>
      <c r="G2841" s="34">
        <f t="shared" si="370"/>
        <v>414.47</v>
      </c>
      <c r="H2841" s="111">
        <v>248.70466321000001</v>
      </c>
      <c r="I2841" s="111">
        <v>313.98963730999998</v>
      </c>
      <c r="J2841" s="109">
        <f t="shared" si="371"/>
        <v>444.55958550999992</v>
      </c>
      <c r="K2841" s="112">
        <v>34.482758619999998</v>
      </c>
      <c r="L2841" s="112">
        <v>40.229885060000001</v>
      </c>
      <c r="M2841" s="109">
        <f t="shared" si="372"/>
        <v>57.471264380000008</v>
      </c>
      <c r="O2841" s="94">
        <f t="shared" si="355"/>
        <v>2.3956839283635611</v>
      </c>
      <c r="P2841" s="94">
        <f t="shared" si="356"/>
        <v>2.4969153151644607</v>
      </c>
      <c r="Q2841" s="94">
        <f t="shared" si="357"/>
        <v>2.6479299788582931</v>
      </c>
      <c r="R2841" s="94">
        <f t="shared" si="358"/>
        <v>1.537602002092358</v>
      </c>
      <c r="S2841" s="94">
        <f t="shared" si="359"/>
        <v>1.6045487917589556</v>
      </c>
      <c r="T2841" s="94">
        <f t="shared" si="360"/>
        <v>1.7594507518094709</v>
      </c>
      <c r="U2841" s="94">
        <v>2.6479299788582931</v>
      </c>
      <c r="V2841" s="113">
        <v>1.7594507518094709</v>
      </c>
      <c r="W2841" s="49">
        <f t="shared" si="361"/>
        <v>1.4051893601034069</v>
      </c>
      <c r="AE2841" s="116"/>
      <c r="AF2841" s="116"/>
      <c r="AG2841" s="116"/>
      <c r="AH2841" s="116"/>
      <c r="AI2841" s="116"/>
      <c r="AJ2841" s="116"/>
      <c r="AK2841" s="116"/>
      <c r="AL2841" s="116"/>
      <c r="AM2841" s="116"/>
      <c r="AN2841" s="116"/>
      <c r="AO2841" s="115">
        <v>0.74766354999999995</v>
      </c>
      <c r="AP2841" s="115">
        <v>172.89719625999999</v>
      </c>
      <c r="AU2841" s="110">
        <v>0.83489097000000001</v>
      </c>
      <c r="AV2841" s="110">
        <v>1.6137071700000001</v>
      </c>
    </row>
    <row r="2842" spans="1:48" s="108" customFormat="1" ht="15" hidden="1">
      <c r="A2842" s="107" t="s">
        <v>150</v>
      </c>
      <c r="B2842" s="108" t="s">
        <v>280</v>
      </c>
      <c r="C2842" s="19" t="s">
        <v>282</v>
      </c>
      <c r="D2842" s="108">
        <v>2004</v>
      </c>
      <c r="E2842" s="108">
        <v>3</v>
      </c>
      <c r="F2842" s="108">
        <v>13</v>
      </c>
      <c r="G2842" s="34">
        <f t="shared" si="370"/>
        <v>438.94</v>
      </c>
      <c r="H2842" s="111">
        <v>509.93576337000002</v>
      </c>
      <c r="I2842" s="111">
        <v>589.7908415500001</v>
      </c>
      <c r="J2842" s="109">
        <f t="shared" si="371"/>
        <v>749.50099791000025</v>
      </c>
      <c r="K2842" s="112">
        <v>68.965517239999997</v>
      </c>
      <c r="L2842" s="112">
        <v>86.206896549999996</v>
      </c>
      <c r="M2842" s="109">
        <f t="shared" si="372"/>
        <v>137.93103447999999</v>
      </c>
      <c r="O2842" s="94">
        <f t="shared" si="355"/>
        <v>2.7075154714489109</v>
      </c>
      <c r="P2842" s="94">
        <f t="shared" si="356"/>
        <v>2.7706980244124915</v>
      </c>
      <c r="Q2842" s="94">
        <f t="shared" si="357"/>
        <v>2.8747722154184783</v>
      </c>
      <c r="R2842" s="94">
        <f t="shared" si="358"/>
        <v>1.8386319977563392</v>
      </c>
      <c r="S2842" s="94">
        <f t="shared" si="359"/>
        <v>1.9355420107643957</v>
      </c>
      <c r="T2842" s="94">
        <f t="shared" si="360"/>
        <v>2.1396619934203205</v>
      </c>
      <c r="U2842" s="94">
        <v>2.8747722154184783</v>
      </c>
      <c r="V2842" s="113">
        <v>2.1396619934203205</v>
      </c>
      <c r="W2842" s="49">
        <f t="shared" si="361"/>
        <v>0.97456102656202281</v>
      </c>
      <c r="AE2842" s="116"/>
      <c r="AF2842" s="116"/>
      <c r="AG2842" s="116"/>
      <c r="AH2842" s="116"/>
      <c r="AI2842" s="116"/>
      <c r="AJ2842" s="116"/>
      <c r="AK2842" s="116"/>
      <c r="AL2842" s="116"/>
      <c r="AM2842" s="116"/>
      <c r="AN2842" s="116"/>
      <c r="AO2842" s="115">
        <v>1.02803738</v>
      </c>
      <c r="AP2842" s="115">
        <v>188.47352025000001</v>
      </c>
      <c r="AU2842" s="110">
        <v>0.34890966000000001</v>
      </c>
      <c r="AV2842" s="110">
        <v>0.34890966000000001</v>
      </c>
    </row>
    <row r="2843" spans="1:48" s="108" customFormat="1" ht="15" hidden="1">
      <c r="A2843" s="107" t="s">
        <v>150</v>
      </c>
      <c r="B2843" s="108" t="s">
        <v>280</v>
      </c>
      <c r="C2843" s="19" t="s">
        <v>282</v>
      </c>
      <c r="D2843" s="108">
        <v>2004</v>
      </c>
      <c r="E2843" s="108">
        <v>4</v>
      </c>
      <c r="F2843" s="108">
        <v>1</v>
      </c>
      <c r="G2843" s="34">
        <f t="shared" si="370"/>
        <v>457.40999999999997</v>
      </c>
      <c r="H2843" s="111">
        <v>420.74939546000002</v>
      </c>
      <c r="I2843" s="111">
        <v>447.75475773000005</v>
      </c>
      <c r="J2843" s="109">
        <f t="shared" si="371"/>
        <v>501.76548227000012</v>
      </c>
      <c r="K2843" s="112">
        <v>206.89655171999999</v>
      </c>
      <c r="L2843" s="112">
        <v>241.37931033999999</v>
      </c>
      <c r="M2843" s="109">
        <f t="shared" si="372"/>
        <v>344.82758619999998</v>
      </c>
      <c r="O2843" s="94">
        <f t="shared" si="355"/>
        <v>2.6240235006464956</v>
      </c>
      <c r="P2843" s="94">
        <f t="shared" si="356"/>
        <v>2.6510402092500644</v>
      </c>
      <c r="Q2843" s="94">
        <f t="shared" si="357"/>
        <v>2.7005007817787416</v>
      </c>
      <c r="R2843" s="94">
        <f t="shared" si="358"/>
        <v>2.3157532524760018</v>
      </c>
      <c r="S2843" s="94">
        <f t="shared" si="359"/>
        <v>2.3827000421066149</v>
      </c>
      <c r="T2843" s="94">
        <f t="shared" si="360"/>
        <v>2.537602002092358</v>
      </c>
      <c r="U2843" s="94">
        <v>2.7005007817787416</v>
      </c>
      <c r="V2843" s="113">
        <v>2.537602002092358</v>
      </c>
      <c r="W2843" s="49">
        <f t="shared" si="361"/>
        <v>0.64716463374213506</v>
      </c>
      <c r="AE2843" s="116"/>
      <c r="AF2843" s="116"/>
      <c r="AG2843" s="116"/>
      <c r="AH2843" s="116"/>
      <c r="AI2843" s="116"/>
      <c r="AJ2843" s="116"/>
      <c r="AK2843" s="116"/>
      <c r="AL2843" s="116"/>
      <c r="AM2843" s="116"/>
      <c r="AN2843" s="116"/>
      <c r="AO2843" s="115">
        <v>1.18380062</v>
      </c>
      <c r="AP2843" s="115">
        <v>228.97196262</v>
      </c>
      <c r="AU2843" s="110">
        <v>0.41121495000000002</v>
      </c>
      <c r="AV2843" s="110">
        <v>0.26168224000000001</v>
      </c>
    </row>
    <row r="2844" spans="1:48" s="108" customFormat="1" ht="15" hidden="1">
      <c r="A2844" s="107" t="s">
        <v>150</v>
      </c>
      <c r="B2844" s="108" t="s">
        <v>280</v>
      </c>
      <c r="C2844" s="19" t="s">
        <v>282</v>
      </c>
      <c r="D2844" s="108">
        <v>2004</v>
      </c>
      <c r="E2844" s="108">
        <v>5</v>
      </c>
      <c r="F2844" s="108">
        <v>2</v>
      </c>
      <c r="G2844" s="34">
        <f t="shared" si="370"/>
        <v>488.88</v>
      </c>
      <c r="H2844" s="111">
        <v>241.86097821000001</v>
      </c>
      <c r="I2844" s="111">
        <v>253.45153048</v>
      </c>
      <c r="J2844" s="109">
        <f t="shared" si="371"/>
        <v>276.63263501999995</v>
      </c>
      <c r="K2844" s="112">
        <v>181.03448276</v>
      </c>
      <c r="L2844" s="112">
        <v>192.52873563</v>
      </c>
      <c r="M2844" s="109">
        <f t="shared" si="372"/>
        <v>227.01149423999999</v>
      </c>
      <c r="O2844" s="94">
        <f t="shared" si="355"/>
        <v>2.3835658050501571</v>
      </c>
      <c r="P2844" s="94">
        <f t="shared" si="356"/>
        <v>2.4038949180767291</v>
      </c>
      <c r="Q2844" s="94">
        <f t="shared" si="357"/>
        <v>2.4419034135644924</v>
      </c>
      <c r="R2844" s="94">
        <f t="shared" si="358"/>
        <v>2.2577613055103098</v>
      </c>
      <c r="S2844" s="94">
        <f t="shared" si="359"/>
        <v>2.284495558749319</v>
      </c>
      <c r="T2844" s="94">
        <f t="shared" si="360"/>
        <v>2.3560478473192323</v>
      </c>
      <c r="U2844" s="94">
        <v>2.4419034135644924</v>
      </c>
      <c r="V2844" s="113">
        <v>2.3560478473192323</v>
      </c>
      <c r="W2844" s="49">
        <f t="shared" si="361"/>
        <v>0.89780541525564517</v>
      </c>
      <c r="AE2844" s="116"/>
      <c r="AF2844" s="116"/>
      <c r="AG2844" s="116"/>
      <c r="AH2844" s="116"/>
      <c r="AI2844" s="116"/>
      <c r="AJ2844" s="116"/>
      <c r="AK2844" s="116"/>
      <c r="AL2844" s="116"/>
      <c r="AM2844" s="116"/>
      <c r="AN2844" s="116"/>
      <c r="AO2844" s="115">
        <v>5.7009345800000002</v>
      </c>
      <c r="AP2844" s="115">
        <v>218.06853583</v>
      </c>
      <c r="AU2844" s="110">
        <v>0.82242990999999999</v>
      </c>
      <c r="AV2844" s="110">
        <v>8.7227410000000005E-2</v>
      </c>
    </row>
    <row r="2845" spans="1:48" s="108" customFormat="1" ht="15" hidden="1">
      <c r="A2845" s="107" t="s">
        <v>150</v>
      </c>
      <c r="B2845" s="108" t="s">
        <v>280</v>
      </c>
      <c r="C2845" s="19" t="s">
        <v>282</v>
      </c>
      <c r="D2845" s="108">
        <v>2004</v>
      </c>
      <c r="E2845" s="108">
        <v>6</v>
      </c>
      <c r="F2845" s="108">
        <v>2</v>
      </c>
      <c r="G2845" s="34">
        <f t="shared" si="370"/>
        <v>519.35</v>
      </c>
      <c r="H2845" s="111">
        <v>240.10946465000001</v>
      </c>
      <c r="I2845" s="111">
        <v>273.57512953000003</v>
      </c>
      <c r="J2845" s="109">
        <f t="shared" si="371"/>
        <v>340.50645929000007</v>
      </c>
      <c r="K2845" s="112">
        <v>327.58620689999998</v>
      </c>
      <c r="L2845" s="112">
        <v>393.67816091999998</v>
      </c>
      <c r="M2845" s="109">
        <f t="shared" si="372"/>
        <v>591.95402297999999</v>
      </c>
      <c r="O2845" s="94">
        <f t="shared" si="355"/>
        <v>2.3804092794416762</v>
      </c>
      <c r="P2845" s="94">
        <f t="shared" si="356"/>
        <v>2.4370766135201984</v>
      </c>
      <c r="Q2845" s="94">
        <f t="shared" si="357"/>
        <v>2.5321253547433611</v>
      </c>
      <c r="R2845" s="94">
        <f t="shared" si="358"/>
        <v>2.515325607394463</v>
      </c>
      <c r="S2845" s="94">
        <f t="shared" si="359"/>
        <v>2.5951413232103331</v>
      </c>
      <c r="T2845" s="94">
        <f t="shared" si="360"/>
        <v>2.7722879764163322</v>
      </c>
      <c r="U2845" s="94">
        <v>2.5321253547433611</v>
      </c>
      <c r="V2845" s="113">
        <v>2.7722879764163322</v>
      </c>
      <c r="W2845" s="49">
        <f t="shared" si="361"/>
        <v>0.47373026526709744</v>
      </c>
      <c r="AE2845" s="116"/>
      <c r="AF2845" s="116"/>
      <c r="AG2845" s="116"/>
      <c r="AH2845" s="116"/>
      <c r="AI2845" s="116"/>
      <c r="AJ2845" s="116"/>
      <c r="AK2845" s="116"/>
      <c r="AL2845" s="116"/>
      <c r="AM2845" s="116"/>
      <c r="AN2845" s="116"/>
      <c r="AO2845" s="115">
        <v>3.8940809999999999</v>
      </c>
      <c r="AP2845" s="115">
        <v>218.06853583</v>
      </c>
      <c r="AU2845" s="110">
        <v>0.69781930999999997</v>
      </c>
      <c r="AV2845" s="110">
        <v>1.13395639</v>
      </c>
    </row>
    <row r="2846" spans="1:48" s="108" customFormat="1" ht="15" hidden="1">
      <c r="A2846" s="107" t="s">
        <v>150</v>
      </c>
      <c r="B2846" s="108" t="s">
        <v>280</v>
      </c>
      <c r="C2846" s="19" t="s">
        <v>282</v>
      </c>
      <c r="D2846" s="108">
        <v>2004</v>
      </c>
      <c r="E2846" s="108">
        <v>6</v>
      </c>
      <c r="F2846" s="108">
        <v>29</v>
      </c>
      <c r="G2846" s="34">
        <f t="shared" si="370"/>
        <v>546.35</v>
      </c>
      <c r="H2846" s="111">
        <v>202.07253886000001</v>
      </c>
      <c r="I2846" s="111">
        <v>217.61658030999999</v>
      </c>
      <c r="J2846" s="109">
        <f t="shared" si="371"/>
        <v>248.70466320999995</v>
      </c>
      <c r="K2846" s="112">
        <v>252.87356321999999</v>
      </c>
      <c r="L2846" s="112">
        <v>293.10344828000001</v>
      </c>
      <c r="M2846" s="109">
        <f t="shared" si="372"/>
        <v>413.79310346000005</v>
      </c>
      <c r="O2846" s="94">
        <f t="shared" si="355"/>
        <v>2.3055072980185027</v>
      </c>
      <c r="P2846" s="94">
        <f t="shared" si="356"/>
        <v>2.3376919813883688</v>
      </c>
      <c r="Q2846" s="94">
        <f t="shared" si="357"/>
        <v>2.3956839283635607</v>
      </c>
      <c r="R2846" s="94">
        <f t="shared" si="358"/>
        <v>2.4029034282063515</v>
      </c>
      <c r="S2846" s="94">
        <f t="shared" si="359"/>
        <v>2.4670209278214679</v>
      </c>
      <c r="T2846" s="94">
        <f t="shared" si="360"/>
        <v>2.6167832481609739</v>
      </c>
      <c r="U2846" s="94">
        <v>2.3956839283635607</v>
      </c>
      <c r="V2846" s="113">
        <v>2.6167832481609739</v>
      </c>
      <c r="W2846" s="49">
        <f t="shared" si="361"/>
        <v>0.6629337892097229</v>
      </c>
      <c r="AE2846" s="116"/>
      <c r="AF2846" s="116"/>
      <c r="AG2846" s="116"/>
      <c r="AH2846" s="116"/>
      <c r="AI2846" s="116"/>
      <c r="AJ2846" s="116"/>
      <c r="AK2846" s="116"/>
      <c r="AL2846" s="116"/>
      <c r="AM2846" s="116"/>
      <c r="AN2846" s="116"/>
      <c r="AO2846" s="115">
        <v>4.5171339599999998</v>
      </c>
      <c r="AP2846" s="115">
        <v>185.35825545</v>
      </c>
      <c r="AU2846" s="110">
        <v>0.58566978000000003</v>
      </c>
      <c r="AV2846" s="110">
        <v>1.09034268</v>
      </c>
    </row>
    <row r="2847" spans="1:48" s="108" customFormat="1" ht="15" hidden="1">
      <c r="A2847" s="107" t="s">
        <v>150</v>
      </c>
      <c r="B2847" s="108" t="s">
        <v>280</v>
      </c>
      <c r="C2847" s="19" t="s">
        <v>282</v>
      </c>
      <c r="D2847" s="108">
        <v>2004</v>
      </c>
      <c r="E2847" s="108">
        <v>7</v>
      </c>
      <c r="F2847" s="108">
        <v>1</v>
      </c>
      <c r="G2847" s="34">
        <f t="shared" si="370"/>
        <v>548.81999999999994</v>
      </c>
      <c r="H2847" s="111"/>
      <c r="I2847" s="111"/>
      <c r="J2847" s="109"/>
      <c r="K2847" s="112"/>
      <c r="L2847" s="112"/>
      <c r="M2847" s="109"/>
      <c r="O2847" s="94"/>
      <c r="P2847" s="94"/>
      <c r="Q2847" s="94"/>
      <c r="R2847" s="94"/>
      <c r="S2847" s="94"/>
      <c r="T2847" s="94"/>
      <c r="U2847" s="94"/>
      <c r="V2847" s="113"/>
      <c r="W2847" s="49"/>
      <c r="AE2847" s="116"/>
      <c r="AF2847" s="116"/>
      <c r="AG2847" s="116"/>
      <c r="AH2847" s="116"/>
      <c r="AI2847" s="116"/>
      <c r="AJ2847" s="116"/>
      <c r="AK2847" s="116"/>
      <c r="AL2847" s="116"/>
      <c r="AM2847" s="116"/>
      <c r="AN2847" s="116"/>
      <c r="AO2847" s="115"/>
      <c r="AP2847" s="115"/>
      <c r="AU2847" s="110"/>
      <c r="AV2847" s="110"/>
    </row>
    <row r="2848" spans="1:48" s="108" customFormat="1" ht="15" hidden="1">
      <c r="A2848" s="107" t="s">
        <v>150</v>
      </c>
      <c r="B2848" s="108" t="s">
        <v>280</v>
      </c>
      <c r="C2848" s="19" t="s">
        <v>282</v>
      </c>
      <c r="D2848" s="108">
        <v>2004</v>
      </c>
      <c r="E2848" s="108">
        <v>8</v>
      </c>
      <c r="F2848" s="108">
        <v>1</v>
      </c>
      <c r="G2848" s="34">
        <f t="shared" si="370"/>
        <v>579.29</v>
      </c>
      <c r="H2848" s="111">
        <v>158.5492228</v>
      </c>
      <c r="I2848" s="111">
        <v>198.96373057</v>
      </c>
      <c r="J2848" s="109">
        <f t="shared" si="371"/>
        <v>279.79274611</v>
      </c>
      <c r="K2848" s="112">
        <v>112.06896552000001</v>
      </c>
      <c r="L2848" s="112">
        <v>120.68965516999999</v>
      </c>
      <c r="M2848" s="109">
        <f t="shared" si="372"/>
        <v>146.55172411999996</v>
      </c>
      <c r="O2848" s="94">
        <f t="shared" si="355"/>
        <v>2.2001641174794835</v>
      </c>
      <c r="P2848" s="94">
        <f t="shared" si="356"/>
        <v>2.2987739153598703</v>
      </c>
      <c r="Q2848" s="94">
        <f t="shared" si="357"/>
        <v>2.4468364508090019</v>
      </c>
      <c r="R2848" s="94">
        <f t="shared" si="358"/>
        <v>2.0494853630906085</v>
      </c>
      <c r="S2848" s="94">
        <f t="shared" si="359"/>
        <v>2.0816700464426336</v>
      </c>
      <c r="T2848" s="94">
        <f t="shared" si="360"/>
        <v>2.165990932098218</v>
      </c>
      <c r="U2848" s="94">
        <v>2.4468364508090019</v>
      </c>
      <c r="V2848" s="113">
        <v>2.165990932098218</v>
      </c>
      <c r="W2848" s="49">
        <f t="shared" si="361"/>
        <v>1.0776231406775238</v>
      </c>
      <c r="AE2848" s="116"/>
      <c r="AF2848" s="116"/>
      <c r="AG2848" s="116"/>
      <c r="AH2848" s="116"/>
      <c r="AI2848" s="116"/>
      <c r="AJ2848" s="116"/>
      <c r="AK2848" s="116"/>
      <c r="AL2848" s="116"/>
      <c r="AM2848" s="116"/>
      <c r="AN2848" s="116"/>
      <c r="AO2848" s="115">
        <v>2.6791277299999998</v>
      </c>
      <c r="AP2848" s="115">
        <v>210.28037383</v>
      </c>
      <c r="AU2848" s="110">
        <v>1.0342679100000001</v>
      </c>
      <c r="AV2848" s="110">
        <v>1.19937695</v>
      </c>
    </row>
    <row r="2849" spans="1:48" s="108" customFormat="1" ht="15" hidden="1">
      <c r="A2849" s="107" t="s">
        <v>150</v>
      </c>
      <c r="B2849" s="108" t="s">
        <v>280</v>
      </c>
      <c r="C2849" s="19" t="s">
        <v>282</v>
      </c>
      <c r="D2849" s="108">
        <v>2004</v>
      </c>
      <c r="E2849" s="108">
        <v>8</v>
      </c>
      <c r="F2849" s="108">
        <v>19</v>
      </c>
      <c r="G2849" s="34">
        <f t="shared" ref="G2849:G2853" si="373">365*(D2849-2003)+30.47*(E2849-1)+F2849</f>
        <v>597.29</v>
      </c>
      <c r="J2849" s="109"/>
      <c r="K2849" s="110"/>
      <c r="L2849" s="110"/>
      <c r="M2849" s="109"/>
      <c r="O2849" s="94"/>
      <c r="P2849" s="94"/>
      <c r="Q2849" s="94"/>
      <c r="R2849" s="94"/>
      <c r="S2849" s="94"/>
      <c r="T2849" s="94"/>
      <c r="U2849" s="94"/>
      <c r="V2849" s="113"/>
      <c r="W2849" s="49"/>
      <c r="AE2849" s="116"/>
      <c r="AF2849" s="116"/>
      <c r="AG2849" s="116"/>
      <c r="AH2849" s="116"/>
      <c r="AI2849" s="116"/>
      <c r="AJ2849" s="116"/>
      <c r="AK2849" s="116"/>
      <c r="AL2849" s="116"/>
      <c r="AM2849" s="116"/>
      <c r="AN2849" s="116"/>
      <c r="AO2849" s="115"/>
      <c r="AP2849" s="115"/>
      <c r="AU2849" s="110"/>
      <c r="AV2849" s="110"/>
    </row>
    <row r="2850" spans="1:48" s="108" customFormat="1" ht="15" hidden="1">
      <c r="A2850" s="107" t="s">
        <v>150</v>
      </c>
      <c r="B2850" s="108" t="s">
        <v>280</v>
      </c>
      <c r="C2850" s="19" t="s">
        <v>282</v>
      </c>
      <c r="D2850" s="108">
        <v>2004</v>
      </c>
      <c r="E2850" s="108">
        <v>9</v>
      </c>
      <c r="F2850" s="108">
        <v>2</v>
      </c>
      <c r="G2850" s="34">
        <f t="shared" si="373"/>
        <v>610.76</v>
      </c>
      <c r="H2850" s="111">
        <v>96.373056989999995</v>
      </c>
      <c r="I2850" s="111">
        <v>130.56994818999999</v>
      </c>
      <c r="J2850" s="109">
        <f t="shared" ref="J2850:J2853" si="374">H2850+3*(I2850-H2850)</f>
        <v>198.96373058999998</v>
      </c>
      <c r="K2850" s="112">
        <v>48.850574709999997</v>
      </c>
      <c r="L2850" s="112">
        <v>48.850574709999997</v>
      </c>
      <c r="M2850" s="109">
        <f t="shared" ref="M2850:M2853" si="375">L2850+3*(L2850-K2850)</f>
        <v>48.850574709999997</v>
      </c>
      <c r="O2850" s="94">
        <f t="shared" si="355"/>
        <v>1.9839556351884278</v>
      </c>
      <c r="P2850" s="94">
        <f t="shared" si="356"/>
        <v>2.1158432317853171</v>
      </c>
      <c r="Q2850" s="94">
        <f t="shared" si="357"/>
        <v>2.2987739154035256</v>
      </c>
      <c r="R2850" s="94">
        <f t="shared" si="358"/>
        <v>1.6888696774081899</v>
      </c>
      <c r="S2850" s="94">
        <f t="shared" si="359"/>
        <v>1.6888696774081899</v>
      </c>
      <c r="T2850" s="94">
        <f t="shared" si="360"/>
        <v>1.6888696774081899</v>
      </c>
      <c r="U2850" s="94">
        <v>2.2987739154035256</v>
      </c>
      <c r="V2850" s="113">
        <v>1.6888696774081899</v>
      </c>
      <c r="W2850" s="49">
        <f t="shared" si="361"/>
        <v>1.577097477218653</v>
      </c>
      <c r="AE2850" s="116"/>
      <c r="AF2850" s="116"/>
      <c r="AG2850" s="116"/>
      <c r="AH2850" s="116"/>
      <c r="AI2850" s="116"/>
      <c r="AJ2850" s="116"/>
      <c r="AK2850" s="116"/>
      <c r="AL2850" s="116"/>
      <c r="AM2850" s="116"/>
      <c r="AN2850" s="116"/>
      <c r="AO2850" s="115">
        <v>7.1339563899999998</v>
      </c>
      <c r="AP2850" s="115">
        <v>204.04984424</v>
      </c>
      <c r="AU2850" s="110">
        <v>0.54828659999999996</v>
      </c>
      <c r="AV2850" s="110">
        <v>0.26168224000000001</v>
      </c>
    </row>
    <row r="2851" spans="1:48" s="108" customFormat="1" ht="15" hidden="1">
      <c r="A2851" s="107" t="s">
        <v>150</v>
      </c>
      <c r="B2851" s="108" t="s">
        <v>280</v>
      </c>
      <c r="C2851" s="19" t="s">
        <v>282</v>
      </c>
      <c r="D2851" s="108">
        <v>2004</v>
      </c>
      <c r="E2851" s="108">
        <v>9</v>
      </c>
      <c r="F2851" s="108">
        <v>27</v>
      </c>
      <c r="G2851" s="34">
        <f t="shared" si="373"/>
        <v>635.76</v>
      </c>
      <c r="H2851" s="111">
        <v>90.155440409999997</v>
      </c>
      <c r="I2851" s="111">
        <v>105.69948187</v>
      </c>
      <c r="J2851" s="109">
        <f t="shared" si="374"/>
        <v>136.78756479</v>
      </c>
      <c r="K2851" s="112">
        <v>51.724137929999998</v>
      </c>
      <c r="L2851" s="112">
        <v>60.344827590000001</v>
      </c>
      <c r="M2851" s="109">
        <f t="shared" si="375"/>
        <v>86.206896570000012</v>
      </c>
      <c r="O2851" s="94">
        <f t="shared" si="355"/>
        <v>1.9549919392531112</v>
      </c>
      <c r="P2851" s="94">
        <f t="shared" si="356"/>
        <v>2.0240728584374978</v>
      </c>
      <c r="Q2851" s="94">
        <f t="shared" si="357"/>
        <v>2.1360466179355915</v>
      </c>
      <c r="R2851" s="94">
        <f t="shared" si="358"/>
        <v>1.7136932611480393</v>
      </c>
      <c r="S2851" s="94">
        <f t="shared" si="359"/>
        <v>1.7806400508146369</v>
      </c>
      <c r="T2851" s="94">
        <f t="shared" si="360"/>
        <v>1.935542010865152</v>
      </c>
      <c r="U2851" s="94">
        <v>2.1360466179355915</v>
      </c>
      <c r="V2851" s="113">
        <v>1.935542010865152</v>
      </c>
      <c r="W2851" s="49">
        <f t="shared" si="361"/>
        <v>1.3905375670172206</v>
      </c>
      <c r="AE2851" s="116"/>
      <c r="AF2851" s="116"/>
      <c r="AG2851" s="116"/>
      <c r="AH2851" s="116"/>
      <c r="AI2851" s="116"/>
      <c r="AJ2851" s="116"/>
      <c r="AK2851" s="116"/>
      <c r="AL2851" s="116"/>
      <c r="AM2851" s="116"/>
      <c r="AN2851" s="116"/>
      <c r="AO2851" s="115">
        <v>5.4517134</v>
      </c>
      <c r="AP2851" s="115">
        <v>204.04984424</v>
      </c>
      <c r="AU2851" s="110">
        <v>0.85981308000000001</v>
      </c>
      <c r="AV2851" s="110">
        <v>0.30529594999999998</v>
      </c>
    </row>
    <row r="2852" spans="1:48" s="108" customFormat="1" ht="15" hidden="1">
      <c r="A2852" s="107" t="s">
        <v>150</v>
      </c>
      <c r="B2852" s="108" t="s">
        <v>280</v>
      </c>
      <c r="C2852" s="19" t="s">
        <v>282</v>
      </c>
      <c r="D2852" s="108">
        <v>2004</v>
      </c>
      <c r="E2852" s="108">
        <v>10</v>
      </c>
      <c r="F2852" s="108">
        <v>27</v>
      </c>
      <c r="G2852" s="34">
        <f t="shared" si="373"/>
        <v>666.23</v>
      </c>
      <c r="H2852" s="111">
        <v>59.067357510000001</v>
      </c>
      <c r="I2852" s="111">
        <v>77.720207250000001</v>
      </c>
      <c r="J2852" s="109">
        <f t="shared" si="374"/>
        <v>115.02590673</v>
      </c>
      <c r="K2852" s="112">
        <v>17.241379309999999</v>
      </c>
      <c r="L2852" s="112">
        <v>25.862068969999999</v>
      </c>
      <c r="M2852" s="109">
        <f t="shared" si="375"/>
        <v>51.724137949999999</v>
      </c>
      <c r="O2852" s="94">
        <f t="shared" si="355"/>
        <v>1.7713475423069842</v>
      </c>
      <c r="P2852" s="94">
        <f t="shared" si="356"/>
        <v>1.8905339500261928</v>
      </c>
      <c r="Q2852" s="94">
        <f t="shared" si="357"/>
        <v>2.0607956654211503</v>
      </c>
      <c r="R2852" s="94">
        <f t="shared" si="358"/>
        <v>1.2365720064283767</v>
      </c>
      <c r="S2852" s="94">
        <f t="shared" si="359"/>
        <v>1.4126632655680216</v>
      </c>
      <c r="T2852" s="94">
        <f t="shared" si="360"/>
        <v>1.7136932613159666</v>
      </c>
      <c r="U2852" s="94">
        <v>2.0607956654211503</v>
      </c>
      <c r="V2852" s="113">
        <v>1.7136932613159666</v>
      </c>
      <c r="W2852" s="49">
        <f t="shared" si="361"/>
        <v>1.6246986006636956</v>
      </c>
      <c r="AE2852" s="116"/>
      <c r="AF2852" s="116"/>
      <c r="AG2852" s="116"/>
      <c r="AH2852" s="116"/>
      <c r="AI2852" s="116"/>
      <c r="AJ2852" s="116"/>
      <c r="AK2852" s="116"/>
      <c r="AL2852" s="116"/>
      <c r="AM2852" s="116"/>
      <c r="AN2852" s="116"/>
      <c r="AO2852" s="115">
        <v>4.2367601199999996</v>
      </c>
      <c r="AP2852" s="115">
        <v>218.06853583</v>
      </c>
      <c r="AU2852" s="110">
        <v>0.90965731999999999</v>
      </c>
      <c r="AV2852" s="110">
        <v>2.09345794</v>
      </c>
    </row>
    <row r="2853" spans="1:48" s="108" customFormat="1" ht="15" hidden="1">
      <c r="A2853" s="107" t="s">
        <v>150</v>
      </c>
      <c r="B2853" s="108" t="s">
        <v>280</v>
      </c>
      <c r="C2853" s="19" t="s">
        <v>282</v>
      </c>
      <c r="D2853" s="108">
        <v>2004</v>
      </c>
      <c r="E2853" s="108">
        <v>12</v>
      </c>
      <c r="F2853" s="108">
        <v>5</v>
      </c>
      <c r="G2853" s="34">
        <f t="shared" si="373"/>
        <v>705.17</v>
      </c>
      <c r="H2853" s="111">
        <v>214.50777202</v>
      </c>
      <c r="I2853" s="111">
        <v>251.81347149999999</v>
      </c>
      <c r="J2853" s="109">
        <f t="shared" si="374"/>
        <v>326.42487045999997</v>
      </c>
      <c r="K2853" s="112">
        <v>54.597701149999999</v>
      </c>
      <c r="L2853" s="112">
        <v>60.344827590000001</v>
      </c>
      <c r="M2853" s="109">
        <f t="shared" si="375"/>
        <v>77.586206910000016</v>
      </c>
      <c r="O2853" s="94">
        <f t="shared" si="355"/>
        <v>2.3314430321116566</v>
      </c>
      <c r="P2853" s="94">
        <f t="shared" si="356"/>
        <v>2.4010789602500515</v>
      </c>
      <c r="Q2853" s="94">
        <f t="shared" si="357"/>
        <v>2.5137832404373976</v>
      </c>
      <c r="R2853" s="94">
        <f t="shared" si="358"/>
        <v>1.7371743570108196</v>
      </c>
      <c r="S2853" s="94">
        <f t="shared" si="359"/>
        <v>1.7806400508146369</v>
      </c>
      <c r="T2853" s="94">
        <f t="shared" si="360"/>
        <v>1.8897845202876842</v>
      </c>
      <c r="U2853" s="94">
        <v>2.5137832404373976</v>
      </c>
      <c r="V2853" s="113">
        <v>1.8897845202876842</v>
      </c>
      <c r="W2853" s="49">
        <f t="shared" si="361"/>
        <v>1.3210442265188627</v>
      </c>
      <c r="AE2853" s="116"/>
      <c r="AF2853" s="116"/>
      <c r="AG2853" s="116"/>
      <c r="AH2853" s="116"/>
      <c r="AI2853" s="116"/>
      <c r="AJ2853" s="116"/>
      <c r="AK2853" s="116"/>
      <c r="AL2853" s="116"/>
      <c r="AM2853" s="116"/>
      <c r="AN2853" s="116"/>
      <c r="AO2853" s="115">
        <v>6.0436137099999998</v>
      </c>
      <c r="AP2853" s="115">
        <v>115.26479750999999</v>
      </c>
      <c r="AU2853" s="110">
        <v>0.94704049999999995</v>
      </c>
      <c r="AV2853" s="110">
        <v>2.83489097</v>
      </c>
    </row>
    <row r="2854" spans="1:48">
      <c r="V2854" s="104"/>
      <c r="AE2854" s="117"/>
      <c r="AF2854" s="117"/>
      <c r="AG2854" s="117"/>
      <c r="AH2854" s="117"/>
      <c r="AI2854" s="117"/>
      <c r="AJ2854" s="117"/>
      <c r="AK2854" s="117"/>
      <c r="AL2854" s="117"/>
      <c r="AM2854" s="117"/>
      <c r="AN2854" s="117"/>
      <c r="AO2854" s="117"/>
      <c r="AP2854" s="117"/>
    </row>
    <row r="2855" spans="1:48">
      <c r="V2855" s="104"/>
      <c r="AE2855" s="117"/>
      <c r="AF2855" s="117"/>
      <c r="AG2855" s="117"/>
      <c r="AH2855" s="117"/>
      <c r="AI2855" s="117"/>
      <c r="AJ2855" s="117"/>
      <c r="AK2855" s="117"/>
      <c r="AL2855" s="117"/>
      <c r="AM2855" s="117"/>
      <c r="AN2855" s="117"/>
      <c r="AO2855" s="117"/>
      <c r="AP2855" s="117"/>
    </row>
    <row r="2856" spans="1:48">
      <c r="V2856" s="104"/>
      <c r="AE2856" s="117"/>
      <c r="AF2856" s="117"/>
      <c r="AG2856" s="117"/>
      <c r="AH2856" s="117"/>
      <c r="AI2856" s="117"/>
      <c r="AJ2856" s="117"/>
      <c r="AK2856" s="117"/>
      <c r="AL2856" s="117"/>
      <c r="AM2856" s="117"/>
      <c r="AN2856" s="117"/>
      <c r="AO2856" s="117"/>
      <c r="AP2856" s="117"/>
    </row>
    <row r="2857" spans="1:48">
      <c r="V2857" s="104"/>
      <c r="AE2857" s="117"/>
      <c r="AF2857" s="117"/>
      <c r="AG2857" s="117"/>
      <c r="AH2857" s="117"/>
      <c r="AI2857" s="117"/>
      <c r="AJ2857" s="117"/>
      <c r="AK2857" s="117"/>
      <c r="AL2857" s="117"/>
      <c r="AM2857" s="117"/>
      <c r="AN2857" s="117"/>
      <c r="AO2857" s="117"/>
      <c r="AP2857" s="117"/>
    </row>
    <row r="2858" spans="1:48">
      <c r="V2858" s="104"/>
      <c r="AE2858" s="117"/>
      <c r="AF2858" s="117"/>
      <c r="AG2858" s="117"/>
      <c r="AH2858" s="117"/>
      <c r="AI2858" s="117"/>
      <c r="AJ2858" s="117"/>
      <c r="AK2858" s="117"/>
      <c r="AL2858" s="117"/>
      <c r="AM2858" s="117"/>
      <c r="AN2858" s="117"/>
      <c r="AO2858" s="117"/>
      <c r="AP2858" s="117"/>
    </row>
    <row r="2859" spans="1:48">
      <c r="V2859" s="104"/>
      <c r="AE2859" s="117"/>
      <c r="AF2859" s="117"/>
      <c r="AG2859" s="117"/>
      <c r="AH2859" s="117"/>
      <c r="AI2859" s="117"/>
      <c r="AJ2859" s="117"/>
      <c r="AK2859" s="117"/>
      <c r="AL2859" s="117"/>
      <c r="AM2859" s="117"/>
      <c r="AN2859" s="117"/>
      <c r="AO2859" s="117"/>
      <c r="AP2859" s="117"/>
    </row>
    <row r="2860" spans="1:48">
      <c r="V2860" s="104"/>
      <c r="AE2860" s="117"/>
      <c r="AF2860" s="117"/>
      <c r="AG2860" s="117"/>
      <c r="AH2860" s="117"/>
      <c r="AI2860" s="117"/>
      <c r="AJ2860" s="117"/>
      <c r="AK2860" s="117"/>
      <c r="AL2860" s="117"/>
      <c r="AM2860" s="117"/>
      <c r="AN2860" s="117"/>
      <c r="AO2860" s="117"/>
      <c r="AP2860" s="117"/>
    </row>
    <row r="2861" spans="1:48">
      <c r="V2861" s="104"/>
      <c r="AE2861" s="117"/>
      <c r="AF2861" s="117"/>
      <c r="AG2861" s="117"/>
      <c r="AH2861" s="117"/>
      <c r="AI2861" s="117"/>
      <c r="AJ2861" s="117"/>
      <c r="AK2861" s="117"/>
      <c r="AL2861" s="117"/>
      <c r="AM2861" s="117"/>
      <c r="AN2861" s="117"/>
      <c r="AO2861" s="117"/>
      <c r="AP2861" s="117"/>
    </row>
    <row r="2862" spans="1:48">
      <c r="V2862" s="104"/>
      <c r="AE2862" s="117"/>
      <c r="AF2862" s="117"/>
      <c r="AG2862" s="117"/>
      <c r="AH2862" s="117"/>
      <c r="AI2862" s="117"/>
      <c r="AJ2862" s="117"/>
      <c r="AK2862" s="117"/>
      <c r="AL2862" s="117"/>
      <c r="AM2862" s="117"/>
      <c r="AN2862" s="117"/>
      <c r="AO2862" s="117"/>
      <c r="AP2862" s="117"/>
    </row>
    <row r="2863" spans="1:48">
      <c r="V2863" s="104"/>
      <c r="AE2863" s="117"/>
      <c r="AF2863" s="117"/>
      <c r="AG2863" s="117"/>
      <c r="AH2863" s="117"/>
      <c r="AI2863" s="117"/>
      <c r="AJ2863" s="117"/>
      <c r="AK2863" s="117"/>
      <c r="AL2863" s="117"/>
      <c r="AM2863" s="117"/>
      <c r="AN2863" s="117"/>
      <c r="AO2863" s="117"/>
      <c r="AP2863" s="117"/>
    </row>
    <row r="2864" spans="1:48">
      <c r="V2864" s="104"/>
      <c r="AE2864" s="117"/>
      <c r="AF2864" s="117"/>
      <c r="AG2864" s="117"/>
      <c r="AH2864" s="117"/>
      <c r="AI2864" s="117"/>
      <c r="AJ2864" s="117"/>
      <c r="AK2864" s="117"/>
      <c r="AL2864" s="117"/>
      <c r="AM2864" s="117"/>
      <c r="AN2864" s="117"/>
      <c r="AO2864" s="117"/>
      <c r="AP2864" s="117"/>
    </row>
    <row r="2865" spans="22:42">
      <c r="V2865" s="104"/>
      <c r="AE2865" s="117"/>
      <c r="AF2865" s="117"/>
      <c r="AG2865" s="117"/>
      <c r="AH2865" s="117"/>
      <c r="AI2865" s="117"/>
      <c r="AJ2865" s="117"/>
      <c r="AK2865" s="117"/>
      <c r="AL2865" s="117"/>
      <c r="AM2865" s="117"/>
      <c r="AN2865" s="117"/>
      <c r="AO2865" s="117"/>
      <c r="AP2865" s="117"/>
    </row>
    <row r="2866" spans="22:42">
      <c r="V2866" s="104"/>
      <c r="AE2866" s="117"/>
      <c r="AF2866" s="117"/>
      <c r="AG2866" s="117"/>
      <c r="AH2866" s="117"/>
      <c r="AI2866" s="117"/>
      <c r="AJ2866" s="117"/>
      <c r="AK2866" s="117"/>
      <c r="AL2866" s="117"/>
      <c r="AM2866" s="117"/>
      <c r="AN2866" s="117"/>
      <c r="AO2866" s="117"/>
      <c r="AP2866" s="117"/>
    </row>
    <row r="2867" spans="22:42">
      <c r="V2867" s="104"/>
      <c r="AE2867" s="117"/>
      <c r="AF2867" s="117"/>
      <c r="AG2867" s="117"/>
      <c r="AH2867" s="117"/>
      <c r="AI2867" s="117"/>
      <c r="AJ2867" s="117"/>
      <c r="AK2867" s="117"/>
      <c r="AL2867" s="117"/>
      <c r="AM2867" s="117"/>
      <c r="AN2867" s="117"/>
      <c r="AO2867" s="117"/>
      <c r="AP2867" s="117"/>
    </row>
    <row r="2868" spans="22:42">
      <c r="V2868" s="104"/>
      <c r="AE2868" s="117"/>
      <c r="AF2868" s="117"/>
      <c r="AG2868" s="117"/>
      <c r="AH2868" s="117"/>
      <c r="AI2868" s="117"/>
      <c r="AJ2868" s="117"/>
      <c r="AK2868" s="117"/>
      <c r="AL2868" s="117"/>
      <c r="AM2868" s="117"/>
      <c r="AN2868" s="117"/>
      <c r="AO2868" s="117"/>
      <c r="AP2868" s="117"/>
    </row>
    <row r="2869" spans="22:42">
      <c r="V2869" s="104"/>
      <c r="AE2869" s="117"/>
      <c r="AF2869" s="117"/>
      <c r="AG2869" s="117"/>
      <c r="AH2869" s="117"/>
      <c r="AI2869" s="117"/>
      <c r="AJ2869" s="117"/>
      <c r="AK2869" s="117"/>
      <c r="AL2869" s="117"/>
      <c r="AM2869" s="117"/>
      <c r="AN2869" s="117"/>
      <c r="AO2869" s="117"/>
      <c r="AP2869" s="117"/>
    </row>
    <row r="2870" spans="22:42">
      <c r="V2870" s="104"/>
      <c r="AE2870" s="117"/>
      <c r="AF2870" s="117"/>
      <c r="AG2870" s="117"/>
      <c r="AH2870" s="117"/>
      <c r="AI2870" s="117"/>
      <c r="AJ2870" s="117"/>
      <c r="AK2870" s="117"/>
      <c r="AL2870" s="117"/>
      <c r="AM2870" s="117"/>
      <c r="AN2870" s="117"/>
      <c r="AO2870" s="117"/>
      <c r="AP2870" s="117"/>
    </row>
    <row r="2871" spans="22:42">
      <c r="V2871" s="104"/>
      <c r="AE2871" s="117"/>
      <c r="AF2871" s="117"/>
      <c r="AG2871" s="117"/>
      <c r="AH2871" s="117"/>
      <c r="AI2871" s="117"/>
      <c r="AJ2871" s="117"/>
      <c r="AK2871" s="117"/>
      <c r="AL2871" s="117"/>
      <c r="AM2871" s="117"/>
      <c r="AN2871" s="117"/>
      <c r="AO2871" s="117"/>
      <c r="AP2871" s="117"/>
    </row>
    <row r="2872" spans="22:42">
      <c r="V2872" s="104"/>
      <c r="AE2872" s="117"/>
      <c r="AF2872" s="117"/>
      <c r="AG2872" s="117"/>
      <c r="AH2872" s="117"/>
      <c r="AI2872" s="117"/>
      <c r="AJ2872" s="117"/>
      <c r="AK2872" s="117"/>
      <c r="AL2872" s="117"/>
      <c r="AM2872" s="117"/>
      <c r="AN2872" s="117"/>
      <c r="AO2872" s="117"/>
      <c r="AP2872" s="117"/>
    </row>
    <row r="2873" spans="22:42">
      <c r="V2873" s="104"/>
      <c r="AE2873" s="117"/>
      <c r="AF2873" s="117"/>
      <c r="AG2873" s="117"/>
      <c r="AH2873" s="117"/>
      <c r="AI2873" s="117"/>
      <c r="AJ2873" s="117"/>
      <c r="AK2873" s="117"/>
      <c r="AL2873" s="117"/>
      <c r="AM2873" s="117"/>
      <c r="AN2873" s="117"/>
      <c r="AO2873" s="117"/>
      <c r="AP2873" s="117"/>
    </row>
    <row r="2874" spans="22:42">
      <c r="V2874" s="104"/>
      <c r="AE2874" s="117"/>
      <c r="AF2874" s="117"/>
      <c r="AG2874" s="117"/>
      <c r="AH2874" s="117"/>
      <c r="AI2874" s="117"/>
      <c r="AJ2874" s="117"/>
      <c r="AK2874" s="117"/>
      <c r="AL2874" s="117"/>
      <c r="AM2874" s="117"/>
      <c r="AN2874" s="117"/>
      <c r="AO2874" s="117"/>
      <c r="AP2874" s="117"/>
    </row>
    <row r="2875" spans="22:42">
      <c r="V2875" s="104"/>
      <c r="AE2875" s="117"/>
      <c r="AF2875" s="117"/>
      <c r="AG2875" s="117"/>
      <c r="AH2875" s="117"/>
      <c r="AI2875" s="117"/>
      <c r="AJ2875" s="117"/>
      <c r="AK2875" s="117"/>
      <c r="AL2875" s="117"/>
      <c r="AM2875" s="117"/>
      <c r="AN2875" s="117"/>
      <c r="AO2875" s="117"/>
      <c r="AP2875" s="117"/>
    </row>
    <row r="2876" spans="22:42">
      <c r="V2876" s="104"/>
      <c r="AE2876" s="117"/>
      <c r="AF2876" s="117"/>
      <c r="AG2876" s="117"/>
      <c r="AH2876" s="117"/>
      <c r="AI2876" s="117"/>
      <c r="AJ2876" s="117"/>
      <c r="AK2876" s="117"/>
      <c r="AL2876" s="117"/>
      <c r="AM2876" s="117"/>
      <c r="AN2876" s="117"/>
      <c r="AO2876" s="117"/>
      <c r="AP2876" s="117"/>
    </row>
    <row r="2877" spans="22:42">
      <c r="V2877" s="104"/>
      <c r="AE2877" s="117"/>
      <c r="AF2877" s="117"/>
      <c r="AG2877" s="117"/>
      <c r="AH2877" s="117"/>
      <c r="AI2877" s="117"/>
      <c r="AJ2877" s="117"/>
      <c r="AK2877" s="117"/>
      <c r="AL2877" s="117"/>
      <c r="AM2877" s="117"/>
      <c r="AN2877" s="117"/>
      <c r="AO2877" s="117"/>
      <c r="AP2877" s="117"/>
    </row>
    <row r="2878" spans="22:42">
      <c r="V2878" s="104"/>
      <c r="AE2878" s="117"/>
      <c r="AF2878" s="117"/>
      <c r="AG2878" s="117"/>
      <c r="AH2878" s="117"/>
      <c r="AI2878" s="117"/>
      <c r="AJ2878" s="117"/>
      <c r="AK2878" s="117"/>
      <c r="AL2878" s="117"/>
      <c r="AM2878" s="117"/>
      <c r="AN2878" s="117"/>
      <c r="AO2878" s="117"/>
      <c r="AP2878" s="117"/>
    </row>
    <row r="2879" spans="22:42">
      <c r="V2879" s="104"/>
      <c r="AE2879" s="117"/>
      <c r="AF2879" s="117"/>
      <c r="AG2879" s="117"/>
      <c r="AH2879" s="117"/>
      <c r="AI2879" s="117"/>
      <c r="AJ2879" s="117"/>
      <c r="AK2879" s="117"/>
      <c r="AL2879" s="117"/>
      <c r="AM2879" s="117"/>
      <c r="AN2879" s="117"/>
      <c r="AO2879" s="117"/>
      <c r="AP2879" s="117"/>
    </row>
    <row r="2880" spans="22:42">
      <c r="V2880" s="104"/>
      <c r="AE2880" s="117"/>
      <c r="AF2880" s="117"/>
      <c r="AG2880" s="117"/>
      <c r="AH2880" s="117"/>
      <c r="AI2880" s="117"/>
      <c r="AJ2880" s="117"/>
      <c r="AK2880" s="117"/>
      <c r="AL2880" s="117"/>
      <c r="AM2880" s="117"/>
      <c r="AN2880" s="117"/>
      <c r="AO2880" s="117"/>
      <c r="AP2880" s="117"/>
    </row>
    <row r="2881" spans="22:42">
      <c r="V2881" s="104"/>
      <c r="AE2881" s="117"/>
      <c r="AF2881" s="117"/>
      <c r="AG2881" s="117"/>
      <c r="AH2881" s="117"/>
      <c r="AI2881" s="117"/>
      <c r="AJ2881" s="117"/>
      <c r="AK2881" s="117"/>
      <c r="AL2881" s="117"/>
      <c r="AM2881" s="117"/>
      <c r="AN2881" s="117"/>
      <c r="AO2881" s="117"/>
      <c r="AP2881" s="117"/>
    </row>
    <row r="2882" spans="22:42">
      <c r="V2882" s="104"/>
      <c r="AE2882" s="117"/>
      <c r="AF2882" s="117"/>
      <c r="AG2882" s="117"/>
      <c r="AH2882" s="117"/>
      <c r="AI2882" s="117"/>
      <c r="AJ2882" s="117"/>
      <c r="AK2882" s="117"/>
      <c r="AL2882" s="117"/>
      <c r="AM2882" s="117"/>
      <c r="AN2882" s="117"/>
      <c r="AO2882" s="117"/>
      <c r="AP2882" s="117"/>
    </row>
    <row r="2883" spans="22:42">
      <c r="V2883" s="104"/>
      <c r="AE2883" s="117"/>
      <c r="AF2883" s="117"/>
      <c r="AG2883" s="117"/>
      <c r="AH2883" s="117"/>
      <c r="AI2883" s="117"/>
      <c r="AJ2883" s="117"/>
      <c r="AK2883" s="117"/>
      <c r="AL2883" s="117"/>
      <c r="AM2883" s="117"/>
      <c r="AN2883" s="117"/>
      <c r="AO2883" s="117"/>
      <c r="AP2883" s="117"/>
    </row>
    <row r="2884" spans="22:42">
      <c r="V2884" s="104"/>
      <c r="AE2884" s="117"/>
      <c r="AF2884" s="117"/>
      <c r="AG2884" s="117"/>
      <c r="AH2884" s="117"/>
      <c r="AI2884" s="117"/>
      <c r="AJ2884" s="117"/>
      <c r="AK2884" s="117"/>
      <c r="AL2884" s="117"/>
      <c r="AM2884" s="117"/>
      <c r="AN2884" s="117"/>
      <c r="AO2884" s="117"/>
      <c r="AP2884" s="117"/>
    </row>
    <row r="2885" spans="22:42">
      <c r="V2885" s="104"/>
      <c r="AE2885" s="117"/>
      <c r="AF2885" s="117"/>
      <c r="AG2885" s="117"/>
      <c r="AH2885" s="117"/>
      <c r="AI2885" s="117"/>
      <c r="AJ2885" s="117"/>
      <c r="AK2885" s="117"/>
      <c r="AL2885" s="117"/>
      <c r="AM2885" s="117"/>
      <c r="AN2885" s="117"/>
      <c r="AO2885" s="117"/>
      <c r="AP2885" s="117"/>
    </row>
    <row r="2886" spans="22:42">
      <c r="V2886" s="104"/>
      <c r="AE2886" s="117"/>
      <c r="AF2886" s="117"/>
      <c r="AG2886" s="117"/>
      <c r="AH2886" s="117"/>
      <c r="AI2886" s="117"/>
      <c r="AJ2886" s="117"/>
      <c r="AK2886" s="117"/>
      <c r="AL2886" s="117"/>
      <c r="AM2886" s="117"/>
      <c r="AN2886" s="117"/>
      <c r="AO2886" s="117"/>
      <c r="AP2886" s="117"/>
    </row>
    <row r="2887" spans="22:42">
      <c r="V2887" s="104"/>
      <c r="AE2887" s="117"/>
      <c r="AF2887" s="117"/>
      <c r="AG2887" s="117"/>
      <c r="AH2887" s="117"/>
      <c r="AI2887" s="117"/>
      <c r="AJ2887" s="117"/>
      <c r="AK2887" s="117"/>
      <c r="AL2887" s="117"/>
      <c r="AM2887" s="117"/>
      <c r="AN2887" s="117"/>
      <c r="AO2887" s="117"/>
      <c r="AP2887" s="117"/>
    </row>
    <row r="2888" spans="22:42">
      <c r="V2888" s="104"/>
      <c r="AE2888" s="117"/>
      <c r="AF2888" s="117"/>
      <c r="AG2888" s="117"/>
      <c r="AH2888" s="117"/>
      <c r="AI2888" s="117"/>
      <c r="AJ2888" s="117"/>
      <c r="AK2888" s="117"/>
      <c r="AL2888" s="117"/>
      <c r="AM2888" s="117"/>
      <c r="AN2888" s="117"/>
      <c r="AO2888" s="117"/>
      <c r="AP2888" s="117"/>
    </row>
    <row r="2889" spans="22:42">
      <c r="V2889" s="104"/>
      <c r="AE2889" s="117"/>
      <c r="AF2889" s="117"/>
      <c r="AG2889" s="117"/>
      <c r="AH2889" s="117"/>
      <c r="AI2889" s="117"/>
      <c r="AJ2889" s="117"/>
      <c r="AK2889" s="117"/>
      <c r="AL2889" s="117"/>
      <c r="AM2889" s="117"/>
      <c r="AN2889" s="117"/>
      <c r="AO2889" s="117"/>
      <c r="AP2889" s="117"/>
    </row>
    <row r="2890" spans="22:42">
      <c r="V2890" s="104"/>
      <c r="AE2890" s="117"/>
      <c r="AF2890" s="117"/>
      <c r="AG2890" s="117"/>
      <c r="AH2890" s="117"/>
      <c r="AI2890" s="117"/>
      <c r="AJ2890" s="117"/>
      <c r="AK2890" s="117"/>
      <c r="AL2890" s="117"/>
      <c r="AM2890" s="117"/>
      <c r="AN2890" s="117"/>
      <c r="AO2890" s="117"/>
      <c r="AP2890" s="117"/>
    </row>
    <row r="2891" spans="22:42">
      <c r="V2891" s="104"/>
      <c r="AE2891" s="117"/>
      <c r="AF2891" s="117"/>
      <c r="AG2891" s="117"/>
      <c r="AH2891" s="117"/>
      <c r="AI2891" s="117"/>
      <c r="AJ2891" s="117"/>
      <c r="AK2891" s="117"/>
      <c r="AL2891" s="117"/>
      <c r="AM2891" s="117"/>
      <c r="AN2891" s="117"/>
      <c r="AO2891" s="117"/>
      <c r="AP2891" s="117"/>
    </row>
    <row r="2892" spans="22:42">
      <c r="V2892" s="104"/>
      <c r="AE2892" s="117"/>
      <c r="AF2892" s="117"/>
      <c r="AG2892" s="117"/>
      <c r="AH2892" s="117"/>
      <c r="AI2892" s="117"/>
      <c r="AJ2892" s="117"/>
      <c r="AK2892" s="117"/>
      <c r="AL2892" s="117"/>
      <c r="AM2892" s="117"/>
      <c r="AN2892" s="117"/>
      <c r="AO2892" s="117"/>
      <c r="AP2892" s="117"/>
    </row>
    <row r="2893" spans="22:42">
      <c r="V2893" s="104"/>
      <c r="AE2893" s="117"/>
      <c r="AF2893" s="117"/>
      <c r="AG2893" s="117"/>
      <c r="AH2893" s="117"/>
      <c r="AI2893" s="117"/>
      <c r="AJ2893" s="117"/>
      <c r="AK2893" s="117"/>
      <c r="AL2893" s="117"/>
      <c r="AM2893" s="117"/>
      <c r="AN2893" s="117"/>
      <c r="AO2893" s="117"/>
      <c r="AP2893" s="117"/>
    </row>
    <row r="2894" spans="22:42">
      <c r="V2894" s="104"/>
      <c r="AE2894" s="117"/>
      <c r="AF2894" s="117"/>
      <c r="AG2894" s="117"/>
      <c r="AH2894" s="117"/>
      <c r="AI2894" s="117"/>
      <c r="AJ2894" s="117"/>
      <c r="AK2894" s="117"/>
      <c r="AL2894" s="117"/>
      <c r="AM2894" s="117"/>
      <c r="AN2894" s="117"/>
      <c r="AO2894" s="117"/>
      <c r="AP2894" s="117"/>
    </row>
    <row r="2895" spans="22:42">
      <c r="V2895" s="104"/>
      <c r="AE2895" s="117"/>
      <c r="AF2895" s="117"/>
      <c r="AG2895" s="117"/>
      <c r="AH2895" s="117"/>
      <c r="AI2895" s="117"/>
      <c r="AJ2895" s="117"/>
      <c r="AK2895" s="117"/>
      <c r="AL2895" s="117"/>
      <c r="AM2895" s="117"/>
      <c r="AN2895" s="117"/>
      <c r="AO2895" s="117"/>
      <c r="AP2895" s="117"/>
    </row>
    <row r="2896" spans="22:42">
      <c r="V2896" s="104"/>
      <c r="AE2896" s="117"/>
      <c r="AF2896" s="117"/>
      <c r="AG2896" s="117"/>
      <c r="AH2896" s="117"/>
      <c r="AI2896" s="117"/>
      <c r="AJ2896" s="117"/>
      <c r="AK2896" s="117"/>
      <c r="AL2896" s="117"/>
      <c r="AM2896" s="117"/>
      <c r="AN2896" s="117"/>
      <c r="AO2896" s="117"/>
      <c r="AP2896" s="117"/>
    </row>
    <row r="2897" spans="22:42">
      <c r="V2897" s="104"/>
      <c r="AE2897" s="117"/>
      <c r="AF2897" s="117"/>
      <c r="AG2897" s="117"/>
      <c r="AH2897" s="117"/>
      <c r="AI2897" s="117"/>
      <c r="AJ2897" s="117"/>
      <c r="AK2897" s="117"/>
      <c r="AL2897" s="117"/>
      <c r="AM2897" s="117"/>
      <c r="AN2897" s="117"/>
      <c r="AO2897" s="117"/>
      <c r="AP2897" s="117"/>
    </row>
    <row r="2898" spans="22:42">
      <c r="V2898" s="104"/>
      <c r="AE2898" s="117"/>
      <c r="AF2898" s="117"/>
      <c r="AG2898" s="117"/>
      <c r="AH2898" s="117"/>
      <c r="AI2898" s="117"/>
      <c r="AJ2898" s="117"/>
      <c r="AK2898" s="117"/>
      <c r="AL2898" s="117"/>
      <c r="AM2898" s="117"/>
      <c r="AN2898" s="117"/>
      <c r="AO2898" s="117"/>
      <c r="AP2898" s="117"/>
    </row>
    <row r="2899" spans="22:42">
      <c r="V2899" s="104"/>
      <c r="AE2899" s="117"/>
      <c r="AF2899" s="117"/>
      <c r="AG2899" s="117"/>
      <c r="AH2899" s="117"/>
      <c r="AI2899" s="117"/>
      <c r="AJ2899" s="117"/>
      <c r="AK2899" s="117"/>
      <c r="AL2899" s="117"/>
      <c r="AM2899" s="117"/>
      <c r="AN2899" s="117"/>
      <c r="AO2899" s="117"/>
      <c r="AP2899" s="117"/>
    </row>
    <row r="2900" spans="22:42">
      <c r="V2900" s="104"/>
      <c r="AE2900" s="117"/>
      <c r="AF2900" s="117"/>
      <c r="AG2900" s="117"/>
      <c r="AH2900" s="117"/>
      <c r="AI2900" s="117"/>
      <c r="AJ2900" s="117"/>
      <c r="AK2900" s="117"/>
      <c r="AL2900" s="117"/>
      <c r="AM2900" s="117"/>
      <c r="AN2900" s="117"/>
      <c r="AO2900" s="117"/>
      <c r="AP2900" s="117"/>
    </row>
    <row r="2901" spans="22:42">
      <c r="V2901" s="104"/>
      <c r="AE2901" s="117"/>
      <c r="AF2901" s="117"/>
      <c r="AG2901" s="117"/>
      <c r="AH2901" s="117"/>
      <c r="AI2901" s="117"/>
      <c r="AJ2901" s="117"/>
      <c r="AK2901" s="117"/>
      <c r="AL2901" s="117"/>
      <c r="AM2901" s="117"/>
      <c r="AN2901" s="117"/>
      <c r="AO2901" s="117"/>
      <c r="AP2901" s="117"/>
    </row>
    <row r="2902" spans="22:42">
      <c r="V2902" s="104"/>
      <c r="AE2902" s="117"/>
      <c r="AF2902" s="117"/>
      <c r="AG2902" s="117"/>
      <c r="AH2902" s="117"/>
      <c r="AI2902" s="117"/>
      <c r="AJ2902" s="117"/>
      <c r="AK2902" s="117"/>
      <c r="AL2902" s="117"/>
      <c r="AM2902" s="117"/>
      <c r="AN2902" s="117"/>
      <c r="AO2902" s="117"/>
      <c r="AP2902" s="117"/>
    </row>
    <row r="2903" spans="22:42">
      <c r="V2903" s="104"/>
      <c r="AE2903" s="117"/>
      <c r="AF2903" s="117"/>
      <c r="AG2903" s="117"/>
      <c r="AH2903" s="117"/>
      <c r="AI2903" s="117"/>
      <c r="AJ2903" s="117"/>
      <c r="AK2903" s="117"/>
      <c r="AL2903" s="117"/>
      <c r="AM2903" s="117"/>
      <c r="AN2903" s="117"/>
      <c r="AO2903" s="117"/>
      <c r="AP2903" s="117"/>
    </row>
    <row r="2904" spans="22:42">
      <c r="V2904" s="104"/>
      <c r="AE2904" s="117"/>
      <c r="AF2904" s="117"/>
      <c r="AG2904" s="117"/>
      <c r="AH2904" s="117"/>
      <c r="AI2904" s="117"/>
      <c r="AJ2904" s="117"/>
      <c r="AK2904" s="117"/>
      <c r="AL2904" s="117"/>
      <c r="AM2904" s="117"/>
      <c r="AN2904" s="117"/>
      <c r="AO2904" s="117"/>
      <c r="AP2904" s="117"/>
    </row>
    <row r="2905" spans="22:42">
      <c r="V2905" s="104"/>
      <c r="AE2905" s="117"/>
      <c r="AF2905" s="117"/>
      <c r="AG2905" s="117"/>
      <c r="AH2905" s="117"/>
      <c r="AI2905" s="117"/>
      <c r="AJ2905" s="117"/>
      <c r="AK2905" s="117"/>
      <c r="AL2905" s="117"/>
      <c r="AM2905" s="117"/>
      <c r="AN2905" s="117"/>
      <c r="AO2905" s="117"/>
      <c r="AP2905" s="117"/>
    </row>
    <row r="2906" spans="22:42">
      <c r="V2906" s="104"/>
      <c r="AE2906" s="117"/>
      <c r="AF2906" s="117"/>
      <c r="AG2906" s="117"/>
      <c r="AH2906" s="117"/>
      <c r="AI2906" s="117"/>
      <c r="AJ2906" s="117"/>
      <c r="AK2906" s="117"/>
      <c r="AL2906" s="117"/>
      <c r="AM2906" s="117"/>
      <c r="AN2906" s="117"/>
      <c r="AO2906" s="117"/>
      <c r="AP2906" s="117"/>
    </row>
    <row r="2907" spans="22:42">
      <c r="V2907" s="104"/>
      <c r="AE2907" s="117"/>
      <c r="AF2907" s="117"/>
      <c r="AG2907" s="117"/>
      <c r="AH2907" s="117"/>
      <c r="AI2907" s="117"/>
      <c r="AJ2907" s="117"/>
      <c r="AK2907" s="117"/>
      <c r="AL2907" s="117"/>
      <c r="AM2907" s="117"/>
      <c r="AN2907" s="117"/>
      <c r="AO2907" s="117"/>
      <c r="AP2907" s="117"/>
    </row>
    <row r="2908" spans="22:42">
      <c r="V2908" s="104"/>
      <c r="AE2908" s="117"/>
      <c r="AF2908" s="117"/>
      <c r="AG2908" s="117"/>
      <c r="AH2908" s="117"/>
      <c r="AI2908" s="117"/>
      <c r="AJ2908" s="117"/>
      <c r="AK2908" s="117"/>
      <c r="AL2908" s="117"/>
      <c r="AM2908" s="117"/>
      <c r="AN2908" s="117"/>
      <c r="AO2908" s="117"/>
      <c r="AP2908" s="117"/>
    </row>
    <row r="2909" spans="22:42">
      <c r="V2909" s="104"/>
      <c r="AE2909" s="117"/>
      <c r="AF2909" s="117"/>
      <c r="AG2909" s="117"/>
      <c r="AH2909" s="117"/>
      <c r="AI2909" s="117"/>
      <c r="AJ2909" s="117"/>
      <c r="AK2909" s="117"/>
      <c r="AL2909" s="117"/>
      <c r="AM2909" s="117"/>
      <c r="AN2909" s="117"/>
      <c r="AO2909" s="117"/>
      <c r="AP2909" s="117"/>
    </row>
    <row r="2910" spans="22:42">
      <c r="V2910" s="104"/>
      <c r="AE2910" s="117"/>
      <c r="AF2910" s="117"/>
      <c r="AG2910" s="117"/>
      <c r="AH2910" s="117"/>
      <c r="AI2910" s="117"/>
      <c r="AJ2910" s="117"/>
      <c r="AK2910" s="117"/>
      <c r="AL2910" s="117"/>
      <c r="AM2910" s="117"/>
      <c r="AN2910" s="117"/>
      <c r="AO2910" s="117"/>
      <c r="AP2910" s="117"/>
    </row>
    <row r="2911" spans="22:42">
      <c r="V2911" s="104"/>
    </row>
    <row r="2912" spans="22:42">
      <c r="V2912" s="104"/>
    </row>
    <row r="2913" spans="22:22">
      <c r="V2913" s="104"/>
    </row>
    <row r="2914" spans="22:22">
      <c r="V2914" s="104"/>
    </row>
    <row r="2915" spans="22:22">
      <c r="V2915" s="104"/>
    </row>
    <row r="2916" spans="22:22">
      <c r="V2916" s="104"/>
    </row>
    <row r="2917" spans="22:22">
      <c r="V2917" s="104"/>
    </row>
    <row r="2918" spans="22:22">
      <c r="V2918" s="104"/>
    </row>
    <row r="2919" spans="22:22">
      <c r="V2919" s="104"/>
    </row>
    <row r="2920" spans="22:22">
      <c r="V2920" s="104"/>
    </row>
    <row r="2921" spans="22:22">
      <c r="V2921" s="104"/>
    </row>
    <row r="2922" spans="22:22">
      <c r="V2922" s="104"/>
    </row>
    <row r="2923" spans="22:22">
      <c r="V2923" s="104"/>
    </row>
    <row r="2924" spans="22:22">
      <c r="V2924" s="104"/>
    </row>
    <row r="2925" spans="22:22">
      <c r="V2925" s="104"/>
    </row>
    <row r="2926" spans="22:22">
      <c r="V2926" s="104"/>
    </row>
    <row r="2927" spans="22:22">
      <c r="V2927" s="104"/>
    </row>
    <row r="2928" spans="22:22">
      <c r="V2928" s="104"/>
    </row>
    <row r="2929" spans="22:22">
      <c r="V2929" s="104"/>
    </row>
    <row r="2930" spans="22:22">
      <c r="V2930" s="104"/>
    </row>
    <row r="2931" spans="22:22">
      <c r="V2931" s="104"/>
    </row>
    <row r="2932" spans="22:22">
      <c r="V2932" s="104"/>
    </row>
    <row r="2933" spans="22:22">
      <c r="V2933" s="104"/>
    </row>
    <row r="2934" spans="22:22">
      <c r="V2934" s="104"/>
    </row>
    <row r="2935" spans="22:22">
      <c r="V2935" s="104"/>
    </row>
    <row r="2936" spans="22:22">
      <c r="V2936" s="104"/>
    </row>
    <row r="2937" spans="22:22">
      <c r="V2937" s="104"/>
    </row>
    <row r="2938" spans="22:22">
      <c r="V2938" s="104"/>
    </row>
    <row r="2939" spans="22:22">
      <c r="V2939" s="104"/>
    </row>
    <row r="2940" spans="22:22">
      <c r="V2940" s="104"/>
    </row>
    <row r="2941" spans="22:22">
      <c r="V2941" s="104"/>
    </row>
  </sheetData>
  <autoFilter ref="A1:CJ2853">
    <filterColumn colId="0">
      <filters>
        <filter val="Halodule wrightii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4"/>
  <sheetViews>
    <sheetView workbookViewId="0">
      <selection activeCell="D32" sqref="D32"/>
    </sheetView>
  </sheetViews>
  <sheetFormatPr defaultRowHeight="12.75"/>
  <cols>
    <col min="2" max="2" width="16.42578125" bestFit="1" customWidth="1"/>
    <col min="3" max="3" width="21.140625" bestFit="1" customWidth="1"/>
    <col min="4" max="4" width="18.28515625" style="17" customWidth="1"/>
    <col min="5" max="5" width="16.85546875" customWidth="1"/>
    <col min="6" max="6" width="21.42578125" customWidth="1"/>
    <col min="7" max="7" width="21.42578125" bestFit="1" customWidth="1"/>
    <col min="8" max="8" width="16.7109375" bestFit="1" customWidth="1"/>
    <col min="9" max="9" width="11.140625" bestFit="1" customWidth="1"/>
  </cols>
  <sheetData>
    <row r="1" spans="1:9">
      <c r="A1" t="s">
        <v>0</v>
      </c>
      <c r="B1" t="s">
        <v>235</v>
      </c>
      <c r="C1" t="s">
        <v>236</v>
      </c>
      <c r="D1" s="17" t="s">
        <v>237</v>
      </c>
      <c r="E1" t="s">
        <v>238</v>
      </c>
      <c r="F1" t="s">
        <v>220</v>
      </c>
      <c r="G1" t="s">
        <v>221</v>
      </c>
      <c r="H1" t="s">
        <v>222</v>
      </c>
      <c r="I1" t="s">
        <v>223</v>
      </c>
    </row>
    <row r="2" spans="1:9">
      <c r="A2" t="s">
        <v>239</v>
      </c>
      <c r="B2" t="s">
        <v>240</v>
      </c>
      <c r="C2" t="s">
        <v>232</v>
      </c>
      <c r="E2">
        <v>-0.36813903999999997</v>
      </c>
      <c r="F2">
        <v>181.60711291000001</v>
      </c>
      <c r="G2">
        <v>286.36966510000002</v>
      </c>
    </row>
    <row r="3" spans="1:9">
      <c r="A3" t="s">
        <v>239</v>
      </c>
      <c r="B3" t="s">
        <v>240</v>
      </c>
      <c r="C3" t="s">
        <v>232</v>
      </c>
      <c r="E3">
        <v>-0.24813621999999999</v>
      </c>
      <c r="F3">
        <v>156.97228955</v>
      </c>
      <c r="G3">
        <v>246.84274450999999</v>
      </c>
    </row>
    <row r="4" spans="1:9">
      <c r="A4" t="s">
        <v>239</v>
      </c>
      <c r="B4" t="s">
        <v>240</v>
      </c>
      <c r="C4" t="s">
        <v>232</v>
      </c>
      <c r="E4">
        <v>-0.12561794000000001</v>
      </c>
      <c r="F4">
        <v>161.09614409</v>
      </c>
      <c r="G4">
        <v>254.04784072000001</v>
      </c>
    </row>
    <row r="5" spans="1:9">
      <c r="A5" t="s">
        <v>239</v>
      </c>
      <c r="B5" t="s">
        <v>240</v>
      </c>
      <c r="C5" t="s">
        <v>232</v>
      </c>
      <c r="E5">
        <v>1.5118099999999999E-3</v>
      </c>
      <c r="F5">
        <v>116.43410034</v>
      </c>
      <c r="G5">
        <v>180.11330047000001</v>
      </c>
    </row>
    <row r="6" spans="1:9">
      <c r="A6" t="s">
        <v>239</v>
      </c>
      <c r="B6" t="s">
        <v>240</v>
      </c>
      <c r="C6" t="s">
        <v>232</v>
      </c>
      <c r="E6">
        <v>0.12878149999999999</v>
      </c>
      <c r="F6">
        <v>107.20645919</v>
      </c>
      <c r="G6">
        <v>168.83118902000001</v>
      </c>
    </row>
    <row r="7" spans="1:9">
      <c r="A7" t="s">
        <v>239</v>
      </c>
      <c r="B7" t="s">
        <v>240</v>
      </c>
      <c r="C7" t="s">
        <v>232</v>
      </c>
      <c r="E7">
        <v>0.25115991999999998</v>
      </c>
      <c r="F7">
        <v>75.895895690000003</v>
      </c>
      <c r="G7">
        <v>118.52019194</v>
      </c>
    </row>
    <row r="8" spans="1:9">
      <c r="A8" t="s">
        <v>239</v>
      </c>
      <c r="B8" t="s">
        <v>240</v>
      </c>
      <c r="C8" t="s">
        <v>232</v>
      </c>
      <c r="E8">
        <v>0.37364177999999998</v>
      </c>
      <c r="F8">
        <v>70.77600984</v>
      </c>
      <c r="G8">
        <v>110.31903352</v>
      </c>
    </row>
    <row r="9" spans="1:9">
      <c r="A9" t="s">
        <v>239</v>
      </c>
      <c r="B9" t="s">
        <v>240</v>
      </c>
      <c r="C9" t="s">
        <v>232</v>
      </c>
      <c r="E9">
        <v>0.50114038000000005</v>
      </c>
      <c r="F9">
        <v>119.57860002</v>
      </c>
      <c r="G9">
        <v>240.26095611</v>
      </c>
    </row>
    <row r="10" spans="1:9">
      <c r="A10" t="s">
        <v>241</v>
      </c>
      <c r="B10" t="s">
        <v>240</v>
      </c>
      <c r="C10" t="s">
        <v>232</v>
      </c>
      <c r="E10">
        <v>1.70341E-3</v>
      </c>
      <c r="F10">
        <v>58.645204249999999</v>
      </c>
      <c r="G10">
        <v>70.590003580000001</v>
      </c>
    </row>
    <row r="11" spans="1:9">
      <c r="A11" t="s">
        <v>241</v>
      </c>
      <c r="B11" t="s">
        <v>240</v>
      </c>
      <c r="C11" t="s">
        <v>232</v>
      </c>
      <c r="E11">
        <v>0.12097687999999999</v>
      </c>
      <c r="F11">
        <v>38.028905049999999</v>
      </c>
      <c r="G11">
        <v>40.743564739999997</v>
      </c>
    </row>
    <row r="12" spans="1:9">
      <c r="A12" t="s">
        <v>241</v>
      </c>
      <c r="B12" t="s">
        <v>240</v>
      </c>
      <c r="C12" t="s">
        <v>232</v>
      </c>
      <c r="E12">
        <v>0.24795237000000001</v>
      </c>
      <c r="F12">
        <v>38.58792811</v>
      </c>
      <c r="G12">
        <v>57.591157879999997</v>
      </c>
    </row>
    <row r="13" spans="1:9">
      <c r="A13" t="s">
        <v>241</v>
      </c>
      <c r="B13" t="s">
        <v>240</v>
      </c>
      <c r="C13" t="s">
        <v>232</v>
      </c>
      <c r="E13">
        <v>0.38004740999999997</v>
      </c>
      <c r="F13">
        <v>49.463251399999997</v>
      </c>
      <c r="G13">
        <v>59.778327650000001</v>
      </c>
    </row>
    <row r="14" spans="1:9">
      <c r="A14" t="s">
        <v>241</v>
      </c>
      <c r="B14" t="s">
        <v>240</v>
      </c>
      <c r="C14" t="s">
        <v>232</v>
      </c>
      <c r="E14">
        <v>0.50444270000000002</v>
      </c>
      <c r="F14">
        <v>39.706233849999997</v>
      </c>
      <c r="G14">
        <v>58.707887280000001</v>
      </c>
    </row>
    <row r="15" spans="1:9">
      <c r="A15" t="s">
        <v>241</v>
      </c>
      <c r="B15" t="s">
        <v>240</v>
      </c>
      <c r="C15" t="s">
        <v>232</v>
      </c>
      <c r="E15">
        <v>0.55518491999999997</v>
      </c>
      <c r="F15">
        <v>27.768184999999999</v>
      </c>
      <c r="G15">
        <v>34.825972530000001</v>
      </c>
    </row>
    <row r="16" spans="1:9">
      <c r="A16" t="s">
        <v>241</v>
      </c>
      <c r="B16" t="s">
        <v>240</v>
      </c>
      <c r="C16" t="s">
        <v>232</v>
      </c>
      <c r="E16">
        <v>0.60846869999999997</v>
      </c>
      <c r="F16">
        <v>16.373377170000001</v>
      </c>
      <c r="G16">
        <v>21.259746060000001</v>
      </c>
    </row>
    <row r="17" spans="1:7">
      <c r="A17" t="s">
        <v>241</v>
      </c>
      <c r="B17" t="s">
        <v>240</v>
      </c>
      <c r="C17" t="s">
        <v>232</v>
      </c>
      <c r="E17">
        <v>0.66430902999999997</v>
      </c>
      <c r="F17">
        <v>9.3223400999999999</v>
      </c>
      <c r="G17">
        <v>12.035713980000001</v>
      </c>
    </row>
    <row r="18" spans="1:7">
      <c r="A18" t="s">
        <v>241</v>
      </c>
      <c r="B18" t="s">
        <v>240</v>
      </c>
      <c r="C18" t="s">
        <v>232</v>
      </c>
      <c r="E18">
        <v>0.71001086999999996</v>
      </c>
      <c r="F18">
        <v>7.1563861199999996</v>
      </c>
      <c r="G18">
        <v>8.2428990800000008</v>
      </c>
    </row>
    <row r="19" spans="1:7">
      <c r="A19" t="s">
        <v>241</v>
      </c>
      <c r="B19" t="s">
        <v>240</v>
      </c>
      <c r="C19" t="s">
        <v>232</v>
      </c>
      <c r="E19">
        <v>0.76844003999999999</v>
      </c>
      <c r="F19">
        <v>12.59309887</v>
      </c>
      <c r="G19">
        <v>13.137013700000001</v>
      </c>
    </row>
    <row r="20" spans="1:7">
      <c r="A20" t="s">
        <v>241</v>
      </c>
      <c r="B20" t="s">
        <v>240</v>
      </c>
      <c r="C20" t="s">
        <v>232</v>
      </c>
      <c r="E20">
        <v>0.8318989</v>
      </c>
      <c r="F20">
        <v>5.5430261700000001</v>
      </c>
      <c r="G20">
        <v>6.0856551799999998</v>
      </c>
    </row>
    <row r="21" spans="1:7">
      <c r="A21" t="s">
        <v>241</v>
      </c>
      <c r="B21" t="s">
        <v>240</v>
      </c>
      <c r="C21" t="s">
        <v>232</v>
      </c>
      <c r="E21">
        <v>0.88524482000000004</v>
      </c>
      <c r="F21">
        <v>9.8932259600000005</v>
      </c>
      <c r="G21">
        <v>9.8932259600000005</v>
      </c>
    </row>
    <row r="22" spans="1:7">
      <c r="A22" t="s">
        <v>241</v>
      </c>
      <c r="B22" t="s">
        <v>240</v>
      </c>
      <c r="C22" t="s">
        <v>232</v>
      </c>
      <c r="E22">
        <v>0.93602976000000004</v>
      </c>
      <c r="F22">
        <v>8.8138158200000003</v>
      </c>
      <c r="G22">
        <v>11.5284446</v>
      </c>
    </row>
    <row r="23" spans="1:7">
      <c r="A23" t="s">
        <v>241</v>
      </c>
      <c r="B23" t="s">
        <v>240</v>
      </c>
      <c r="C23" t="s">
        <v>232</v>
      </c>
      <c r="E23">
        <v>0.99443751000000002</v>
      </c>
      <c r="F23">
        <v>8.8212092099999992</v>
      </c>
      <c r="G23">
        <v>9.9070483599999992</v>
      </c>
    </row>
    <row r="24" spans="1:7">
      <c r="A24" t="s">
        <v>241</v>
      </c>
      <c r="B24" t="s">
        <v>240</v>
      </c>
      <c r="C24" t="s">
        <v>232</v>
      </c>
      <c r="E24">
        <v>1.0503144200000001</v>
      </c>
      <c r="F24">
        <v>10.999990349999999</v>
      </c>
      <c r="G24">
        <v>13.171409000000001</v>
      </c>
    </row>
    <row r="25" spans="1:7">
      <c r="A25" t="s">
        <v>241</v>
      </c>
      <c r="B25" t="s">
        <v>240</v>
      </c>
      <c r="C25" t="s">
        <v>232</v>
      </c>
      <c r="E25">
        <v>1.10110793</v>
      </c>
      <c r="F25">
        <v>12.09228942</v>
      </c>
      <c r="G25">
        <v>12.63553046</v>
      </c>
    </row>
    <row r="26" spans="1:7">
      <c r="A26" t="s">
        <v>239</v>
      </c>
      <c r="B26" t="s">
        <v>240</v>
      </c>
      <c r="C26" t="s">
        <v>233</v>
      </c>
      <c r="E26">
        <v>-0.46715554999999997</v>
      </c>
      <c r="F26">
        <v>120.42893398</v>
      </c>
      <c r="G26">
        <v>191.29942668000001</v>
      </c>
    </row>
    <row r="27" spans="1:7">
      <c r="A27" t="s">
        <v>239</v>
      </c>
      <c r="B27" t="s">
        <v>240</v>
      </c>
      <c r="C27" t="s">
        <v>233</v>
      </c>
      <c r="E27">
        <v>-0.36269790000000002</v>
      </c>
      <c r="F27">
        <v>127.89721829</v>
      </c>
      <c r="G27">
        <v>201.96427281999999</v>
      </c>
    </row>
    <row r="28" spans="1:7">
      <c r="A28" t="s">
        <v>239</v>
      </c>
      <c r="B28" t="s">
        <v>240</v>
      </c>
      <c r="C28" t="s">
        <v>233</v>
      </c>
      <c r="E28">
        <v>-0.26780995000000002</v>
      </c>
      <c r="F28">
        <v>89.005947370000001</v>
      </c>
      <c r="G28">
        <v>142.29148602999999</v>
      </c>
    </row>
    <row r="29" spans="1:7">
      <c r="A29" t="s">
        <v>239</v>
      </c>
      <c r="B29" t="s">
        <v>240</v>
      </c>
      <c r="C29" t="s">
        <v>233</v>
      </c>
      <c r="E29">
        <v>-0.17068538</v>
      </c>
      <c r="F29">
        <v>80.487849229999995</v>
      </c>
      <c r="G29">
        <v>126.31356284</v>
      </c>
    </row>
    <row r="30" spans="1:7">
      <c r="A30" t="s">
        <v>239</v>
      </c>
      <c r="B30" t="s">
        <v>240</v>
      </c>
      <c r="C30" t="s">
        <v>233</v>
      </c>
      <c r="E30">
        <v>-6.8919620000000001E-2</v>
      </c>
      <c r="F30">
        <v>112.46747148999999</v>
      </c>
      <c r="G30">
        <v>177.47571342000001</v>
      </c>
    </row>
    <row r="31" spans="1:7">
      <c r="A31" t="s">
        <v>239</v>
      </c>
      <c r="B31" t="s">
        <v>240</v>
      </c>
      <c r="C31" t="s">
        <v>233</v>
      </c>
      <c r="E31">
        <v>6.5878080000000006E-2</v>
      </c>
      <c r="F31">
        <v>62.389287099999997</v>
      </c>
      <c r="G31">
        <v>99.156399960000002</v>
      </c>
    </row>
    <row r="32" spans="1:7">
      <c r="A32" t="s">
        <v>239</v>
      </c>
      <c r="B32" t="s">
        <v>240</v>
      </c>
      <c r="C32" t="s">
        <v>233</v>
      </c>
      <c r="E32">
        <v>0.16283468000000001</v>
      </c>
      <c r="F32">
        <v>74.119860529999997</v>
      </c>
      <c r="G32">
        <v>116.21575206</v>
      </c>
    </row>
    <row r="33" spans="1:7">
      <c r="A33" t="s">
        <v>239</v>
      </c>
      <c r="B33" t="s">
        <v>240</v>
      </c>
      <c r="C33" t="s">
        <v>233</v>
      </c>
      <c r="E33">
        <v>0.25493349999999998</v>
      </c>
      <c r="F33">
        <v>71.46282721</v>
      </c>
      <c r="G33">
        <v>110.89441985000001</v>
      </c>
    </row>
    <row r="34" spans="1:7">
      <c r="A34" t="s">
        <v>239</v>
      </c>
      <c r="B34" t="s">
        <v>240</v>
      </c>
      <c r="C34" t="s">
        <v>233</v>
      </c>
      <c r="E34">
        <v>0.38451981000000002</v>
      </c>
      <c r="F34">
        <v>49.62580286</v>
      </c>
      <c r="G34">
        <v>84.794713639999998</v>
      </c>
    </row>
    <row r="35" spans="1:7">
      <c r="A35" t="s">
        <v>239</v>
      </c>
      <c r="B35" t="s">
        <v>240</v>
      </c>
      <c r="C35" t="s">
        <v>233</v>
      </c>
      <c r="E35">
        <v>0.50644159</v>
      </c>
      <c r="F35">
        <v>51.766863950000001</v>
      </c>
      <c r="G35">
        <v>82.139643980000002</v>
      </c>
    </row>
    <row r="36" spans="1:7">
      <c r="A36" t="s">
        <v>239</v>
      </c>
      <c r="B36" t="s">
        <v>240</v>
      </c>
      <c r="C36" t="s">
        <v>233</v>
      </c>
      <c r="E36">
        <v>0.60590878999999997</v>
      </c>
      <c r="F36">
        <v>60.833319369999998</v>
      </c>
      <c r="G36">
        <v>96.534516300000007</v>
      </c>
    </row>
    <row r="37" spans="1:7">
      <c r="A37" t="s">
        <v>239</v>
      </c>
      <c r="B37" t="s">
        <v>240</v>
      </c>
      <c r="C37" t="s">
        <v>233</v>
      </c>
      <c r="E37">
        <v>0.98152671999999996</v>
      </c>
      <c r="F37">
        <v>79.513063020000004</v>
      </c>
      <c r="G37">
        <v>125.87181729</v>
      </c>
    </row>
    <row r="38" spans="1:7">
      <c r="A38" t="s">
        <v>239</v>
      </c>
      <c r="B38" t="s">
        <v>240</v>
      </c>
      <c r="C38" t="s">
        <v>233</v>
      </c>
      <c r="E38">
        <v>1.12125735</v>
      </c>
      <c r="F38">
        <v>34.763884619999999</v>
      </c>
      <c r="G38">
        <v>69.932583550000004</v>
      </c>
    </row>
    <row r="39" spans="1:7">
      <c r="A39" t="s">
        <v>241</v>
      </c>
      <c r="B39" t="s">
        <v>240</v>
      </c>
      <c r="C39" t="s">
        <v>233</v>
      </c>
      <c r="E39">
        <v>-0.46383600000000003</v>
      </c>
      <c r="F39">
        <v>20.25160039</v>
      </c>
      <c r="G39">
        <v>20.25160039</v>
      </c>
    </row>
    <row r="40" spans="1:7">
      <c r="A40" t="s">
        <v>241</v>
      </c>
      <c r="B40" t="s">
        <v>240</v>
      </c>
      <c r="C40" t="s">
        <v>233</v>
      </c>
      <c r="E40">
        <v>-0.26964874</v>
      </c>
      <c r="F40">
        <v>10.675440999999999</v>
      </c>
      <c r="G40">
        <v>10.675440999999999</v>
      </c>
    </row>
    <row r="41" spans="1:7">
      <c r="A41" t="s">
        <v>241</v>
      </c>
      <c r="B41" t="s">
        <v>240</v>
      </c>
      <c r="C41" t="s">
        <v>233</v>
      </c>
      <c r="E41">
        <v>-0.17024336000000001</v>
      </c>
      <c r="F41">
        <v>27.201933319999998</v>
      </c>
      <c r="G41">
        <v>29.333568799999998</v>
      </c>
    </row>
    <row r="42" spans="1:7">
      <c r="A42" t="s">
        <v>241</v>
      </c>
      <c r="B42" t="s">
        <v>240</v>
      </c>
      <c r="C42" t="s">
        <v>233</v>
      </c>
      <c r="E42">
        <v>-7.5611769999999995E-2</v>
      </c>
      <c r="F42">
        <v>19.216514069999999</v>
      </c>
      <c r="G42">
        <v>19.216514069999999</v>
      </c>
    </row>
    <row r="43" spans="1:7">
      <c r="A43" t="s">
        <v>241</v>
      </c>
      <c r="B43" t="s">
        <v>240</v>
      </c>
      <c r="C43" t="s">
        <v>233</v>
      </c>
      <c r="E43">
        <v>6.8689310000000003E-2</v>
      </c>
      <c r="F43">
        <v>23.490750609999999</v>
      </c>
      <c r="G43">
        <v>27.220195440000001</v>
      </c>
    </row>
    <row r="44" spans="1:7">
      <c r="A44" t="s">
        <v>241</v>
      </c>
      <c r="B44" t="s">
        <v>240</v>
      </c>
      <c r="C44" t="s">
        <v>233</v>
      </c>
      <c r="E44">
        <v>0.16573431999999999</v>
      </c>
      <c r="F44">
        <v>24.56412847</v>
      </c>
      <c r="G44">
        <v>29.359685590000002</v>
      </c>
    </row>
    <row r="45" spans="1:7">
      <c r="A45" t="s">
        <v>241</v>
      </c>
      <c r="B45" t="s">
        <v>240</v>
      </c>
      <c r="C45" t="s">
        <v>233</v>
      </c>
      <c r="E45">
        <v>0.25534457999999999</v>
      </c>
      <c r="F45">
        <v>21.906914270000001</v>
      </c>
      <c r="G45">
        <v>25.637506340000002</v>
      </c>
    </row>
    <row r="46" spans="1:7">
      <c r="A46" t="s">
        <v>241</v>
      </c>
      <c r="B46" t="s">
        <v>240</v>
      </c>
      <c r="C46" t="s">
        <v>233</v>
      </c>
      <c r="E46">
        <v>0.39471717000000001</v>
      </c>
      <c r="F46">
        <v>20.319346960000001</v>
      </c>
      <c r="G46">
        <v>22.983041279999998</v>
      </c>
    </row>
    <row r="47" spans="1:7">
      <c r="A47" t="s">
        <v>241</v>
      </c>
      <c r="B47" t="s">
        <v>240</v>
      </c>
      <c r="C47" t="s">
        <v>233</v>
      </c>
      <c r="E47">
        <v>0.50427562999999997</v>
      </c>
      <c r="F47">
        <v>12.867950199999999</v>
      </c>
      <c r="G47">
        <v>17.131417540000001</v>
      </c>
    </row>
    <row r="48" spans="1:7">
      <c r="A48" t="s">
        <v>241</v>
      </c>
      <c r="B48" t="s">
        <v>240</v>
      </c>
      <c r="C48" t="s">
        <v>233</v>
      </c>
      <c r="E48">
        <v>0.59872605999999995</v>
      </c>
      <c r="F48">
        <v>26.729735420000001</v>
      </c>
      <c r="G48">
        <v>34.723040310000002</v>
      </c>
    </row>
    <row r="49" spans="1:7">
      <c r="A49" t="s">
        <v>241</v>
      </c>
      <c r="B49" t="s">
        <v>240</v>
      </c>
      <c r="C49" t="s">
        <v>233</v>
      </c>
      <c r="E49">
        <v>0.70085869999999995</v>
      </c>
      <c r="F49">
        <v>14.48202704</v>
      </c>
      <c r="G49">
        <v>16.613662519999998</v>
      </c>
    </row>
    <row r="50" spans="1:7">
      <c r="A50" t="s">
        <v>241</v>
      </c>
      <c r="B50" t="s">
        <v>240</v>
      </c>
      <c r="C50" t="s">
        <v>233</v>
      </c>
      <c r="E50">
        <v>0.8427597</v>
      </c>
      <c r="F50">
        <v>8.0989026200000005</v>
      </c>
      <c r="G50">
        <v>8.0989026200000005</v>
      </c>
    </row>
    <row r="51" spans="1:7">
      <c r="A51" t="s">
        <v>241</v>
      </c>
      <c r="B51" t="s">
        <v>240</v>
      </c>
      <c r="C51" t="s">
        <v>233</v>
      </c>
      <c r="E51">
        <v>0.97937401999999996</v>
      </c>
      <c r="F51">
        <v>39.015569939999999</v>
      </c>
      <c r="G51">
        <v>56.599911650000003</v>
      </c>
    </row>
    <row r="52" spans="1:7">
      <c r="A52" t="s">
        <v>241</v>
      </c>
      <c r="B52" t="s">
        <v>240</v>
      </c>
      <c r="C52" t="s">
        <v>233</v>
      </c>
      <c r="E52">
        <v>1.05181188</v>
      </c>
      <c r="F52">
        <v>6.5168335700000002</v>
      </c>
      <c r="G52">
        <v>8.1146119599999995</v>
      </c>
    </row>
    <row r="53" spans="1:7">
      <c r="A53" t="s">
        <v>241</v>
      </c>
      <c r="B53" t="s">
        <v>240</v>
      </c>
      <c r="C53" t="s">
        <v>233</v>
      </c>
      <c r="E53">
        <v>1.1189633400000001</v>
      </c>
      <c r="F53">
        <v>11.31785801</v>
      </c>
      <c r="G53">
        <v>14.515213040000001</v>
      </c>
    </row>
    <row r="54" spans="1:7">
      <c r="A54" t="s">
        <v>241</v>
      </c>
      <c r="B54" t="s">
        <v>240</v>
      </c>
      <c r="C54" t="s">
        <v>233</v>
      </c>
      <c r="E54">
        <v>1.19361122</v>
      </c>
      <c r="F54">
        <v>12.38946857</v>
      </c>
      <c r="G54">
        <v>13.98786703</v>
      </c>
    </row>
    <row r="55" spans="1:7">
      <c r="A55" t="s">
        <v>241</v>
      </c>
      <c r="B55" t="s">
        <v>240</v>
      </c>
      <c r="C55" t="s">
        <v>233</v>
      </c>
      <c r="E55">
        <v>1.26080674</v>
      </c>
      <c r="F55">
        <v>11.861926179999999</v>
      </c>
      <c r="G55">
        <v>18.256243520000002</v>
      </c>
    </row>
    <row r="56" spans="1:7">
      <c r="A56" t="s">
        <v>241</v>
      </c>
      <c r="B56" t="s">
        <v>240</v>
      </c>
      <c r="C56" t="s">
        <v>233</v>
      </c>
      <c r="E56">
        <v>1.3279669000000001</v>
      </c>
      <c r="F56">
        <v>15.59723105</v>
      </c>
      <c r="G56">
        <v>20.92563247</v>
      </c>
    </row>
    <row r="57" spans="1:7">
      <c r="A57" t="s">
        <v>241</v>
      </c>
      <c r="B57" t="s">
        <v>240</v>
      </c>
      <c r="C57" t="s">
        <v>233</v>
      </c>
      <c r="E57">
        <v>1.4027033200000001</v>
      </c>
      <c r="F57">
        <v>6.0116460500000004</v>
      </c>
      <c r="G57">
        <v>8.6757640499999997</v>
      </c>
    </row>
    <row r="58" spans="1:7">
      <c r="A58" t="s">
        <v>239</v>
      </c>
      <c r="B58" t="s">
        <v>240</v>
      </c>
      <c r="C58" t="s">
        <v>234</v>
      </c>
      <c r="E58">
        <v>-0.46314248000000002</v>
      </c>
      <c r="F58">
        <v>154.59183673000001</v>
      </c>
      <c r="G58">
        <v>244.38775509999999</v>
      </c>
    </row>
    <row r="59" spans="1:7">
      <c r="A59" t="s">
        <v>239</v>
      </c>
      <c r="B59" t="s">
        <v>240</v>
      </c>
      <c r="C59" t="s">
        <v>234</v>
      </c>
      <c r="E59">
        <v>-0.41126971000000001</v>
      </c>
      <c r="F59">
        <v>106.12244898</v>
      </c>
      <c r="G59">
        <v>166.83673468999999</v>
      </c>
    </row>
    <row r="60" spans="1:7">
      <c r="A60" t="s">
        <v>239</v>
      </c>
      <c r="B60" t="s">
        <v>240</v>
      </c>
      <c r="C60" t="s">
        <v>234</v>
      </c>
      <c r="E60">
        <v>-0.36324669999999998</v>
      </c>
      <c r="F60">
        <v>171.42857143000001</v>
      </c>
      <c r="G60">
        <v>269.89795917999999</v>
      </c>
    </row>
    <row r="61" spans="1:7">
      <c r="A61" t="s">
        <v>239</v>
      </c>
      <c r="B61" t="s">
        <v>240</v>
      </c>
      <c r="C61" t="s">
        <v>234</v>
      </c>
      <c r="E61">
        <v>-0.30638095999999998</v>
      </c>
      <c r="F61">
        <v>153.57142856999999</v>
      </c>
      <c r="G61">
        <v>242.85714286000001</v>
      </c>
    </row>
    <row r="62" spans="1:7">
      <c r="A62" t="s">
        <v>239</v>
      </c>
      <c r="B62" t="s">
        <v>240</v>
      </c>
      <c r="C62" t="s">
        <v>234</v>
      </c>
      <c r="E62">
        <v>-0.20714365000000001</v>
      </c>
      <c r="F62">
        <v>87.244897960000003</v>
      </c>
      <c r="G62">
        <v>135.71428571000001</v>
      </c>
    </row>
    <row r="63" spans="1:7">
      <c r="A63" t="s">
        <v>239</v>
      </c>
      <c r="B63" t="s">
        <v>240</v>
      </c>
      <c r="C63" t="s">
        <v>234</v>
      </c>
      <c r="E63">
        <v>-0.10517554</v>
      </c>
      <c r="F63">
        <v>65.816326529999998</v>
      </c>
      <c r="G63">
        <v>111.2244898</v>
      </c>
    </row>
    <row r="64" spans="1:7">
      <c r="A64" t="s">
        <v>239</v>
      </c>
      <c r="B64" t="s">
        <v>240</v>
      </c>
      <c r="C64" t="s">
        <v>234</v>
      </c>
      <c r="E64">
        <v>-2.9125499999999999E-3</v>
      </c>
      <c r="F64">
        <v>81.632653059999996</v>
      </c>
      <c r="G64">
        <v>139.79591837000001</v>
      </c>
    </row>
    <row r="65" spans="1:7">
      <c r="A65" t="s">
        <v>239</v>
      </c>
      <c r="B65" t="s">
        <v>240</v>
      </c>
      <c r="C65" t="s">
        <v>234</v>
      </c>
      <c r="E65">
        <v>3.5370939999999997E-2</v>
      </c>
      <c r="F65">
        <v>116.83673469</v>
      </c>
      <c r="G65">
        <v>197.44897958999999</v>
      </c>
    </row>
    <row r="66" spans="1:7">
      <c r="A66" t="s">
        <v>239</v>
      </c>
      <c r="B66" t="s">
        <v>240</v>
      </c>
      <c r="C66" t="s">
        <v>234</v>
      </c>
      <c r="E66">
        <v>5.8829010000000001E-2</v>
      </c>
      <c r="F66">
        <v>79.591836729999997</v>
      </c>
      <c r="G66">
        <v>135.71428571000001</v>
      </c>
    </row>
    <row r="67" spans="1:7">
      <c r="A67" t="s">
        <v>239</v>
      </c>
      <c r="B67" t="s">
        <v>240</v>
      </c>
      <c r="C67" t="s">
        <v>234</v>
      </c>
      <c r="E67">
        <v>0.12280853</v>
      </c>
      <c r="F67">
        <v>60.204081629999997</v>
      </c>
      <c r="G67">
        <v>122.44897958999999</v>
      </c>
    </row>
    <row r="68" spans="1:7">
      <c r="A68" t="s">
        <v>239</v>
      </c>
      <c r="B68" t="s">
        <v>240</v>
      </c>
      <c r="C68" t="s">
        <v>234</v>
      </c>
      <c r="E68">
        <v>0.31280804000000001</v>
      </c>
      <c r="F68">
        <v>57.142857139999997</v>
      </c>
      <c r="G68">
        <v>113.7755102</v>
      </c>
    </row>
    <row r="69" spans="1:7">
      <c r="A69" t="s">
        <v>239</v>
      </c>
      <c r="B69" t="s">
        <v>240</v>
      </c>
      <c r="C69" t="s">
        <v>234</v>
      </c>
      <c r="E69">
        <v>0.6857337</v>
      </c>
      <c r="F69">
        <v>57.653061219999998</v>
      </c>
      <c r="G69">
        <v>113.7755102</v>
      </c>
    </row>
    <row r="70" spans="1:7">
      <c r="A70" t="s">
        <v>239</v>
      </c>
      <c r="B70" t="s">
        <v>240</v>
      </c>
      <c r="C70" t="s">
        <v>234</v>
      </c>
      <c r="E70">
        <v>0.86631685999999997</v>
      </c>
      <c r="F70">
        <v>65.306122450000004</v>
      </c>
      <c r="G70">
        <v>112.24489796</v>
      </c>
    </row>
    <row r="71" spans="1:7">
      <c r="A71" t="s">
        <v>239</v>
      </c>
      <c r="B71" t="s">
        <v>240</v>
      </c>
      <c r="C71" t="s">
        <v>234</v>
      </c>
      <c r="E71">
        <v>1.1869617400000001</v>
      </c>
      <c r="F71">
        <v>62.755102039999997</v>
      </c>
      <c r="G71">
        <v>128.06122449</v>
      </c>
    </row>
    <row r="72" spans="1:7">
      <c r="A72" t="s">
        <v>241</v>
      </c>
      <c r="B72" t="s">
        <v>240</v>
      </c>
      <c r="C72" t="s">
        <v>234</v>
      </c>
      <c r="E72">
        <v>3.2175599999999999E-2</v>
      </c>
      <c r="F72">
        <v>13.26530612</v>
      </c>
      <c r="G72">
        <v>13.26530612</v>
      </c>
    </row>
    <row r="73" spans="1:7">
      <c r="A73" t="s">
        <v>241</v>
      </c>
      <c r="B73" t="s">
        <v>240</v>
      </c>
      <c r="C73" t="s">
        <v>234</v>
      </c>
      <c r="E73">
        <v>6.0788229999999999E-2</v>
      </c>
      <c r="F73">
        <v>27.040816329999998</v>
      </c>
      <c r="G73">
        <v>27.040816329999998</v>
      </c>
    </row>
    <row r="74" spans="1:7">
      <c r="A74" t="s">
        <v>241</v>
      </c>
      <c r="B74" t="s">
        <v>240</v>
      </c>
      <c r="C74" t="s">
        <v>234</v>
      </c>
      <c r="E74">
        <v>0.12484853</v>
      </c>
      <c r="F74">
        <v>17.85714286</v>
      </c>
      <c r="G74">
        <v>17.85714286</v>
      </c>
    </row>
    <row r="75" spans="1:7">
      <c r="A75" t="s">
        <v>241</v>
      </c>
      <c r="B75" t="s">
        <v>240</v>
      </c>
      <c r="C75" t="s">
        <v>234</v>
      </c>
      <c r="E75">
        <v>0.37187536999999998</v>
      </c>
      <c r="F75">
        <v>17.346938779999999</v>
      </c>
      <c r="G75">
        <v>20.408163269999999</v>
      </c>
    </row>
    <row r="76" spans="1:7">
      <c r="A76" t="s">
        <v>241</v>
      </c>
      <c r="B76" t="s">
        <v>240</v>
      </c>
      <c r="C76" t="s">
        <v>234</v>
      </c>
      <c r="E76">
        <v>0.44079938000000002</v>
      </c>
      <c r="F76">
        <v>22.44897959</v>
      </c>
      <c r="G76">
        <v>29.591836730000001</v>
      </c>
    </row>
    <row r="77" spans="1:7">
      <c r="A77" t="s">
        <v>241</v>
      </c>
      <c r="B77" t="s">
        <v>240</v>
      </c>
      <c r="C77" t="s">
        <v>234</v>
      </c>
      <c r="E77">
        <v>0.56429461999999997</v>
      </c>
      <c r="F77">
        <v>19.897959180000001</v>
      </c>
      <c r="G77">
        <v>27.55102041</v>
      </c>
    </row>
    <row r="78" spans="1:7">
      <c r="A78" t="s">
        <v>241</v>
      </c>
      <c r="B78" t="s">
        <v>240</v>
      </c>
      <c r="C78" t="s">
        <v>234</v>
      </c>
      <c r="E78">
        <v>0.68778581999999999</v>
      </c>
      <c r="F78">
        <v>16.83673469</v>
      </c>
      <c r="G78">
        <v>18.877551019999999</v>
      </c>
    </row>
    <row r="79" spans="1:7">
      <c r="A79" t="s">
        <v>241</v>
      </c>
      <c r="B79" t="s">
        <v>240</v>
      </c>
      <c r="C79" t="s">
        <v>234</v>
      </c>
      <c r="E79">
        <v>0.80892596999999999</v>
      </c>
      <c r="F79">
        <v>16.83673469</v>
      </c>
      <c r="G79">
        <v>22.44897959</v>
      </c>
    </row>
    <row r="80" spans="1:7">
      <c r="A80" t="s">
        <v>241</v>
      </c>
      <c r="B80" t="s">
        <v>240</v>
      </c>
      <c r="C80" t="s">
        <v>234</v>
      </c>
      <c r="E80">
        <v>0.87778129999999999</v>
      </c>
      <c r="F80">
        <v>13.26530612</v>
      </c>
      <c r="G80">
        <v>15.30612245</v>
      </c>
    </row>
    <row r="81" spans="1:9">
      <c r="A81" t="s">
        <v>241</v>
      </c>
      <c r="B81" t="s">
        <v>240</v>
      </c>
      <c r="C81" t="s">
        <v>234</v>
      </c>
      <c r="E81">
        <v>0.93477226999999996</v>
      </c>
      <c r="F81">
        <v>11.224489800000001</v>
      </c>
      <c r="G81">
        <v>13.775510199999999</v>
      </c>
    </row>
    <row r="82" spans="1:9">
      <c r="A82" t="s">
        <v>241</v>
      </c>
      <c r="B82" t="s">
        <v>240</v>
      </c>
      <c r="C82" t="s">
        <v>234</v>
      </c>
      <c r="E82">
        <v>0.99892548000000003</v>
      </c>
      <c r="F82">
        <v>13.775510199999999</v>
      </c>
      <c r="G82">
        <v>17.85714286</v>
      </c>
    </row>
    <row r="83" spans="1:9">
      <c r="A83" t="s">
        <v>241</v>
      </c>
      <c r="B83" t="s">
        <v>240</v>
      </c>
      <c r="C83" t="s">
        <v>234</v>
      </c>
      <c r="E83">
        <v>1.0607034</v>
      </c>
      <c r="F83">
        <v>16.326530609999999</v>
      </c>
      <c r="G83">
        <v>18.877551019999999</v>
      </c>
    </row>
    <row r="84" spans="1:9">
      <c r="A84" t="s">
        <v>241</v>
      </c>
      <c r="B84" t="s">
        <v>240</v>
      </c>
      <c r="C84" t="s">
        <v>234</v>
      </c>
      <c r="E84">
        <v>1.1272036299999999</v>
      </c>
      <c r="F84">
        <v>15.30612245</v>
      </c>
      <c r="G84">
        <v>19.3877551</v>
      </c>
    </row>
    <row r="85" spans="1:9">
      <c r="A85" t="s">
        <v>241</v>
      </c>
      <c r="B85" t="s">
        <v>240</v>
      </c>
      <c r="C85" t="s">
        <v>234</v>
      </c>
      <c r="E85">
        <v>1.18894923</v>
      </c>
      <c r="F85">
        <v>13.775510199999999</v>
      </c>
      <c r="G85">
        <v>15.81632653</v>
      </c>
    </row>
    <row r="86" spans="1:9">
      <c r="A86" t="s">
        <v>241</v>
      </c>
      <c r="B86" t="s">
        <v>240</v>
      </c>
      <c r="C86" t="s">
        <v>234</v>
      </c>
      <c r="E86">
        <v>1.2460331099999999</v>
      </c>
      <c r="F86">
        <v>23.46938776</v>
      </c>
      <c r="G86">
        <v>28.061224490000001</v>
      </c>
    </row>
    <row r="87" spans="1:9">
      <c r="A87" t="s">
        <v>241</v>
      </c>
      <c r="B87" t="s">
        <v>240</v>
      </c>
      <c r="C87" t="s">
        <v>234</v>
      </c>
      <c r="E87">
        <v>1.3100691799999999</v>
      </c>
      <c r="F87">
        <v>11.224489800000001</v>
      </c>
      <c r="G87">
        <v>14.28571429</v>
      </c>
    </row>
    <row r="88" spans="1:9">
      <c r="A88" t="s">
        <v>241</v>
      </c>
      <c r="B88" t="s">
        <v>240</v>
      </c>
      <c r="C88" t="s">
        <v>234</v>
      </c>
      <c r="E88">
        <v>1.3741860400000001</v>
      </c>
      <c r="F88">
        <v>9.1836734700000004</v>
      </c>
      <c r="G88">
        <v>10.71428571</v>
      </c>
    </row>
    <row r="89" spans="1:9">
      <c r="A89" t="s">
        <v>241</v>
      </c>
      <c r="B89" t="s">
        <v>240</v>
      </c>
      <c r="C89" t="s">
        <v>234</v>
      </c>
      <c r="E89">
        <v>1.43829885</v>
      </c>
      <c r="F89">
        <v>6.63265306</v>
      </c>
      <c r="G89">
        <v>7.6530612199999997</v>
      </c>
    </row>
    <row r="90" spans="1:9">
      <c r="A90" t="s">
        <v>241</v>
      </c>
      <c r="B90" t="s">
        <v>240</v>
      </c>
      <c r="C90" t="s">
        <v>234</v>
      </c>
      <c r="E90">
        <v>1.50006061</v>
      </c>
      <c r="F90">
        <v>7.1428571400000003</v>
      </c>
      <c r="G90">
        <v>8.6734693899999993</v>
      </c>
    </row>
    <row r="91" spans="1:9">
      <c r="A91" t="s">
        <v>239</v>
      </c>
      <c r="B91" t="s">
        <v>242</v>
      </c>
      <c r="C91" t="s">
        <v>243</v>
      </c>
      <c r="D91" s="17">
        <v>37079.120426829999</v>
      </c>
      <c r="E91" s="17"/>
      <c r="F91">
        <v>101.22772277</v>
      </c>
      <c r="G91">
        <v>104.55445545000001</v>
      </c>
      <c r="H91">
        <v>26.198019800000001</v>
      </c>
      <c r="I91">
        <v>28.207920789999999</v>
      </c>
    </row>
    <row r="92" spans="1:9">
      <c r="A92" t="s">
        <v>239</v>
      </c>
      <c r="B92" t="s">
        <v>242</v>
      </c>
      <c r="C92" t="s">
        <v>243</v>
      </c>
      <c r="D92" s="17">
        <v>37095.256097559999</v>
      </c>
      <c r="E92" s="17"/>
      <c r="F92">
        <v>77.940594059999995</v>
      </c>
      <c r="G92">
        <v>82.693069309999998</v>
      </c>
      <c r="H92">
        <v>26.40594059</v>
      </c>
      <c r="I92">
        <v>27.722772280000001</v>
      </c>
    </row>
    <row r="93" spans="1:9">
      <c r="A93" t="s">
        <v>239</v>
      </c>
      <c r="B93" t="s">
        <v>242</v>
      </c>
      <c r="C93" t="s">
        <v>243</v>
      </c>
      <c r="D93" s="17">
        <v>37128.640243900001</v>
      </c>
      <c r="E93" s="17"/>
      <c r="F93">
        <v>69.861386139999993</v>
      </c>
      <c r="G93">
        <v>72.950495050000001</v>
      </c>
      <c r="H93">
        <v>22.24752475</v>
      </c>
      <c r="I93">
        <v>24.118811879999999</v>
      </c>
    </row>
    <row r="94" spans="1:9">
      <c r="A94" t="s">
        <v>239</v>
      </c>
      <c r="B94" t="s">
        <v>242</v>
      </c>
      <c r="C94" t="s">
        <v>243</v>
      </c>
      <c r="D94" s="17">
        <v>37154.234756099999</v>
      </c>
      <c r="E94" s="17"/>
      <c r="F94">
        <v>32.554455449999999</v>
      </c>
      <c r="G94">
        <v>34.693069309999998</v>
      </c>
      <c r="H94">
        <v>13.86138614</v>
      </c>
      <c r="I94">
        <v>14.554455450000001</v>
      </c>
    </row>
    <row r="95" spans="1:9">
      <c r="A95" t="s">
        <v>239</v>
      </c>
      <c r="B95" t="s">
        <v>242</v>
      </c>
      <c r="C95" t="s">
        <v>243</v>
      </c>
      <c r="D95" s="17">
        <v>37199.859756099999</v>
      </c>
      <c r="E95" s="17"/>
      <c r="F95">
        <v>52.752475250000003</v>
      </c>
      <c r="G95">
        <v>54.17821782</v>
      </c>
      <c r="H95">
        <v>10.74257426</v>
      </c>
      <c r="I95">
        <v>11.574257429999999</v>
      </c>
    </row>
    <row r="96" spans="1:9">
      <c r="A96" t="s">
        <v>239</v>
      </c>
      <c r="B96" t="s">
        <v>242</v>
      </c>
      <c r="C96" t="s">
        <v>243</v>
      </c>
      <c r="D96" s="17">
        <v>37227.123475610002</v>
      </c>
      <c r="E96" s="17"/>
      <c r="F96">
        <v>41.584158420000001</v>
      </c>
      <c r="G96">
        <v>43.485148510000002</v>
      </c>
      <c r="H96">
        <v>10.32673267</v>
      </c>
      <c r="I96">
        <v>10.881188119999999</v>
      </c>
    </row>
    <row r="97" spans="1:9">
      <c r="A97" t="s">
        <v>239</v>
      </c>
      <c r="B97" t="s">
        <v>242</v>
      </c>
      <c r="C97" t="s">
        <v>243</v>
      </c>
      <c r="D97" s="17">
        <v>37258.282012200005</v>
      </c>
      <c r="E97" s="17"/>
      <c r="F97">
        <v>41.584158420000001</v>
      </c>
      <c r="G97">
        <v>43.247524749999997</v>
      </c>
      <c r="H97">
        <v>13.23762376</v>
      </c>
      <c r="I97">
        <v>13.51485149</v>
      </c>
    </row>
    <row r="98" spans="1:9">
      <c r="A98" t="s">
        <v>239</v>
      </c>
      <c r="B98" t="s">
        <v>242</v>
      </c>
      <c r="C98" t="s">
        <v>243</v>
      </c>
      <c r="D98" s="17">
        <v>37311.696646340002</v>
      </c>
      <c r="E98" s="17"/>
      <c r="F98">
        <v>43.960396039999999</v>
      </c>
      <c r="G98">
        <v>45.623762380000002</v>
      </c>
      <c r="H98">
        <v>11.643564359999999</v>
      </c>
      <c r="I98">
        <v>12.75247525</v>
      </c>
    </row>
    <row r="99" spans="1:9">
      <c r="A99" t="s">
        <v>239</v>
      </c>
      <c r="B99" t="s">
        <v>242</v>
      </c>
      <c r="C99" t="s">
        <v>243</v>
      </c>
      <c r="D99" s="17">
        <v>37337.847560980001</v>
      </c>
      <c r="E99" s="17"/>
      <c r="F99">
        <v>56.31683168</v>
      </c>
      <c r="G99">
        <v>61.544554460000001</v>
      </c>
      <c r="H99">
        <v>13.376237619999999</v>
      </c>
      <c r="I99">
        <v>14.9009901</v>
      </c>
    </row>
    <row r="100" spans="1:9">
      <c r="A100" t="s">
        <v>239</v>
      </c>
      <c r="B100" t="s">
        <v>242</v>
      </c>
      <c r="C100" t="s">
        <v>243</v>
      </c>
      <c r="D100" s="17">
        <v>37352.314024389998</v>
      </c>
      <c r="E100" s="17"/>
      <c r="F100">
        <v>88.871287129999999</v>
      </c>
      <c r="G100">
        <v>92.435643560000003</v>
      </c>
      <c r="H100">
        <v>19.82178218</v>
      </c>
      <c r="I100">
        <v>20.93069307</v>
      </c>
    </row>
    <row r="101" spans="1:9">
      <c r="A101" t="s">
        <v>239</v>
      </c>
      <c r="B101" t="s">
        <v>242</v>
      </c>
      <c r="C101" t="s">
        <v>243</v>
      </c>
      <c r="D101" s="17">
        <v>37400.721036589995</v>
      </c>
      <c r="E101" s="17"/>
      <c r="F101">
        <v>89.346534649999995</v>
      </c>
      <c r="G101">
        <v>93.623762380000002</v>
      </c>
      <c r="H101">
        <v>16.633663370000001</v>
      </c>
      <c r="I101">
        <v>17.534653469999999</v>
      </c>
    </row>
    <row r="102" spans="1:9">
      <c r="A102" t="s">
        <v>239</v>
      </c>
      <c r="B102" t="s">
        <v>242</v>
      </c>
      <c r="C102" t="s">
        <v>243</v>
      </c>
      <c r="D102" s="17">
        <v>37427.984756099999</v>
      </c>
      <c r="E102" s="17"/>
      <c r="F102">
        <v>89.346534649999995</v>
      </c>
      <c r="G102">
        <v>93.148514849999998</v>
      </c>
      <c r="H102">
        <v>17.465346530000001</v>
      </c>
      <c r="I102">
        <v>17.881188120000001</v>
      </c>
    </row>
    <row r="103" spans="1:9">
      <c r="A103" t="s">
        <v>241</v>
      </c>
      <c r="B103" t="s">
        <v>242</v>
      </c>
      <c r="C103" t="s">
        <v>243</v>
      </c>
      <c r="D103" s="17">
        <v>37077.07809386</v>
      </c>
      <c r="E103" s="17"/>
      <c r="F103">
        <v>16.51785714</v>
      </c>
      <c r="G103">
        <v>17.410714290000001</v>
      </c>
      <c r="H103">
        <v>1.55069583</v>
      </c>
      <c r="I103">
        <v>1.66998012</v>
      </c>
    </row>
    <row r="104" spans="1:9">
      <c r="A104" t="s">
        <v>241</v>
      </c>
      <c r="B104" t="s">
        <v>242</v>
      </c>
      <c r="C104" t="s">
        <v>243</v>
      </c>
      <c r="D104" s="17">
        <v>37095.340016770002</v>
      </c>
      <c r="E104" s="17"/>
      <c r="F104">
        <v>21.081349209999999</v>
      </c>
      <c r="G104">
        <v>21.775793650000001</v>
      </c>
      <c r="H104">
        <v>3.3200795200000002</v>
      </c>
      <c r="I104">
        <v>3.9165009899999998</v>
      </c>
    </row>
    <row r="105" spans="1:9">
      <c r="A105" t="s">
        <v>241</v>
      </c>
      <c r="B105" t="s">
        <v>242</v>
      </c>
      <c r="C105" t="s">
        <v>243</v>
      </c>
      <c r="D105" s="17">
        <v>37126.544920220003</v>
      </c>
      <c r="E105" s="17"/>
      <c r="F105">
        <v>18.99801587</v>
      </c>
      <c r="G105">
        <v>19.444444440000002</v>
      </c>
      <c r="H105">
        <v>1.8489065600000001</v>
      </c>
      <c r="I105">
        <v>1.90854871</v>
      </c>
    </row>
    <row r="106" spans="1:9">
      <c r="A106" t="s">
        <v>241</v>
      </c>
      <c r="B106" t="s">
        <v>242</v>
      </c>
      <c r="C106" t="s">
        <v>243</v>
      </c>
      <c r="D106" s="17">
        <v>37153.826303300004</v>
      </c>
      <c r="E106" s="17"/>
      <c r="F106">
        <v>18.353174599999999</v>
      </c>
      <c r="G106">
        <v>18.89880952</v>
      </c>
      <c r="H106">
        <v>6.3419483100000003</v>
      </c>
      <c r="I106">
        <v>8.0119284299999993</v>
      </c>
    </row>
    <row r="107" spans="1:9">
      <c r="A107" t="s">
        <v>241</v>
      </c>
      <c r="B107" t="s">
        <v>242</v>
      </c>
      <c r="C107" t="s">
        <v>243</v>
      </c>
      <c r="D107" s="17">
        <v>37199.105759720005</v>
      </c>
      <c r="E107" s="17"/>
      <c r="F107">
        <v>8.9285714299999999</v>
      </c>
      <c r="G107">
        <v>9.4246031699999993</v>
      </c>
      <c r="H107">
        <v>3.8170974200000001</v>
      </c>
      <c r="I107">
        <v>4.6123260400000001</v>
      </c>
    </row>
    <row r="108" spans="1:9">
      <c r="A108" t="s">
        <v>241</v>
      </c>
      <c r="B108" t="s">
        <v>242</v>
      </c>
      <c r="C108" t="s">
        <v>243</v>
      </c>
      <c r="D108" s="17">
        <v>37226.278953440007</v>
      </c>
      <c r="E108" s="17"/>
      <c r="F108">
        <v>12.99603175</v>
      </c>
      <c r="G108">
        <v>13.88888889</v>
      </c>
      <c r="H108">
        <v>2.3061630200000001</v>
      </c>
      <c r="I108">
        <v>2.5844930399999999</v>
      </c>
    </row>
    <row r="109" spans="1:9">
      <c r="A109" t="s">
        <v>241</v>
      </c>
      <c r="B109" t="s">
        <v>242</v>
      </c>
      <c r="C109" t="s">
        <v>243</v>
      </c>
      <c r="D109" s="17">
        <v>37257.482752930009</v>
      </c>
      <c r="E109" s="17"/>
      <c r="F109">
        <v>10.81349206</v>
      </c>
      <c r="G109">
        <v>11.706349210000001</v>
      </c>
      <c r="H109">
        <v>1.5109343900000001</v>
      </c>
      <c r="I109">
        <v>1.68986083</v>
      </c>
    </row>
    <row r="110" spans="1:9">
      <c r="A110" t="s">
        <v>241</v>
      </c>
      <c r="B110" t="s">
        <v>242</v>
      </c>
      <c r="C110" t="s">
        <v>243</v>
      </c>
      <c r="D110" s="17">
        <v>37281.435657130009</v>
      </c>
      <c r="E110" s="17"/>
      <c r="F110">
        <v>9.5238095200000004</v>
      </c>
      <c r="G110">
        <v>9.8214285700000001</v>
      </c>
      <c r="H110">
        <v>5.5864811100000002</v>
      </c>
      <c r="I110">
        <v>6.7196819100000003</v>
      </c>
    </row>
    <row r="111" spans="1:9">
      <c r="A111" t="s">
        <v>241</v>
      </c>
      <c r="B111" t="s">
        <v>242</v>
      </c>
      <c r="C111" t="s">
        <v>243</v>
      </c>
      <c r="D111" s="17">
        <v>37309.728279570008</v>
      </c>
      <c r="E111" s="17"/>
      <c r="F111">
        <v>13.39285714</v>
      </c>
      <c r="G111">
        <v>13.88888889</v>
      </c>
      <c r="H111">
        <v>4.0556660000000004</v>
      </c>
      <c r="I111">
        <v>4.7117296199999998</v>
      </c>
    </row>
    <row r="112" spans="1:9">
      <c r="A112" t="s">
        <v>241</v>
      </c>
      <c r="B112" t="s">
        <v>242</v>
      </c>
      <c r="C112" t="s">
        <v>243</v>
      </c>
      <c r="D112" s="17">
        <v>37361.32246208001</v>
      </c>
      <c r="E112" s="17"/>
      <c r="F112">
        <v>11.706349210000001</v>
      </c>
      <c r="G112">
        <v>12.004</v>
      </c>
      <c r="H112">
        <v>4.1550695800000002</v>
      </c>
      <c r="I112">
        <v>4.6123260400000001</v>
      </c>
    </row>
    <row r="113" spans="1:9">
      <c r="A113" t="s">
        <v>241</v>
      </c>
      <c r="B113" t="s">
        <v>242</v>
      </c>
      <c r="C113" t="s">
        <v>243</v>
      </c>
      <c r="D113" s="17">
        <v>37399.219650430008</v>
      </c>
      <c r="E113" s="17"/>
      <c r="F113">
        <v>20.089285709999999</v>
      </c>
      <c r="G113">
        <v>20.535714290000001</v>
      </c>
      <c r="H113">
        <v>2.9821073600000001</v>
      </c>
      <c r="I113">
        <v>3.3996023900000001</v>
      </c>
    </row>
    <row r="114" spans="1:9">
      <c r="A114" t="s">
        <v>241</v>
      </c>
      <c r="B114" t="s">
        <v>242</v>
      </c>
      <c r="C114" t="s">
        <v>243</v>
      </c>
      <c r="D114" s="17">
        <v>37427.043084300007</v>
      </c>
      <c r="E114" s="17"/>
      <c r="F114">
        <v>17.50992063</v>
      </c>
      <c r="G114">
        <v>17.807539680000001</v>
      </c>
      <c r="H114">
        <v>1.4115308200000001</v>
      </c>
      <c r="I114">
        <v>1.49105368</v>
      </c>
    </row>
  </sheetData>
  <autoFilter ref="A1:I11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94"/>
  <sheetViews>
    <sheetView tabSelected="1" topLeftCell="A160" workbookViewId="0">
      <selection activeCell="H5" sqref="H5"/>
    </sheetView>
  </sheetViews>
  <sheetFormatPr defaultRowHeight="12.75"/>
  <cols>
    <col min="3" max="3" width="23.85546875" customWidth="1"/>
    <col min="7" max="8" width="9.140625" style="13"/>
  </cols>
  <sheetData>
    <row r="1" spans="1:23">
      <c r="A1" t="s">
        <v>182</v>
      </c>
      <c r="B1" t="s">
        <v>259</v>
      </c>
      <c r="C1" s="20" t="s">
        <v>162</v>
      </c>
      <c r="D1" s="14">
        <f>HARMEAN(Todas!D135:D150)</f>
        <v>1994.9999999999995</v>
      </c>
      <c r="E1" s="14">
        <f>HARMEAN(Todas!E135:E150)</f>
        <v>3.0000000000000009</v>
      </c>
      <c r="F1" s="14">
        <f>HARMEAN(Todas!F135:F150)</f>
        <v>15</v>
      </c>
      <c r="G1" s="15">
        <f>HARMEAN(Todas!G135:G150)</f>
        <v>75.939999999999969</v>
      </c>
      <c r="H1" s="15">
        <f>HARMEAN(Todas!H135:H150)</f>
        <v>2276.8121599417009</v>
      </c>
      <c r="I1" s="14"/>
      <c r="J1" s="14"/>
      <c r="K1" s="14">
        <f>HARMEAN(Todas!K135:K150)</f>
        <v>6.2784612702942857</v>
      </c>
      <c r="L1" s="14"/>
      <c r="M1" s="14"/>
      <c r="N1" s="14"/>
      <c r="O1" s="14">
        <f>HARMEAN(Todas!O135:O150)</f>
        <v>3.4266360383190366</v>
      </c>
      <c r="P1" s="14"/>
      <c r="Q1" s="14"/>
      <c r="R1" s="14">
        <f>HARMEAN(Todas!R135:R150)</f>
        <v>0.78663556272876223</v>
      </c>
      <c r="S1" s="14"/>
      <c r="T1" s="14"/>
      <c r="U1" s="14">
        <f>HARMEAN(Todas!U135:U150)</f>
        <v>3.4266360383190366</v>
      </c>
      <c r="V1" s="14">
        <f>HARMEAN(Todas!V135:V150)</f>
        <v>0.78663556272876223</v>
      </c>
      <c r="W1" s="14">
        <f>HARMEAN(Todas!W135:W150)</f>
        <v>1.9418102887529651</v>
      </c>
    </row>
    <row r="2" spans="1:23">
      <c r="A2" t="s">
        <v>182</v>
      </c>
      <c r="B2" t="s">
        <v>259</v>
      </c>
      <c r="C2" s="20" t="s">
        <v>162</v>
      </c>
      <c r="D2" s="14">
        <f>HARMEAN(Todas!D151:D158)</f>
        <v>1995</v>
      </c>
      <c r="E2" s="14">
        <f>HARMEAN(Todas!E151:E158)</f>
        <v>8</v>
      </c>
      <c r="F2" s="14">
        <f>HARMEAN(Todas!F151:F158)</f>
        <v>15</v>
      </c>
      <c r="G2" s="15">
        <f>HARMEAN(Todas!G151:G158)</f>
        <v>228.28999999999996</v>
      </c>
      <c r="H2" s="15">
        <f>HARMEAN(Todas!H151:H158)</f>
        <v>3293.7391812232377</v>
      </c>
      <c r="I2" s="14" t="e">
        <f>HARMEAN(Todas!I151:I158)</f>
        <v>#N/A</v>
      </c>
      <c r="J2" s="14" t="e">
        <f>HARMEAN(Todas!J151:J158)</f>
        <v>#N/A</v>
      </c>
      <c r="K2" s="14">
        <f>HARMEAN(Todas!K151:K158)</f>
        <v>7.3012740048730942</v>
      </c>
      <c r="L2" s="14" t="e">
        <f>HARMEAN(Todas!L151:L158)</f>
        <v>#N/A</v>
      </c>
      <c r="M2" s="14" t="e">
        <f>HARMEAN(Todas!M151:M158)</f>
        <v>#N/A</v>
      </c>
      <c r="N2" s="14" t="e">
        <f>HARMEAN(Todas!N151:N158)</f>
        <v>#N/A</v>
      </c>
      <c r="O2" s="14">
        <f>HARMEAN(Todas!O151:O158)</f>
        <v>3.5339766024486141</v>
      </c>
      <c r="P2" s="14" t="e">
        <f>HARMEAN(Todas!P151:P158)</f>
        <v>#N/A</v>
      </c>
      <c r="Q2" s="14" t="e">
        <f>HARMEAN(Todas!Q151:Q158)</f>
        <v>#N/A</v>
      </c>
      <c r="R2" s="14">
        <f>HARMEAN(Todas!R151:R158)</f>
        <v>0.86182441229782725</v>
      </c>
      <c r="S2" s="14" t="e">
        <f>HARMEAN(Todas!S151:S158)</f>
        <v>#N/A</v>
      </c>
      <c r="T2" s="14" t="e">
        <f>HARMEAN(Todas!T151:T158)</f>
        <v>#N/A</v>
      </c>
      <c r="U2" s="14">
        <f>HARMEAN(Todas!U151:U158)</f>
        <v>3.5339766024486141</v>
      </c>
      <c r="V2" s="14">
        <f>HARMEAN(Todas!V151:V158)</f>
        <v>0.86182441229782725</v>
      </c>
      <c r="W2" s="14">
        <f>HARMEAN(Todas!W151:W158)</f>
        <v>1.9494358730627803</v>
      </c>
    </row>
    <row r="3" spans="1:23">
      <c r="A3" t="s">
        <v>182</v>
      </c>
      <c r="B3" t="s">
        <v>259</v>
      </c>
      <c r="C3" s="20" t="s">
        <v>162</v>
      </c>
      <c r="D3" s="14">
        <f>HARMEAN(Todas!D159:D170)</f>
        <v>1994.9999999999995</v>
      </c>
      <c r="E3" s="14">
        <f>HARMEAN(Todas!E159:E170)</f>
        <v>12</v>
      </c>
      <c r="F3" s="14">
        <f>HARMEAN(Todas!F159:F170)</f>
        <v>15</v>
      </c>
      <c r="G3" s="15">
        <f>HARMEAN(Todas!G159:G170)</f>
        <v>350.16999999999996</v>
      </c>
      <c r="H3" s="15">
        <f>HARMEAN(Todas!H159:H170)</f>
        <v>2285.1192998608581</v>
      </c>
      <c r="I3" s="14" t="e">
        <f>HARMEAN(Todas!I159:I170)</f>
        <v>#N/A</v>
      </c>
      <c r="J3" s="14" t="e">
        <f>HARMEAN(Todas!J159:J170)</f>
        <v>#N/A</v>
      </c>
      <c r="K3" s="14">
        <f>HARMEAN(Todas!K159:K170)</f>
        <v>5.9805324842091157</v>
      </c>
      <c r="L3" s="14" t="e">
        <f>HARMEAN(Todas!L159:L170)</f>
        <v>#N/A</v>
      </c>
      <c r="M3" s="14" t="e">
        <f>HARMEAN(Todas!M159:M170)</f>
        <v>#N/A</v>
      </c>
      <c r="N3" s="14" t="e">
        <f>HARMEAN(Todas!N159:N170)</f>
        <v>#N/A</v>
      </c>
      <c r="O3" s="14">
        <f>HARMEAN(Todas!O159:O170)</f>
        <v>3.4647947921691937</v>
      </c>
      <c r="P3" s="14" t="e">
        <f>HARMEAN(Todas!P159:P170)</f>
        <v>#N/A</v>
      </c>
      <c r="Q3" s="14" t="e">
        <f>HARMEAN(Todas!Q159:Q170)</f>
        <v>#N/A</v>
      </c>
      <c r="R3" s="14">
        <f>HARMEAN(Todas!R159:R170)</f>
        <v>0.68169965869241522</v>
      </c>
      <c r="S3" s="14" t="e">
        <f>HARMEAN(Todas!S159:S170)</f>
        <v>#N/A</v>
      </c>
      <c r="T3" s="14" t="e">
        <f>HARMEAN(Todas!T159:T170)</f>
        <v>#N/A</v>
      </c>
      <c r="U3" s="14">
        <f>HARMEAN(Todas!U159:U170)</f>
        <v>3.4647947921691937</v>
      </c>
      <c r="V3" s="14">
        <f>HARMEAN(Todas!V159:V170)</f>
        <v>0.68169965869241522</v>
      </c>
      <c r="W3" s="14">
        <f>HARMEAN(Todas!W159:W170)</f>
        <v>1.9104681292295014</v>
      </c>
    </row>
    <row r="4" spans="1:23">
      <c r="A4" t="s">
        <v>182</v>
      </c>
      <c r="B4" t="s">
        <v>259</v>
      </c>
      <c r="C4" s="20" t="s">
        <v>162</v>
      </c>
      <c r="D4" s="14">
        <f>HARMEAN(Todas!D171:D182)</f>
        <v>1996.0000000000007</v>
      </c>
      <c r="E4" s="14">
        <f>HARMEAN(Todas!E171:E182)</f>
        <v>4</v>
      </c>
      <c r="F4" s="14">
        <f>HARMEAN(Todas!F171:F182)</f>
        <v>15</v>
      </c>
      <c r="G4" s="15">
        <f>HARMEAN(Todas!G171:G182)</f>
        <v>106.40999999999997</v>
      </c>
      <c r="H4" s="15">
        <f>HARMEAN(Todas!H171:H182)</f>
        <v>4896.2029092923003</v>
      </c>
      <c r="I4" s="14" t="e">
        <f>HARMEAN(Todas!I171:I182)</f>
        <v>#N/A</v>
      </c>
      <c r="J4" s="14" t="e">
        <f>HARMEAN(Todas!J171:J182)</f>
        <v>#N/A</v>
      </c>
      <c r="K4" s="14">
        <f>HARMEAN(Todas!K171:K182)</f>
        <v>10.060019114376923</v>
      </c>
      <c r="L4" s="14" t="e">
        <f>HARMEAN(Todas!L171:L182)</f>
        <v>#N/A</v>
      </c>
      <c r="M4" s="14" t="e">
        <f>HARMEAN(Todas!M171:M182)</f>
        <v>#N/A</v>
      </c>
      <c r="N4" s="14" t="e">
        <f>HARMEAN(Todas!N171:N182)</f>
        <v>#N/A</v>
      </c>
      <c r="O4" s="14">
        <f>HARMEAN(Todas!O171:O182)</f>
        <v>3.7440882297666387</v>
      </c>
      <c r="P4" s="14" t="e">
        <f>HARMEAN(Todas!P171:P182)</f>
        <v>#N/A</v>
      </c>
      <c r="Q4" s="14" t="e">
        <f>HARMEAN(Todas!Q171:Q182)</f>
        <v>#N/A</v>
      </c>
      <c r="R4" s="14">
        <f>HARMEAN(Todas!R171:R182)</f>
        <v>1.0051176211339041</v>
      </c>
      <c r="S4" s="14" t="e">
        <f>HARMEAN(Todas!S171:S182)</f>
        <v>#N/A</v>
      </c>
      <c r="T4" s="14" t="e">
        <f>HARMEAN(Todas!T171:T182)</f>
        <v>#N/A</v>
      </c>
      <c r="U4" s="14">
        <f>HARMEAN(Todas!U171:U182)</f>
        <v>3.7440882297666387</v>
      </c>
      <c r="V4" s="14">
        <f>HARMEAN(Todas!V171:V182)</f>
        <v>1.0051176211339041</v>
      </c>
      <c r="W4" s="14">
        <f>HARMEAN(Todas!W171:W182)</f>
        <v>1.7337334523445671</v>
      </c>
    </row>
    <row r="5" spans="1:23">
      <c r="A5" t="s">
        <v>182</v>
      </c>
      <c r="B5" t="s">
        <v>259</v>
      </c>
      <c r="C5" s="20" t="s">
        <v>163</v>
      </c>
      <c r="D5" s="14">
        <f>HARMEAN(Todas!D183:D194)</f>
        <v>1996.0000000000007</v>
      </c>
      <c r="E5" s="14">
        <f>HARMEAN(Todas!E183:E194)</f>
        <v>3</v>
      </c>
      <c r="F5" s="14">
        <f>HARMEAN(Todas!F183:F194)</f>
        <v>15</v>
      </c>
      <c r="G5" s="15">
        <f>HARMEAN(Todas!G183:G194)</f>
        <v>75.939999999999984</v>
      </c>
      <c r="H5" s="15">
        <f>HARMEAN(Todas!H183:H194)</f>
        <v>16973.90560493484</v>
      </c>
      <c r="I5" s="14" t="e">
        <f>HARMEAN(Todas!I183:I194)</f>
        <v>#N/A</v>
      </c>
      <c r="J5" s="14" t="e">
        <f>HARMEAN(Todas!J183:J194)</f>
        <v>#N/A</v>
      </c>
      <c r="K5" s="14">
        <f>HARMEAN(Todas!K183:K194)</f>
        <v>16.858482601862228</v>
      </c>
      <c r="L5" s="14" t="e">
        <f>HARMEAN(Todas!L183:L194)</f>
        <v>#N/A</v>
      </c>
      <c r="M5" s="14" t="e">
        <f>HARMEAN(Todas!M183:M194)</f>
        <v>#N/A</v>
      </c>
      <c r="N5" s="14" t="e">
        <f>HARMEAN(Todas!N183:N194)</f>
        <v>#N/A</v>
      </c>
      <c r="O5" s="14">
        <f>HARMEAN(Todas!O183:O194)</f>
        <v>4.2480152377618099</v>
      </c>
      <c r="P5" s="14" t="e">
        <f>HARMEAN(Todas!P183:P194)</f>
        <v>#N/A</v>
      </c>
      <c r="Q5" s="14" t="e">
        <f>HARMEAN(Todas!Q183:Q194)</f>
        <v>#N/A</v>
      </c>
      <c r="R5" s="14">
        <f>HARMEAN(Todas!R183:R194)</f>
        <v>1.2323418432851272</v>
      </c>
      <c r="S5" s="14" t="e">
        <f>HARMEAN(Todas!S183:S194)</f>
        <v>#N/A</v>
      </c>
      <c r="T5" s="14" t="e">
        <f>HARMEAN(Todas!T183:T194)</f>
        <v>#N/A</v>
      </c>
      <c r="U5" s="14">
        <f>HARMEAN(Todas!U183:U194)</f>
        <v>4.2480152377618099</v>
      </c>
      <c r="V5" s="14">
        <f>HARMEAN(Todas!V183:V194)</f>
        <v>1.2323418432851272</v>
      </c>
      <c r="W5" s="14">
        <f>HARMEAN(Todas!W183:W194)</f>
        <v>1.3971995794353105</v>
      </c>
    </row>
    <row r="6" spans="1:23">
      <c r="A6" t="s">
        <v>182</v>
      </c>
      <c r="B6" t="s">
        <v>259</v>
      </c>
      <c r="C6" s="20" t="s">
        <v>163</v>
      </c>
      <c r="D6" s="14">
        <f>HARMEAN(Todas!D195:D197)</f>
        <v>1995</v>
      </c>
      <c r="E6" s="14">
        <f>HARMEAN(Todas!E195:E197)</f>
        <v>11.000000000000002</v>
      </c>
      <c r="F6" s="14">
        <f>HARMEAN(Todas!F195:F197)</f>
        <v>15</v>
      </c>
      <c r="G6" s="15">
        <f>HARMEAN(Todas!G195:G197)</f>
        <v>319.7</v>
      </c>
      <c r="H6" s="15">
        <f>HARMEAN(Todas!H195:H197)</f>
        <v>3429.3128295125352</v>
      </c>
      <c r="I6" s="14" t="e">
        <f>HARMEAN(Todas!I195:I197)</f>
        <v>#N/A</v>
      </c>
      <c r="J6" s="14" t="e">
        <f>HARMEAN(Todas!J195:J197)</f>
        <v>#N/A</v>
      </c>
      <c r="K6" s="14">
        <f>HARMEAN(Todas!K195:K197)</f>
        <v>13.611249010722608</v>
      </c>
      <c r="L6" s="14" t="e">
        <f>HARMEAN(Todas!L195:L197)</f>
        <v>#N/A</v>
      </c>
      <c r="M6" s="14" t="e">
        <f>HARMEAN(Todas!M195:M197)</f>
        <v>#N/A</v>
      </c>
      <c r="N6" s="14" t="e">
        <f>HARMEAN(Todas!N195:N197)</f>
        <v>#N/A</v>
      </c>
      <c r="O6" s="14">
        <f>HARMEAN(Todas!O195:O197)</f>
        <v>3.5406339922416219</v>
      </c>
      <c r="P6" s="14" t="e">
        <f>HARMEAN(Todas!P195:P197)</f>
        <v>#N/A</v>
      </c>
      <c r="Q6" s="14" t="e">
        <f>HARMEAN(Todas!Q195:Q197)</f>
        <v>#N/A</v>
      </c>
      <c r="R6" s="14">
        <f>HARMEAN(Todas!R195:R197)</f>
        <v>1.1351912743868433</v>
      </c>
      <c r="S6" s="14" t="e">
        <f>HARMEAN(Todas!S195:S197)</f>
        <v>#N/A</v>
      </c>
      <c r="T6" s="14" t="e">
        <f>HARMEAN(Todas!T195:T197)</f>
        <v>#N/A</v>
      </c>
      <c r="U6" s="14">
        <f>HARMEAN(Todas!U195:U197)</f>
        <v>3.5406339922416219</v>
      </c>
      <c r="V6" s="14">
        <f>HARMEAN(Todas!V195:V197)</f>
        <v>1.1351912743868433</v>
      </c>
      <c r="W6" s="14">
        <f>HARMEAN(Todas!W195:W197)</f>
        <v>1.7244817094033094</v>
      </c>
    </row>
    <row r="7" spans="1:23">
      <c r="A7" t="s">
        <v>182</v>
      </c>
      <c r="B7" t="s">
        <v>259</v>
      </c>
      <c r="C7" s="20" t="s">
        <v>163</v>
      </c>
      <c r="D7" s="14">
        <f>HARMEAN(Todas!D198:D200)</f>
        <v>1996.0000000000002</v>
      </c>
      <c r="E7" s="14">
        <f>HARMEAN(Todas!E198:E200)</f>
        <v>1</v>
      </c>
      <c r="F7" s="14">
        <f>HARMEAN(Todas!F198:F200)</f>
        <v>15</v>
      </c>
      <c r="G7" s="15">
        <f>HARMEAN(Todas!G198:G200)</f>
        <v>15</v>
      </c>
      <c r="H7" s="15">
        <f>HARMEAN(Todas!H198:H200)</f>
        <v>4347.6778563833468</v>
      </c>
      <c r="I7" s="14" t="e">
        <f>HARMEAN(Todas!I198:I200)</f>
        <v>#N/A</v>
      </c>
      <c r="J7" s="14" t="e">
        <f>HARMEAN(Todas!J198:J200)</f>
        <v>#N/A</v>
      </c>
      <c r="K7" s="14">
        <f>HARMEAN(Todas!K198:K200)</f>
        <v>14.1498910302741</v>
      </c>
      <c r="L7" s="14" t="e">
        <f>HARMEAN(Todas!L198:L200)</f>
        <v>#N/A</v>
      </c>
      <c r="M7" s="14" t="e">
        <f>HARMEAN(Todas!M198:M200)</f>
        <v>#N/A</v>
      </c>
      <c r="N7" s="14" t="e">
        <f>HARMEAN(Todas!N198:N200)</f>
        <v>#N/A</v>
      </c>
      <c r="O7" s="14">
        <f>HARMEAN(Todas!O198:O200)</f>
        <v>3.6422294197323342</v>
      </c>
      <c r="P7" s="14" t="e">
        <f>HARMEAN(Todas!P198:P200)</f>
        <v>#N/A</v>
      </c>
      <c r="Q7" s="14" t="e">
        <f>HARMEAN(Todas!Q198:Q200)</f>
        <v>#N/A</v>
      </c>
      <c r="R7" s="14">
        <f>HARMEAN(Todas!R198:R200)</f>
        <v>1.1508776032883492</v>
      </c>
      <c r="S7" s="14" t="e">
        <f>HARMEAN(Todas!S198:S200)</f>
        <v>#N/A</v>
      </c>
      <c r="T7" s="14" t="e">
        <f>HARMEAN(Todas!T198:T200)</f>
        <v>#N/A</v>
      </c>
      <c r="U7" s="14">
        <f>HARMEAN(Todas!U198:U200)</f>
        <v>3.6422294197323342</v>
      </c>
      <c r="V7" s="14">
        <f>HARMEAN(Todas!V198:V200)</f>
        <v>1.1508776032883492</v>
      </c>
      <c r="W7" s="14">
        <f>HARMEAN(Todas!W198:W200)</f>
        <v>1.6861960624348866</v>
      </c>
    </row>
    <row r="8" spans="1:23">
      <c r="A8" t="s">
        <v>182</v>
      </c>
      <c r="B8" t="s">
        <v>259</v>
      </c>
      <c r="C8" s="20" t="s">
        <v>163</v>
      </c>
      <c r="D8" s="14">
        <f>HARMEAN(Todas!D201:D203)</f>
        <v>1996.0000000000002</v>
      </c>
      <c r="E8" s="14">
        <f>HARMEAN(Todas!E201:E203)</f>
        <v>3</v>
      </c>
      <c r="F8" s="14">
        <f>HARMEAN(Todas!F201:F203)</f>
        <v>15</v>
      </c>
      <c r="G8" s="15">
        <f>HARMEAN(Todas!G201:G203)</f>
        <v>75.94</v>
      </c>
      <c r="H8" s="15">
        <f>HARMEAN(Todas!H201:H203)</f>
        <v>3361.046623386369</v>
      </c>
      <c r="I8" s="14" t="e">
        <f>HARMEAN(Todas!I201:I203)</f>
        <v>#N/A</v>
      </c>
      <c r="J8" s="14" t="e">
        <f>HARMEAN(Todas!J201:J203)</f>
        <v>#N/A</v>
      </c>
      <c r="K8" s="14">
        <f>HARMEAN(Todas!K201:K203)</f>
        <v>14.487820980320871</v>
      </c>
      <c r="L8" s="14" t="e">
        <f>HARMEAN(Todas!L201:L203)</f>
        <v>#N/A</v>
      </c>
      <c r="M8" s="14" t="e">
        <f>HARMEAN(Todas!M201:M203)</f>
        <v>#N/A</v>
      </c>
      <c r="N8" s="14" t="e">
        <f>HARMEAN(Todas!N201:N203)</f>
        <v>#N/A</v>
      </c>
      <c r="O8" s="14">
        <f>HARMEAN(Todas!O201:O203)</f>
        <v>3.5287761509319626</v>
      </c>
      <c r="P8" s="14" t="e">
        <f>HARMEAN(Todas!P201:P203)</f>
        <v>#N/A</v>
      </c>
      <c r="Q8" s="14" t="e">
        <f>HARMEAN(Todas!Q201:Q203)</f>
        <v>#N/A</v>
      </c>
      <c r="R8" s="14">
        <f>HARMEAN(Todas!R201:R203)</f>
        <v>1.1632372670049671</v>
      </c>
      <c r="S8" s="14" t="e">
        <f>HARMEAN(Todas!S201:S203)</f>
        <v>#N/A</v>
      </c>
      <c r="T8" s="14" t="e">
        <f>HARMEAN(Todas!T201:T203)</f>
        <v>#N/A</v>
      </c>
      <c r="U8" s="14">
        <f>HARMEAN(Todas!U201:U203)</f>
        <v>3.5287761509319626</v>
      </c>
      <c r="V8" s="14">
        <f>HARMEAN(Todas!V201:V203)</f>
        <v>1.1632372670049671</v>
      </c>
      <c r="W8" s="14">
        <f>HARMEAN(Todas!W201:W203)</f>
        <v>1.6989814211313925</v>
      </c>
    </row>
    <row r="9" spans="1:23">
      <c r="A9" t="s">
        <v>182</v>
      </c>
      <c r="B9" t="s">
        <v>259</v>
      </c>
      <c r="C9" s="20" t="s">
        <v>163</v>
      </c>
      <c r="D9" s="14">
        <f>HARMEAN(Todas!D204:D206)</f>
        <v>1996.0000000000002</v>
      </c>
      <c r="E9" s="14">
        <f>HARMEAN(Todas!E204:E206)</f>
        <v>4</v>
      </c>
      <c r="F9" s="14">
        <f>HARMEAN(Todas!F204:F206)</f>
        <v>15</v>
      </c>
      <c r="G9" s="15">
        <f>HARMEAN(Todas!G204:G206)</f>
        <v>106.40999999999998</v>
      </c>
      <c r="H9" s="15">
        <f>HARMEAN(Todas!H204:H206)</f>
        <v>4146.8638288897364</v>
      </c>
      <c r="I9" s="14" t="e">
        <f>HARMEAN(Todas!I204:I206)</f>
        <v>#N/A</v>
      </c>
      <c r="J9" s="14" t="e">
        <f>HARMEAN(Todas!J204:J206)</f>
        <v>#N/A</v>
      </c>
      <c r="K9" s="14">
        <f>HARMEAN(Todas!K204:K206)</f>
        <v>11.557165535442129</v>
      </c>
      <c r="L9" s="14" t="e">
        <f>HARMEAN(Todas!L204:L206)</f>
        <v>#N/A</v>
      </c>
      <c r="M9" s="14" t="e">
        <f>HARMEAN(Todas!M204:M206)</f>
        <v>#N/A</v>
      </c>
      <c r="N9" s="14" t="e">
        <f>HARMEAN(Todas!N204:N206)</f>
        <v>#N/A</v>
      </c>
      <c r="O9" s="14">
        <f>HARMEAN(Todas!O204:O206)</f>
        <v>3.6185812465321963</v>
      </c>
      <c r="P9" s="14" t="e">
        <f>HARMEAN(Todas!P204:P206)</f>
        <v>#N/A</v>
      </c>
      <c r="Q9" s="14" t="e">
        <f>HARMEAN(Todas!Q204:Q206)</f>
        <v>#N/A</v>
      </c>
      <c r="R9" s="14">
        <f>HARMEAN(Todas!R204:R206)</f>
        <v>1.0629148933575532</v>
      </c>
      <c r="S9" s="14" t="e">
        <f>HARMEAN(Todas!S204:S206)</f>
        <v>#N/A</v>
      </c>
      <c r="T9" s="14" t="e">
        <f>HARMEAN(Todas!T204:T206)</f>
        <v>#N/A</v>
      </c>
      <c r="U9" s="14">
        <f>HARMEAN(Todas!U204:U206)</f>
        <v>3.6185812465321963</v>
      </c>
      <c r="V9" s="14">
        <f>HARMEAN(Todas!V204:V206)</f>
        <v>1.0629148933575532</v>
      </c>
      <c r="W9" s="14">
        <f>HARMEAN(Todas!W204:W206)</f>
        <v>1.7783556904367281</v>
      </c>
    </row>
    <row r="10" spans="1:23">
      <c r="A10" t="s">
        <v>182</v>
      </c>
      <c r="B10" t="s">
        <v>259</v>
      </c>
      <c r="C10" s="20" t="s">
        <v>163</v>
      </c>
      <c r="D10" s="14">
        <f>HARMEAN(Todas!D207:D210)</f>
        <v>1996.0000000000002</v>
      </c>
      <c r="E10" s="14">
        <f>HARMEAN(Todas!E207:E210)</f>
        <v>6</v>
      </c>
      <c r="F10" s="14">
        <f>HARMEAN(Todas!F207:F210)</f>
        <v>15</v>
      </c>
      <c r="G10" s="15">
        <f>HARMEAN(Todas!G207:G210)</f>
        <v>167.35</v>
      </c>
      <c r="H10" s="15">
        <f>HARMEAN(Todas!H207:H210)</f>
        <v>7355.2967619951933</v>
      </c>
      <c r="I10" s="14" t="e">
        <f>HARMEAN(Todas!I207:I210)</f>
        <v>#N/A</v>
      </c>
      <c r="J10" s="14" t="e">
        <f>HARMEAN(Todas!J207:J210)</f>
        <v>#N/A</v>
      </c>
      <c r="K10" s="14">
        <f>HARMEAN(Todas!K207:K210)</f>
        <v>11.102434731283484</v>
      </c>
      <c r="L10" s="14" t="e">
        <f>HARMEAN(Todas!L207:L210)</f>
        <v>#N/A</v>
      </c>
      <c r="M10" s="14" t="e">
        <f>HARMEAN(Todas!M207:M210)</f>
        <v>#N/A</v>
      </c>
      <c r="N10" s="14" t="e">
        <f>HARMEAN(Todas!N207:N210)</f>
        <v>#N/A</v>
      </c>
      <c r="O10" s="14">
        <f>HARMEAN(Todas!O207:O210)</f>
        <v>3.8905717691700237</v>
      </c>
      <c r="P10" s="14" t="e">
        <f>HARMEAN(Todas!P207:P210)</f>
        <v>#N/A</v>
      </c>
      <c r="Q10" s="14" t="e">
        <f>HARMEAN(Todas!Q207:Q210)</f>
        <v>#N/A</v>
      </c>
      <c r="R10" s="14">
        <f>HARMEAN(Todas!R207:R210)</f>
        <v>1.047059567022339</v>
      </c>
      <c r="S10" s="14" t="e">
        <f>HARMEAN(Todas!S207:S210)</f>
        <v>#N/A</v>
      </c>
      <c r="T10" s="14" t="e">
        <f>HARMEAN(Todas!T207:T210)</f>
        <v>#N/A</v>
      </c>
      <c r="U10" s="14">
        <f>HARMEAN(Todas!U207:U210)</f>
        <v>3.8905717691700237</v>
      </c>
      <c r="V10" s="14">
        <f>HARMEAN(Todas!V207:V210)</f>
        <v>1.047059567022339</v>
      </c>
      <c r="W10" s="14">
        <f>HARMEAN(Todas!W207:W210)</f>
        <v>1.6919191116561865</v>
      </c>
    </row>
    <row r="11" spans="1:23">
      <c r="A11" t="s">
        <v>182</v>
      </c>
      <c r="B11" t="s">
        <v>259</v>
      </c>
      <c r="C11" s="20" t="s">
        <v>163</v>
      </c>
      <c r="D11" s="14">
        <f>HARMEAN(Todas!D211:D214)</f>
        <v>1996.0000000000002</v>
      </c>
      <c r="E11" s="14">
        <f>HARMEAN(Todas!E211:E214)</f>
        <v>8</v>
      </c>
      <c r="F11" s="14">
        <f>HARMEAN(Todas!F211:F214)</f>
        <v>15</v>
      </c>
      <c r="G11" s="15">
        <f>HARMEAN(Todas!G211:G214)</f>
        <v>228.28999999999996</v>
      </c>
      <c r="H11" s="15">
        <f>HARMEAN(Todas!H211:H214)</f>
        <v>4854.0991778637426</v>
      </c>
      <c r="I11" s="14" t="e">
        <f>HARMEAN(Todas!I211:I214)</f>
        <v>#N/A</v>
      </c>
      <c r="J11" s="14" t="e">
        <f>HARMEAN(Todas!J211:J214)</f>
        <v>#N/A</v>
      </c>
      <c r="K11" s="14">
        <f>HARMEAN(Todas!K211:K214)</f>
        <v>4.0450313879549675</v>
      </c>
      <c r="L11" s="14" t="e">
        <f>HARMEAN(Todas!L211:L214)</f>
        <v>#N/A</v>
      </c>
      <c r="M11" s="14" t="e">
        <f>HARMEAN(Todas!M211:M214)</f>
        <v>#N/A</v>
      </c>
      <c r="N11" s="14" t="e">
        <f>HARMEAN(Todas!N211:N214)</f>
        <v>#N/A</v>
      </c>
      <c r="O11" s="14">
        <f>HARMEAN(Todas!O211:O214)</f>
        <v>3.6947612265356407</v>
      </c>
      <c r="P11" s="14" t="e">
        <f>HARMEAN(Todas!P211:P214)</f>
        <v>#N/A</v>
      </c>
      <c r="Q11" s="14" t="e">
        <f>HARMEAN(Todas!Q211:Q214)</f>
        <v>#N/A</v>
      </c>
      <c r="R11" s="14">
        <f>HARMEAN(Todas!R211:R214)</f>
        <v>0.58001782640285493</v>
      </c>
      <c r="S11" s="14" t="e">
        <f>HARMEAN(Todas!S211:S214)</f>
        <v>#N/A</v>
      </c>
      <c r="T11" s="14" t="e">
        <f>HARMEAN(Todas!T211:T214)</f>
        <v>#N/A</v>
      </c>
      <c r="U11" s="14">
        <f>HARMEAN(Todas!U211:U214)</f>
        <v>3.6947612265356407</v>
      </c>
      <c r="V11" s="14">
        <f>HARMEAN(Todas!V211:V214)</f>
        <v>0.58001782640285493</v>
      </c>
      <c r="W11" s="14">
        <f>HARMEAN(Todas!W211:W214)</f>
        <v>2.139780905187957</v>
      </c>
    </row>
    <row r="12" spans="1:23">
      <c r="A12" t="s">
        <v>182</v>
      </c>
      <c r="B12" t="s">
        <v>259</v>
      </c>
      <c r="C12" s="20" t="s">
        <v>163</v>
      </c>
      <c r="D12" s="14">
        <f>HARMEAN(Todas!D215:D218)</f>
        <v>1996.0000000000002</v>
      </c>
      <c r="E12" s="14">
        <f>HARMEAN(Todas!E215:E218)</f>
        <v>9</v>
      </c>
      <c r="F12" s="14">
        <f>HARMEAN(Todas!F215:F218)</f>
        <v>15</v>
      </c>
      <c r="G12" s="15">
        <f>HARMEAN(Todas!G215:G218)</f>
        <v>258.76</v>
      </c>
      <c r="H12" s="15">
        <f>HARMEAN(Todas!H215:H218)</f>
        <v>2224.0600662692195</v>
      </c>
      <c r="I12" s="14" t="e">
        <f>HARMEAN(Todas!I215:I218)</f>
        <v>#N/A</v>
      </c>
      <c r="J12" s="14" t="e">
        <f>HARMEAN(Todas!J215:J218)</f>
        <v>#N/A</v>
      </c>
      <c r="K12" s="14">
        <f>HARMEAN(Todas!K215:K218)</f>
        <v>3.4485862629600397</v>
      </c>
      <c r="L12" s="14" t="e">
        <f>HARMEAN(Todas!L215:L218)</f>
        <v>#N/A</v>
      </c>
      <c r="M12" s="14" t="e">
        <f>HARMEAN(Todas!M215:M218)</f>
        <v>#N/A</v>
      </c>
      <c r="N12" s="14" t="e">
        <f>HARMEAN(Todas!N215:N218)</f>
        <v>#N/A</v>
      </c>
      <c r="O12" s="14">
        <f>HARMEAN(Todas!O215:O218)</f>
        <v>3.3719333417863298</v>
      </c>
      <c r="P12" s="14" t="e">
        <f>HARMEAN(Todas!P215:P218)</f>
        <v>#N/A</v>
      </c>
      <c r="Q12" s="14" t="e">
        <f>HARMEAN(Todas!Q215:Q218)</f>
        <v>#N/A</v>
      </c>
      <c r="R12" s="14">
        <f>HARMEAN(Todas!R215:R218)</f>
        <v>0.52337260339596936</v>
      </c>
      <c r="S12" s="14" t="e">
        <f>HARMEAN(Todas!S215:S218)</f>
        <v>#N/A</v>
      </c>
      <c r="T12" s="14" t="e">
        <f>HARMEAN(Todas!T215:T218)</f>
        <v>#N/A</v>
      </c>
      <c r="U12" s="14">
        <f>HARMEAN(Todas!U215:U218)</f>
        <v>3.3719333417863298</v>
      </c>
      <c r="V12" s="14">
        <f>HARMEAN(Todas!V215:V218)</f>
        <v>0.52337260339596936</v>
      </c>
      <c r="W12" s="14">
        <f>HARMEAN(Todas!W215:W218)</f>
        <v>2.3225049939398921</v>
      </c>
    </row>
    <row r="13" spans="1:23">
      <c r="A13" t="s">
        <v>182</v>
      </c>
      <c r="B13" t="s">
        <v>259</v>
      </c>
      <c r="C13" s="20" t="s">
        <v>163</v>
      </c>
      <c r="D13" s="14">
        <f>HARMEAN(Todas!D219:D222)</f>
        <v>1996.0000000000002</v>
      </c>
      <c r="E13" s="14">
        <f>HARMEAN(Todas!E219:E222)</f>
        <v>11</v>
      </c>
      <c r="F13" s="14">
        <f>HARMEAN(Todas!F219:F222)</f>
        <v>15</v>
      </c>
      <c r="G13" s="15">
        <f>HARMEAN(Todas!G219:G222)</f>
        <v>319.7</v>
      </c>
      <c r="H13" s="15">
        <f>HARMEAN(Todas!H219:H222)</f>
        <v>2052.422273061482</v>
      </c>
      <c r="I13" s="14" t="e">
        <f>HARMEAN(Todas!I219:I222)</f>
        <v>#N/A</v>
      </c>
      <c r="J13" s="14" t="e">
        <f>HARMEAN(Todas!J219:J222)</f>
        <v>#N/A</v>
      </c>
      <c r="K13" s="14">
        <f>HARMEAN(Todas!K219:K222)</f>
        <v>3.4307925680544775</v>
      </c>
      <c r="L13" s="14" t="e">
        <f>HARMEAN(Todas!L219:L222)</f>
        <v>#N/A</v>
      </c>
      <c r="M13" s="14" t="e">
        <f>HARMEAN(Todas!M219:M222)</f>
        <v>#N/A</v>
      </c>
      <c r="N13" s="14" t="e">
        <f>HARMEAN(Todas!N219:N222)</f>
        <v>#N/A</v>
      </c>
      <c r="O13" s="14">
        <f>HARMEAN(Todas!O219:O222)</f>
        <v>3.317879210829898</v>
      </c>
      <c r="P13" s="14" t="e">
        <f>HARMEAN(Todas!P219:P222)</f>
        <v>#N/A</v>
      </c>
      <c r="Q13" s="14" t="e">
        <f>HARMEAN(Todas!Q219:Q222)</f>
        <v>#N/A</v>
      </c>
      <c r="R13" s="14">
        <f>HARMEAN(Todas!R219:R222)</f>
        <v>0.53165656262743444</v>
      </c>
      <c r="S13" s="14" t="e">
        <f>HARMEAN(Todas!S219:S222)</f>
        <v>#N/A</v>
      </c>
      <c r="T13" s="14" t="e">
        <f>HARMEAN(Todas!T219:T222)</f>
        <v>#N/A</v>
      </c>
      <c r="U13" s="14">
        <f>HARMEAN(Todas!U219:U222)</f>
        <v>3.317879210829898</v>
      </c>
      <c r="V13" s="14">
        <f>HARMEAN(Todas!V219:V222)</f>
        <v>0.53165656262743444</v>
      </c>
      <c r="W13" s="14">
        <f>HARMEAN(Todas!W219:W222)</f>
        <v>2.3591459279032061</v>
      </c>
    </row>
    <row r="14" spans="1:23">
      <c r="A14" t="s">
        <v>182</v>
      </c>
      <c r="B14" t="s">
        <v>259</v>
      </c>
      <c r="C14" s="20" t="s">
        <v>163</v>
      </c>
      <c r="D14" s="14">
        <f>HARMEAN(Todas!D223:D226)</f>
        <v>1996.0000000000002</v>
      </c>
      <c r="E14" s="14">
        <f>HARMEAN(Todas!E223:E226)</f>
        <v>12</v>
      </c>
      <c r="F14" s="14">
        <f>HARMEAN(Todas!F223:F226)</f>
        <v>15</v>
      </c>
      <c r="G14" s="15">
        <f>HARMEAN(Todas!G223:G226)</f>
        <v>350.16999999999996</v>
      </c>
      <c r="H14" s="15">
        <f>HARMEAN(Todas!H223:H226)</f>
        <v>1985.4290561192875</v>
      </c>
      <c r="I14" s="14" t="e">
        <f>HARMEAN(Todas!I223:I226)</f>
        <v>#N/A</v>
      </c>
      <c r="J14" s="14" t="e">
        <f>HARMEAN(Todas!J223:J226)</f>
        <v>#N/A</v>
      </c>
      <c r="K14" s="14">
        <f>HARMEAN(Todas!K223:K226)</f>
        <v>4.504935242716047</v>
      </c>
      <c r="L14" s="14" t="e">
        <f>HARMEAN(Todas!L223:L226)</f>
        <v>#N/A</v>
      </c>
      <c r="M14" s="14" t="e">
        <f>HARMEAN(Todas!M223:M226)</f>
        <v>#N/A</v>
      </c>
      <c r="N14" s="14" t="e">
        <f>HARMEAN(Todas!N223:N226)</f>
        <v>#N/A</v>
      </c>
      <c r="O14" s="14">
        <f>HARMEAN(Todas!O223:O226)</f>
        <v>3.3050417423397569</v>
      </c>
      <c r="P14" s="14" t="e">
        <f>HARMEAN(Todas!P223:P226)</f>
        <v>#N/A</v>
      </c>
      <c r="Q14" s="14" t="e">
        <f>HARMEAN(Todas!Q223:Q226)</f>
        <v>#N/A</v>
      </c>
      <c r="R14" s="14">
        <f>HARMEAN(Todas!R223:R226)</f>
        <v>0.64863806732232132</v>
      </c>
      <c r="S14" s="14" t="e">
        <f>HARMEAN(Todas!S223:S226)</f>
        <v>#N/A</v>
      </c>
      <c r="T14" s="14" t="e">
        <f>HARMEAN(Todas!T223:T226)</f>
        <v>#N/A</v>
      </c>
      <c r="U14" s="14">
        <f>HARMEAN(Todas!U223:U226)</f>
        <v>3.3050417423397569</v>
      </c>
      <c r="V14" s="14">
        <f>HARMEAN(Todas!V223:V226)</f>
        <v>0.64863806732232132</v>
      </c>
      <c r="W14" s="14">
        <f>HARMEAN(Todas!W223:W226)</f>
        <v>2.2307108057874516</v>
      </c>
    </row>
    <row r="15" spans="1:23">
      <c r="A15" t="s">
        <v>182</v>
      </c>
      <c r="B15" t="s">
        <v>259</v>
      </c>
      <c r="C15" s="20" t="s">
        <v>163</v>
      </c>
      <c r="D15" s="14">
        <f>HARMEAN(Todas!D227:D230)</f>
        <v>1997.0000000000002</v>
      </c>
      <c r="E15" s="14">
        <f>HARMEAN(Todas!E227:E230)</f>
        <v>2</v>
      </c>
      <c r="F15" s="14">
        <f>HARMEAN(Todas!F227:F230)</f>
        <v>15</v>
      </c>
      <c r="G15" s="15">
        <f>HARMEAN(Todas!G227:G230)</f>
        <v>45.47</v>
      </c>
      <c r="H15" s="15">
        <f>HARMEAN(Todas!H227:H230)</f>
        <v>4557.9130425083413</v>
      </c>
      <c r="I15" s="14" t="e">
        <f>HARMEAN(Todas!I227:I230)</f>
        <v>#N/A</v>
      </c>
      <c r="J15" s="14" t="e">
        <f>HARMEAN(Todas!J227:J230)</f>
        <v>#N/A</v>
      </c>
      <c r="K15" s="14">
        <f>HARMEAN(Todas!K227:K230)</f>
        <v>12.108258058810188</v>
      </c>
      <c r="L15" s="14" t="e">
        <f>HARMEAN(Todas!L227:L230)</f>
        <v>#N/A</v>
      </c>
      <c r="M15" s="14" t="e">
        <f>HARMEAN(Todas!M227:M230)</f>
        <v>#N/A</v>
      </c>
      <c r="N15" s="14" t="e">
        <f>HARMEAN(Todas!N227:N230)</f>
        <v>#N/A</v>
      </c>
      <c r="O15" s="14">
        <f>HARMEAN(Todas!O227:O230)</f>
        <v>3.6632892456902346</v>
      </c>
      <c r="P15" s="14" t="e">
        <f>HARMEAN(Todas!P227:P230)</f>
        <v>#N/A</v>
      </c>
      <c r="Q15" s="14" t="e">
        <f>HARMEAN(Todas!Q227:Q230)</f>
        <v>#N/A</v>
      </c>
      <c r="R15" s="14">
        <f>HARMEAN(Todas!R227:R230)</f>
        <v>1.0843738574847128</v>
      </c>
      <c r="S15" s="14" t="e">
        <f>HARMEAN(Todas!S227:S230)</f>
        <v>#N/A</v>
      </c>
      <c r="T15" s="14" t="e">
        <f>HARMEAN(Todas!T227:T230)</f>
        <v>#N/A</v>
      </c>
      <c r="U15" s="14">
        <f>HARMEAN(Todas!U227:U230)</f>
        <v>3.6632892456902346</v>
      </c>
      <c r="V15" s="14">
        <f>HARMEAN(Todas!V227:V230)</f>
        <v>1.0843738574847128</v>
      </c>
      <c r="W15" s="14">
        <f>HARMEAN(Todas!W227:W230)</f>
        <v>1.7348237500874062</v>
      </c>
    </row>
    <row r="16" spans="1:23">
      <c r="A16" t="s">
        <v>182</v>
      </c>
      <c r="B16" t="s">
        <v>259</v>
      </c>
      <c r="C16" s="20" t="s">
        <v>163</v>
      </c>
      <c r="D16" s="14">
        <f>HARMEAN(Todas!D231:D234)</f>
        <v>1997.0000000000002</v>
      </c>
      <c r="E16" s="14">
        <f>HARMEAN(Todas!E231:E234)</f>
        <v>3</v>
      </c>
      <c r="F16" s="14">
        <f>HARMEAN(Todas!F231:F234)</f>
        <v>15</v>
      </c>
      <c r="G16" s="15">
        <f>HARMEAN(Todas!G231:G234)</f>
        <v>75.94</v>
      </c>
      <c r="H16" s="15">
        <f>HARMEAN(Todas!H231:H234)</f>
        <v>5259.8496326286113</v>
      </c>
      <c r="I16" s="14" t="e">
        <f>HARMEAN(Todas!I231:I234)</f>
        <v>#N/A</v>
      </c>
      <c r="J16" s="14" t="e">
        <f>HARMEAN(Todas!J231:J234)</f>
        <v>#N/A</v>
      </c>
      <c r="K16" s="14">
        <f>HARMEAN(Todas!K231:K234)</f>
        <v>14.653220725557414</v>
      </c>
      <c r="L16" s="14" t="e">
        <f>HARMEAN(Todas!L231:L234)</f>
        <v>#N/A</v>
      </c>
      <c r="M16" s="14" t="e">
        <f>HARMEAN(Todas!M231:M234)</f>
        <v>#N/A</v>
      </c>
      <c r="N16" s="14" t="e">
        <f>HARMEAN(Todas!N231:N234)</f>
        <v>#N/A</v>
      </c>
      <c r="O16" s="14">
        <f>HARMEAN(Todas!O231:O234)</f>
        <v>3.7422965103203447</v>
      </c>
      <c r="P16" s="14" t="e">
        <f>HARMEAN(Todas!P231:P234)</f>
        <v>#N/A</v>
      </c>
      <c r="Q16" s="14" t="e">
        <f>HARMEAN(Todas!Q231:Q234)</f>
        <v>#N/A</v>
      </c>
      <c r="R16" s="14">
        <f>HARMEAN(Todas!R231:R234)</f>
        <v>1.1686489381537761</v>
      </c>
      <c r="S16" s="14" t="e">
        <f>HARMEAN(Todas!S231:S234)</f>
        <v>#N/A</v>
      </c>
      <c r="T16" s="14" t="e">
        <f>HARMEAN(Todas!T231:T234)</f>
        <v>#N/A</v>
      </c>
      <c r="U16" s="14">
        <f>HARMEAN(Todas!U231:U234)</f>
        <v>3.7422965103203447</v>
      </c>
      <c r="V16" s="14">
        <f>HARMEAN(Todas!V231:V234)</f>
        <v>1.1686489381537761</v>
      </c>
      <c r="W16" s="14">
        <f>HARMEAN(Todas!W231:W234)</f>
        <v>1.6205164908984702</v>
      </c>
    </row>
    <row r="17" spans="1:23">
      <c r="A17" t="s">
        <v>182</v>
      </c>
      <c r="B17" t="s">
        <v>259</v>
      </c>
      <c r="C17" s="20" t="s">
        <v>163</v>
      </c>
      <c r="D17" s="14">
        <f>HARMEAN(Todas!D235:D238)</f>
        <v>1997.0000000000002</v>
      </c>
      <c r="E17" s="14">
        <f>HARMEAN(Todas!E235:E238)</f>
        <v>5</v>
      </c>
      <c r="F17" s="14">
        <f>HARMEAN(Todas!F235:F238)</f>
        <v>15</v>
      </c>
      <c r="G17" s="15">
        <f>HARMEAN(Todas!G235:G238)</f>
        <v>136.88</v>
      </c>
      <c r="H17" s="15">
        <f>HARMEAN(Todas!H235:H238)</f>
        <v>6373.4298160312683</v>
      </c>
      <c r="I17" s="14" t="e">
        <f>HARMEAN(Todas!I235:I238)</f>
        <v>#N/A</v>
      </c>
      <c r="J17" s="14" t="e">
        <f>HARMEAN(Todas!J235:J238)</f>
        <v>#N/A</v>
      </c>
      <c r="K17" s="14">
        <f>HARMEAN(Todas!K235:K238)</f>
        <v>13.620373119039735</v>
      </c>
      <c r="L17" s="14" t="e">
        <f>HARMEAN(Todas!L235:L238)</f>
        <v>#N/A</v>
      </c>
      <c r="M17" s="14" t="e">
        <f>HARMEAN(Todas!M235:M238)</f>
        <v>#N/A</v>
      </c>
      <c r="N17" s="14" t="e">
        <f>HARMEAN(Todas!N235:N238)</f>
        <v>#N/A</v>
      </c>
      <c r="O17" s="14">
        <f>HARMEAN(Todas!O235:O238)</f>
        <v>3.8070821620910116</v>
      </c>
      <c r="P17" s="14" t="e">
        <f>HARMEAN(Todas!P235:P238)</f>
        <v>#N/A</v>
      </c>
      <c r="Q17" s="14" t="e">
        <f>HARMEAN(Todas!Q235:Q238)</f>
        <v>#N/A</v>
      </c>
      <c r="R17" s="14">
        <f>HARMEAN(Todas!R235:R238)</f>
        <v>1.1355930888135457</v>
      </c>
      <c r="S17" s="14" t="e">
        <f>HARMEAN(Todas!S235:S238)</f>
        <v>#N/A</v>
      </c>
      <c r="T17" s="14" t="e">
        <f>HARMEAN(Todas!T235:T238)</f>
        <v>#N/A</v>
      </c>
      <c r="U17" s="14">
        <f>HARMEAN(Todas!U235:U238)</f>
        <v>3.8070821620910116</v>
      </c>
      <c r="V17" s="14">
        <f>HARMEAN(Todas!V235:V238)</f>
        <v>1.1355930888135457</v>
      </c>
      <c r="W17" s="14">
        <f>HARMEAN(Todas!W235:W238)</f>
        <v>1.6449766835048154</v>
      </c>
    </row>
    <row r="18" spans="1:23">
      <c r="A18" t="s">
        <v>182</v>
      </c>
      <c r="B18" t="s">
        <v>259</v>
      </c>
      <c r="C18" s="20" t="s">
        <v>164</v>
      </c>
      <c r="D18" s="14">
        <f>HARMEAN(Todas!D239:D243)</f>
        <v>1997.0000000000002</v>
      </c>
      <c r="E18" s="14">
        <f>HARMEAN(Todas!E239:E243)</f>
        <v>5</v>
      </c>
      <c r="F18" s="14">
        <f>HARMEAN(Todas!F239:F243)</f>
        <v>15</v>
      </c>
      <c r="G18" s="15">
        <f>HARMEAN(Todas!G239:G243)</f>
        <v>136.88</v>
      </c>
      <c r="H18" s="15">
        <f>HARMEAN(Todas!H239:H243)</f>
        <v>1919.4226362583433</v>
      </c>
      <c r="I18" s="14" t="e">
        <f>HARMEAN(Todas!I239:I243)</f>
        <v>#N/A</v>
      </c>
      <c r="J18" s="14" t="e">
        <f>HARMEAN(Todas!J239:J243)</f>
        <v>#N/A</v>
      </c>
      <c r="K18" s="14">
        <f>HARMEAN(Todas!K239:K243)</f>
        <v>1.8287956933647527</v>
      </c>
      <c r="L18" s="14" t="e">
        <f>HARMEAN(Todas!L239:L243)</f>
        <v>#N/A</v>
      </c>
      <c r="M18" s="14" t="e">
        <f>HARMEAN(Todas!M239:M243)</f>
        <v>#N/A</v>
      </c>
      <c r="N18" s="14" t="e">
        <f>HARMEAN(Todas!N239:N243)</f>
        <v>#N/A</v>
      </c>
      <c r="O18" s="14">
        <f>HARMEAN(Todas!O239:O243)</f>
        <v>3.289601483224919</v>
      </c>
      <c r="P18" s="14" t="e">
        <f>HARMEAN(Todas!P239:P243)</f>
        <v>#N/A</v>
      </c>
      <c r="Q18" s="14" t="e">
        <f>HARMEAN(Todas!Q239:Q243)</f>
        <v>#N/A</v>
      </c>
      <c r="R18" s="14">
        <f>HARMEAN(Todas!R239:R243)</f>
        <v>0.23321406711205298</v>
      </c>
      <c r="S18" s="14" t="e">
        <f>HARMEAN(Todas!S239:S243)</f>
        <v>#N/A</v>
      </c>
      <c r="T18" s="14" t="e">
        <f>HARMEAN(Todas!T239:T243)</f>
        <v>#N/A</v>
      </c>
      <c r="U18" s="14">
        <f>HARMEAN(Todas!U239:U243)</f>
        <v>3.289601483224919</v>
      </c>
      <c r="V18" s="14">
        <f>HARMEAN(Todas!V239:V243)</f>
        <v>0.23321406711205298</v>
      </c>
      <c r="W18" s="14">
        <f>HARMEAN(Todas!W239:W243)</f>
        <v>2.625949971078315</v>
      </c>
    </row>
    <row r="19" spans="1:23">
      <c r="A19" t="s">
        <v>182</v>
      </c>
      <c r="B19" t="s">
        <v>259</v>
      </c>
      <c r="C19" s="20" t="s">
        <v>165</v>
      </c>
      <c r="D19" s="14">
        <f>HARMEAN(Todas!D244:D248)</f>
        <v>1997.0000000000002</v>
      </c>
      <c r="E19" s="14">
        <f>HARMEAN(Todas!E244:E248)</f>
        <v>5</v>
      </c>
      <c r="F19" s="14">
        <f>HARMEAN(Todas!F244:F248)</f>
        <v>15</v>
      </c>
      <c r="G19" s="15">
        <f>HARMEAN(Todas!G244:G248)</f>
        <v>136.88</v>
      </c>
      <c r="H19" s="15">
        <f>HARMEAN(Todas!H244:H248)</f>
        <v>10675.469852933007</v>
      </c>
      <c r="I19" s="14" t="e">
        <f>HARMEAN(Todas!I244:I248)</f>
        <v>#N/A</v>
      </c>
      <c r="J19" s="14" t="e">
        <f>HARMEAN(Todas!J244:J248)</f>
        <v>#N/A</v>
      </c>
      <c r="K19" s="14">
        <f>HARMEAN(Todas!K244:K248)</f>
        <v>33.000278450689216</v>
      </c>
      <c r="L19" s="14" t="e">
        <f>HARMEAN(Todas!L244:L248)</f>
        <v>#N/A</v>
      </c>
      <c r="M19" s="14" t="e">
        <f>HARMEAN(Todas!M244:M248)</f>
        <v>#N/A</v>
      </c>
      <c r="N19" s="14" t="e">
        <f>HARMEAN(Todas!N244:N248)</f>
        <v>#N/A</v>
      </c>
      <c r="O19" s="14">
        <f>HARMEAN(Todas!O244:O248)</f>
        <v>4.0313339789403138</v>
      </c>
      <c r="P19" s="14" t="e">
        <f>HARMEAN(Todas!P244:P248)</f>
        <v>#N/A</v>
      </c>
      <c r="Q19" s="14" t="e">
        <f>HARMEAN(Todas!Q244:Q248)</f>
        <v>#N/A</v>
      </c>
      <c r="R19" s="14">
        <f>HARMEAN(Todas!R244:R248)</f>
        <v>1.5199813762614705</v>
      </c>
      <c r="S19" s="14" t="e">
        <f>HARMEAN(Todas!S244:S248)</f>
        <v>#N/A</v>
      </c>
      <c r="T19" s="14" t="e">
        <f>HARMEAN(Todas!T244:T248)</f>
        <v>#N/A</v>
      </c>
      <c r="U19" s="14">
        <f>HARMEAN(Todas!U244:U248)</f>
        <v>4.0313339789403138</v>
      </c>
      <c r="V19" s="14">
        <f>HARMEAN(Todas!V244:V248)</f>
        <v>1.5199813762614705</v>
      </c>
      <c r="W19" s="14">
        <f>HARMEAN(Todas!W244:W248)</f>
        <v>1.214523911043403</v>
      </c>
    </row>
    <row r="20" spans="1:23">
      <c r="A20" t="s">
        <v>182</v>
      </c>
      <c r="B20" t="s">
        <v>259</v>
      </c>
      <c r="C20" s="20" t="s">
        <v>166</v>
      </c>
      <c r="D20" s="14">
        <f>HARMEAN(Todas!D249:D253)</f>
        <v>1997.0000000000002</v>
      </c>
      <c r="E20" s="14">
        <f>HARMEAN(Todas!E249:E253)</f>
        <v>4</v>
      </c>
      <c r="F20" s="14">
        <f>HARMEAN(Todas!F249:F253)</f>
        <v>15</v>
      </c>
      <c r="G20" s="15">
        <f>HARMEAN(Todas!G249:G253)</f>
        <v>106.40999999999998</v>
      </c>
      <c r="H20" s="15">
        <f>HARMEAN(Todas!H249:H253)</f>
        <v>2023.824841236001</v>
      </c>
      <c r="I20" s="14" t="e">
        <f>HARMEAN(Todas!I249:I253)</f>
        <v>#N/A</v>
      </c>
      <c r="J20" s="14" t="e">
        <f>HARMEAN(Todas!J249:J253)</f>
        <v>#N/A</v>
      </c>
      <c r="K20" s="14">
        <f>HARMEAN(Todas!K249:K253)</f>
        <v>14.18655354164885</v>
      </c>
      <c r="L20" s="14" t="e">
        <f>HARMEAN(Todas!L249:L253)</f>
        <v>#N/A</v>
      </c>
      <c r="M20" s="14" t="e">
        <f>HARMEAN(Todas!M249:M253)</f>
        <v>#N/A</v>
      </c>
      <c r="N20" s="14" t="e">
        <f>HARMEAN(Todas!N249:N253)</f>
        <v>#N/A</v>
      </c>
      <c r="O20" s="14">
        <f>HARMEAN(Todas!O249:O253)</f>
        <v>3.3235298125644874</v>
      </c>
      <c r="P20" s="14" t="e">
        <f>HARMEAN(Todas!P249:P253)</f>
        <v>#N/A</v>
      </c>
      <c r="Q20" s="14" t="e">
        <f>HARMEAN(Todas!Q249:Q253)</f>
        <v>#N/A</v>
      </c>
      <c r="R20" s="14">
        <f>HARMEAN(Todas!R249:R253)</f>
        <v>1.1525532659373297</v>
      </c>
      <c r="S20" s="14" t="e">
        <f>HARMEAN(Todas!S249:S253)</f>
        <v>#N/A</v>
      </c>
      <c r="T20" s="14" t="e">
        <f>HARMEAN(Todas!T249:T253)</f>
        <v>#N/A</v>
      </c>
      <c r="U20" s="14">
        <f>HARMEAN(Todas!U249:U253)</f>
        <v>3.3235298125644874</v>
      </c>
      <c r="V20" s="14">
        <f>HARMEAN(Todas!V249:V253)</f>
        <v>1.1525532659373297</v>
      </c>
      <c r="W20" s="14">
        <f>HARMEAN(Todas!W249:W253)</f>
        <v>1.7736121619671781</v>
      </c>
    </row>
    <row r="21" spans="1:23">
      <c r="A21" t="s">
        <v>182</v>
      </c>
      <c r="B21" t="s">
        <v>259</v>
      </c>
      <c r="C21" s="20" t="s">
        <v>167</v>
      </c>
      <c r="D21" s="14">
        <f>HARMEAN(Todas!D254:D258)</f>
        <v>1997.0000000000002</v>
      </c>
      <c r="E21" s="14">
        <f>HARMEAN(Todas!E254:E258)</f>
        <v>4</v>
      </c>
      <c r="F21" s="14">
        <f>HARMEAN(Todas!F254:F258)</f>
        <v>15</v>
      </c>
      <c r="G21" s="15">
        <f>HARMEAN(Todas!G254:G258)</f>
        <v>106.40999999999998</v>
      </c>
      <c r="H21" s="15">
        <f>HARMEAN(Todas!H254:H258)</f>
        <v>2395.1032800175026</v>
      </c>
      <c r="I21" s="14" t="e">
        <f>HARMEAN(Todas!I254:I258)</f>
        <v>#N/A</v>
      </c>
      <c r="J21" s="14" t="e">
        <f>HARMEAN(Todas!J254:J258)</f>
        <v>#N/A</v>
      </c>
      <c r="K21" s="14">
        <f>HARMEAN(Todas!K254:K258)</f>
        <v>14.143103277547839</v>
      </c>
      <c r="L21" s="14" t="e">
        <f>HARMEAN(Todas!L254:L258)</f>
        <v>#N/A</v>
      </c>
      <c r="M21" s="14" t="e">
        <f>HARMEAN(Todas!M254:M258)</f>
        <v>#N/A</v>
      </c>
      <c r="N21" s="14" t="e">
        <f>HARMEAN(Todas!N254:N258)</f>
        <v>#N/A</v>
      </c>
      <c r="O21" s="14">
        <f>HARMEAN(Todas!O254:O258)</f>
        <v>3.3811431779570555</v>
      </c>
      <c r="P21" s="14" t="e">
        <f>HARMEAN(Todas!P254:P258)</f>
        <v>#N/A</v>
      </c>
      <c r="Q21" s="14" t="e">
        <f>HARMEAN(Todas!Q254:Q258)</f>
        <v>#N/A</v>
      </c>
      <c r="R21" s="14">
        <f>HARMEAN(Todas!R254:R258)</f>
        <v>1.1508860356985029</v>
      </c>
      <c r="S21" s="14" t="e">
        <f>HARMEAN(Todas!S254:S258)</f>
        <v>#N/A</v>
      </c>
      <c r="T21" s="14" t="e">
        <f>HARMEAN(Todas!T254:T258)</f>
        <v>#N/A</v>
      </c>
      <c r="U21" s="14">
        <f>HARMEAN(Todas!U254:U258)</f>
        <v>3.3811431779570555</v>
      </c>
      <c r="V21" s="14">
        <f>HARMEAN(Todas!V254:V258)</f>
        <v>1.1508860356985029</v>
      </c>
      <c r="W21" s="14">
        <f>HARMEAN(Todas!W254:W258)</f>
        <v>1.7641746527220576</v>
      </c>
    </row>
    <row r="22" spans="1:23">
      <c r="A22" t="s">
        <v>182</v>
      </c>
      <c r="B22" t="s">
        <v>259</v>
      </c>
      <c r="C22" s="20" t="s">
        <v>168</v>
      </c>
      <c r="D22" s="14">
        <f>HARMEAN(Todas!D259:D263)</f>
        <v>1997.0000000000002</v>
      </c>
      <c r="E22" s="14">
        <f>HARMEAN(Todas!E259:E263)</f>
        <v>4</v>
      </c>
      <c r="F22" s="14">
        <f>HARMEAN(Todas!F259:F263)</f>
        <v>15</v>
      </c>
      <c r="G22" s="15">
        <f>HARMEAN(Todas!G259:G263)</f>
        <v>106.40999999999998</v>
      </c>
      <c r="H22" s="15">
        <f>HARMEAN(Todas!H259:H263)</f>
        <v>6339.5670888190098</v>
      </c>
      <c r="I22" s="14" t="e">
        <f>HARMEAN(Todas!I259:I263)</f>
        <v>#N/A</v>
      </c>
      <c r="J22" s="14" t="e">
        <f>HARMEAN(Todas!J259:J263)</f>
        <v>#N/A</v>
      </c>
      <c r="K22" s="14">
        <f>HARMEAN(Todas!K259:K263)</f>
        <v>63.153456623999325</v>
      </c>
      <c r="L22" s="14" t="e">
        <f>HARMEAN(Todas!L259:L263)</f>
        <v>#N/A</v>
      </c>
      <c r="M22" s="14" t="e">
        <f>HARMEAN(Todas!M259:M263)</f>
        <v>#N/A</v>
      </c>
      <c r="N22" s="14" t="e">
        <f>HARMEAN(Todas!N259:N263)</f>
        <v>#N/A</v>
      </c>
      <c r="O22" s="14">
        <f>HARMEAN(Todas!O259:O263)</f>
        <v>3.8063876040864608</v>
      </c>
      <c r="P22" s="14" t="e">
        <f>HARMEAN(Todas!P259:P263)</f>
        <v>#N/A</v>
      </c>
      <c r="Q22" s="14" t="e">
        <f>HARMEAN(Todas!Q259:Q263)</f>
        <v>#N/A</v>
      </c>
      <c r="R22" s="14">
        <f>HARMEAN(Todas!R259:R263)</f>
        <v>1.8078183604284532</v>
      </c>
      <c r="S22" s="14" t="e">
        <f>HARMEAN(Todas!S259:S263)</f>
        <v>#N/A</v>
      </c>
      <c r="T22" s="14" t="e">
        <f>HARMEAN(Todas!T259:T263)</f>
        <v>#N/A</v>
      </c>
      <c r="U22" s="14">
        <f>HARMEAN(Todas!U259:U263)</f>
        <v>3.8063876040864608</v>
      </c>
      <c r="V22" s="14">
        <f>HARMEAN(Todas!V259:V263)</f>
        <v>1.8078183604284532</v>
      </c>
      <c r="W22" s="14">
        <f>HARMEAN(Todas!W259:W263)</f>
        <v>0.98691421108187205</v>
      </c>
    </row>
    <row r="23" spans="1:23">
      <c r="A23" t="s">
        <v>182</v>
      </c>
      <c r="B23" t="s">
        <v>259</v>
      </c>
      <c r="C23" s="20" t="s">
        <v>163</v>
      </c>
      <c r="D23" s="14">
        <f>HARMEAN(Todas!D264:D267)</f>
        <v>1997.0000000000002</v>
      </c>
      <c r="E23" s="14">
        <f>HARMEAN(Todas!E264:E267)</f>
        <v>5</v>
      </c>
      <c r="F23" s="14">
        <f>HARMEAN(Todas!F264:F267)</f>
        <v>15</v>
      </c>
      <c r="G23" s="15">
        <f>HARMEAN(Todas!G264:G267)</f>
        <v>136.88</v>
      </c>
      <c r="H23" s="15">
        <f>HARMEAN(Todas!H264:H267)</f>
        <v>5172.0240731828826</v>
      </c>
      <c r="I23" s="14" t="e">
        <f>HARMEAN(Todas!I264:I267)</f>
        <v>#N/A</v>
      </c>
      <c r="J23" s="14" t="e">
        <f>HARMEAN(Todas!J264:J267)</f>
        <v>#N/A</v>
      </c>
      <c r="K23" s="14">
        <f>HARMEAN(Todas!K264:K267)</f>
        <v>32.889478472458144</v>
      </c>
      <c r="L23" s="14" t="e">
        <f>HARMEAN(Todas!L264:L267)</f>
        <v>#N/A</v>
      </c>
      <c r="M23" s="14" t="e">
        <f>HARMEAN(Todas!M264:M267)</f>
        <v>#N/A</v>
      </c>
      <c r="N23" s="14" t="e">
        <f>HARMEAN(Todas!N264:N267)</f>
        <v>#N/A</v>
      </c>
      <c r="O23" s="14">
        <f>HARMEAN(Todas!O264:O267)</f>
        <v>3.7173328328071475</v>
      </c>
      <c r="P23" s="14" t="e">
        <f>HARMEAN(Todas!P264:P267)</f>
        <v>#N/A</v>
      </c>
      <c r="Q23" s="14" t="e">
        <f>HARMEAN(Todas!Q264:Q267)</f>
        <v>#N/A</v>
      </c>
      <c r="R23" s="14">
        <f>HARMEAN(Todas!R264:R267)</f>
        <v>1.5184655025575688</v>
      </c>
      <c r="S23" s="14" t="e">
        <f>HARMEAN(Todas!S264:S267)</f>
        <v>#N/A</v>
      </c>
      <c r="T23" s="14" t="e">
        <f>HARMEAN(Todas!T264:T267)</f>
        <v>#N/A</v>
      </c>
      <c r="U23" s="14">
        <f>HARMEAN(Todas!U264:U267)</f>
        <v>3.7173328328071475</v>
      </c>
      <c r="V23" s="14">
        <f>HARMEAN(Todas!V264:V267)</f>
        <v>1.5184655025575688</v>
      </c>
      <c r="W23" s="14">
        <f>HARMEAN(Todas!W264:W267)</f>
        <v>1.3091014170570998</v>
      </c>
    </row>
    <row r="24" spans="1:23">
      <c r="A24" t="s">
        <v>182</v>
      </c>
      <c r="B24" t="s">
        <v>259</v>
      </c>
      <c r="C24" s="20" t="s">
        <v>169</v>
      </c>
      <c r="D24" s="14">
        <f>HARMEAN(Todas!D268:D272)</f>
        <v>1997.0000000000002</v>
      </c>
      <c r="E24" s="14">
        <f>HARMEAN(Todas!E268:E272)</f>
        <v>5</v>
      </c>
      <c r="F24" s="14">
        <f>HARMEAN(Todas!F268:F272)</f>
        <v>15</v>
      </c>
      <c r="G24" s="15">
        <f>HARMEAN(Todas!G268:G272)</f>
        <v>136.88</v>
      </c>
      <c r="H24" s="15">
        <f>HARMEAN(Todas!H268:H272)</f>
        <v>3795.6966795379922</v>
      </c>
      <c r="I24" s="14" t="e">
        <f>HARMEAN(Todas!I268:I272)</f>
        <v>#N/A</v>
      </c>
      <c r="J24" s="14" t="e">
        <f>HARMEAN(Todas!J268:J272)</f>
        <v>#N/A</v>
      </c>
      <c r="K24" s="14">
        <f>HARMEAN(Todas!K268:K272)</f>
        <v>21.902051488494148</v>
      </c>
      <c r="L24" s="14" t="e">
        <f>HARMEAN(Todas!L268:L272)</f>
        <v>#N/A</v>
      </c>
      <c r="M24" s="14" t="e">
        <f>HARMEAN(Todas!M268:M272)</f>
        <v>#N/A</v>
      </c>
      <c r="N24" s="14" t="e">
        <f>HARMEAN(Todas!N268:N272)</f>
        <v>#N/A</v>
      </c>
      <c r="O24" s="14">
        <f>HARMEAN(Todas!O268:O272)</f>
        <v>3.6092212442662897</v>
      </c>
      <c r="P24" s="14" t="e">
        <f>HARMEAN(Todas!P268:P272)</f>
        <v>#N/A</v>
      </c>
      <c r="Q24" s="14" t="e">
        <f>HARMEAN(Todas!Q268:Q272)</f>
        <v>#N/A</v>
      </c>
      <c r="R24" s="14">
        <f>HARMEAN(Todas!R268:R272)</f>
        <v>1.3546621993529726</v>
      </c>
      <c r="S24" s="14" t="e">
        <f>HARMEAN(Todas!S268:S272)</f>
        <v>#N/A</v>
      </c>
      <c r="T24" s="14" t="e">
        <f>HARMEAN(Todas!T268:T272)</f>
        <v>#N/A</v>
      </c>
      <c r="U24" s="14">
        <f>HARMEAN(Todas!U268:U272)</f>
        <v>3.6092212442662897</v>
      </c>
      <c r="V24" s="14">
        <f>HARMEAN(Todas!V268:V272)</f>
        <v>1.3546621993529726</v>
      </c>
      <c r="W24" s="14">
        <f>HARMEAN(Todas!W268:W272)</f>
        <v>1.4323302279918226</v>
      </c>
    </row>
    <row r="25" spans="1:23">
      <c r="A25" t="s">
        <v>182</v>
      </c>
      <c r="B25" t="s">
        <v>259</v>
      </c>
      <c r="C25" s="20" t="s">
        <v>170</v>
      </c>
      <c r="D25" s="14">
        <f>HARMEAN(Todas!D273:D277)</f>
        <v>1997.0000000000002</v>
      </c>
      <c r="E25" s="14">
        <f>HARMEAN(Todas!E273:E277)</f>
        <v>4</v>
      </c>
      <c r="F25" s="14">
        <f>HARMEAN(Todas!F273:F277)</f>
        <v>15</v>
      </c>
      <c r="G25" s="15">
        <f>HARMEAN(Todas!G273:G277)</f>
        <v>106.40999999999998</v>
      </c>
      <c r="H25" s="15">
        <f>HARMEAN(Todas!H273:H277)</f>
        <v>2710.4992064603539</v>
      </c>
      <c r="I25" s="14" t="e">
        <f>HARMEAN(Todas!I273:I277)</f>
        <v>#N/A</v>
      </c>
      <c r="J25" s="14" t="e">
        <f>HARMEAN(Todas!J273:J277)</f>
        <v>#N/A</v>
      </c>
      <c r="K25" s="14">
        <f>HARMEAN(Todas!K273:K277)</f>
        <v>6.4225108887108036</v>
      </c>
      <c r="L25" s="14" t="e">
        <f>HARMEAN(Todas!L273:L277)</f>
        <v>#N/A</v>
      </c>
      <c r="M25" s="14" t="e">
        <f>HARMEAN(Todas!M273:M277)</f>
        <v>#N/A</v>
      </c>
      <c r="N25" s="14" t="e">
        <f>HARMEAN(Todas!N273:N277)</f>
        <v>#N/A</v>
      </c>
      <c r="O25" s="14">
        <f>HARMEAN(Todas!O273:O277)</f>
        <v>3.4425506295841841</v>
      </c>
      <c r="P25" s="14" t="e">
        <f>HARMEAN(Todas!P273:P277)</f>
        <v>#N/A</v>
      </c>
      <c r="Q25" s="14" t="e">
        <f>HARMEAN(Todas!Q273:Q277)</f>
        <v>#N/A</v>
      </c>
      <c r="R25" s="14">
        <f>HARMEAN(Todas!R273:R277)</f>
        <v>0.80398885089977989</v>
      </c>
      <c r="S25" s="14" t="e">
        <f>HARMEAN(Todas!S273:S277)</f>
        <v>#N/A</v>
      </c>
      <c r="T25" s="14" t="e">
        <f>HARMEAN(Todas!T273:T277)</f>
        <v>#N/A</v>
      </c>
      <c r="U25" s="14">
        <f>HARMEAN(Todas!U273:U277)</f>
        <v>3.4425506295841841</v>
      </c>
      <c r="V25" s="14">
        <f>HARMEAN(Todas!V273:V277)</f>
        <v>0.80398885089977989</v>
      </c>
      <c r="W25" s="14">
        <f>HARMEAN(Todas!W273:W277)</f>
        <v>2.0403522752602536</v>
      </c>
    </row>
    <row r="26" spans="1:23">
      <c r="A26" t="s">
        <v>182</v>
      </c>
      <c r="B26" t="s">
        <v>259</v>
      </c>
      <c r="C26" s="20" t="s">
        <v>171</v>
      </c>
      <c r="D26" s="14">
        <f>HARMEAN(Todas!D278:D281)</f>
        <v>1997.0000000000002</v>
      </c>
      <c r="E26" s="14">
        <f>HARMEAN(Todas!E278:E281)</f>
        <v>4</v>
      </c>
      <c r="F26" s="14">
        <f>HARMEAN(Todas!F278:F281)</f>
        <v>15</v>
      </c>
      <c r="G26" s="15">
        <f>HARMEAN(Todas!G278:G281)</f>
        <v>106.40999999999998</v>
      </c>
      <c r="H26" s="15">
        <f>HARMEAN(Todas!H278:H281)</f>
        <v>10931.510859023942</v>
      </c>
      <c r="I26" s="14" t="e">
        <f>HARMEAN(Todas!I278:I281)</f>
        <v>#N/A</v>
      </c>
      <c r="J26" s="14" t="e">
        <f>HARMEAN(Todas!J278:J281)</f>
        <v>#N/A</v>
      </c>
      <c r="K26" s="14">
        <f>HARMEAN(Todas!K278:K281)</f>
        <v>7.6942384717439092</v>
      </c>
      <c r="L26" s="14" t="e">
        <f>HARMEAN(Todas!L278:L281)</f>
        <v>#N/A</v>
      </c>
      <c r="M26" s="14" t="e">
        <f>HARMEAN(Todas!M278:M281)</f>
        <v>#N/A</v>
      </c>
      <c r="N26" s="14" t="e">
        <f>HARMEAN(Todas!N278:N281)</f>
        <v>#N/A</v>
      </c>
      <c r="O26" s="14">
        <f>HARMEAN(Todas!O278:O281)</f>
        <v>4.0464099490883862</v>
      </c>
      <c r="P26" s="14" t="e">
        <f>HARMEAN(Todas!P278:P281)</f>
        <v>#N/A</v>
      </c>
      <c r="Q26" s="14" t="e">
        <f>HARMEAN(Todas!Q278:Q281)</f>
        <v>#N/A</v>
      </c>
      <c r="R26" s="14">
        <f>HARMEAN(Todas!R278:R281)</f>
        <v>0.88648749479894506</v>
      </c>
      <c r="S26" s="14" t="e">
        <f>HARMEAN(Todas!S278:S281)</f>
        <v>#N/A</v>
      </c>
      <c r="T26" s="14" t="e">
        <f>HARMEAN(Todas!T278:T281)</f>
        <v>#N/A</v>
      </c>
      <c r="U26" s="14">
        <f>HARMEAN(Todas!U278:U281)</f>
        <v>4.0464099490883862</v>
      </c>
      <c r="V26" s="14">
        <f>HARMEAN(Todas!V278:V281)</f>
        <v>0.88648749479894506</v>
      </c>
      <c r="W26" s="14">
        <f>HARMEAN(Todas!W278:W281)</f>
        <v>1.8027950683459575</v>
      </c>
    </row>
    <row r="27" spans="1:23">
      <c r="A27" t="s">
        <v>182</v>
      </c>
      <c r="B27" t="s">
        <v>259</v>
      </c>
      <c r="C27" s="20" t="s">
        <v>172</v>
      </c>
      <c r="D27" s="14">
        <f>HARMEAN(Todas!D283:D287)</f>
        <v>1997.0000000000002</v>
      </c>
      <c r="E27" s="14">
        <f>HARMEAN(Todas!E283:E287)</f>
        <v>4</v>
      </c>
      <c r="F27" s="14">
        <f>HARMEAN(Todas!F283:F287)</f>
        <v>15</v>
      </c>
      <c r="G27" s="15">
        <f>HARMEAN(Todas!G283:G287)</f>
        <v>106.40999999999998</v>
      </c>
      <c r="H27" s="15">
        <f>HARMEAN(Todas!H283:H287)</f>
        <v>4112.851019757898</v>
      </c>
      <c r="I27" s="14" t="e">
        <f>HARMEAN(Todas!I283:I287)</f>
        <v>#N/A</v>
      </c>
      <c r="J27" s="14" t="e">
        <f>HARMEAN(Todas!J283:J287)</f>
        <v>#N/A</v>
      </c>
      <c r="K27" s="14">
        <f>HARMEAN(Todas!K283:K287)</f>
        <v>15.428430967922584</v>
      </c>
      <c r="L27" s="14" t="e">
        <f>HARMEAN(Todas!L283:L287)</f>
        <v>#N/A</v>
      </c>
      <c r="M27" s="14" t="e">
        <f>HARMEAN(Todas!M283:M287)</f>
        <v>#N/A</v>
      </c>
      <c r="N27" s="14" t="e">
        <f>HARMEAN(Todas!N283:N287)</f>
        <v>#N/A</v>
      </c>
      <c r="O27" s="14">
        <f>HARMEAN(Todas!O283:O287)</f>
        <v>3.6335283865516561</v>
      </c>
      <c r="P27" s="14" t="e">
        <f>HARMEAN(Todas!P283:P287)</f>
        <v>#N/A</v>
      </c>
      <c r="Q27" s="14" t="e">
        <f>HARMEAN(Todas!Q283:Q287)</f>
        <v>#N/A</v>
      </c>
      <c r="R27" s="14">
        <f>HARMEAN(Todas!R283:R287)</f>
        <v>1.1950413870021532</v>
      </c>
      <c r="S27" s="14" t="e">
        <f>HARMEAN(Todas!S283:S287)</f>
        <v>#N/A</v>
      </c>
      <c r="T27" s="14" t="e">
        <f>HARMEAN(Todas!T283:T287)</f>
        <v>#N/A</v>
      </c>
      <c r="U27" s="14">
        <f>HARMEAN(Todas!U283:U287)</f>
        <v>3.6335283865516561</v>
      </c>
      <c r="V27" s="14">
        <f>HARMEAN(Todas!V283:V287)</f>
        <v>1.1950413870021532</v>
      </c>
      <c r="W27" s="14">
        <f>HARMEAN(Todas!W283:W287)</f>
        <v>1.6146133620170344</v>
      </c>
    </row>
    <row r="28" spans="1:23">
      <c r="A28" t="s">
        <v>182</v>
      </c>
      <c r="B28" t="s">
        <v>259</v>
      </c>
      <c r="C28" s="20" t="str">
        <f>Todas!C315</f>
        <v>Lower Laguna Madre</v>
      </c>
      <c r="D28" s="14">
        <f>HARMEAN(Todas!D315:D318)</f>
        <v>1995</v>
      </c>
      <c r="E28" s="14">
        <f>HARMEAN(Todas!E315:E318)</f>
        <v>6</v>
      </c>
      <c r="F28" s="14">
        <f>HARMEAN(Todas!F315:F318)</f>
        <v>2</v>
      </c>
      <c r="G28" s="15">
        <f>HARMEAN(Todas!G315:G318)</f>
        <v>154.35</v>
      </c>
      <c r="H28" s="15">
        <f>HARMEAN(Todas!H315:H318)</f>
        <v>4617.1146615745483</v>
      </c>
      <c r="I28" s="14" t="e">
        <f>HARMEAN(Todas!I315:I318)</f>
        <v>#N/A</v>
      </c>
      <c r="J28" s="14" t="e">
        <f>HARMEAN(Todas!J315:J318)</f>
        <v>#N/A</v>
      </c>
      <c r="K28" s="14">
        <f>HARMEAN(Todas!K315:K318)</f>
        <v>47.081547585637658</v>
      </c>
      <c r="L28" s="14" t="e">
        <f>HARMEAN(Todas!L315:L318)</f>
        <v>#N/A</v>
      </c>
      <c r="M28" s="14" t="e">
        <f>HARMEAN(Todas!M315:M318)</f>
        <v>#N/A</v>
      </c>
      <c r="N28" s="14" t="e">
        <f>HARMEAN(Todas!N315:N318)</f>
        <v>#N/A</v>
      </c>
      <c r="O28" s="14">
        <f>HARMEAN(Todas!O315:O318)</f>
        <v>3.6969766519408145</v>
      </c>
      <c r="P28" s="14" t="e">
        <f>HARMEAN(Todas!P315:P318)</f>
        <v>#N/A</v>
      </c>
      <c r="Q28" s="14" t="e">
        <f>HARMEAN(Todas!Q315:Q318)</f>
        <v>#N/A</v>
      </c>
      <c r="R28" s="14">
        <f>HARMEAN(Todas!R315:R318)</f>
        <v>1.7097440545863236</v>
      </c>
      <c r="S28" s="14" t="e">
        <f>HARMEAN(Todas!S315:S318)</f>
        <v>#N/A</v>
      </c>
      <c r="T28" s="14" t="e">
        <f>HARMEAN(Todas!T315:T318)</f>
        <v>#N/A</v>
      </c>
      <c r="U28" s="14">
        <f>HARMEAN(Todas!U315:U318)</f>
        <v>3.6969766519408145</v>
      </c>
      <c r="V28" s="14">
        <f>HARMEAN(Todas!V315:V318)</f>
        <v>1.7097440545863236</v>
      </c>
      <c r="W28" s="14">
        <f>HARMEAN(Todas!W315:W318)</f>
        <v>1.0260873316492574</v>
      </c>
    </row>
    <row r="29" spans="1:23">
      <c r="A29" t="s">
        <v>182</v>
      </c>
      <c r="B29" t="s">
        <v>259</v>
      </c>
      <c r="C29" s="21" t="str">
        <f>Todas!C319</f>
        <v>Lower Laguna Madre</v>
      </c>
      <c r="D29" s="14">
        <f>HARMEAN(Todas!D319:D322)</f>
        <v>1995</v>
      </c>
      <c r="E29" s="14">
        <f>HARMEAN(Todas!E319:E322)</f>
        <v>6</v>
      </c>
      <c r="F29" s="14">
        <f>HARMEAN(Todas!F319:F322)</f>
        <v>16</v>
      </c>
      <c r="G29" s="15">
        <f>HARMEAN(Todas!G319:G322)</f>
        <v>168.35</v>
      </c>
      <c r="H29" s="15">
        <f>HARMEAN(Todas!H319:H322)</f>
        <v>3701.199429045545</v>
      </c>
      <c r="I29" s="14" t="e">
        <f>HARMEAN(Todas!I319:I322)</f>
        <v>#N/A</v>
      </c>
      <c r="J29" s="14" t="e">
        <f>HARMEAN(Todas!J319:J322)</f>
        <v>#N/A</v>
      </c>
      <c r="K29" s="14">
        <f>HARMEAN(Todas!K319:K322)</f>
        <v>25.529917037522072</v>
      </c>
      <c r="L29" s="14" t="e">
        <f>HARMEAN(Todas!L319:L322)</f>
        <v>#N/A</v>
      </c>
      <c r="M29" s="14" t="e">
        <f>HARMEAN(Todas!M319:M322)</f>
        <v>#N/A</v>
      </c>
      <c r="N29" s="14" t="e">
        <f>HARMEAN(Todas!N319:N322)</f>
        <v>#N/A</v>
      </c>
      <c r="O29" s="14">
        <f>HARMEAN(Todas!O319:O322)</f>
        <v>3.6218314408698991</v>
      </c>
      <c r="P29" s="14" t="e">
        <f>HARMEAN(Todas!P319:P322)</f>
        <v>#N/A</v>
      </c>
      <c r="Q29" s="14" t="e">
        <f>HARMEAN(Todas!Q319:Q322)</f>
        <v>#N/A</v>
      </c>
      <c r="R29" s="14">
        <f>HARMEAN(Todas!R319:R322)</f>
        <v>1.4361842040716291</v>
      </c>
      <c r="S29" s="14" t="e">
        <f>HARMEAN(Todas!S319:S322)</f>
        <v>#N/A</v>
      </c>
      <c r="T29" s="14" t="e">
        <f>HARMEAN(Todas!T319:T322)</f>
        <v>#N/A</v>
      </c>
      <c r="U29" s="14">
        <f>HARMEAN(Todas!U319:U322)</f>
        <v>3.6218314408698991</v>
      </c>
      <c r="V29" s="14">
        <f>HARMEAN(Todas!V319:V322)</f>
        <v>1.4361842040716291</v>
      </c>
      <c r="W29" s="14">
        <f>HARMEAN(Todas!W319:W322)</f>
        <v>1.30743442612294</v>
      </c>
    </row>
    <row r="30" spans="1:23">
      <c r="A30" t="s">
        <v>182</v>
      </c>
      <c r="B30" t="s">
        <v>259</v>
      </c>
      <c r="C30" s="21" t="str">
        <f>Todas!C323</f>
        <v>Lower Laguna Madre</v>
      </c>
      <c r="D30" s="14">
        <f>HARMEAN(Todas!D323:D326)</f>
        <v>1995</v>
      </c>
      <c r="E30" s="14">
        <f>HARMEAN(Todas!E323:E326)</f>
        <v>6</v>
      </c>
      <c r="F30" s="14">
        <f>HARMEAN(Todas!F323:F326)</f>
        <v>24</v>
      </c>
      <c r="G30" s="15">
        <f>HARMEAN(Todas!G323:G326)</f>
        <v>176.35</v>
      </c>
      <c r="H30" s="15">
        <f>HARMEAN(Todas!H323:H326)</f>
        <v>5718.4329618325955</v>
      </c>
      <c r="I30" s="14" t="e">
        <f>HARMEAN(Todas!I323:I326)</f>
        <v>#N/A</v>
      </c>
      <c r="J30" s="14" t="e">
        <f>HARMEAN(Todas!J323:J326)</f>
        <v>#N/A</v>
      </c>
      <c r="K30" s="14">
        <f>HARMEAN(Todas!K323:K326)</f>
        <v>24.415006515201249</v>
      </c>
      <c r="L30" s="14" t="e">
        <f>HARMEAN(Todas!L323:L326)</f>
        <v>#N/A</v>
      </c>
      <c r="M30" s="14" t="e">
        <f>HARMEAN(Todas!M323:M326)</f>
        <v>#N/A</v>
      </c>
      <c r="N30" s="14" t="e">
        <f>HARMEAN(Todas!N323:N326)</f>
        <v>#N/A</v>
      </c>
      <c r="O30" s="14">
        <f>HARMEAN(Todas!O323:O326)</f>
        <v>3.7661938657355578</v>
      </c>
      <c r="P30" s="14" t="e">
        <f>HARMEAN(Todas!P323:P326)</f>
        <v>#N/A</v>
      </c>
      <c r="Q30" s="14" t="e">
        <f>HARMEAN(Todas!Q323:Q326)</f>
        <v>#N/A</v>
      </c>
      <c r="R30" s="14">
        <f>HARMEAN(Todas!R323:R326)</f>
        <v>1.4156744057003203</v>
      </c>
      <c r="S30" s="14" t="e">
        <f>HARMEAN(Todas!S323:S326)</f>
        <v>#N/A</v>
      </c>
      <c r="T30" s="14" t="e">
        <f>HARMEAN(Todas!T323:T326)</f>
        <v>#N/A</v>
      </c>
      <c r="U30" s="14">
        <f>HARMEAN(Todas!U323:U326)</f>
        <v>3.7661938657355578</v>
      </c>
      <c r="V30" s="14">
        <f>HARMEAN(Todas!V323:V326)</f>
        <v>1.4156744057003203</v>
      </c>
      <c r="W30" s="14">
        <f>HARMEAN(Todas!W323:W326)</f>
        <v>1.2984573661324399</v>
      </c>
    </row>
    <row r="31" spans="1:23">
      <c r="A31" t="s">
        <v>182</v>
      </c>
      <c r="B31" t="s">
        <v>259</v>
      </c>
      <c r="C31" s="21" t="str">
        <f>Todas!C327</f>
        <v>Lower Laguna Madre</v>
      </c>
      <c r="D31" s="14">
        <f>HARMEAN(Todas!D327:D330)</f>
        <v>1995</v>
      </c>
      <c r="E31" s="14">
        <f>HARMEAN(Todas!E327:E330)</f>
        <v>7</v>
      </c>
      <c r="F31" s="14">
        <f>HARMEAN(Todas!F327:F330)</f>
        <v>7</v>
      </c>
      <c r="G31" s="15">
        <f>HARMEAN(Todas!G327:G330)</f>
        <v>189.82</v>
      </c>
      <c r="H31" s="15">
        <f>HARMEAN(Todas!H327:H330)</f>
        <v>4621.2898229067359</v>
      </c>
      <c r="I31" s="14" t="e">
        <f>HARMEAN(Todas!I327:I330)</f>
        <v>#N/A</v>
      </c>
      <c r="J31" s="14" t="e">
        <f>HARMEAN(Todas!J327:J330)</f>
        <v>#N/A</v>
      </c>
      <c r="K31" s="14">
        <f>HARMEAN(Todas!K327:K330)</f>
        <v>33.916280126832568</v>
      </c>
      <c r="L31" s="14" t="e">
        <f>HARMEAN(Todas!L327:L330)</f>
        <v>#N/A</v>
      </c>
      <c r="M31" s="14" t="e">
        <f>HARMEAN(Todas!M327:M330)</f>
        <v>#N/A</v>
      </c>
      <c r="N31" s="14" t="e">
        <f>HARMEAN(Todas!N327:N330)</f>
        <v>#N/A</v>
      </c>
      <c r="O31" s="14">
        <f>HARMEAN(Todas!O327:O330)</f>
        <v>3.6722855727039661</v>
      </c>
      <c r="P31" s="14" t="e">
        <f>HARMEAN(Todas!P327:P330)</f>
        <v>#N/A</v>
      </c>
      <c r="Q31" s="14" t="e">
        <f>HARMEAN(Todas!Q327:Q330)</f>
        <v>#N/A</v>
      </c>
      <c r="R31" s="14">
        <f>HARMEAN(Todas!R327:R330)</f>
        <v>1.5452181153599658</v>
      </c>
      <c r="S31" s="14" t="e">
        <f>HARMEAN(Todas!S327:S330)</f>
        <v>#N/A</v>
      </c>
      <c r="T31" s="14" t="e">
        <f>HARMEAN(Todas!T327:T330)</f>
        <v>#N/A</v>
      </c>
      <c r="U31" s="14">
        <f>HARMEAN(Todas!U327:U330)</f>
        <v>3.6722855727039661</v>
      </c>
      <c r="V31" s="14">
        <f>HARMEAN(Todas!V327:V330)</f>
        <v>1.5452181153599658</v>
      </c>
      <c r="W31" s="14">
        <f>HARMEAN(Todas!W327:W330)</f>
        <v>1.2627426843382483</v>
      </c>
    </row>
    <row r="32" spans="1:23">
      <c r="A32" t="s">
        <v>182</v>
      </c>
      <c r="B32" t="s">
        <v>259</v>
      </c>
      <c r="C32" s="21" t="str">
        <f>Todas!C331</f>
        <v>Lower Laguna Madre</v>
      </c>
      <c r="D32" s="14">
        <f>HARMEAN(Todas!D331:D334)</f>
        <v>1995</v>
      </c>
      <c r="E32" s="14">
        <f>HARMEAN(Todas!E331:E334)</f>
        <v>7</v>
      </c>
      <c r="F32" s="14">
        <f>HARMEAN(Todas!F331:F334)</f>
        <v>18</v>
      </c>
      <c r="G32" s="15">
        <f>HARMEAN(Todas!G331:G334)</f>
        <v>200.82</v>
      </c>
      <c r="H32" s="15">
        <f>HARMEAN(Todas!H331:H334)</f>
        <v>5686.9462830925349</v>
      </c>
      <c r="I32" s="14" t="e">
        <f>HARMEAN(Todas!I331:I334)</f>
        <v>#N/A</v>
      </c>
      <c r="J32" s="14" t="e">
        <f>HARMEAN(Todas!J331:J334)</f>
        <v>#N/A</v>
      </c>
      <c r="K32" s="14">
        <f>HARMEAN(Todas!K331:K334)</f>
        <v>30.36725548130406</v>
      </c>
      <c r="L32" s="14" t="e">
        <f>HARMEAN(Todas!L331:L334)</f>
        <v>#N/A</v>
      </c>
      <c r="M32" s="14" t="e">
        <f>HARMEAN(Todas!M331:M334)</f>
        <v>#N/A</v>
      </c>
      <c r="N32" s="14" t="e">
        <f>HARMEAN(Todas!N331:N334)</f>
        <v>#N/A</v>
      </c>
      <c r="O32" s="14">
        <f>HARMEAN(Todas!O331:O334)</f>
        <v>3.7663037799625712</v>
      </c>
      <c r="P32" s="14" t="e">
        <f>HARMEAN(Todas!P331:P334)</f>
        <v>#N/A</v>
      </c>
      <c r="Q32" s="14" t="e">
        <f>HARMEAN(Todas!Q331:Q334)</f>
        <v>#N/A</v>
      </c>
      <c r="R32" s="14">
        <f>HARMEAN(Todas!R331:R334)</f>
        <v>1.5042732763303466</v>
      </c>
      <c r="S32" s="14" t="e">
        <f>HARMEAN(Todas!S331:S334)</f>
        <v>#N/A</v>
      </c>
      <c r="T32" s="14" t="e">
        <f>HARMEAN(Todas!T331:T334)</f>
        <v>#N/A</v>
      </c>
      <c r="U32" s="14">
        <f>HARMEAN(Todas!U331:U334)</f>
        <v>3.7663037799625712</v>
      </c>
      <c r="V32" s="14">
        <f>HARMEAN(Todas!V331:V334)</f>
        <v>1.5042732763303466</v>
      </c>
      <c r="W32" s="14">
        <f>HARMEAN(Todas!W331:W334)</f>
        <v>1.2548800466207333</v>
      </c>
    </row>
    <row r="33" spans="1:23">
      <c r="A33" t="s">
        <v>182</v>
      </c>
      <c r="B33" t="s">
        <v>259</v>
      </c>
      <c r="C33" s="21" t="str">
        <f>Todas!C335</f>
        <v>Lower Laguna Madre</v>
      </c>
      <c r="D33" s="14">
        <f>HARMEAN(Todas!D335:D338)</f>
        <v>1995</v>
      </c>
      <c r="E33" s="14">
        <f>HARMEAN(Todas!E335:E338)</f>
        <v>7</v>
      </c>
      <c r="F33" s="14">
        <f>HARMEAN(Todas!F335:F338)</f>
        <v>27</v>
      </c>
      <c r="G33" s="15">
        <f>HARMEAN(Todas!G335:G338)</f>
        <v>209.82</v>
      </c>
      <c r="H33" s="15">
        <f>HARMEAN(Todas!H335:H338)</f>
        <v>5227.721202722495</v>
      </c>
      <c r="I33" s="14" t="e">
        <f>HARMEAN(Todas!I335:I338)</f>
        <v>#N/A</v>
      </c>
      <c r="J33" s="14" t="e">
        <f>HARMEAN(Todas!J335:J338)</f>
        <v>#N/A</v>
      </c>
      <c r="K33" s="14">
        <f>HARMEAN(Todas!K335:K338)</f>
        <v>22.009804876380006</v>
      </c>
      <c r="L33" s="14" t="e">
        <f>HARMEAN(Todas!L335:L338)</f>
        <v>#N/A</v>
      </c>
      <c r="M33" s="14" t="e">
        <f>HARMEAN(Todas!M335:M338)</f>
        <v>#N/A</v>
      </c>
      <c r="N33" s="14" t="e">
        <f>HARMEAN(Todas!N335:N338)</f>
        <v>#N/A</v>
      </c>
      <c r="O33" s="14">
        <f>HARMEAN(Todas!O335:O338)</f>
        <v>3.7225224542158859</v>
      </c>
      <c r="P33" s="14" t="e">
        <f>HARMEAN(Todas!P335:P338)</f>
        <v>#N/A</v>
      </c>
      <c r="Q33" s="14" t="e">
        <f>HARMEAN(Todas!Q335:Q338)</f>
        <v>#N/A</v>
      </c>
      <c r="R33" s="14">
        <f>HARMEAN(Todas!R335:R338)</f>
        <v>1.3550964436810404</v>
      </c>
      <c r="S33" s="14" t="e">
        <f>HARMEAN(Todas!S335:S338)</f>
        <v>#N/A</v>
      </c>
      <c r="T33" s="14" t="e">
        <f>HARMEAN(Todas!T335:T338)</f>
        <v>#N/A</v>
      </c>
      <c r="U33" s="14">
        <f>HARMEAN(Todas!U335:U338)</f>
        <v>3.7225224542158859</v>
      </c>
      <c r="V33" s="14">
        <f>HARMEAN(Todas!V335:V338)</f>
        <v>1.3550964436810404</v>
      </c>
      <c r="W33" s="14">
        <f>HARMEAN(Todas!W335:W338)</f>
        <v>1.4252703128475299</v>
      </c>
    </row>
    <row r="34" spans="1:23">
      <c r="A34" t="s">
        <v>182</v>
      </c>
      <c r="B34" t="s">
        <v>259</v>
      </c>
      <c r="C34" s="21" t="str">
        <f>Todas!C339</f>
        <v>Lower Laguna Madre</v>
      </c>
      <c r="D34" s="14">
        <f>HARMEAN(Todas!D339:D342)</f>
        <v>1995</v>
      </c>
      <c r="E34" s="14">
        <f>HARMEAN(Todas!E339:E342)</f>
        <v>8</v>
      </c>
      <c r="F34" s="14">
        <f>HARMEAN(Todas!F339:F342)</f>
        <v>5</v>
      </c>
      <c r="G34" s="15">
        <f>HARMEAN(Todas!G339:G342)</f>
        <v>218.29000000000002</v>
      </c>
      <c r="H34" s="15">
        <f>HARMEAN(Todas!H339:H342)</f>
        <v>6430.3789130413024</v>
      </c>
      <c r="I34" s="14" t="e">
        <f>HARMEAN(Todas!I339:I342)</f>
        <v>#N/A</v>
      </c>
      <c r="J34" s="14" t="e">
        <f>HARMEAN(Todas!J339:J342)</f>
        <v>#N/A</v>
      </c>
      <c r="K34" s="14">
        <f>HARMEAN(Todas!K339:K342)</f>
        <v>41.495093193952563</v>
      </c>
      <c r="L34" s="14" t="e">
        <f>HARMEAN(Todas!L339:L342)</f>
        <v>#N/A</v>
      </c>
      <c r="M34" s="14" t="e">
        <f>HARMEAN(Todas!M339:M342)</f>
        <v>#N/A</v>
      </c>
      <c r="N34" s="14" t="e">
        <f>HARMEAN(Todas!N339:N342)</f>
        <v>#N/A</v>
      </c>
      <c r="O34" s="14">
        <f>HARMEAN(Todas!O339:O342)</f>
        <v>3.8151928875754955</v>
      </c>
      <c r="P34" s="14" t="e">
        <f>HARMEAN(Todas!P339:P342)</f>
        <v>#N/A</v>
      </c>
      <c r="Q34" s="14" t="e">
        <f>HARMEAN(Todas!Q339:Q342)</f>
        <v>#N/A</v>
      </c>
      <c r="R34" s="14">
        <f>HARMEAN(Todas!R339:R342)</f>
        <v>1.6286676665975857</v>
      </c>
      <c r="S34" s="14" t="e">
        <f>HARMEAN(Todas!S339:S342)</f>
        <v>#N/A</v>
      </c>
      <c r="T34" s="14" t="e">
        <f>HARMEAN(Todas!T339:T342)</f>
        <v>#N/A</v>
      </c>
      <c r="U34" s="14">
        <f>HARMEAN(Todas!U339:U342)</f>
        <v>3.8151928875754955</v>
      </c>
      <c r="V34" s="14">
        <f>HARMEAN(Todas!V339:V342)</f>
        <v>1.6286676665975857</v>
      </c>
      <c r="W34" s="14">
        <f>HARMEAN(Todas!W339:W342)</f>
        <v>1.147397456015572</v>
      </c>
    </row>
    <row r="35" spans="1:23">
      <c r="A35" t="s">
        <v>182</v>
      </c>
      <c r="B35" t="s">
        <v>259</v>
      </c>
      <c r="C35" s="21" t="str">
        <f>Todas!C343</f>
        <v>Lower Laguna Madre</v>
      </c>
      <c r="D35" s="14">
        <f>HARMEAN(Todas!D343:D346)</f>
        <v>1995</v>
      </c>
      <c r="E35" s="14">
        <f>HARMEAN(Todas!E343:E346)</f>
        <v>8</v>
      </c>
      <c r="F35" s="14">
        <f>HARMEAN(Todas!F343:F346)</f>
        <v>19</v>
      </c>
      <c r="G35" s="15">
        <f>HARMEAN(Todas!G343:G346)</f>
        <v>232.29</v>
      </c>
      <c r="H35" s="15">
        <f>HARMEAN(Todas!H343:H346)</f>
        <v>7141.5225143201224</v>
      </c>
      <c r="I35" s="14" t="e">
        <f>HARMEAN(Todas!I343:I346)</f>
        <v>#N/A</v>
      </c>
      <c r="J35" s="14" t="e">
        <f>HARMEAN(Todas!J343:J346)</f>
        <v>#N/A</v>
      </c>
      <c r="K35" s="14">
        <f>HARMEAN(Todas!K343:K346)</f>
        <v>36.300210597747494</v>
      </c>
      <c r="L35" s="14" t="e">
        <f>HARMEAN(Todas!L343:L346)</f>
        <v>#N/A</v>
      </c>
      <c r="M35" s="14" t="e">
        <f>HARMEAN(Todas!M343:M346)</f>
        <v>#N/A</v>
      </c>
      <c r="N35" s="14" t="e">
        <f>HARMEAN(Todas!N343:N346)</f>
        <v>#N/A</v>
      </c>
      <c r="O35" s="14">
        <f>HARMEAN(Todas!O343:O346)</f>
        <v>3.8641801295381928</v>
      </c>
      <c r="P35" s="14" t="e">
        <f>HARMEAN(Todas!P343:P346)</f>
        <v>#N/A</v>
      </c>
      <c r="Q35" s="14" t="e">
        <f>HARMEAN(Todas!Q343:Q346)</f>
        <v>#N/A</v>
      </c>
      <c r="R35" s="14">
        <f>HARMEAN(Todas!R343:R346)</f>
        <v>1.5671366401345628</v>
      </c>
      <c r="S35" s="14" t="e">
        <f>HARMEAN(Todas!S343:S346)</f>
        <v>#N/A</v>
      </c>
      <c r="T35" s="14" t="e">
        <f>HARMEAN(Todas!T343:T346)</f>
        <v>#N/A</v>
      </c>
      <c r="U35" s="14">
        <f>HARMEAN(Todas!U343:U346)</f>
        <v>3.8641801295381928</v>
      </c>
      <c r="V35" s="14">
        <f>HARMEAN(Todas!V343:V346)</f>
        <v>1.5671366401345628</v>
      </c>
      <c r="W35" s="14">
        <f>HARMEAN(Todas!W343:W346)</f>
        <v>1.2012707413276176</v>
      </c>
    </row>
    <row r="36" spans="1:23">
      <c r="A36" t="s">
        <v>182</v>
      </c>
      <c r="B36" t="s">
        <v>259</v>
      </c>
      <c r="C36" s="21" t="str">
        <f>Todas!C347</f>
        <v>Lower Laguna Madre</v>
      </c>
      <c r="D36" s="14">
        <f>HARMEAN(Todas!D347:D350)</f>
        <v>1995</v>
      </c>
      <c r="E36" s="14">
        <f>HARMEAN(Todas!E347:E350)</f>
        <v>9</v>
      </c>
      <c r="F36" s="14">
        <f>HARMEAN(Todas!F347:F350)</f>
        <v>2</v>
      </c>
      <c r="G36" s="15">
        <f>HARMEAN(Todas!G347:G350)</f>
        <v>245.76</v>
      </c>
      <c r="H36" s="15">
        <f>HARMEAN(Todas!H347:H350)</f>
        <v>8029.7459946302497</v>
      </c>
      <c r="I36" s="14" t="e">
        <f>HARMEAN(Todas!I347:I350)</f>
        <v>#N/A</v>
      </c>
      <c r="J36" s="14" t="e">
        <f>HARMEAN(Todas!J347:J350)</f>
        <v>#N/A</v>
      </c>
      <c r="K36" s="14">
        <f>HARMEAN(Todas!K347:K350)</f>
        <v>51.06650805152816</v>
      </c>
      <c r="L36" s="14" t="e">
        <f>HARMEAN(Todas!L347:L350)</f>
        <v>#N/A</v>
      </c>
      <c r="M36" s="14" t="e">
        <f>HARMEAN(Todas!M347:M350)</f>
        <v>#N/A</v>
      </c>
      <c r="N36" s="14" t="e">
        <f>HARMEAN(Todas!N347:N350)</f>
        <v>#N/A</v>
      </c>
      <c r="O36" s="14">
        <f>HARMEAN(Todas!O347:O350)</f>
        <v>3.9250211731589899</v>
      </c>
      <c r="P36" s="14" t="e">
        <f>HARMEAN(Todas!P347:P350)</f>
        <v>#N/A</v>
      </c>
      <c r="Q36" s="14" t="e">
        <f>HARMEAN(Todas!Q347:Q350)</f>
        <v>#N/A</v>
      </c>
      <c r="R36" s="14">
        <f>HARMEAN(Todas!R347:R350)</f>
        <v>1.742156216972844</v>
      </c>
      <c r="S36" s="14" t="e">
        <f>HARMEAN(Todas!S347:S350)</f>
        <v>#N/A</v>
      </c>
      <c r="T36" s="14" t="e">
        <f>HARMEAN(Todas!T347:T350)</f>
        <v>#N/A</v>
      </c>
      <c r="U36" s="14">
        <f>HARMEAN(Todas!U347:U350)</f>
        <v>3.9250211731589899</v>
      </c>
      <c r="V36" s="14">
        <f>HARMEAN(Todas!V347:V350)</f>
        <v>1.742156216972844</v>
      </c>
      <c r="W36" s="14">
        <f>HARMEAN(Todas!W347:W350)</f>
        <v>0.95323990628748034</v>
      </c>
    </row>
    <row r="37" spans="1:23">
      <c r="A37" t="s">
        <v>182</v>
      </c>
      <c r="B37" t="s">
        <v>259</v>
      </c>
      <c r="C37" s="21" t="str">
        <f>Todas!C351</f>
        <v>Lower Laguna Madre</v>
      </c>
      <c r="D37" s="14">
        <f>HARMEAN(Todas!D351:D354)</f>
        <v>1995</v>
      </c>
      <c r="E37" s="14">
        <f>HARMEAN(Todas!E351:E354)</f>
        <v>9</v>
      </c>
      <c r="F37" s="14">
        <f>HARMEAN(Todas!F351:F354)</f>
        <v>29</v>
      </c>
      <c r="G37" s="15">
        <f>HARMEAN(Todas!G351:G354)</f>
        <v>272.76</v>
      </c>
      <c r="H37" s="15">
        <f>HARMEAN(Todas!H351:H354)</f>
        <v>4146.0757772058068</v>
      </c>
      <c r="I37" s="14" t="e">
        <f>HARMEAN(Todas!I351:I354)</f>
        <v>#N/A</v>
      </c>
      <c r="J37" s="14" t="e">
        <f>HARMEAN(Todas!J351:J354)</f>
        <v>#N/A</v>
      </c>
      <c r="K37" s="14">
        <f>HARMEAN(Todas!K351:K354)</f>
        <v>41.653132072110907</v>
      </c>
      <c r="L37" s="14" t="e">
        <f>HARMEAN(Todas!L351:L354)</f>
        <v>#N/A</v>
      </c>
      <c r="M37" s="14" t="e">
        <f>HARMEAN(Todas!M351:M354)</f>
        <v>#N/A</v>
      </c>
      <c r="N37" s="14" t="e">
        <f>HARMEAN(Todas!N351:N354)</f>
        <v>#N/A</v>
      </c>
      <c r="O37" s="14">
        <f>HARMEAN(Todas!O351:O354)</f>
        <v>3.633808436795928</v>
      </c>
      <c r="P37" s="14" t="e">
        <f>HARMEAN(Todas!P351:P354)</f>
        <v>#N/A</v>
      </c>
      <c r="Q37" s="14" t="e">
        <f>HARMEAN(Todas!Q351:Q354)</f>
        <v>#N/A</v>
      </c>
      <c r="R37" s="14">
        <f>HARMEAN(Todas!R351:R354)</f>
        <v>1.6309521784547594</v>
      </c>
      <c r="S37" s="14" t="e">
        <f>HARMEAN(Todas!S351:S354)</f>
        <v>#N/A</v>
      </c>
      <c r="T37" s="14" t="e">
        <f>HARMEAN(Todas!T351:T354)</f>
        <v>#N/A</v>
      </c>
      <c r="U37" s="14">
        <f>HARMEAN(Todas!U351:U354)</f>
        <v>3.633808436795928</v>
      </c>
      <c r="V37" s="14">
        <f>HARMEAN(Todas!V351:V354)</f>
        <v>1.6309521784547594</v>
      </c>
      <c r="W37" s="14">
        <f>HARMEAN(Todas!W351:W354)</f>
        <v>1.1928070699763185</v>
      </c>
    </row>
    <row r="38" spans="1:23">
      <c r="A38" t="s">
        <v>182</v>
      </c>
      <c r="B38" t="s">
        <v>259</v>
      </c>
      <c r="C38" s="21" t="str">
        <f>Todas!C355</f>
        <v>Lower Laguna Madre</v>
      </c>
      <c r="D38" s="14">
        <f>HARMEAN(Todas!D355:D358)</f>
        <v>1995</v>
      </c>
      <c r="E38" s="14">
        <f>HARMEAN(Todas!E355:E358)</f>
        <v>10</v>
      </c>
      <c r="F38" s="14">
        <f>HARMEAN(Todas!F355:F358)</f>
        <v>21</v>
      </c>
      <c r="G38" s="15">
        <f>HARMEAN(Todas!G355:G358)</f>
        <v>295.23</v>
      </c>
      <c r="H38" s="15">
        <f>HARMEAN(Todas!H355:H358)</f>
        <v>4734.1945195653643</v>
      </c>
      <c r="I38" s="14" t="e">
        <f>HARMEAN(Todas!I355:I358)</f>
        <v>#N/A</v>
      </c>
      <c r="J38" s="14" t="e">
        <f>HARMEAN(Todas!J355:J358)</f>
        <v>#N/A</v>
      </c>
      <c r="K38" s="14">
        <f>HARMEAN(Todas!K355:K358)</f>
        <v>27.308379885387595</v>
      </c>
      <c r="L38" s="14" t="e">
        <f>HARMEAN(Todas!L355:L358)</f>
        <v>#N/A</v>
      </c>
      <c r="M38" s="14" t="e">
        <f>HARMEAN(Todas!M355:M358)</f>
        <v>#N/A</v>
      </c>
      <c r="N38" s="14" t="e">
        <f>HARMEAN(Todas!N355:N358)</f>
        <v>#N/A</v>
      </c>
      <c r="O38" s="14">
        <f>HARMEAN(Todas!O355:O358)</f>
        <v>3.6897590875605677</v>
      </c>
      <c r="P38" s="14" t="e">
        <f>HARMEAN(Todas!P355:P358)</f>
        <v>#N/A</v>
      </c>
      <c r="Q38" s="14" t="e">
        <f>HARMEAN(Todas!Q355:Q358)</f>
        <v>#N/A</v>
      </c>
      <c r="R38" s="14">
        <f>HARMEAN(Todas!R355:R358)</f>
        <v>1.4441962207290961</v>
      </c>
      <c r="S38" s="14" t="e">
        <f>HARMEAN(Todas!S355:S358)</f>
        <v>#N/A</v>
      </c>
      <c r="T38" s="14" t="e">
        <f>HARMEAN(Todas!T355:T358)</f>
        <v>#N/A</v>
      </c>
      <c r="U38" s="14">
        <f>HARMEAN(Todas!U355:U358)</f>
        <v>3.6897590875605677</v>
      </c>
      <c r="V38" s="14">
        <f>HARMEAN(Todas!V355:V358)</f>
        <v>1.4441962207290961</v>
      </c>
      <c r="W38" s="14">
        <f>HARMEAN(Todas!W355:W358)</f>
        <v>1.3690490620576272</v>
      </c>
    </row>
    <row r="39" spans="1:23">
      <c r="A39" t="s">
        <v>182</v>
      </c>
      <c r="B39" t="s">
        <v>259</v>
      </c>
      <c r="C39" s="21" t="str">
        <f>Todas!C359</f>
        <v>Lower Laguna Madre</v>
      </c>
      <c r="D39" s="14">
        <f>HARMEAN(Todas!D359:D362)</f>
        <v>1995</v>
      </c>
      <c r="E39" s="14">
        <f>HARMEAN(Todas!E359:E362)</f>
        <v>11</v>
      </c>
      <c r="F39" s="14">
        <f>HARMEAN(Todas!F359:F362)</f>
        <v>12</v>
      </c>
      <c r="G39" s="15">
        <f>HARMEAN(Todas!G359:G362)</f>
        <v>316.7</v>
      </c>
      <c r="H39" s="15">
        <f>HARMEAN(Todas!H359:H362)</f>
        <v>5187.1257339496451</v>
      </c>
      <c r="I39" s="14" t="e">
        <f>HARMEAN(Todas!I359:I362)</f>
        <v>#N/A</v>
      </c>
      <c r="J39" s="14" t="e">
        <f>HARMEAN(Todas!J359:J362)</f>
        <v>#N/A</v>
      </c>
      <c r="K39" s="14">
        <f>HARMEAN(Todas!K359:K362)</f>
        <v>17.010224343343108</v>
      </c>
      <c r="L39" s="14" t="e">
        <f>HARMEAN(Todas!L359:L362)</f>
        <v>#N/A</v>
      </c>
      <c r="M39" s="14" t="e">
        <f>HARMEAN(Todas!M359:M362)</f>
        <v>#N/A</v>
      </c>
      <c r="N39" s="14" t="e">
        <f>HARMEAN(Todas!N359:N362)</f>
        <v>#N/A</v>
      </c>
      <c r="O39" s="14">
        <f>HARMEAN(Todas!O359:O362)</f>
        <v>3.7201611388247171</v>
      </c>
      <c r="P39" s="14" t="e">
        <f>HARMEAN(Todas!P359:P362)</f>
        <v>#N/A</v>
      </c>
      <c r="Q39" s="14" t="e">
        <f>HARMEAN(Todas!Q359:Q362)</f>
        <v>#N/A</v>
      </c>
      <c r="R39" s="14">
        <f>HARMEAN(Todas!R359:R362)</f>
        <v>1.2414788087580455</v>
      </c>
      <c r="S39" s="14" t="e">
        <f>HARMEAN(Todas!S359:S362)</f>
        <v>#N/A</v>
      </c>
      <c r="T39" s="14" t="e">
        <f>HARMEAN(Todas!T359:T362)</f>
        <v>#N/A</v>
      </c>
      <c r="U39" s="14">
        <f>HARMEAN(Todas!U359:U362)</f>
        <v>3.7201611388247171</v>
      </c>
      <c r="V39" s="14">
        <f>HARMEAN(Todas!V359:V362)</f>
        <v>1.2414788087580455</v>
      </c>
      <c r="W39" s="14">
        <f>HARMEAN(Todas!W359:W362)</f>
        <v>1.5329120706146293</v>
      </c>
    </row>
    <row r="40" spans="1:23">
      <c r="A40" t="s">
        <v>182</v>
      </c>
      <c r="B40" t="s">
        <v>259</v>
      </c>
      <c r="C40" s="21" t="str">
        <f>Todas!C363</f>
        <v>Lower Laguna Madre</v>
      </c>
      <c r="D40" s="14">
        <f>HARMEAN(Todas!D363:D366)</f>
        <v>1995</v>
      </c>
      <c r="E40" s="14">
        <f>HARMEAN(Todas!E363:E366)</f>
        <v>12</v>
      </c>
      <c r="F40" s="14">
        <f>HARMEAN(Todas!F363:F366)</f>
        <v>2</v>
      </c>
      <c r="G40" s="15">
        <f>HARMEAN(Todas!G363:G366)</f>
        <v>337.16999999999996</v>
      </c>
      <c r="H40" s="15">
        <f>HARMEAN(Todas!H363:H366)</f>
        <v>5565.1197359858588</v>
      </c>
      <c r="I40" s="14" t="e">
        <f>HARMEAN(Todas!I363:I366)</f>
        <v>#N/A</v>
      </c>
      <c r="J40" s="14" t="e">
        <f>HARMEAN(Todas!J363:J366)</f>
        <v>#N/A</v>
      </c>
      <c r="K40" s="14">
        <f>HARMEAN(Todas!K363:K366)</f>
        <v>26.279830448203757</v>
      </c>
      <c r="L40" s="14" t="e">
        <f>HARMEAN(Todas!L363:L366)</f>
        <v>#N/A</v>
      </c>
      <c r="M40" s="14" t="e">
        <f>HARMEAN(Todas!M363:M366)</f>
        <v>#N/A</v>
      </c>
      <c r="N40" s="14" t="e">
        <f>HARMEAN(Todas!N363:N366)</f>
        <v>#N/A</v>
      </c>
      <c r="O40" s="14">
        <f>HARMEAN(Todas!O363:O366)</f>
        <v>3.7553815588799289</v>
      </c>
      <c r="P40" s="14" t="e">
        <f>HARMEAN(Todas!P363:P366)</f>
        <v>#N/A</v>
      </c>
      <c r="Q40" s="14" t="e">
        <f>HARMEAN(Todas!Q363:Q366)</f>
        <v>#N/A</v>
      </c>
      <c r="R40" s="14">
        <f>HARMEAN(Todas!R363:R366)</f>
        <v>1.4336847200719172</v>
      </c>
      <c r="S40" s="14" t="e">
        <f>HARMEAN(Todas!S363:S366)</f>
        <v>#N/A</v>
      </c>
      <c r="T40" s="14" t="e">
        <f>HARMEAN(Todas!T363:T366)</f>
        <v>#N/A</v>
      </c>
      <c r="U40" s="14">
        <f>HARMEAN(Todas!U363:U366)</f>
        <v>3.7553815588799289</v>
      </c>
      <c r="V40" s="14">
        <f>HARMEAN(Todas!V363:V366)</f>
        <v>1.4336847200719172</v>
      </c>
      <c r="W40" s="14">
        <f>HARMEAN(Todas!W363:W366)</f>
        <v>1.3358041677753614</v>
      </c>
    </row>
    <row r="41" spans="1:23">
      <c r="A41" t="s">
        <v>182</v>
      </c>
      <c r="B41" t="s">
        <v>259</v>
      </c>
      <c r="C41" s="21" t="str">
        <f>Todas!C367</f>
        <v>Lower Laguna Madre</v>
      </c>
      <c r="D41" s="14">
        <f>HARMEAN(Todas!D367:D370)</f>
        <v>1995</v>
      </c>
      <c r="E41" s="14">
        <f>HARMEAN(Todas!E367:E370)</f>
        <v>12</v>
      </c>
      <c r="F41" s="14">
        <f>HARMEAN(Todas!F367:F370)</f>
        <v>20</v>
      </c>
      <c r="G41" s="15">
        <f>HARMEAN(Todas!G367:G370)</f>
        <v>355.16999999999996</v>
      </c>
      <c r="H41" s="15">
        <f>HARMEAN(Todas!H367:H370)</f>
        <v>3838.3012350580034</v>
      </c>
      <c r="I41" s="14" t="e">
        <f>HARMEAN(Todas!I367:I370)</f>
        <v>#N/A</v>
      </c>
      <c r="J41" s="14" t="e">
        <f>HARMEAN(Todas!J367:J370)</f>
        <v>#N/A</v>
      </c>
      <c r="K41" s="14">
        <f>HARMEAN(Todas!K367:K370)</f>
        <v>14.218282105672657</v>
      </c>
      <c r="L41" s="14" t="e">
        <f>HARMEAN(Todas!L367:L370)</f>
        <v>#N/A</v>
      </c>
      <c r="M41" s="14" t="e">
        <f>HARMEAN(Todas!M367:M370)</f>
        <v>#N/A</v>
      </c>
      <c r="N41" s="14" t="e">
        <f>HARMEAN(Todas!N367:N370)</f>
        <v>#N/A</v>
      </c>
      <c r="O41" s="14">
        <f>HARMEAN(Todas!O367:O370)</f>
        <v>3.5884638195623153</v>
      </c>
      <c r="P41" s="14" t="e">
        <f>HARMEAN(Todas!P367:P370)</f>
        <v>#N/A</v>
      </c>
      <c r="Q41" s="14" t="e">
        <f>HARMEAN(Todas!Q367:Q370)</f>
        <v>#N/A</v>
      </c>
      <c r="R41" s="14">
        <f>HARMEAN(Todas!R367:R370)</f>
        <v>1.1623447767508672</v>
      </c>
      <c r="S41" s="14" t="e">
        <f>HARMEAN(Todas!S367:S370)</f>
        <v>#N/A</v>
      </c>
      <c r="T41" s="14" t="e">
        <f>HARMEAN(Todas!T367:T370)</f>
        <v>#N/A</v>
      </c>
      <c r="U41" s="14">
        <f>HARMEAN(Todas!U367:U370)</f>
        <v>3.5884638195623153</v>
      </c>
      <c r="V41" s="14">
        <f>HARMEAN(Todas!V367:V370)</f>
        <v>1.1623447767508672</v>
      </c>
      <c r="W41" s="14">
        <f>HARMEAN(Todas!W367:W370)</f>
        <v>1.6406311964686042</v>
      </c>
    </row>
    <row r="42" spans="1:23">
      <c r="A42" t="s">
        <v>182</v>
      </c>
      <c r="B42" t="s">
        <v>259</v>
      </c>
      <c r="C42" s="21" t="str">
        <f>Todas!C371</f>
        <v>Lower Laguna Madre</v>
      </c>
      <c r="D42" s="14">
        <f>HARMEAN(Todas!D371:D374)</f>
        <v>1996.0000000000002</v>
      </c>
      <c r="E42" s="14">
        <f>HARMEAN(Todas!E371:E374)</f>
        <v>1</v>
      </c>
      <c r="F42" s="14">
        <f>HARMEAN(Todas!F371:F374)</f>
        <v>13</v>
      </c>
      <c r="G42" s="15">
        <f>HARMEAN(Todas!G371:G374)</f>
        <v>13</v>
      </c>
      <c r="H42" s="15">
        <f>HARMEAN(Todas!H371:H374)</f>
        <v>4157.6295109736438</v>
      </c>
      <c r="I42" s="14" t="e">
        <f>HARMEAN(Todas!I371:I374)</f>
        <v>#N/A</v>
      </c>
      <c r="J42" s="14" t="e">
        <f>HARMEAN(Todas!J371:J374)</f>
        <v>#N/A</v>
      </c>
      <c r="K42" s="14">
        <f>HARMEAN(Todas!K371:K374)</f>
        <v>15.682372608341888</v>
      </c>
      <c r="L42" s="14" t="e">
        <f>HARMEAN(Todas!L371:L374)</f>
        <v>#N/A</v>
      </c>
      <c r="M42" s="14" t="e">
        <f>HARMEAN(Todas!M371:M374)</f>
        <v>#N/A</v>
      </c>
      <c r="N42" s="14" t="e">
        <f>HARMEAN(Todas!N371:N374)</f>
        <v>#N/A</v>
      </c>
      <c r="O42" s="14">
        <f>HARMEAN(Todas!O371:O374)</f>
        <v>3.6768863302864214</v>
      </c>
      <c r="P42" s="14" t="e">
        <f>HARMEAN(Todas!P371:P374)</f>
        <v>#N/A</v>
      </c>
      <c r="Q42" s="14" t="e">
        <f>HARMEAN(Todas!Q371:Q374)</f>
        <v>#N/A</v>
      </c>
      <c r="R42" s="14">
        <f>HARMEAN(Todas!R371:R374)</f>
        <v>1.2008349558573388</v>
      </c>
      <c r="S42" s="14" t="e">
        <f>HARMEAN(Todas!S371:S374)</f>
        <v>#N/A</v>
      </c>
      <c r="T42" s="14" t="e">
        <f>HARMEAN(Todas!T371:T374)</f>
        <v>#N/A</v>
      </c>
      <c r="U42" s="14">
        <f>HARMEAN(Todas!U371:U374)</f>
        <v>3.6768863302864214</v>
      </c>
      <c r="V42" s="14">
        <f>HARMEAN(Todas!V371:V374)</f>
        <v>1.2008349558573388</v>
      </c>
      <c r="W42" s="14">
        <f>HARMEAN(Todas!W371:W374)</f>
        <v>1.5920273821703363</v>
      </c>
    </row>
    <row r="43" spans="1:23">
      <c r="A43" t="s">
        <v>182</v>
      </c>
      <c r="B43" t="s">
        <v>259</v>
      </c>
      <c r="C43" s="21" t="str">
        <f>Todas!C375</f>
        <v>Lower Laguna Madre</v>
      </c>
      <c r="D43" s="14">
        <f>HARMEAN(Todas!D375:D378)</f>
        <v>1996.0000000000002</v>
      </c>
      <c r="E43" s="14">
        <f>HARMEAN(Todas!E375:E378)</f>
        <v>2</v>
      </c>
      <c r="F43" s="14">
        <f>HARMEAN(Todas!F375:F378)</f>
        <v>17</v>
      </c>
      <c r="G43" s="15">
        <f>HARMEAN(Todas!G375:G378)</f>
        <v>47.47</v>
      </c>
      <c r="H43" s="15">
        <f>HARMEAN(Todas!H375:H378)</f>
        <v>3433.6337469244263</v>
      </c>
      <c r="I43" s="14" t="e">
        <f>HARMEAN(Todas!I375:I378)</f>
        <v>#N/A</v>
      </c>
      <c r="J43" s="14" t="e">
        <f>HARMEAN(Todas!J375:J378)</f>
        <v>#N/A</v>
      </c>
      <c r="K43" s="14">
        <f>HARMEAN(Todas!K375:K378)</f>
        <v>16.060181744557919</v>
      </c>
      <c r="L43" s="14" t="e">
        <f>HARMEAN(Todas!L375:L378)</f>
        <v>#N/A</v>
      </c>
      <c r="M43" s="14" t="e">
        <f>HARMEAN(Todas!M375:M378)</f>
        <v>#N/A</v>
      </c>
      <c r="N43" s="14" t="e">
        <f>HARMEAN(Todas!N375:N378)</f>
        <v>#N/A</v>
      </c>
      <c r="O43" s="14">
        <f>HARMEAN(Todas!O375:O378)</f>
        <v>3.544023421483641</v>
      </c>
      <c r="P43" s="14" t="e">
        <f>HARMEAN(Todas!P375:P378)</f>
        <v>#N/A</v>
      </c>
      <c r="Q43" s="14" t="e">
        <f>HARMEAN(Todas!Q375:Q378)</f>
        <v>#N/A</v>
      </c>
      <c r="R43" s="14">
        <f>HARMEAN(Todas!R375:R378)</f>
        <v>1.2119332326104577</v>
      </c>
      <c r="S43" s="14" t="e">
        <f>HARMEAN(Todas!S375:S378)</f>
        <v>#N/A</v>
      </c>
      <c r="T43" s="14" t="e">
        <f>HARMEAN(Todas!T375:T378)</f>
        <v>#N/A</v>
      </c>
      <c r="U43" s="14">
        <f>HARMEAN(Todas!U375:U378)</f>
        <v>3.544023421483641</v>
      </c>
      <c r="V43" s="14">
        <f>HARMEAN(Todas!V375:V378)</f>
        <v>1.2119332326104577</v>
      </c>
      <c r="W43" s="14">
        <f>HARMEAN(Todas!W375:W378)</f>
        <v>1.6274635631197938</v>
      </c>
    </row>
    <row r="44" spans="1:23">
      <c r="A44" t="s">
        <v>182</v>
      </c>
      <c r="B44" t="s">
        <v>259</v>
      </c>
      <c r="C44" s="21" t="str">
        <f>Todas!C379</f>
        <v>Lower Laguna Madre</v>
      </c>
      <c r="D44" s="14">
        <f>HARMEAN(Todas!D379:D382)</f>
        <v>1996.0000000000002</v>
      </c>
      <c r="E44" s="14">
        <f>HARMEAN(Todas!E379:E382)</f>
        <v>3</v>
      </c>
      <c r="F44" s="14">
        <f>HARMEAN(Todas!F379:F382)</f>
        <v>16</v>
      </c>
      <c r="G44" s="15">
        <f>HARMEAN(Todas!G379:G382)</f>
        <v>76.94</v>
      </c>
      <c r="H44" s="15">
        <f>HARMEAN(Todas!H379:H382)</f>
        <v>6410.0197182702759</v>
      </c>
      <c r="I44" s="14" t="e">
        <f>HARMEAN(Todas!I379:I382)</f>
        <v>#N/A</v>
      </c>
      <c r="J44" s="14" t="e">
        <f>HARMEAN(Todas!J379:J382)</f>
        <v>#N/A</v>
      </c>
      <c r="K44" s="14">
        <f>HARMEAN(Todas!K379:K382)</f>
        <v>19.13796431047744</v>
      </c>
      <c r="L44" s="14" t="e">
        <f>HARMEAN(Todas!L379:L382)</f>
        <v>#N/A</v>
      </c>
      <c r="M44" s="14" t="e">
        <f>HARMEAN(Todas!M379:M382)</f>
        <v>#N/A</v>
      </c>
      <c r="N44" s="14" t="e">
        <f>HARMEAN(Todas!N379:N382)</f>
        <v>#N/A</v>
      </c>
      <c r="O44" s="14">
        <f>HARMEAN(Todas!O379:O382)</f>
        <v>3.8234469983875004</v>
      </c>
      <c r="P44" s="14" t="e">
        <f>HARMEAN(Todas!P379:P382)</f>
        <v>#N/A</v>
      </c>
      <c r="Q44" s="14" t="e">
        <f>HARMEAN(Todas!Q379:Q382)</f>
        <v>#N/A</v>
      </c>
      <c r="R44" s="14">
        <f>HARMEAN(Todas!R379:R382)</f>
        <v>1.293386944296435</v>
      </c>
      <c r="S44" s="14" t="e">
        <f>HARMEAN(Todas!S379:S382)</f>
        <v>#N/A</v>
      </c>
      <c r="T44" s="14" t="e">
        <f>HARMEAN(Todas!T379:T382)</f>
        <v>#N/A</v>
      </c>
      <c r="U44" s="14">
        <f>HARMEAN(Todas!U379:U382)</f>
        <v>3.8234469983875004</v>
      </c>
      <c r="V44" s="14">
        <f>HARMEAN(Todas!V379:V382)</f>
        <v>1.293386944296435</v>
      </c>
      <c r="W44" s="14">
        <f>HARMEAN(Todas!W379:W382)</f>
        <v>1.4426983372544218</v>
      </c>
    </row>
    <row r="45" spans="1:23">
      <c r="A45" t="s">
        <v>182</v>
      </c>
      <c r="B45" t="s">
        <v>259</v>
      </c>
      <c r="C45" s="21" t="str">
        <f>Todas!C383</f>
        <v>Lower Laguna Madre</v>
      </c>
      <c r="D45" s="14">
        <f>HARMEAN(Todas!D383:D386)</f>
        <v>1996.0000000000002</v>
      </c>
      <c r="E45" s="14">
        <f>HARMEAN(Todas!E383:E386)</f>
        <v>4</v>
      </c>
      <c r="F45" s="14">
        <f>HARMEAN(Todas!F383:F386)</f>
        <v>13</v>
      </c>
      <c r="G45" s="15">
        <f>HARMEAN(Todas!G383:G386)</f>
        <v>104.41</v>
      </c>
      <c r="H45" s="15">
        <f>HARMEAN(Todas!H383:H386)</f>
        <v>9164.866431733366</v>
      </c>
      <c r="I45" s="14" t="e">
        <f>HARMEAN(Todas!I383:I386)</f>
        <v>#N/A</v>
      </c>
      <c r="J45" s="14" t="e">
        <f>HARMEAN(Todas!J383:J386)</f>
        <v>#N/A</v>
      </c>
      <c r="K45" s="14">
        <f>HARMEAN(Todas!K383:K386)</f>
        <v>29.070503726988679</v>
      </c>
      <c r="L45" s="14" t="e">
        <f>HARMEAN(Todas!L383:L386)</f>
        <v>#N/A</v>
      </c>
      <c r="M45" s="14" t="e">
        <f>HARMEAN(Todas!M383:M386)</f>
        <v>#N/A</v>
      </c>
      <c r="N45" s="14" t="e">
        <f>HARMEAN(Todas!N383:N386)</f>
        <v>#N/A</v>
      </c>
      <c r="O45" s="14">
        <f>HARMEAN(Todas!O383:O386)</f>
        <v>3.9712896472053778</v>
      </c>
      <c r="P45" s="14" t="e">
        <f>HARMEAN(Todas!P383:P386)</f>
        <v>#N/A</v>
      </c>
      <c r="Q45" s="14" t="e">
        <f>HARMEAN(Todas!Q383:Q386)</f>
        <v>#N/A</v>
      </c>
      <c r="R45" s="14">
        <f>HARMEAN(Todas!R383:R386)</f>
        <v>1.4768174291947642</v>
      </c>
      <c r="S45" s="14" t="e">
        <f>HARMEAN(Todas!S383:S386)</f>
        <v>#N/A</v>
      </c>
      <c r="T45" s="14" t="e">
        <f>HARMEAN(Todas!T383:T386)</f>
        <v>#N/A</v>
      </c>
      <c r="U45" s="14">
        <f>HARMEAN(Todas!U383:U386)</f>
        <v>3.9712896472053778</v>
      </c>
      <c r="V45" s="14">
        <f>HARMEAN(Todas!V383:V386)</f>
        <v>1.4768174291947642</v>
      </c>
      <c r="W45" s="14">
        <f>HARMEAN(Todas!W383:W386)</f>
        <v>1.2275388681659778</v>
      </c>
    </row>
    <row r="46" spans="1:23">
      <c r="A46" t="s">
        <v>182</v>
      </c>
      <c r="B46" t="s">
        <v>259</v>
      </c>
      <c r="C46" s="21" t="str">
        <f>Todas!C390</f>
        <v>Lower Laguna Madre</v>
      </c>
      <c r="D46" s="14">
        <f>HARMEAN(Todas!D390:D393)</f>
        <v>1996.0000000000002</v>
      </c>
      <c r="E46" s="14">
        <f>HARMEAN(Todas!E390:E393)</f>
        <v>5</v>
      </c>
      <c r="F46" s="14">
        <f>HARMEAN(Todas!F390:F393)</f>
        <v>18</v>
      </c>
      <c r="G46" s="15">
        <f>HARMEAN(Todas!G390:G393)</f>
        <v>139.88</v>
      </c>
      <c r="H46" s="15">
        <f>HARMEAN(Todas!H390:H393)</f>
        <v>11156.590414911589</v>
      </c>
      <c r="I46" s="14" t="e">
        <f>HARMEAN(Todas!I390:I393)</f>
        <v>#N/A</v>
      </c>
      <c r="J46" s="14" t="e">
        <f>HARMEAN(Todas!J390:J393)</f>
        <v>#N/A</v>
      </c>
      <c r="K46" s="14">
        <f>HARMEAN(Todas!K390:K393)</f>
        <v>36.971838485909714</v>
      </c>
      <c r="L46" s="14" t="e">
        <f>HARMEAN(Todas!L390:L393)</f>
        <v>#N/A</v>
      </c>
      <c r="M46" s="14" t="e">
        <f>HARMEAN(Todas!M390:M393)</f>
        <v>#N/A</v>
      </c>
      <c r="N46" s="14" t="e">
        <f>HARMEAN(Todas!N390:N393)</f>
        <v>#N/A</v>
      </c>
      <c r="O46" s="14">
        <f>HARMEAN(Todas!O390:O393)</f>
        <v>4.0502771941192739</v>
      </c>
      <c r="P46" s="14" t="e">
        <f>HARMEAN(Todas!P390:P393)</f>
        <v>#N/A</v>
      </c>
      <c r="Q46" s="14" t="e">
        <f>HARMEAN(Todas!Q390:Q393)</f>
        <v>#N/A</v>
      </c>
      <c r="R46" s="14">
        <f>HARMEAN(Todas!R390:R393)</f>
        <v>1.5692827150437494</v>
      </c>
      <c r="S46" s="14" t="e">
        <f>HARMEAN(Todas!S390:S393)</f>
        <v>#N/A</v>
      </c>
      <c r="T46" s="14" t="e">
        <f>HARMEAN(Todas!T390:T393)</f>
        <v>#N/A</v>
      </c>
      <c r="U46" s="14">
        <f>HARMEAN(Todas!U390:U393)</f>
        <v>4.0502771941192739</v>
      </c>
      <c r="V46" s="14">
        <f>HARMEAN(Todas!V390:V393)</f>
        <v>1.5692827150437494</v>
      </c>
      <c r="W46" s="14">
        <f>HARMEAN(Todas!W390:W393)</f>
        <v>1.1610516673418905</v>
      </c>
    </row>
    <row r="47" spans="1:23">
      <c r="A47" t="s">
        <v>182</v>
      </c>
      <c r="B47" t="s">
        <v>259</v>
      </c>
      <c r="C47" s="21" t="str">
        <f>Todas!C394</f>
        <v>Lower Laguna Madre</v>
      </c>
      <c r="D47" s="14">
        <f>HARMEAN(Todas!D394:D397)</f>
        <v>1996.0000000000002</v>
      </c>
      <c r="E47" s="14">
        <f>HARMEAN(Todas!E394:E397)</f>
        <v>6</v>
      </c>
      <c r="F47" s="14">
        <f>HARMEAN(Todas!F394:F397)</f>
        <v>1</v>
      </c>
      <c r="G47" s="15">
        <f>HARMEAN(Todas!G394:G397)</f>
        <v>153.35</v>
      </c>
      <c r="H47" s="15">
        <f>HARMEAN(Todas!H394:H397)</f>
        <v>6675.316141257842</v>
      </c>
      <c r="I47" s="14" t="e">
        <f>HARMEAN(Todas!I394:I397)</f>
        <v>#N/A</v>
      </c>
      <c r="J47" s="14" t="e">
        <f>HARMEAN(Todas!J394:J397)</f>
        <v>#N/A</v>
      </c>
      <c r="K47" s="14">
        <f>HARMEAN(Todas!K394:K397)</f>
        <v>35.877298129000842</v>
      </c>
      <c r="L47" s="14" t="e">
        <f>HARMEAN(Todas!L394:L397)</f>
        <v>#N/A</v>
      </c>
      <c r="M47" s="14" t="e">
        <f>HARMEAN(Todas!M394:M397)</f>
        <v>#N/A</v>
      </c>
      <c r="N47" s="14" t="e">
        <f>HARMEAN(Todas!N394:N397)</f>
        <v>#N/A</v>
      </c>
      <c r="O47" s="14">
        <f>HARMEAN(Todas!O394:O397)</f>
        <v>3.8252362918075868</v>
      </c>
      <c r="P47" s="14" t="e">
        <f>HARMEAN(Todas!P394:P397)</f>
        <v>#N/A</v>
      </c>
      <c r="Q47" s="14" t="e">
        <f>HARMEAN(Todas!Q394:Q397)</f>
        <v>#N/A</v>
      </c>
      <c r="R47" s="14">
        <f>HARMEAN(Todas!R394:R397)</f>
        <v>1.5602962409640879</v>
      </c>
      <c r="S47" s="14" t="e">
        <f>HARMEAN(Todas!S394:S397)</f>
        <v>#N/A</v>
      </c>
      <c r="T47" s="14" t="e">
        <f>HARMEAN(Todas!T394:T397)</f>
        <v>#N/A</v>
      </c>
      <c r="U47" s="14">
        <f>HARMEAN(Todas!U394:U397)</f>
        <v>3.8252362918075868</v>
      </c>
      <c r="V47" s="14">
        <f>HARMEAN(Todas!V394:V397)</f>
        <v>1.5602962409640879</v>
      </c>
      <c r="W47" s="14">
        <f>HARMEAN(Todas!W394:W397)</f>
        <v>1.2279261027123247</v>
      </c>
    </row>
    <row r="48" spans="1:23">
      <c r="A48" t="s">
        <v>182</v>
      </c>
      <c r="B48" t="s">
        <v>259</v>
      </c>
      <c r="C48" s="21" t="str">
        <f>Todas!C398</f>
        <v>Lower Laguna Madre</v>
      </c>
      <c r="D48" s="14">
        <f>HARMEAN(Todas!D398:D401)</f>
        <v>1996.0000000000002</v>
      </c>
      <c r="E48" s="14">
        <f>HARMEAN(Todas!E398:E401)</f>
        <v>6</v>
      </c>
      <c r="F48" s="14">
        <f>HARMEAN(Todas!F398:F401)</f>
        <v>15</v>
      </c>
      <c r="G48" s="15">
        <f>HARMEAN(Todas!G398:G401)</f>
        <v>167.35</v>
      </c>
      <c r="H48" s="15">
        <f>HARMEAN(Todas!H398:H401)</f>
        <v>4284.2197297218354</v>
      </c>
      <c r="I48" s="14" t="e">
        <f>HARMEAN(Todas!I398:I401)</f>
        <v>#N/A</v>
      </c>
      <c r="J48" s="14" t="e">
        <f>HARMEAN(Todas!J398:J401)</f>
        <v>#N/A</v>
      </c>
      <c r="K48" s="14">
        <f>HARMEAN(Todas!K398:K401)</f>
        <v>31.564035163327365</v>
      </c>
      <c r="L48" s="14" t="e">
        <f>HARMEAN(Todas!L398:L401)</f>
        <v>#N/A</v>
      </c>
      <c r="M48" s="14" t="e">
        <f>HARMEAN(Todas!M398:M401)</f>
        <v>#N/A</v>
      </c>
      <c r="N48" s="14" t="e">
        <f>HARMEAN(Todas!N398:N401)</f>
        <v>#N/A</v>
      </c>
      <c r="O48" s="14">
        <f>HARMEAN(Todas!O398:O401)</f>
        <v>3.6383608744301332</v>
      </c>
      <c r="P48" s="14" t="e">
        <f>HARMEAN(Todas!P398:P401)</f>
        <v>#N/A</v>
      </c>
      <c r="Q48" s="14" t="e">
        <f>HARMEAN(Todas!Q398:Q401)</f>
        <v>#N/A</v>
      </c>
      <c r="R48" s="14">
        <f>HARMEAN(Todas!R398:R401)</f>
        <v>1.5050447238957658</v>
      </c>
      <c r="S48" s="14" t="e">
        <f>HARMEAN(Todas!S398:S401)</f>
        <v>#N/A</v>
      </c>
      <c r="T48" s="14" t="e">
        <f>HARMEAN(Todas!T398:T401)</f>
        <v>#N/A</v>
      </c>
      <c r="U48" s="14">
        <f>HARMEAN(Todas!U398:U401)</f>
        <v>3.6383608744301332</v>
      </c>
      <c r="V48" s="14">
        <f>HARMEAN(Todas!V398:V401)</f>
        <v>1.5050447238957658</v>
      </c>
      <c r="W48" s="14">
        <f>HARMEAN(Todas!W398:W401)</f>
        <v>1.3337255804750796</v>
      </c>
    </row>
    <row r="49" spans="1:23">
      <c r="A49" t="s">
        <v>182</v>
      </c>
      <c r="B49" t="s">
        <v>259</v>
      </c>
      <c r="C49" s="21" t="str">
        <f>Todas!C402</f>
        <v>Lower Laguna Madre</v>
      </c>
      <c r="D49" s="14">
        <f>HARMEAN(Todas!D402:D405)</f>
        <v>1996.0000000000002</v>
      </c>
      <c r="E49" s="14">
        <f>HARMEAN(Todas!E402:E405)</f>
        <v>7</v>
      </c>
      <c r="F49" s="14">
        <f>HARMEAN(Todas!F402:F405)</f>
        <v>27</v>
      </c>
      <c r="G49" s="15">
        <f>HARMEAN(Todas!G402:G405)</f>
        <v>209.82</v>
      </c>
      <c r="H49" s="15">
        <f>HARMEAN(Todas!H402:H405)</f>
        <v>6081.9141373714392</v>
      </c>
      <c r="I49" s="14" t="e">
        <f>HARMEAN(Todas!I402:I405)</f>
        <v>#N/A</v>
      </c>
      <c r="J49" s="14" t="e">
        <f>HARMEAN(Todas!J402:J405)</f>
        <v>#N/A</v>
      </c>
      <c r="K49" s="14">
        <f>HARMEAN(Todas!K402:K405)</f>
        <v>39.052149502942882</v>
      </c>
      <c r="L49" s="14" t="e">
        <f>HARMEAN(Todas!L402:L405)</f>
        <v>#N/A</v>
      </c>
      <c r="M49" s="14" t="e">
        <f>HARMEAN(Todas!M402:M405)</f>
        <v>#N/A</v>
      </c>
      <c r="N49" s="14" t="e">
        <f>HARMEAN(Todas!N402:N405)</f>
        <v>#N/A</v>
      </c>
      <c r="O49" s="14">
        <f>HARMEAN(Todas!O402:O405)</f>
        <v>3.7844277574275673</v>
      </c>
      <c r="P49" s="14" t="e">
        <f>HARMEAN(Todas!P402:P405)</f>
        <v>#N/A</v>
      </c>
      <c r="Q49" s="14" t="e">
        <f>HARMEAN(Todas!Q402:Q405)</f>
        <v>#N/A</v>
      </c>
      <c r="R49" s="14">
        <f>HARMEAN(Todas!R402:R405)</f>
        <v>1.5927759252380835</v>
      </c>
      <c r="S49" s="14" t="e">
        <f>HARMEAN(Todas!S402:S405)</f>
        <v>#N/A</v>
      </c>
      <c r="T49" s="14" t="e">
        <f>HARMEAN(Todas!T402:T405)</f>
        <v>#N/A</v>
      </c>
      <c r="U49" s="14">
        <f>HARMEAN(Todas!U402:U405)</f>
        <v>3.7844277574275673</v>
      </c>
      <c r="V49" s="14">
        <f>HARMEAN(Todas!V402:V405)</f>
        <v>1.5927759252380835</v>
      </c>
      <c r="W49" s="14">
        <f>HARMEAN(Todas!W402:W405)</f>
        <v>1.2206668666276559</v>
      </c>
    </row>
    <row r="50" spans="1:23">
      <c r="A50" t="s">
        <v>182</v>
      </c>
      <c r="B50" t="s">
        <v>259</v>
      </c>
      <c r="C50" s="21" t="str">
        <f>Todas!C406</f>
        <v>Lower Laguna Madre</v>
      </c>
      <c r="D50" s="14">
        <f>HARMEAN(Todas!D406:D409)</f>
        <v>1996.0000000000002</v>
      </c>
      <c r="E50" s="14">
        <f>HARMEAN(Todas!E406:E409)</f>
        <v>8</v>
      </c>
      <c r="F50" s="14">
        <f>HARMEAN(Todas!F406:F409)</f>
        <v>24</v>
      </c>
      <c r="G50" s="15">
        <f>HARMEAN(Todas!G406:G409)</f>
        <v>237.28999999999996</v>
      </c>
      <c r="H50" s="15">
        <f>HARMEAN(Todas!H406:H409)</f>
        <v>6253.2651821949157</v>
      </c>
      <c r="I50" s="14" t="e">
        <f>HARMEAN(Todas!I406:I409)</f>
        <v>#N/A</v>
      </c>
      <c r="J50" s="14" t="e">
        <f>HARMEAN(Todas!J406:J409)</f>
        <v>#N/A</v>
      </c>
      <c r="K50" s="14">
        <f>HARMEAN(Todas!K406:K409)</f>
        <v>45.870548005042643</v>
      </c>
      <c r="L50" s="14" t="e">
        <f>HARMEAN(Todas!L406:L409)</f>
        <v>#N/A</v>
      </c>
      <c r="M50" s="14" t="e">
        <f>HARMEAN(Todas!M406:M409)</f>
        <v>#N/A</v>
      </c>
      <c r="N50" s="14" t="e">
        <f>HARMEAN(Todas!N406:N409)</f>
        <v>#N/A</v>
      </c>
      <c r="O50" s="14">
        <f>HARMEAN(Todas!O406:O409)</f>
        <v>3.8109962843547298</v>
      </c>
      <c r="P50" s="14" t="e">
        <f>HARMEAN(Todas!P406:P409)</f>
        <v>#N/A</v>
      </c>
      <c r="Q50" s="14" t="e">
        <f>HARMEAN(Todas!Q406:Q409)</f>
        <v>#N/A</v>
      </c>
      <c r="R50" s="14">
        <f>HARMEAN(Todas!R406:R409)</f>
        <v>1.6700367681943542</v>
      </c>
      <c r="S50" s="14" t="e">
        <f>HARMEAN(Todas!S406:S409)</f>
        <v>#N/A</v>
      </c>
      <c r="T50" s="14" t="e">
        <f>HARMEAN(Todas!T406:T409)</f>
        <v>#N/A</v>
      </c>
      <c r="U50" s="14">
        <f>HARMEAN(Todas!U406:U409)</f>
        <v>3.8109962843547298</v>
      </c>
      <c r="V50" s="14">
        <f>HARMEAN(Todas!V406:V409)</f>
        <v>1.6700367681943542</v>
      </c>
      <c r="W50" s="14">
        <f>HARMEAN(Todas!W406:W409)</f>
        <v>1.1066838155773382</v>
      </c>
    </row>
    <row r="51" spans="1:23">
      <c r="A51" t="s">
        <v>182</v>
      </c>
      <c r="B51" t="s">
        <v>259</v>
      </c>
      <c r="C51" s="21" t="str">
        <f>Todas!C410</f>
        <v>Lower Laguna Madre</v>
      </c>
      <c r="D51" s="14">
        <f>HARMEAN(Todas!D410:D413)</f>
        <v>1996.0000000000002</v>
      </c>
      <c r="E51" s="14">
        <f>HARMEAN(Todas!E410:E413)</f>
        <v>10</v>
      </c>
      <c r="F51" s="14">
        <f>HARMEAN(Todas!F410:F413)</f>
        <v>12</v>
      </c>
      <c r="G51" s="15">
        <f>HARMEAN(Todas!G410:G413)</f>
        <v>286.23</v>
      </c>
      <c r="H51" s="15">
        <f>HARMEAN(Todas!H410:H413)</f>
        <v>7929.500485927987</v>
      </c>
      <c r="I51" s="14" t="e">
        <f>HARMEAN(Todas!I410:I413)</f>
        <v>#N/A</v>
      </c>
      <c r="J51" s="14" t="e">
        <f>HARMEAN(Todas!J410:J413)</f>
        <v>#N/A</v>
      </c>
      <c r="K51" s="14">
        <f>HARMEAN(Todas!K410:K413)</f>
        <v>36.47068476992348</v>
      </c>
      <c r="L51" s="14" t="e">
        <f>HARMEAN(Todas!L410:L413)</f>
        <v>#N/A</v>
      </c>
      <c r="M51" s="14" t="e">
        <f>HARMEAN(Todas!M410:M413)</f>
        <v>#N/A</v>
      </c>
      <c r="N51" s="14" t="e">
        <f>HARMEAN(Todas!N410:N413)</f>
        <v>#N/A</v>
      </c>
      <c r="O51" s="14">
        <f>HARMEAN(Todas!O410:O413)</f>
        <v>3.9000208532989409</v>
      </c>
      <c r="P51" s="14" t="e">
        <f>HARMEAN(Todas!P410:P413)</f>
        <v>#N/A</v>
      </c>
      <c r="Q51" s="14" t="e">
        <f>HARMEAN(Todas!Q410:Q413)</f>
        <v>#N/A</v>
      </c>
      <c r="R51" s="14">
        <f>HARMEAN(Todas!R410:R413)</f>
        <v>1.5689232345501938</v>
      </c>
      <c r="S51" s="14" t="e">
        <f>HARMEAN(Todas!S410:S413)</f>
        <v>#N/A</v>
      </c>
      <c r="T51" s="14" t="e">
        <f>HARMEAN(Todas!T410:T413)</f>
        <v>#N/A</v>
      </c>
      <c r="U51" s="14">
        <f>HARMEAN(Todas!U410:U413)</f>
        <v>3.9000208532989409</v>
      </c>
      <c r="V51" s="14">
        <f>HARMEAN(Todas!V410:V413)</f>
        <v>1.5689232345501938</v>
      </c>
      <c r="W51" s="14">
        <f>HARMEAN(Todas!W410:W413)</f>
        <v>1.1947276998121199</v>
      </c>
    </row>
    <row r="52" spans="1:23">
      <c r="A52" t="s">
        <v>182</v>
      </c>
      <c r="B52" t="s">
        <v>259</v>
      </c>
      <c r="C52" s="21" t="str">
        <f>Todas!C414</f>
        <v>Lower Laguna Madre</v>
      </c>
      <c r="D52" s="14">
        <f>HARMEAN(Todas!D414:D417)</f>
        <v>1996.0000000000002</v>
      </c>
      <c r="E52" s="14">
        <f>HARMEAN(Todas!E414:E417)</f>
        <v>12</v>
      </c>
      <c r="F52" s="14">
        <f>HARMEAN(Todas!F414:F417)</f>
        <v>7</v>
      </c>
      <c r="G52" s="15">
        <f>HARMEAN(Todas!G414:G417)</f>
        <v>342.16999999999996</v>
      </c>
      <c r="H52" s="15">
        <f>HARMEAN(Todas!H414:H417)</f>
        <v>4513.8801996318871</v>
      </c>
      <c r="I52" s="14" t="e">
        <f>HARMEAN(Todas!I414:I417)</f>
        <v>#N/A</v>
      </c>
      <c r="J52" s="14" t="e">
        <f>HARMEAN(Todas!J414:J417)</f>
        <v>#N/A</v>
      </c>
      <c r="K52" s="14">
        <f>HARMEAN(Todas!K414:K417)</f>
        <v>18.582784864548135</v>
      </c>
      <c r="L52" s="14" t="e">
        <f>HARMEAN(Todas!L414:L417)</f>
        <v>#N/A</v>
      </c>
      <c r="M52" s="14" t="e">
        <f>HARMEAN(Todas!M414:M417)</f>
        <v>#N/A</v>
      </c>
      <c r="N52" s="14" t="e">
        <f>HARMEAN(Todas!N414:N417)</f>
        <v>#N/A</v>
      </c>
      <c r="O52" s="14">
        <f>HARMEAN(Todas!O414:O417)</f>
        <v>3.6632764886640756</v>
      </c>
      <c r="P52" s="14" t="e">
        <f>HARMEAN(Todas!P414:P417)</f>
        <v>#N/A</v>
      </c>
      <c r="Q52" s="14" t="e">
        <f>HARMEAN(Todas!Q414:Q417)</f>
        <v>#N/A</v>
      </c>
      <c r="R52" s="14">
        <f>HARMEAN(Todas!R414:R417)</f>
        <v>1.279901302367197</v>
      </c>
      <c r="S52" s="14" t="e">
        <f>HARMEAN(Todas!S414:S417)</f>
        <v>#N/A</v>
      </c>
      <c r="T52" s="14" t="e">
        <f>HARMEAN(Todas!T414:T417)</f>
        <v>#N/A</v>
      </c>
      <c r="U52" s="14">
        <f>HARMEAN(Todas!U414:U417)</f>
        <v>3.6632764886640756</v>
      </c>
      <c r="V52" s="14">
        <f>HARMEAN(Todas!V414:V417)</f>
        <v>1.279901302367197</v>
      </c>
      <c r="W52" s="14">
        <f>HARMEAN(Todas!W414:W417)</f>
        <v>1.5163155164751105</v>
      </c>
    </row>
    <row r="53" spans="1:23">
      <c r="A53" t="s">
        <v>182</v>
      </c>
      <c r="B53" t="s">
        <v>259</v>
      </c>
      <c r="C53" s="21" t="str">
        <f>Todas!C418</f>
        <v>Lower Laguna Madre</v>
      </c>
      <c r="D53" s="14">
        <f>HARMEAN(Todas!D418:D421)</f>
        <v>1997.0000000000002</v>
      </c>
      <c r="E53" s="14">
        <f>HARMEAN(Todas!E418:E421)</f>
        <v>1</v>
      </c>
      <c r="F53" s="14">
        <f>HARMEAN(Todas!F418:F421)</f>
        <v>4</v>
      </c>
      <c r="G53" s="15">
        <f>HARMEAN(Todas!G418:G421)</f>
        <v>4</v>
      </c>
      <c r="H53" s="15">
        <f>HARMEAN(Todas!H418:H421)</f>
        <v>2374.3212518389728</v>
      </c>
      <c r="I53" s="14" t="e">
        <f>HARMEAN(Todas!I418:I421)</f>
        <v>#N/A</v>
      </c>
      <c r="J53" s="14" t="e">
        <f>HARMEAN(Todas!J418:J421)</f>
        <v>#N/A</v>
      </c>
      <c r="K53" s="14">
        <f>HARMEAN(Todas!K418:K421)</f>
        <v>9.4297679047423646</v>
      </c>
      <c r="L53" s="14" t="e">
        <f>HARMEAN(Todas!L418:L421)</f>
        <v>#N/A</v>
      </c>
      <c r="M53" s="14" t="e">
        <f>HARMEAN(Todas!M418:M421)</f>
        <v>#N/A</v>
      </c>
      <c r="N53" s="14" t="e">
        <f>HARMEAN(Todas!N418:N421)</f>
        <v>#N/A</v>
      </c>
      <c r="O53" s="14">
        <f>HARMEAN(Todas!O418:O421)</f>
        <v>3.4729863102005707</v>
      </c>
      <c r="P53" s="14" t="e">
        <f>HARMEAN(Todas!P418:P421)</f>
        <v>#N/A</v>
      </c>
      <c r="Q53" s="14" t="e">
        <f>HARMEAN(Todas!Q418:Q421)</f>
        <v>#N/A</v>
      </c>
      <c r="R53" s="14">
        <f>HARMEAN(Todas!R418:R421)</f>
        <v>0.9804732620293295</v>
      </c>
      <c r="S53" s="14" t="e">
        <f>HARMEAN(Todas!S418:S421)</f>
        <v>#N/A</v>
      </c>
      <c r="T53" s="14" t="e">
        <f>HARMEAN(Todas!T418:T421)</f>
        <v>#N/A</v>
      </c>
      <c r="U53" s="14">
        <f>HARMEAN(Todas!U418:U421)</f>
        <v>3.4729863102005707</v>
      </c>
      <c r="V53" s="14">
        <f>HARMEAN(Todas!V418:V421)</f>
        <v>0.9804732620293295</v>
      </c>
      <c r="W53" s="14">
        <f>HARMEAN(Todas!W418:W421)</f>
        <v>1.7260034607292842</v>
      </c>
    </row>
    <row r="54" spans="1:23">
      <c r="A54" t="s">
        <v>182</v>
      </c>
      <c r="B54" t="s">
        <v>259</v>
      </c>
      <c r="C54" s="21" t="str">
        <f>Todas!C422</f>
        <v>Lower Laguna Madre</v>
      </c>
      <c r="D54" s="14">
        <f>HARMEAN(Todas!D422:D425)</f>
        <v>1997.0000000000002</v>
      </c>
      <c r="E54" s="14">
        <f>HARMEAN(Todas!E422:E425)</f>
        <v>2</v>
      </c>
      <c r="F54" s="14">
        <f>HARMEAN(Todas!F422:F425)</f>
        <v>1</v>
      </c>
      <c r="G54" s="15">
        <f>HARMEAN(Todas!G422:G425)</f>
        <v>31.47</v>
      </c>
      <c r="H54" s="15">
        <f>HARMEAN(Todas!H422:H425)</f>
        <v>3608.2672779850477</v>
      </c>
      <c r="I54" s="14" t="e">
        <f>HARMEAN(Todas!I422:I425)</f>
        <v>#N/A</v>
      </c>
      <c r="J54" s="14" t="e">
        <f>HARMEAN(Todas!J422:J425)</f>
        <v>#N/A</v>
      </c>
      <c r="K54" s="14">
        <f>HARMEAN(Todas!K422:K425)</f>
        <v>11.011834434964188</v>
      </c>
      <c r="L54" s="14" t="e">
        <f>HARMEAN(Todas!L422:L425)</f>
        <v>#N/A</v>
      </c>
      <c r="M54" s="14" t="e">
        <f>HARMEAN(Todas!M422:M425)</f>
        <v>#N/A</v>
      </c>
      <c r="N54" s="14" t="e">
        <f>HARMEAN(Todas!N422:N425)</f>
        <v>#N/A</v>
      </c>
      <c r="O54" s="14">
        <f>HARMEAN(Todas!O422:O425)</f>
        <v>3.6079595661964556</v>
      </c>
      <c r="P54" s="14" t="e">
        <f>HARMEAN(Todas!P422:P425)</f>
        <v>#N/A</v>
      </c>
      <c r="Q54" s="14" t="e">
        <f>HARMEAN(Todas!Q422:Q425)</f>
        <v>#N/A</v>
      </c>
      <c r="R54" s="14">
        <f>HARMEAN(Todas!R422:R425)</f>
        <v>1.0515046387603182</v>
      </c>
      <c r="S54" s="14" t="e">
        <f>HARMEAN(Todas!S422:S425)</f>
        <v>#N/A</v>
      </c>
      <c r="T54" s="14" t="e">
        <f>HARMEAN(Todas!T422:T425)</f>
        <v>#N/A</v>
      </c>
      <c r="U54" s="14">
        <f>HARMEAN(Todas!U422:U425)</f>
        <v>3.6079595661964556</v>
      </c>
      <c r="V54" s="14">
        <f>HARMEAN(Todas!V422:V425)</f>
        <v>1.0515046387603182</v>
      </c>
      <c r="W54" s="14">
        <f>HARMEAN(Todas!W422:W425)</f>
        <v>1.6956514354050438</v>
      </c>
    </row>
    <row r="55" spans="1:23">
      <c r="A55" t="s">
        <v>182</v>
      </c>
      <c r="B55" t="s">
        <v>259</v>
      </c>
      <c r="C55" s="21" t="str">
        <f>Todas!C426</f>
        <v>Lower Laguna Madre</v>
      </c>
      <c r="D55" s="14">
        <f>HARMEAN(Todas!D426:D429)</f>
        <v>1997.0000000000002</v>
      </c>
      <c r="E55" s="14">
        <f>HARMEAN(Todas!E426:E429)</f>
        <v>6</v>
      </c>
      <c r="F55" s="14">
        <f>HARMEAN(Todas!F426:F429)</f>
        <v>30</v>
      </c>
      <c r="G55" s="15">
        <f>HARMEAN(Todas!G426:G429)</f>
        <v>182.35</v>
      </c>
      <c r="H55" s="15">
        <f>HARMEAN(Todas!H426:H429)</f>
        <v>11381.750046956535</v>
      </c>
      <c r="I55" s="14" t="e">
        <f>HARMEAN(Todas!I426:I429)</f>
        <v>#N/A</v>
      </c>
      <c r="J55" s="14" t="e">
        <f>HARMEAN(Todas!J426:J429)</f>
        <v>#N/A</v>
      </c>
      <c r="K55" s="14">
        <f>HARMEAN(Todas!K426:K429)</f>
        <v>102.94587008013271</v>
      </c>
      <c r="L55" s="14" t="e">
        <f>HARMEAN(Todas!L426:L429)</f>
        <v>#N/A</v>
      </c>
      <c r="M55" s="14" t="e">
        <f>HARMEAN(Todas!M426:M429)</f>
        <v>#N/A</v>
      </c>
      <c r="N55" s="14" t="e">
        <f>HARMEAN(Todas!N426:N429)</f>
        <v>#N/A</v>
      </c>
      <c r="O55" s="14">
        <f>HARMEAN(Todas!O426:O429)</f>
        <v>4.0621437375219411</v>
      </c>
      <c r="P55" s="14" t="e">
        <f>HARMEAN(Todas!P426:P429)</f>
        <v>#N/A</v>
      </c>
      <c r="Q55" s="14" t="e">
        <f>HARMEAN(Todas!Q426:Q429)</f>
        <v>#N/A</v>
      </c>
      <c r="R55" s="14">
        <f>HARMEAN(Todas!R426:R429)</f>
        <v>2.0171309973209182</v>
      </c>
      <c r="S55" s="14" t="e">
        <f>HARMEAN(Todas!S426:S429)</f>
        <v>#N/A</v>
      </c>
      <c r="T55" s="14" t="e">
        <f>HARMEAN(Todas!T426:T429)</f>
        <v>#N/A</v>
      </c>
      <c r="U55" s="14">
        <f>HARMEAN(Todas!U426:U429)</f>
        <v>4.0621437375219411</v>
      </c>
      <c r="V55" s="14">
        <f>HARMEAN(Todas!V426:V429)</f>
        <v>2.0171309973209182</v>
      </c>
      <c r="W55" s="14">
        <f>HARMEAN(Todas!W426:W429)</f>
        <v>0.71776639245432838</v>
      </c>
    </row>
    <row r="56" spans="1:23">
      <c r="A56" t="s">
        <v>182</v>
      </c>
      <c r="B56" t="s">
        <v>259</v>
      </c>
      <c r="C56" s="21" t="str">
        <f>Todas!C434</f>
        <v>Lower Laguna Madre</v>
      </c>
      <c r="D56" s="14">
        <f>HARMEAN(Todas!D430:D437)</f>
        <v>1997.0000000000002</v>
      </c>
      <c r="E56" s="14">
        <f>HARMEAN(Todas!E434:E437)</f>
        <v>7</v>
      </c>
      <c r="F56" s="14">
        <f>HARMEAN(Todas!F434:F437)</f>
        <v>11</v>
      </c>
      <c r="G56" s="15">
        <f>HARMEAN(Todas!G434:G437)</f>
        <v>193.82000000000002</v>
      </c>
      <c r="H56" s="15">
        <f>HARMEAN(Todas!H434:H437)</f>
        <v>6429.5181219083815</v>
      </c>
      <c r="I56" s="14" t="e">
        <f>HARMEAN(Todas!I434:I437)</f>
        <v>#N/A</v>
      </c>
      <c r="J56" s="14" t="e">
        <f>HARMEAN(Todas!J434:J437)</f>
        <v>#N/A</v>
      </c>
      <c r="K56" s="14">
        <f>HARMEAN(Todas!K434:K437)</f>
        <v>30.149395853861702</v>
      </c>
      <c r="L56" s="14" t="e">
        <f>HARMEAN(Todas!L434:L437)</f>
        <v>#N/A</v>
      </c>
      <c r="M56" s="14" t="e">
        <f>HARMEAN(Todas!M434:M437)</f>
        <v>#N/A</v>
      </c>
      <c r="N56" s="14" t="e">
        <f>HARMEAN(Todas!N434:N437)</f>
        <v>#N/A</v>
      </c>
      <c r="O56" s="14">
        <f>HARMEAN(Todas!O434:O437)</f>
        <v>3.8333887396581083</v>
      </c>
      <c r="P56" s="14" t="e">
        <f>HARMEAN(Todas!P434:P437)</f>
        <v>#N/A</v>
      </c>
      <c r="Q56" s="14" t="e">
        <f>HARMEAN(Todas!Q434:Q437)</f>
        <v>#N/A</v>
      </c>
      <c r="R56" s="14">
        <f>HARMEAN(Todas!R434:R437)</f>
        <v>1.5040673679254235</v>
      </c>
      <c r="S56" s="14" t="e">
        <f>HARMEAN(Todas!S434:S437)</f>
        <v>#N/A</v>
      </c>
      <c r="T56" s="14" t="e">
        <f>HARMEAN(Todas!T434:T437)</f>
        <v>#N/A</v>
      </c>
      <c r="U56" s="14">
        <f>HARMEAN(Todas!U434:U437)</f>
        <v>3.8333887396581083</v>
      </c>
      <c r="V56" s="14">
        <f>HARMEAN(Todas!V434:V437)</f>
        <v>1.5040673679254235</v>
      </c>
      <c r="W56" s="14">
        <f>HARMEAN(Todas!W434:W437)</f>
        <v>1.1903757190611377</v>
      </c>
    </row>
    <row r="57" spans="1:23">
      <c r="A57" t="s">
        <v>182</v>
      </c>
      <c r="B57" t="s">
        <v>259</v>
      </c>
      <c r="C57" s="21" t="str">
        <f>Todas!C438</f>
        <v>Lower Laguna Madre</v>
      </c>
      <c r="D57" s="14">
        <f>HARMEAN(Todas!D438:D441)</f>
        <v>1997.0000000000002</v>
      </c>
      <c r="E57" s="14">
        <f>HARMEAN(Todas!E438:E441)</f>
        <v>11</v>
      </c>
      <c r="F57" s="14">
        <f>HARMEAN(Todas!F438:F441)</f>
        <v>8</v>
      </c>
      <c r="G57" s="15">
        <f>HARMEAN(Todas!G438:G441)</f>
        <v>312.7</v>
      </c>
      <c r="H57" s="15">
        <f>HARMEAN(Todas!H438:H441)</f>
        <v>4120.4841117623855</v>
      </c>
      <c r="I57" s="14" t="e">
        <f>HARMEAN(Todas!I438:I441)</f>
        <v>#N/A</v>
      </c>
      <c r="J57" s="14" t="e">
        <f>HARMEAN(Todas!J438:J441)</f>
        <v>#N/A</v>
      </c>
      <c r="K57" s="14">
        <f>HARMEAN(Todas!K438:K441)</f>
        <v>37.802323666257628</v>
      </c>
      <c r="L57" s="14" t="e">
        <f>HARMEAN(Todas!L438:L441)</f>
        <v>#N/A</v>
      </c>
      <c r="M57" s="14" t="e">
        <f>HARMEAN(Todas!M438:M441)</f>
        <v>#N/A</v>
      </c>
      <c r="N57" s="14" t="e">
        <f>HARMEAN(Todas!N438:N441)</f>
        <v>#N/A</v>
      </c>
      <c r="O57" s="14">
        <f>HARMEAN(Todas!O438:O441)</f>
        <v>3.6225269536304663</v>
      </c>
      <c r="P57" s="14" t="e">
        <f>HARMEAN(Todas!P438:P441)</f>
        <v>#N/A</v>
      </c>
      <c r="Q57" s="14" t="e">
        <f>HARMEAN(Todas!Q438:Q441)</f>
        <v>#N/A</v>
      </c>
      <c r="R57" s="14">
        <f>HARMEAN(Todas!R438:R441)</f>
        <v>1.5821424967396764</v>
      </c>
      <c r="S57" s="14" t="e">
        <f>HARMEAN(Todas!S438:S441)</f>
        <v>#N/A</v>
      </c>
      <c r="T57" s="14" t="e">
        <f>HARMEAN(Todas!T438:T441)</f>
        <v>#N/A</v>
      </c>
      <c r="U57" s="14">
        <f>HARMEAN(Todas!U438:U441)</f>
        <v>3.6225269536304663</v>
      </c>
      <c r="V57" s="14">
        <f>HARMEAN(Todas!V438:V441)</f>
        <v>1.5821424967396764</v>
      </c>
      <c r="W57" s="14">
        <f>HARMEAN(Todas!W438:W441)</f>
        <v>1.2675710498874289</v>
      </c>
    </row>
    <row r="58" spans="1:23">
      <c r="A58" t="s">
        <v>182</v>
      </c>
      <c r="B58" t="s">
        <v>259</v>
      </c>
      <c r="C58" s="21" t="str">
        <f>Todas!C446</f>
        <v>Lower Laguna Madre</v>
      </c>
      <c r="D58" s="14">
        <f>HARMEAN(Todas!D442:D449)</f>
        <v>1998</v>
      </c>
      <c r="E58" s="14">
        <f>HARMEAN(Todas!E442:E449)</f>
        <v>2</v>
      </c>
      <c r="F58" s="14">
        <f>HARMEAN(Todas!F442:F449)</f>
        <v>28.000000000000007</v>
      </c>
      <c r="G58" s="15">
        <f>HARMEAN(Todas!G442:G449)</f>
        <v>58.47</v>
      </c>
      <c r="H58" s="15">
        <f>HARMEAN(Todas!H442:H449)</f>
        <v>6613.3295591582928</v>
      </c>
      <c r="I58" s="14" t="e">
        <f>HARMEAN(Todas!I442:I449)</f>
        <v>#N/A</v>
      </c>
      <c r="J58" s="14" t="e">
        <f>HARMEAN(Todas!J442:J449)</f>
        <v>#N/A</v>
      </c>
      <c r="K58" s="14">
        <f>HARMEAN(Todas!K442:K449)</f>
        <v>14.654563086328455</v>
      </c>
      <c r="L58" s="14" t="e">
        <f>HARMEAN(Todas!L442:L449)</f>
        <v>#N/A</v>
      </c>
      <c r="M58" s="14" t="e">
        <f>HARMEAN(Todas!M442:M449)</f>
        <v>#N/A</v>
      </c>
      <c r="N58" s="14" t="e">
        <f>HARMEAN(Todas!N442:N449)</f>
        <v>#N/A</v>
      </c>
      <c r="O58" s="14">
        <f>HARMEAN(Todas!O442:O449)</f>
        <v>3.8811819462837533</v>
      </c>
      <c r="P58" s="14" t="e">
        <f>HARMEAN(Todas!P442:P449)</f>
        <v>#N/A</v>
      </c>
      <c r="Q58" s="14" t="e">
        <f>HARMEAN(Todas!Q442:Q449)</f>
        <v>#N/A</v>
      </c>
      <c r="R58" s="14">
        <f>HARMEAN(Todas!R442:R449)</f>
        <v>1.1719292126045917</v>
      </c>
      <c r="S58" s="14" t="e">
        <f>HARMEAN(Todas!S442:S449)</f>
        <v>#N/A</v>
      </c>
      <c r="T58" s="14" t="e">
        <f>HARMEAN(Todas!T442:T449)</f>
        <v>#N/A</v>
      </c>
      <c r="U58" s="14">
        <f>HARMEAN(Todas!U442:U449)</f>
        <v>3.8811819462837533</v>
      </c>
      <c r="V58" s="14">
        <f>HARMEAN(Todas!V442:V449)</f>
        <v>1.1719292126045917</v>
      </c>
      <c r="W58" s="14">
        <f>HARMEAN(Todas!W442:W449)</f>
        <v>1.5551942220524413</v>
      </c>
    </row>
    <row r="59" spans="1:23">
      <c r="A59" t="s">
        <v>182</v>
      </c>
      <c r="B59" t="s">
        <v>259</v>
      </c>
      <c r="C59" s="21" t="str">
        <f>Todas!C450</f>
        <v>Blackjack Peninsula,San Antonio Bay, Texas</v>
      </c>
      <c r="D59" s="14">
        <f>HARMEAN(Todas!D450:D453)</f>
        <v>1989.9999999999998</v>
      </c>
      <c r="E59" s="14">
        <f>HARMEAN(Todas!E450:E453)</f>
        <v>3</v>
      </c>
      <c r="F59" s="14">
        <f>HARMEAN(Todas!F450:F453)</f>
        <v>19</v>
      </c>
      <c r="G59" s="15">
        <f>HARMEAN(Todas!G450:G453)</f>
        <v>79.94</v>
      </c>
      <c r="H59" s="15">
        <f>HARMEAN(Todas!H450:H453)</f>
        <v>1225.0356989247314</v>
      </c>
      <c r="I59" s="14" t="e">
        <f>HARMEAN(Todas!I450:I453)</f>
        <v>#N/A</v>
      </c>
      <c r="J59" s="14" t="e">
        <f>HARMEAN(Todas!J450:J453)</f>
        <v>#N/A</v>
      </c>
      <c r="K59" s="14">
        <f>HARMEAN(Todas!K450:K453)</f>
        <v>15.624478164559022</v>
      </c>
      <c r="L59" s="14" t="e">
        <f>HARMEAN(Todas!L450:L453)</f>
        <v>#N/A</v>
      </c>
      <c r="M59" s="14" t="e">
        <f>HARMEAN(Todas!M450:M453)</f>
        <v>#N/A</v>
      </c>
      <c r="N59" s="14" t="e">
        <f>HARMEAN(Todas!N450:N453)</f>
        <v>#N/A</v>
      </c>
      <c r="O59" s="14">
        <f>HARMEAN(Todas!O450:O453)</f>
        <v>3.1306666511154653</v>
      </c>
      <c r="P59" s="14" t="e">
        <f>HARMEAN(Todas!P450:P453)</f>
        <v>#N/A</v>
      </c>
      <c r="Q59" s="14" t="e">
        <f>HARMEAN(Todas!Q450:Q453)</f>
        <v>#N/A</v>
      </c>
      <c r="R59" s="14">
        <f>HARMEAN(Todas!R450:R453)</f>
        <v>1.2202783303060794</v>
      </c>
      <c r="S59" s="14" t="e">
        <f>HARMEAN(Todas!S450:S453)</f>
        <v>#N/A</v>
      </c>
      <c r="T59" s="14" t="e">
        <f>HARMEAN(Todas!T450:T453)</f>
        <v>#N/A</v>
      </c>
      <c r="U59" s="14">
        <f>HARMEAN(Todas!U450:U453)</f>
        <v>3.1306666511154653</v>
      </c>
      <c r="V59" s="14">
        <f>HARMEAN(Todas!V450:V453)</f>
        <v>1.2202783303060794</v>
      </c>
      <c r="W59" s="14">
        <f>HARMEAN(Todas!W450:W453)</f>
        <v>1.6381983266230105</v>
      </c>
    </row>
    <row r="60" spans="1:23">
      <c r="A60" t="s">
        <v>182</v>
      </c>
      <c r="B60" t="s">
        <v>259</v>
      </c>
      <c r="C60" s="21" t="str">
        <f>Todas!C454</f>
        <v>Blackjack Peninsula,San Antonio Bay, Texas</v>
      </c>
      <c r="D60" s="14">
        <f>HARMEAN(Todas!D454:D457)</f>
        <v>1989.9999999999998</v>
      </c>
      <c r="E60" s="14">
        <f>HARMEAN(Todas!E454:E457)</f>
        <v>5</v>
      </c>
      <c r="F60" s="14">
        <f>HARMEAN(Todas!F454:F457)</f>
        <v>5</v>
      </c>
      <c r="G60" s="15">
        <f>HARMEAN(Todas!G454:G457)</f>
        <v>126.88</v>
      </c>
      <c r="H60" s="15">
        <f>HARMEAN(Todas!H454:H457)</f>
        <v>871.39230769230778</v>
      </c>
      <c r="I60" s="14" t="e">
        <f>HARMEAN(Todas!I454:I457)</f>
        <v>#N/A</v>
      </c>
      <c r="J60" s="14" t="e">
        <f>HARMEAN(Todas!J454:J457)</f>
        <v>#N/A</v>
      </c>
      <c r="K60" s="14">
        <f>HARMEAN(Todas!K454:K457)</f>
        <v>12.058083101241623</v>
      </c>
      <c r="L60" s="14" t="e">
        <f>HARMEAN(Todas!L454:L457)</f>
        <v>#N/A</v>
      </c>
      <c r="M60" s="14" t="e">
        <f>HARMEAN(Todas!M454:M457)</f>
        <v>#N/A</v>
      </c>
      <c r="N60" s="14" t="e">
        <f>HARMEAN(Todas!N454:N457)</f>
        <v>#N/A</v>
      </c>
      <c r="O60" s="14">
        <f>HARMEAN(Todas!O454:O457)</f>
        <v>2.9432342546448673</v>
      </c>
      <c r="P60" s="14" t="e">
        <f>HARMEAN(Todas!P454:P457)</f>
        <v>#N/A</v>
      </c>
      <c r="Q60" s="14" t="e">
        <f>HARMEAN(Todas!Q454:Q457)</f>
        <v>#N/A</v>
      </c>
      <c r="R60" s="14">
        <f>HARMEAN(Todas!R454:R457)</f>
        <v>1.0874747103779172</v>
      </c>
      <c r="S60" s="14" t="e">
        <f>HARMEAN(Todas!S454:S457)</f>
        <v>#N/A</v>
      </c>
      <c r="T60" s="14" t="e">
        <f>HARMEAN(Todas!T454:T457)</f>
        <v>#N/A</v>
      </c>
      <c r="U60" s="14">
        <f>HARMEAN(Todas!U454:U457)</f>
        <v>2.9432342546448673</v>
      </c>
      <c r="V60" s="14">
        <f>HARMEAN(Todas!V454:V457)</f>
        <v>1.0874747103779172</v>
      </c>
      <c r="W60" s="14">
        <f>HARMEAN(Todas!W454:W457)</f>
        <v>1.9208070357696339</v>
      </c>
    </row>
    <row r="61" spans="1:23">
      <c r="A61" t="s">
        <v>182</v>
      </c>
      <c r="B61" t="s">
        <v>259</v>
      </c>
      <c r="C61" s="21" t="str">
        <f>Todas!C458</f>
        <v>Blackjack Peninsula,San Antonio Bay, Texas</v>
      </c>
      <c r="D61" s="14">
        <f>HARMEAN(Todas!D458:D461)</f>
        <v>1989.9999999999998</v>
      </c>
      <c r="E61" s="14">
        <f>HARMEAN(Todas!E458:E461)</f>
        <v>7</v>
      </c>
      <c r="F61" s="14">
        <f>HARMEAN(Todas!F458:F461)</f>
        <v>2</v>
      </c>
      <c r="G61" s="15">
        <f>HARMEAN(Todas!G458:G461)</f>
        <v>184.82</v>
      </c>
      <c r="H61" s="15">
        <f>HARMEAN(Todas!H458:H461)</f>
        <v>2400.369234456929</v>
      </c>
      <c r="I61" s="14" t="e">
        <f>HARMEAN(Todas!I458:I461)</f>
        <v>#N/A</v>
      </c>
      <c r="J61" s="14" t="e">
        <f>HARMEAN(Todas!J458:J461)</f>
        <v>#N/A</v>
      </c>
      <c r="K61" s="14">
        <f>HARMEAN(Todas!K458:K461)</f>
        <v>17.009908637329005</v>
      </c>
      <c r="L61" s="14" t="e">
        <f>HARMEAN(Todas!L458:L461)</f>
        <v>#N/A</v>
      </c>
      <c r="M61" s="14" t="e">
        <f>HARMEAN(Todas!M458:M461)</f>
        <v>#N/A</v>
      </c>
      <c r="N61" s="14" t="e">
        <f>HARMEAN(Todas!N458:N461)</f>
        <v>#N/A</v>
      </c>
      <c r="O61" s="14">
        <f>HARMEAN(Todas!O458:O461)</f>
        <v>3.3820920904773102</v>
      </c>
      <c r="P61" s="14" t="e">
        <f>HARMEAN(Todas!P458:P461)</f>
        <v>#N/A</v>
      </c>
      <c r="Q61" s="14" t="e">
        <f>HARMEAN(Todas!Q458:Q461)</f>
        <v>#N/A</v>
      </c>
      <c r="R61" s="14">
        <f>HARMEAN(Todas!R458:R461)</f>
        <v>1.2321456554250978</v>
      </c>
      <c r="S61" s="14" t="e">
        <f>HARMEAN(Todas!S458:S461)</f>
        <v>#N/A</v>
      </c>
      <c r="T61" s="14" t="e">
        <f>HARMEAN(Todas!T458:T461)</f>
        <v>#N/A</v>
      </c>
      <c r="U61" s="14">
        <f>HARMEAN(Todas!U458:U461)</f>
        <v>3.3820920904773102</v>
      </c>
      <c r="V61" s="14">
        <f>HARMEAN(Todas!V458:V461)</f>
        <v>1.2321456554250978</v>
      </c>
      <c r="W61" s="14">
        <f>HARMEAN(Todas!W458:W461)</f>
        <v>1.6815979358865969</v>
      </c>
    </row>
    <row r="62" spans="1:23">
      <c r="A62" t="s">
        <v>182</v>
      </c>
      <c r="B62" t="s">
        <v>259</v>
      </c>
      <c r="C62" s="21" t="str">
        <f>Todas!C462</f>
        <v>Blackjack Peninsula,San Antonio Bay, Texas</v>
      </c>
      <c r="D62" s="14">
        <f>HARMEAN(Todas!D462:D465)</f>
        <v>1989.9999999999998</v>
      </c>
      <c r="E62" s="14">
        <f>HARMEAN(Todas!E462:E465)</f>
        <v>9</v>
      </c>
      <c r="F62" s="14">
        <f>HARMEAN(Todas!F462:F465)</f>
        <v>10</v>
      </c>
      <c r="G62" s="15">
        <f>HARMEAN(Todas!G462:G465)</f>
        <v>253.76</v>
      </c>
      <c r="H62" s="15">
        <f>HARMEAN(Todas!H462:H465)</f>
        <v>2768.6178431037429</v>
      </c>
      <c r="I62" s="14" t="e">
        <f>HARMEAN(Todas!I462:I465)</f>
        <v>#N/A</v>
      </c>
      <c r="J62" s="14" t="e">
        <f>HARMEAN(Todas!J462:J465)</f>
        <v>#N/A</v>
      </c>
      <c r="K62" s="14">
        <f>HARMEAN(Todas!K462:K465)</f>
        <v>28.802797924411241</v>
      </c>
      <c r="L62" s="14" t="e">
        <f>HARMEAN(Todas!L462:L465)</f>
        <v>#N/A</v>
      </c>
      <c r="M62" s="14" t="e">
        <f>HARMEAN(Todas!M462:M465)</f>
        <v>#N/A</v>
      </c>
      <c r="N62" s="14" t="e">
        <f>HARMEAN(Todas!N462:N465)</f>
        <v>#N/A</v>
      </c>
      <c r="O62" s="14">
        <f>HARMEAN(Todas!O462:O465)</f>
        <v>3.4548578329791995</v>
      </c>
      <c r="P62" s="14" t="e">
        <f>HARMEAN(Todas!P462:P465)</f>
        <v>#N/A</v>
      </c>
      <c r="Q62" s="14" t="e">
        <f>HARMEAN(Todas!Q462:Q465)</f>
        <v>#N/A</v>
      </c>
      <c r="R62" s="14">
        <f>HARMEAN(Todas!R462:R465)</f>
        <v>1.4597118751866511</v>
      </c>
      <c r="S62" s="14" t="e">
        <f>HARMEAN(Todas!S462:S465)</f>
        <v>#N/A</v>
      </c>
      <c r="T62" s="14" t="e">
        <f>HARMEAN(Todas!T462:T465)</f>
        <v>#N/A</v>
      </c>
      <c r="U62" s="14">
        <f>HARMEAN(Todas!U462:U465)</f>
        <v>3.4548578329791995</v>
      </c>
      <c r="V62" s="14">
        <f>HARMEAN(Todas!V462:V465)</f>
        <v>1.4597118751866511</v>
      </c>
      <c r="W62" s="14">
        <f>HARMEAN(Todas!W462:W465)</f>
        <v>1.4470759273251923</v>
      </c>
    </row>
    <row r="63" spans="1:23">
      <c r="A63" t="s">
        <v>182</v>
      </c>
      <c r="B63" t="s">
        <v>259</v>
      </c>
      <c r="C63" s="21" t="str">
        <f>Todas!C466</f>
        <v>Blackjack Peninsula,San Antonio Bay, Texas</v>
      </c>
      <c r="D63" s="14">
        <f>HARMEAN(Todas!D466:D469)</f>
        <v>1989.9999999999998</v>
      </c>
      <c r="E63" s="14">
        <f>HARMEAN(Todas!E466:E469)</f>
        <v>11</v>
      </c>
      <c r="F63" s="14">
        <f>HARMEAN(Todas!F466:F469)</f>
        <v>13</v>
      </c>
      <c r="G63" s="15">
        <f>HARMEAN(Todas!G466:G469)</f>
        <v>317.7</v>
      </c>
      <c r="H63" s="15">
        <f>HARMEAN(Todas!H466:H469)</f>
        <v>2487.2394088669948</v>
      </c>
      <c r="I63" s="14" t="e">
        <f>HARMEAN(Todas!I466:I469)</f>
        <v>#N/A</v>
      </c>
      <c r="J63" s="14" t="e">
        <f>HARMEAN(Todas!J466:J469)</f>
        <v>#N/A</v>
      </c>
      <c r="K63" s="14">
        <f>HARMEAN(Todas!K466:K469)</f>
        <v>12.08002874561325</v>
      </c>
      <c r="L63" s="14" t="e">
        <f>HARMEAN(Todas!L466:L469)</f>
        <v>#N/A</v>
      </c>
      <c r="M63" s="14" t="e">
        <f>HARMEAN(Todas!M466:M469)</f>
        <v>#N/A</v>
      </c>
      <c r="N63" s="14" t="e">
        <f>HARMEAN(Todas!N466:N469)</f>
        <v>#N/A</v>
      </c>
      <c r="O63" s="14">
        <f>HARMEAN(Todas!O466:O469)</f>
        <v>3.3995062747059714</v>
      </c>
      <c r="P63" s="14" t="e">
        <f>HARMEAN(Todas!P466:P469)</f>
        <v>#N/A</v>
      </c>
      <c r="Q63" s="14" t="e">
        <f>HARMEAN(Todas!Q466:Q469)</f>
        <v>#N/A</v>
      </c>
      <c r="R63" s="14">
        <f>HARMEAN(Todas!R466:R469)</f>
        <v>1.0831629374404674</v>
      </c>
      <c r="S63" s="14" t="e">
        <f>HARMEAN(Todas!S466:S469)</f>
        <v>#N/A</v>
      </c>
      <c r="T63" s="14" t="e">
        <f>HARMEAN(Todas!T466:T469)</f>
        <v>#N/A</v>
      </c>
      <c r="U63" s="14">
        <f>HARMEAN(Todas!U466:U469)</f>
        <v>3.3995062747059714</v>
      </c>
      <c r="V63" s="14">
        <f>HARMEAN(Todas!V466:V469)</f>
        <v>1.0831629374404674</v>
      </c>
      <c r="W63" s="14">
        <f>HARMEAN(Todas!W466:W469)</f>
        <v>1.8171815268142391</v>
      </c>
    </row>
    <row r="64" spans="1:23">
      <c r="A64" t="s">
        <v>182</v>
      </c>
      <c r="B64" t="s">
        <v>259</v>
      </c>
      <c r="C64" s="21" t="str">
        <f>Todas!C470</f>
        <v>Blackjack Peninsula,San Antonio Bay, Texas</v>
      </c>
      <c r="D64" s="14">
        <f>HARMEAN(Todas!D470:D473)</f>
        <v>1990.9999999999998</v>
      </c>
      <c r="E64" s="14">
        <f>HARMEAN(Todas!E470:E473)</f>
        <v>2</v>
      </c>
      <c r="F64" s="14">
        <f>HARMEAN(Todas!F470:F473)</f>
        <v>8</v>
      </c>
      <c r="G64" s="15">
        <f>HARMEAN(Todas!G470:G473)</f>
        <v>38.47</v>
      </c>
      <c r="H64" s="15">
        <f>HARMEAN(Todas!H470:H473)</f>
        <v>1182.4351465490074</v>
      </c>
      <c r="I64" s="14" t="e">
        <f>HARMEAN(Todas!I470:I473)</f>
        <v>#N/A</v>
      </c>
      <c r="J64" s="14" t="e">
        <f>HARMEAN(Todas!J470:J473)</f>
        <v>#N/A</v>
      </c>
      <c r="K64" s="14">
        <f>HARMEAN(Todas!K470:K473)</f>
        <v>5.7627554001211747</v>
      </c>
      <c r="L64" s="14" t="e">
        <f>HARMEAN(Todas!L470:L473)</f>
        <v>#N/A</v>
      </c>
      <c r="M64" s="14" t="e">
        <f>HARMEAN(Todas!M470:M473)</f>
        <v>#N/A</v>
      </c>
      <c r="N64" s="14" t="e">
        <f>HARMEAN(Todas!N470:N473)</f>
        <v>#N/A</v>
      </c>
      <c r="O64" s="14">
        <f>HARMEAN(Todas!O470:O473)</f>
        <v>3.126640175246497</v>
      </c>
      <c r="P64" s="14" t="e">
        <f>HARMEAN(Todas!P470:P473)</f>
        <v>#N/A</v>
      </c>
      <c r="Q64" s="14" t="e">
        <f>HARMEAN(Todas!Q470:Q473)</f>
        <v>#N/A</v>
      </c>
      <c r="R64" s="14">
        <f>HARMEAN(Todas!R470:R473)</f>
        <v>0.75520260086850166</v>
      </c>
      <c r="S64" s="14" t="e">
        <f>HARMEAN(Todas!S470:S473)</f>
        <v>#N/A</v>
      </c>
      <c r="T64" s="14" t="e">
        <f>HARMEAN(Todas!T470:T473)</f>
        <v>#N/A</v>
      </c>
      <c r="U64" s="14">
        <f>HARMEAN(Todas!U470:U473)</f>
        <v>3.126640175246497</v>
      </c>
      <c r="V64" s="14">
        <f>HARMEAN(Todas!V470:V473)</f>
        <v>0.75520260086850166</v>
      </c>
      <c r="W64" s="14">
        <f>HARMEAN(Todas!W470:W473)</f>
        <v>2.1555573607658118</v>
      </c>
    </row>
    <row r="65" spans="1:23">
      <c r="A65" t="s">
        <v>182</v>
      </c>
      <c r="B65" t="s">
        <v>259</v>
      </c>
      <c r="C65" s="21" t="str">
        <f>Todas!C474</f>
        <v>Blackjack Peninsula,San Antonio Bay, Texas</v>
      </c>
      <c r="D65" s="14">
        <f>HARMEAN(Todas!D474:D477)</f>
        <v>1990.9999999999998</v>
      </c>
      <c r="E65" s="14">
        <f>HARMEAN(Todas!E474:E477)</f>
        <v>4</v>
      </c>
      <c r="F65" s="14">
        <f>HARMEAN(Todas!F474:F477)</f>
        <v>8</v>
      </c>
      <c r="G65" s="15">
        <f>HARMEAN(Todas!G474:G477)</f>
        <v>99.409999999999982</v>
      </c>
      <c r="H65" s="15">
        <f>HARMEAN(Todas!H474:H477)</f>
        <v>1284.4459842519684</v>
      </c>
      <c r="I65" s="14" t="e">
        <f>HARMEAN(Todas!I474:I477)</f>
        <v>#N/A</v>
      </c>
      <c r="J65" s="14" t="e">
        <f>HARMEAN(Todas!J474:J477)</f>
        <v>#N/A</v>
      </c>
      <c r="K65" s="14">
        <f>HARMEAN(Todas!K474:K477)</f>
        <v>10.096730039140311</v>
      </c>
      <c r="L65" s="14" t="e">
        <f>HARMEAN(Todas!L474:L477)</f>
        <v>#N/A</v>
      </c>
      <c r="M65" s="14" t="e">
        <f>HARMEAN(Todas!M474:M477)</f>
        <v>#N/A</v>
      </c>
      <c r="N65" s="14" t="e">
        <f>HARMEAN(Todas!N474:N477)</f>
        <v>#N/A</v>
      </c>
      <c r="O65" s="14">
        <f>HARMEAN(Todas!O474:O477)</f>
        <v>3.1099586298809077</v>
      </c>
      <c r="P65" s="14" t="e">
        <f>HARMEAN(Todas!P474:P477)</f>
        <v>#N/A</v>
      </c>
      <c r="Q65" s="14" t="e">
        <f>HARMEAN(Todas!Q474:Q477)</f>
        <v>#N/A</v>
      </c>
      <c r="R65" s="14">
        <f>HARMEAN(Todas!R474:R477)</f>
        <v>1.0047163682877611</v>
      </c>
      <c r="S65" s="14" t="e">
        <f>HARMEAN(Todas!S474:S477)</f>
        <v>#N/A</v>
      </c>
      <c r="T65" s="14" t="e">
        <f>HARMEAN(Todas!T474:T477)</f>
        <v>#N/A</v>
      </c>
      <c r="U65" s="14">
        <f>HARMEAN(Todas!U474:U477)</f>
        <v>3.1099586298809077</v>
      </c>
      <c r="V65" s="14">
        <f>HARMEAN(Todas!V474:V477)</f>
        <v>1.0047163682877611</v>
      </c>
      <c r="W65" s="14">
        <f>HARMEAN(Todas!W474:W477)</f>
        <v>1.9814863707574775</v>
      </c>
    </row>
    <row r="66" spans="1:23">
      <c r="A66" t="s">
        <v>182</v>
      </c>
      <c r="B66" t="s">
        <v>259</v>
      </c>
      <c r="C66" s="21" t="str">
        <f>Todas!C478</f>
        <v>Blackjack Peninsula,San Antonio Bay, Texas</v>
      </c>
      <c r="D66" s="14">
        <f>HARMEAN(Todas!D478:D481)</f>
        <v>1990.9999999999998</v>
      </c>
      <c r="E66" s="14">
        <f>HARMEAN(Todas!E478:E481)</f>
        <v>5</v>
      </c>
      <c r="F66" s="14">
        <f>HARMEAN(Todas!F478:F481)</f>
        <v>21</v>
      </c>
      <c r="G66" s="15">
        <f>HARMEAN(Todas!G478:G481)</f>
        <v>142.88</v>
      </c>
      <c r="H66" s="15">
        <f>HARMEAN(Todas!H478:H481)</f>
        <v>948.39906976744203</v>
      </c>
      <c r="I66" s="14" t="e">
        <f>HARMEAN(Todas!I478:I481)</f>
        <v>#N/A</v>
      </c>
      <c r="J66" s="14" t="e">
        <f>HARMEAN(Todas!J478:J481)</f>
        <v>#N/A</v>
      </c>
      <c r="K66" s="14">
        <f>HARMEAN(Todas!K478:K481)</f>
        <v>12.182016287931081</v>
      </c>
      <c r="L66" s="14" t="e">
        <f>HARMEAN(Todas!L478:L481)</f>
        <v>#N/A</v>
      </c>
      <c r="M66" s="14" t="e">
        <f>HARMEAN(Todas!M478:M481)</f>
        <v>#N/A</v>
      </c>
      <c r="N66" s="14" t="e">
        <f>HARMEAN(Todas!N478:N481)</f>
        <v>#N/A</v>
      </c>
      <c r="O66" s="14">
        <f>HARMEAN(Todas!O478:O481)</f>
        <v>3.0275330352503382</v>
      </c>
      <c r="P66" s="14" t="e">
        <f>HARMEAN(Todas!P478:P481)</f>
        <v>#N/A</v>
      </c>
      <c r="Q66" s="14" t="e">
        <f>HARMEAN(Todas!Q478:Q481)</f>
        <v>#N/A</v>
      </c>
      <c r="R66" s="14">
        <f>HARMEAN(Todas!R478:R481)</f>
        <v>1.1280052809403156</v>
      </c>
      <c r="S66" s="14" t="e">
        <f>HARMEAN(Todas!S478:S481)</f>
        <v>#N/A</v>
      </c>
      <c r="T66" s="14" t="e">
        <f>HARMEAN(Todas!T478:T481)</f>
        <v>#N/A</v>
      </c>
      <c r="U66" s="14">
        <f>HARMEAN(Todas!U478:U481)</f>
        <v>3.0275330352503382</v>
      </c>
      <c r="V66" s="14">
        <f>HARMEAN(Todas!V478:V481)</f>
        <v>1.1280052809403156</v>
      </c>
      <c r="W66" s="14">
        <f>HARMEAN(Todas!W478:W481)</f>
        <v>1.5267110909975872</v>
      </c>
    </row>
    <row r="67" spans="1:23">
      <c r="A67" t="s">
        <v>182</v>
      </c>
      <c r="B67" t="s">
        <v>259</v>
      </c>
      <c r="C67" s="21" t="str">
        <f>Todas!C482</f>
        <v>Blackjack Peninsula,San Antonio Bay, Texas</v>
      </c>
      <c r="D67" s="14">
        <f>HARMEAN(Todas!D482:D485)</f>
        <v>1990.9999999999998</v>
      </c>
      <c r="E67" s="14">
        <f>HARMEAN(Todas!E482:E485)</f>
        <v>7</v>
      </c>
      <c r="F67" s="14">
        <f>HARMEAN(Todas!F482:F485)</f>
        <v>16</v>
      </c>
      <c r="G67" s="15">
        <f>HARMEAN(Todas!G482:G485)</f>
        <v>198.81999999999996</v>
      </c>
      <c r="H67" s="15">
        <f>HARMEAN(Todas!H482:H485)</f>
        <v>2281.4634965034966</v>
      </c>
      <c r="I67" s="14" t="e">
        <f>HARMEAN(Todas!I482:I485)</f>
        <v>#N/A</v>
      </c>
      <c r="J67" s="14" t="e">
        <f>HARMEAN(Todas!J482:J485)</f>
        <v>#N/A</v>
      </c>
      <c r="K67" s="14">
        <f>HARMEAN(Todas!K482:K485)</f>
        <v>15.469524870221246</v>
      </c>
      <c r="L67" s="14" t="e">
        <f>HARMEAN(Todas!L482:L485)</f>
        <v>#N/A</v>
      </c>
      <c r="M67" s="14" t="e">
        <f>HARMEAN(Todas!M482:M485)</f>
        <v>#N/A</v>
      </c>
      <c r="N67" s="14" t="e">
        <f>HARMEAN(Todas!N482:N485)</f>
        <v>#N/A</v>
      </c>
      <c r="O67" s="14">
        <f>HARMEAN(Todas!O482:O485)</f>
        <v>3.3747500343446166</v>
      </c>
      <c r="P67" s="14" t="e">
        <f>HARMEAN(Todas!P482:P485)</f>
        <v>#N/A</v>
      </c>
      <c r="Q67" s="14" t="e">
        <f>HARMEAN(Todas!Q482:Q485)</f>
        <v>#N/A</v>
      </c>
      <c r="R67" s="14">
        <f>HARMEAN(Todas!R482:R485)</f>
        <v>1.1953537359140538</v>
      </c>
      <c r="S67" s="14" t="e">
        <f>HARMEAN(Todas!S482:S485)</f>
        <v>#N/A</v>
      </c>
      <c r="T67" s="14" t="e">
        <f>HARMEAN(Todas!T482:T485)</f>
        <v>#N/A</v>
      </c>
      <c r="U67" s="14">
        <f>HARMEAN(Todas!U482:U485)</f>
        <v>3.3747500343446166</v>
      </c>
      <c r="V67" s="14">
        <f>HARMEAN(Todas!V482:V485)</f>
        <v>1.1953537359140538</v>
      </c>
      <c r="W67" s="14">
        <f>HARMEAN(Todas!W482:W485)</f>
        <v>1.6934799427100833</v>
      </c>
    </row>
    <row r="68" spans="1:23">
      <c r="A68" t="s">
        <v>182</v>
      </c>
      <c r="B68" t="s">
        <v>259</v>
      </c>
      <c r="C68" s="21" t="str">
        <f>Todas!C486</f>
        <v>Blackjack Peninsula,San Antonio Bay, Texas</v>
      </c>
      <c r="D68" s="14">
        <f>HARMEAN(Todas!D486:D489)</f>
        <v>1990.9999999999998</v>
      </c>
      <c r="E68" s="14">
        <f>HARMEAN(Todas!E486:E489)</f>
        <v>10</v>
      </c>
      <c r="F68" s="14">
        <f>HARMEAN(Todas!F486:F489)</f>
        <v>2</v>
      </c>
      <c r="G68" s="15">
        <f>HARMEAN(Todas!G486:G489)</f>
        <v>276.23</v>
      </c>
      <c r="H68" s="15">
        <f>HARMEAN(Todas!H486:H489)</f>
        <v>4975.9359242475484</v>
      </c>
      <c r="I68" s="14" t="e">
        <f>HARMEAN(Todas!I486:I489)</f>
        <v>#N/A</v>
      </c>
      <c r="J68" s="14" t="e">
        <f>HARMEAN(Todas!J486:J489)</f>
        <v>#N/A</v>
      </c>
      <c r="K68" s="14">
        <f>HARMEAN(Todas!K486:K489)</f>
        <v>100.37650896803055</v>
      </c>
      <c r="L68" s="14" t="e">
        <f>HARMEAN(Todas!L486:L489)</f>
        <v>#N/A</v>
      </c>
      <c r="M68" s="14" t="e">
        <f>HARMEAN(Todas!M486:M489)</f>
        <v>#N/A</v>
      </c>
      <c r="N68" s="14" t="e">
        <f>HARMEAN(Todas!N486:N489)</f>
        <v>#N/A</v>
      </c>
      <c r="O68" s="14">
        <f>HARMEAN(Todas!O486:O489)</f>
        <v>3.7082110224716587</v>
      </c>
      <c r="P68" s="14" t="e">
        <f>HARMEAN(Todas!P486:P489)</f>
        <v>#N/A</v>
      </c>
      <c r="Q68" s="14" t="e">
        <f>HARMEAN(Todas!Q486:Q489)</f>
        <v>#N/A</v>
      </c>
      <c r="R68" s="14">
        <f>HARMEAN(Todas!R486:R489)</f>
        <v>2.0044645139069628</v>
      </c>
      <c r="S68" s="14" t="e">
        <f>HARMEAN(Todas!S486:S489)</f>
        <v>#N/A</v>
      </c>
      <c r="T68" s="14" t="e">
        <f>HARMEAN(Todas!T486:T489)</f>
        <v>#N/A</v>
      </c>
      <c r="U68" s="14">
        <f>HARMEAN(Todas!U486:U489)</f>
        <v>3.7082110224716587</v>
      </c>
      <c r="V68" s="14">
        <f>HARMEAN(Todas!V486:V489)</f>
        <v>2.0044645139069628</v>
      </c>
      <c r="W68" s="14">
        <f>HARMEAN(Todas!W486:W489)</f>
        <v>0.84262436855241973</v>
      </c>
    </row>
    <row r="69" spans="1:23">
      <c r="A69" t="s">
        <v>182</v>
      </c>
      <c r="B69" t="s">
        <v>259</v>
      </c>
      <c r="C69" s="21" t="str">
        <f>Todas!C490</f>
        <v>Blackjack Peninsula,San Antonio Bay, Texas</v>
      </c>
      <c r="D69" s="14">
        <f>HARMEAN(Todas!D490:D493)</f>
        <v>1990.9999999999998</v>
      </c>
      <c r="E69" s="14">
        <f>HARMEAN(Todas!E490:E493)</f>
        <v>11</v>
      </c>
      <c r="F69" s="14">
        <f>HARMEAN(Todas!F490:F493)</f>
        <v>29</v>
      </c>
      <c r="G69" s="15">
        <f>HARMEAN(Todas!G490:G493)</f>
        <v>333.7</v>
      </c>
      <c r="H69" s="15">
        <f>HARMEAN(Todas!H490:H493)</f>
        <v>4373.3615484915981</v>
      </c>
      <c r="I69" s="14" t="e">
        <f>HARMEAN(Todas!I490:I493)</f>
        <v>#N/A</v>
      </c>
      <c r="J69" s="14" t="e">
        <f>HARMEAN(Todas!J490:J493)</f>
        <v>#N/A</v>
      </c>
      <c r="K69" s="14">
        <f>HARMEAN(Todas!K490:K493)</f>
        <v>65.663336671140897</v>
      </c>
      <c r="L69" s="14" t="e">
        <f>HARMEAN(Todas!L490:L493)</f>
        <v>#N/A</v>
      </c>
      <c r="M69" s="14" t="e">
        <f>HARMEAN(Todas!M490:M493)</f>
        <v>#N/A</v>
      </c>
      <c r="N69" s="14" t="e">
        <f>HARMEAN(Todas!N490:N493)</f>
        <v>#N/A</v>
      </c>
      <c r="O69" s="14">
        <f>HARMEAN(Todas!O490:O493)</f>
        <v>3.6592910255599054</v>
      </c>
      <c r="P69" s="14" t="e">
        <f>HARMEAN(Todas!P490:P493)</f>
        <v>#N/A</v>
      </c>
      <c r="Q69" s="14" t="e">
        <f>HARMEAN(Todas!Q490:Q493)</f>
        <v>#N/A</v>
      </c>
      <c r="R69" s="14">
        <f>HARMEAN(Todas!R490:R493)</f>
        <v>1.8228563499757162</v>
      </c>
      <c r="S69" s="14" t="e">
        <f>HARMEAN(Todas!S490:S493)</f>
        <v>#N/A</v>
      </c>
      <c r="T69" s="14" t="e">
        <f>HARMEAN(Todas!T490:T493)</f>
        <v>#N/A</v>
      </c>
      <c r="U69" s="14">
        <f>HARMEAN(Todas!U490:U493)</f>
        <v>3.6592910255599054</v>
      </c>
      <c r="V69" s="14">
        <f>HARMEAN(Todas!V490:V493)</f>
        <v>1.8228563499757162</v>
      </c>
      <c r="W69" s="14">
        <f>HARMEAN(Todas!W490:W493)</f>
        <v>1.0209438687883052</v>
      </c>
    </row>
    <row r="70" spans="1:23">
      <c r="A70" t="s">
        <v>182</v>
      </c>
      <c r="B70" t="s">
        <v>259</v>
      </c>
      <c r="C70" s="21" t="str">
        <f>Todas!C494</f>
        <v>Blackjack Peninsula,San Antonio Bay, Texas</v>
      </c>
      <c r="D70" s="14">
        <f>HARMEAN(Todas!D494:D497)</f>
        <v>1992.0000000000002</v>
      </c>
      <c r="E70" s="14">
        <f>HARMEAN(Todas!E494:E497)</f>
        <v>1</v>
      </c>
      <c r="F70" s="14">
        <f>HARMEAN(Todas!F494:F497)</f>
        <v>30</v>
      </c>
      <c r="G70" s="15">
        <f>HARMEAN(Todas!G494:G497)</f>
        <v>30</v>
      </c>
      <c r="H70" s="15">
        <f>HARMEAN(Todas!H494:H497)</f>
        <v>3758.6322580645165</v>
      </c>
      <c r="I70" s="14" t="e">
        <f>HARMEAN(Todas!I494:I497)</f>
        <v>#N/A</v>
      </c>
      <c r="J70" s="14" t="e">
        <f>HARMEAN(Todas!J494:J497)</f>
        <v>#N/A</v>
      </c>
      <c r="K70" s="14">
        <f>HARMEAN(Todas!K494:K497)</f>
        <v>10.967589352247677</v>
      </c>
      <c r="L70" s="14" t="e">
        <f>HARMEAN(Todas!L494:L497)</f>
        <v>#N/A</v>
      </c>
      <c r="M70" s="14" t="e">
        <f>HARMEAN(Todas!M494:M497)</f>
        <v>#N/A</v>
      </c>
      <c r="N70" s="14" t="e">
        <f>HARMEAN(Todas!N494:N497)</f>
        <v>#N/A</v>
      </c>
      <c r="O70" s="14">
        <f>HARMEAN(Todas!O494:O497)</f>
        <v>3.5805210734300705</v>
      </c>
      <c r="P70" s="14" t="e">
        <f>HARMEAN(Todas!P494:P497)</f>
        <v>#N/A</v>
      </c>
      <c r="Q70" s="14" t="e">
        <f>HARMEAN(Todas!Q494:Q497)</f>
        <v>#N/A</v>
      </c>
      <c r="R70" s="14">
        <f>HARMEAN(Todas!R494:R497)</f>
        <v>1.0445781879894465</v>
      </c>
      <c r="S70" s="14" t="e">
        <f>HARMEAN(Todas!S494:S497)</f>
        <v>#N/A</v>
      </c>
      <c r="T70" s="14" t="e">
        <f>HARMEAN(Todas!T494:T497)</f>
        <v>#N/A</v>
      </c>
      <c r="U70" s="14">
        <f>HARMEAN(Todas!U494:U497)</f>
        <v>3.5805210734300705</v>
      </c>
      <c r="V70" s="14">
        <f>HARMEAN(Todas!V494:V497)</f>
        <v>1.0445781879894465</v>
      </c>
      <c r="W70" s="14">
        <f>HARMEAN(Todas!W494:W497)</f>
        <v>1.7712584301021044</v>
      </c>
    </row>
    <row r="71" spans="1:23">
      <c r="A71" t="s">
        <v>182</v>
      </c>
      <c r="B71" t="s">
        <v>259</v>
      </c>
      <c r="C71" s="21" t="str">
        <f>Todas!C498</f>
        <v>Blackjack Peninsula,San Antonio Bay, Texas</v>
      </c>
      <c r="D71" s="14">
        <f>HARMEAN(Todas!D498:D501)</f>
        <v>1992.0000000000002</v>
      </c>
      <c r="E71" s="14">
        <f>HARMEAN(Todas!E498:E501)</f>
        <v>4</v>
      </c>
      <c r="F71" s="14">
        <f>HARMEAN(Todas!F498:F501)</f>
        <v>9</v>
      </c>
      <c r="G71" s="15">
        <f>HARMEAN(Todas!G498:G501)</f>
        <v>100.41</v>
      </c>
      <c r="H71" s="15">
        <f>HARMEAN(Todas!H498:H501)</f>
        <v>7838.8224722066443</v>
      </c>
      <c r="I71" s="14" t="e">
        <f>HARMEAN(Todas!I498:I501)</f>
        <v>#N/A</v>
      </c>
      <c r="J71" s="14" t="e">
        <f>HARMEAN(Todas!J498:J501)</f>
        <v>#N/A</v>
      </c>
      <c r="K71" s="14">
        <f>HARMEAN(Todas!K498:K501)</f>
        <v>37.99921040426176</v>
      </c>
      <c r="L71" s="14" t="e">
        <f>HARMEAN(Todas!L498:L501)</f>
        <v>#N/A</v>
      </c>
      <c r="M71" s="14" t="e">
        <f>HARMEAN(Todas!M498:M501)</f>
        <v>#N/A</v>
      </c>
      <c r="N71" s="14" t="e">
        <f>HARMEAN(Todas!N498:N501)</f>
        <v>#N/A</v>
      </c>
      <c r="O71" s="14">
        <f>HARMEAN(Todas!O498:O501)</f>
        <v>3.8997287404789076</v>
      </c>
      <c r="P71" s="14" t="e">
        <f>HARMEAN(Todas!P498:P501)</f>
        <v>#N/A</v>
      </c>
      <c r="Q71" s="14" t="e">
        <f>HARMEAN(Todas!Q498:Q501)</f>
        <v>#N/A</v>
      </c>
      <c r="R71" s="14">
        <f>HARMEAN(Todas!R498:R501)</f>
        <v>1.5994812996119701</v>
      </c>
      <c r="S71" s="14" t="e">
        <f>HARMEAN(Todas!S498:S501)</f>
        <v>#N/A</v>
      </c>
      <c r="T71" s="14" t="e">
        <f>HARMEAN(Todas!T498:T501)</f>
        <v>#N/A</v>
      </c>
      <c r="U71" s="14">
        <f>HARMEAN(Todas!U498:U501)</f>
        <v>3.8997287404789076</v>
      </c>
      <c r="V71" s="14">
        <f>HARMEAN(Todas!V498:V501)</f>
        <v>1.5994812996119701</v>
      </c>
      <c r="W71" s="14">
        <f>HARMEAN(Todas!W498:W501)</f>
        <v>1.1237510901694943</v>
      </c>
    </row>
    <row r="72" spans="1:23">
      <c r="A72" t="s">
        <v>182</v>
      </c>
      <c r="B72" t="s">
        <v>259</v>
      </c>
      <c r="C72" s="21" t="str">
        <f>Todas!C502</f>
        <v>Blackjack Peninsula,San Antonio Bay, Texas</v>
      </c>
      <c r="D72" s="14">
        <f>HARMEAN(Todas!D502:D505)</f>
        <v>1992.0000000000002</v>
      </c>
      <c r="E72" s="14">
        <f>HARMEAN(Todas!E502:E505)</f>
        <v>6</v>
      </c>
      <c r="F72" s="14">
        <f>HARMEAN(Todas!F502:F505)</f>
        <v>24</v>
      </c>
      <c r="G72" s="15">
        <f>HARMEAN(Todas!G502:G505)</f>
        <v>176.35</v>
      </c>
      <c r="H72" s="15">
        <f>HARMEAN(Todas!H502:H505)</f>
        <v>1002.3019354838711</v>
      </c>
      <c r="I72" s="14" t="e">
        <f>HARMEAN(Todas!I502:I505)</f>
        <v>#N/A</v>
      </c>
      <c r="J72" s="14" t="e">
        <f>HARMEAN(Todas!J502:J505)</f>
        <v>#N/A</v>
      </c>
      <c r="K72" s="14">
        <f>HARMEAN(Todas!K502:K505)</f>
        <v>4.6108069301578913</v>
      </c>
      <c r="L72" s="14" t="e">
        <f>HARMEAN(Todas!L502:L505)</f>
        <v>#N/A</v>
      </c>
      <c r="M72" s="14" t="e">
        <f>HARMEAN(Todas!M502:M505)</f>
        <v>#N/A</v>
      </c>
      <c r="N72" s="14" t="e">
        <f>HARMEAN(Todas!N502:N505)</f>
        <v>#N/A</v>
      </c>
      <c r="O72" s="14">
        <f>HARMEAN(Todas!O502:O505)</f>
        <v>3.03436444937739</v>
      </c>
      <c r="P72" s="14" t="e">
        <f>HARMEAN(Todas!P502:P505)</f>
        <v>#N/A</v>
      </c>
      <c r="Q72" s="14" t="e">
        <f>HARMEAN(Todas!Q502:Q505)</f>
        <v>#N/A</v>
      </c>
      <c r="R72" s="14">
        <f>HARMEAN(Todas!R502:R505)</f>
        <v>0.65557997084498576</v>
      </c>
      <c r="S72" s="14" t="e">
        <f>HARMEAN(Todas!S502:S505)</f>
        <v>#N/A</v>
      </c>
      <c r="T72" s="14" t="e">
        <f>HARMEAN(Todas!T502:T505)</f>
        <v>#N/A</v>
      </c>
      <c r="U72" s="14">
        <f>HARMEAN(Todas!U502:U505)</f>
        <v>3.03436444937739</v>
      </c>
      <c r="V72" s="14">
        <f>HARMEAN(Todas!V502:V505)</f>
        <v>0.65557997084498576</v>
      </c>
      <c r="W72" s="14">
        <f>HARMEAN(Todas!W502:W505)</f>
        <v>2.2952096306689636</v>
      </c>
    </row>
    <row r="73" spans="1:23">
      <c r="A73" t="s">
        <v>182</v>
      </c>
      <c r="B73" t="s">
        <v>259</v>
      </c>
      <c r="C73" s="21" t="str">
        <f>Todas!C506</f>
        <v>Blackjack Peninsula,San Antonio Bay, Texas</v>
      </c>
      <c r="D73" s="14">
        <f>HARMEAN(Todas!D506:D509)</f>
        <v>1992.0000000000002</v>
      </c>
      <c r="E73" s="14">
        <f>HARMEAN(Todas!E506:E509)</f>
        <v>8</v>
      </c>
      <c r="F73" s="14">
        <f>HARMEAN(Todas!F506:F509)</f>
        <v>17</v>
      </c>
      <c r="G73" s="15">
        <f>HARMEAN(Todas!G506:G509)</f>
        <v>230.29</v>
      </c>
      <c r="H73" s="15">
        <f>HARMEAN(Todas!H506:H509)</f>
        <v>2589.7358591549291</v>
      </c>
      <c r="I73" s="14" t="e">
        <f>HARMEAN(Todas!I506:I509)</f>
        <v>#N/A</v>
      </c>
      <c r="J73" s="14" t="e">
        <f>HARMEAN(Todas!J506:J509)</f>
        <v>#N/A</v>
      </c>
      <c r="K73" s="14">
        <f>HARMEAN(Todas!K506:K509)</f>
        <v>17.321353034753226</v>
      </c>
      <c r="L73" s="14" t="e">
        <f>HARMEAN(Todas!L506:L509)</f>
        <v>#N/A</v>
      </c>
      <c r="M73" s="14" t="e">
        <f>HARMEAN(Todas!M506:M509)</f>
        <v>#N/A</v>
      </c>
      <c r="N73" s="14" t="e">
        <f>HARMEAN(Todas!N506:N509)</f>
        <v>#N/A</v>
      </c>
      <c r="O73" s="14">
        <f>HARMEAN(Todas!O506:O509)</f>
        <v>3.4228162490897214</v>
      </c>
      <c r="P73" s="14" t="e">
        <f>HARMEAN(Todas!P506:P509)</f>
        <v>#N/A</v>
      </c>
      <c r="Q73" s="14" t="e">
        <f>HARMEAN(Todas!Q506:Q509)</f>
        <v>#N/A</v>
      </c>
      <c r="R73" s="14">
        <f>HARMEAN(Todas!R506:R509)</f>
        <v>1.2414345821095356</v>
      </c>
      <c r="S73" s="14" t="e">
        <f>HARMEAN(Todas!S506:S509)</f>
        <v>#N/A</v>
      </c>
      <c r="T73" s="14" t="e">
        <f>HARMEAN(Todas!T506:T509)</f>
        <v>#N/A</v>
      </c>
      <c r="U73" s="14">
        <f>HARMEAN(Todas!U506:U509)</f>
        <v>3.4228162490897214</v>
      </c>
      <c r="V73" s="14">
        <f>HARMEAN(Todas!V506:V509)</f>
        <v>1.2414345821095356</v>
      </c>
      <c r="W73" s="14">
        <f>HARMEAN(Todas!W506:W509)</f>
        <v>1.653001703806056</v>
      </c>
    </row>
    <row r="74" spans="1:23">
      <c r="A74" t="s">
        <v>182</v>
      </c>
      <c r="B74" t="s">
        <v>259</v>
      </c>
      <c r="C74" s="21" t="str">
        <f>Todas!C510</f>
        <v>Blackjack Peninsula,San Antonio Bay, Texas</v>
      </c>
      <c r="D74" s="14">
        <f>HARMEAN(Todas!D510:D513)</f>
        <v>1992.0000000000002</v>
      </c>
      <c r="E74" s="14">
        <f>HARMEAN(Todas!E510:E513)</f>
        <v>10</v>
      </c>
      <c r="F74" s="14">
        <f>HARMEAN(Todas!F510:F513)</f>
        <v>6</v>
      </c>
      <c r="G74" s="15">
        <f>HARMEAN(Todas!G510:G513)</f>
        <v>280.23</v>
      </c>
      <c r="H74" s="15">
        <f>HARMEAN(Todas!H510:H513)</f>
        <v>1504.7136603773586</v>
      </c>
      <c r="I74" s="14" t="e">
        <f>HARMEAN(Todas!I510:I513)</f>
        <v>#N/A</v>
      </c>
      <c r="J74" s="14" t="e">
        <f>HARMEAN(Todas!J510:J513)</f>
        <v>#N/A</v>
      </c>
      <c r="K74" s="14">
        <f>HARMEAN(Todas!K510:K513)</f>
        <v>11.469213076127005</v>
      </c>
      <c r="L74" s="14" t="e">
        <f>HARMEAN(Todas!L510:L513)</f>
        <v>#N/A</v>
      </c>
      <c r="M74" s="14" t="e">
        <f>HARMEAN(Todas!M510:M513)</f>
        <v>#N/A</v>
      </c>
      <c r="N74" s="14" t="e">
        <f>HARMEAN(Todas!N510:N513)</f>
        <v>#N/A</v>
      </c>
      <c r="O74" s="14">
        <f>HARMEAN(Todas!O510:O513)</f>
        <v>3.188675153314497</v>
      </c>
      <c r="P74" s="14" t="e">
        <f>HARMEAN(Todas!P510:P513)</f>
        <v>#N/A</v>
      </c>
      <c r="Q74" s="14" t="e">
        <f>HARMEAN(Todas!Q510:Q513)</f>
        <v>#N/A</v>
      </c>
      <c r="R74" s="14">
        <f>HARMEAN(Todas!R510:R513)</f>
        <v>1.060875647086291</v>
      </c>
      <c r="S74" s="14" t="e">
        <f>HARMEAN(Todas!S510:S513)</f>
        <v>#N/A</v>
      </c>
      <c r="T74" s="14" t="e">
        <f>HARMEAN(Todas!T510:T513)</f>
        <v>#N/A</v>
      </c>
      <c r="U74" s="14">
        <f>HARMEAN(Todas!U510:U513)</f>
        <v>3.188675153314497</v>
      </c>
      <c r="V74" s="14">
        <f>HARMEAN(Todas!V510:V513)</f>
        <v>1.060875647086291</v>
      </c>
      <c r="W74" s="14">
        <f>HARMEAN(Todas!W510:W513)</f>
        <v>1.8962508373647429</v>
      </c>
    </row>
    <row r="75" spans="1:23">
      <c r="A75" t="s">
        <v>182</v>
      </c>
      <c r="B75" t="s">
        <v>259</v>
      </c>
      <c r="C75" s="21" t="str">
        <f>Todas!C517</f>
        <v>Blackjack Peninsula,San Antonio Bay, Texas</v>
      </c>
      <c r="D75" s="14">
        <f>HARMEAN(Todas!D517:D520)</f>
        <v>1993.0000000000002</v>
      </c>
      <c r="E75" s="14">
        <f>HARMEAN(Todas!E517:E520)</f>
        <v>2</v>
      </c>
      <c r="F75" s="14">
        <f>HARMEAN(Todas!F517:F520)</f>
        <v>16</v>
      </c>
      <c r="G75" s="15">
        <f>HARMEAN(Todas!G517:G520)</f>
        <v>46.47</v>
      </c>
      <c r="H75" s="15">
        <f>HARMEAN(Todas!H517:H520)</f>
        <v>1922.059673195768</v>
      </c>
      <c r="I75" s="14" t="e">
        <f>HARMEAN(Todas!I517:I520)</f>
        <v>#N/A</v>
      </c>
      <c r="J75" s="14" t="e">
        <f>HARMEAN(Todas!J517:J520)</f>
        <v>#N/A</v>
      </c>
      <c r="K75" s="14">
        <f>HARMEAN(Todas!K517:K520)</f>
        <v>10.772759431552313</v>
      </c>
      <c r="L75" s="14" t="e">
        <f>HARMEAN(Todas!L517:L520)</f>
        <v>#N/A</v>
      </c>
      <c r="M75" s="14" t="e">
        <f>HARMEAN(Todas!M517:M520)</f>
        <v>#N/A</v>
      </c>
      <c r="N75" s="14" t="e">
        <f>HARMEAN(Todas!N517:N520)</f>
        <v>#N/A</v>
      </c>
      <c r="O75" s="14">
        <f>HARMEAN(Todas!O517:O520)</f>
        <v>3.3697362307544001</v>
      </c>
      <c r="P75" s="14" t="e">
        <f>HARMEAN(Todas!P517:P520)</f>
        <v>#N/A</v>
      </c>
      <c r="Q75" s="14" t="e">
        <f>HARMEAN(Todas!Q517:Q520)</f>
        <v>#N/A</v>
      </c>
      <c r="R75" s="14">
        <f>HARMEAN(Todas!R517:R520)</f>
        <v>1.037657081690462</v>
      </c>
      <c r="S75" s="14" t="e">
        <f>HARMEAN(Todas!S517:S520)</f>
        <v>#N/A</v>
      </c>
      <c r="T75" s="14" t="e">
        <f>HARMEAN(Todas!T517:T520)</f>
        <v>#N/A</v>
      </c>
      <c r="U75" s="14">
        <f>HARMEAN(Todas!U517:U520)</f>
        <v>3.3697362307544001</v>
      </c>
      <c r="V75" s="14">
        <f>HARMEAN(Todas!V517:V520)</f>
        <v>1.037657081690462</v>
      </c>
      <c r="W75" s="14">
        <f>HARMEAN(Todas!W517:W520)</f>
        <v>1.8040004985391416</v>
      </c>
    </row>
    <row r="76" spans="1:23">
      <c r="A76" t="s">
        <v>182</v>
      </c>
      <c r="B76" t="s">
        <v>259</v>
      </c>
      <c r="C76" s="21" t="str">
        <f>Todas!C521</f>
        <v>Blackjack Peninsula,San Antonio Bay, Texas</v>
      </c>
      <c r="D76" s="14">
        <f>HARMEAN(Todas!D521:D524)</f>
        <v>1993.0000000000002</v>
      </c>
      <c r="E76" s="14">
        <f>HARMEAN(Todas!E521:E524)</f>
        <v>5</v>
      </c>
      <c r="F76" s="14">
        <f>HARMEAN(Todas!F521:F524)</f>
        <v>21</v>
      </c>
      <c r="G76" s="15">
        <f>HARMEAN(Todas!G521:G524)</f>
        <v>142.88</v>
      </c>
      <c r="H76" s="15">
        <f>HARMEAN(Todas!H521:H524)</f>
        <v>2319.2850700073695</v>
      </c>
      <c r="I76" s="14" t="e">
        <f>HARMEAN(Todas!I521:I524)</f>
        <v>#N/A</v>
      </c>
      <c r="J76" s="14" t="e">
        <f>HARMEAN(Todas!J521:J524)</f>
        <v>#N/A</v>
      </c>
      <c r="K76" s="14">
        <f>HARMEAN(Todas!K521:K524)</f>
        <v>10.45898866142463</v>
      </c>
      <c r="L76" s="14" t="e">
        <f>HARMEAN(Todas!L521:L524)</f>
        <v>#N/A</v>
      </c>
      <c r="M76" s="14" t="e">
        <f>HARMEAN(Todas!M521:M524)</f>
        <v>#N/A</v>
      </c>
      <c r="N76" s="14" t="e">
        <f>HARMEAN(Todas!N521:N524)</f>
        <v>#N/A</v>
      </c>
      <c r="O76" s="14">
        <f>HARMEAN(Todas!O521:O524)</f>
        <v>3.3841689672647917</v>
      </c>
      <c r="P76" s="14" t="e">
        <f>HARMEAN(Todas!P521:P524)</f>
        <v>#N/A</v>
      </c>
      <c r="Q76" s="14" t="e">
        <f>HARMEAN(Todas!Q521:Q524)</f>
        <v>#N/A</v>
      </c>
      <c r="R76" s="14">
        <f>HARMEAN(Todas!R521:R524)</f>
        <v>1.0377700015364268</v>
      </c>
      <c r="S76" s="14" t="e">
        <f>HARMEAN(Todas!S521:S524)</f>
        <v>#N/A</v>
      </c>
      <c r="T76" s="14" t="e">
        <f>HARMEAN(Todas!T521:T524)</f>
        <v>#N/A</v>
      </c>
      <c r="U76" s="14">
        <f>HARMEAN(Todas!U521:U524)</f>
        <v>3.3841689672647917</v>
      </c>
      <c r="V76" s="14">
        <f>HARMEAN(Todas!V521:V524)</f>
        <v>1.0377700015364268</v>
      </c>
      <c r="W76" s="14">
        <f>HARMEAN(Todas!W521:W524)</f>
        <v>1.6972653266635909</v>
      </c>
    </row>
    <row r="77" spans="1:23">
      <c r="A77" t="s">
        <v>182</v>
      </c>
      <c r="B77" t="s">
        <v>259</v>
      </c>
      <c r="C77" s="21" t="str">
        <f>Todas!C525</f>
        <v>Blackjack Peninsula,San Antonio Bay, Texas</v>
      </c>
      <c r="D77" s="14">
        <f>HARMEAN(Todas!D525:D528)</f>
        <v>1993.0000000000002</v>
      </c>
      <c r="E77" s="14">
        <f>HARMEAN(Todas!E525:E528)</f>
        <v>8</v>
      </c>
      <c r="F77" s="14">
        <f>HARMEAN(Todas!F525:F528)</f>
        <v>25</v>
      </c>
      <c r="G77" s="15">
        <f>HARMEAN(Todas!G525:G528)</f>
        <v>238.29</v>
      </c>
      <c r="H77" s="15">
        <f>HARMEAN(Todas!H525:H528)</f>
        <v>11269.032492834818</v>
      </c>
      <c r="I77" s="14" t="e">
        <f>HARMEAN(Todas!I525:I528)</f>
        <v>#N/A</v>
      </c>
      <c r="J77" s="14" t="e">
        <f>HARMEAN(Todas!J525:J528)</f>
        <v>#N/A</v>
      </c>
      <c r="K77" s="14">
        <f>HARMEAN(Todas!K525:K528)</f>
        <v>74.91302259913391</v>
      </c>
      <c r="L77" s="14" t="e">
        <f>HARMEAN(Todas!L525:L528)</f>
        <v>#N/A</v>
      </c>
      <c r="M77" s="14" t="e">
        <f>HARMEAN(Todas!M525:M528)</f>
        <v>#N/A</v>
      </c>
      <c r="N77" s="14" t="e">
        <f>HARMEAN(Todas!N525:N528)</f>
        <v>#N/A</v>
      </c>
      <c r="O77" s="14">
        <f>HARMEAN(Todas!O525:O528)</f>
        <v>4.0663021619429482</v>
      </c>
      <c r="P77" s="14" t="e">
        <f>HARMEAN(Todas!P525:P528)</f>
        <v>#N/A</v>
      </c>
      <c r="Q77" s="14" t="e">
        <f>HARMEAN(Todas!Q525:Q528)</f>
        <v>#N/A</v>
      </c>
      <c r="R77" s="14">
        <f>HARMEAN(Todas!R525:R528)</f>
        <v>1.8872992955120302</v>
      </c>
      <c r="S77" s="14" t="e">
        <f>HARMEAN(Todas!S525:S528)</f>
        <v>#N/A</v>
      </c>
      <c r="T77" s="14" t="e">
        <f>HARMEAN(Todas!T525:T528)</f>
        <v>#N/A</v>
      </c>
      <c r="U77" s="14">
        <f>HARMEAN(Todas!U525:U528)</f>
        <v>4.0663021619429482</v>
      </c>
      <c r="V77" s="14">
        <f>HARMEAN(Todas!V525:V528)</f>
        <v>1.8872992955120302</v>
      </c>
      <c r="W77" s="14">
        <f>HARMEAN(Todas!W525:W528)</f>
        <v>0.8124874330845433</v>
      </c>
    </row>
    <row r="78" spans="1:23">
      <c r="A78" t="s">
        <v>182</v>
      </c>
      <c r="B78" t="s">
        <v>259</v>
      </c>
      <c r="C78" s="21" t="str">
        <f>Todas!C529</f>
        <v>Blackjack Peninsula,San Antonio Bay, Texas</v>
      </c>
      <c r="D78" s="14">
        <f>HARMEAN(Todas!D529:D532)</f>
        <v>1993.0000000000002</v>
      </c>
      <c r="E78" s="14">
        <f>HARMEAN(Todas!E529:E532)</f>
        <v>12</v>
      </c>
      <c r="F78" s="14">
        <f>HARMEAN(Todas!F529:F532)</f>
        <v>16</v>
      </c>
      <c r="G78" s="15">
        <f>HARMEAN(Todas!G529:G532)</f>
        <v>351.16999999999996</v>
      </c>
      <c r="H78" s="15">
        <f>HARMEAN(Todas!H529:H532)</f>
        <v>2137.946591424397</v>
      </c>
      <c r="I78" s="14" t="e">
        <f>HARMEAN(Todas!I529:I532)</f>
        <v>#N/A</v>
      </c>
      <c r="J78" s="14" t="e">
        <f>HARMEAN(Todas!J529:J532)</f>
        <v>#N/A</v>
      </c>
      <c r="K78" s="14">
        <f>HARMEAN(Todas!K529:K532)</f>
        <v>2.0207114188858473</v>
      </c>
      <c r="L78" s="14" t="e">
        <f>HARMEAN(Todas!L529:L532)</f>
        <v>#N/A</v>
      </c>
      <c r="M78" s="14" t="e">
        <f>HARMEAN(Todas!M529:M532)</f>
        <v>#N/A</v>
      </c>
      <c r="N78" s="14" t="e">
        <f>HARMEAN(Todas!N529:N532)</f>
        <v>#N/A</v>
      </c>
      <c r="O78" s="14">
        <f>HARMEAN(Todas!O529:O532)</f>
        <v>3.3933899999128609</v>
      </c>
      <c r="P78" s="14" t="e">
        <f>HARMEAN(Todas!P529:P532)</f>
        <v>#N/A</v>
      </c>
      <c r="Q78" s="14" t="e">
        <f>HARMEAN(Todas!Q529:Q532)</f>
        <v>#N/A</v>
      </c>
      <c r="R78" s="14" t="e">
        <f>HARMEAN(Todas!R529:R532)</f>
        <v>#NUM!</v>
      </c>
      <c r="S78" s="14" t="e">
        <f>HARMEAN(Todas!S529:S532)</f>
        <v>#N/A</v>
      </c>
      <c r="T78" s="14" t="e">
        <f>HARMEAN(Todas!T529:T532)</f>
        <v>#N/A</v>
      </c>
      <c r="U78" s="14">
        <f>HARMEAN(Todas!U529:U532)</f>
        <v>3.3933899999128609</v>
      </c>
      <c r="V78" s="14" t="e">
        <f>HARMEAN(Todas!V529:V532)</f>
        <v>#NUM!</v>
      </c>
      <c r="W78" s="14">
        <f>HARMEAN(Todas!W529:W532)</f>
        <v>2.2382986015834181</v>
      </c>
    </row>
    <row r="79" spans="1:23">
      <c r="A79" t="s">
        <v>182</v>
      </c>
      <c r="B79" t="s">
        <v>259</v>
      </c>
      <c r="C79" s="21" t="str">
        <f>Todas!C533</f>
        <v>Blackjack Peninsula,San Antonio Bay, Texas</v>
      </c>
      <c r="D79" s="14">
        <f>HARMEAN(Todas!D533:D536)</f>
        <v>1994</v>
      </c>
      <c r="E79" s="14">
        <f>HARMEAN(Todas!E533:E536)</f>
        <v>3</v>
      </c>
      <c r="F79" s="14">
        <f>HARMEAN(Todas!F533:F536)</f>
        <v>10</v>
      </c>
      <c r="G79" s="15">
        <f>HARMEAN(Todas!G533:G536)</f>
        <v>70.94</v>
      </c>
      <c r="H79" s="15">
        <f>HARMEAN(Todas!H533:H536)</f>
        <v>887.95083135391928</v>
      </c>
      <c r="I79" s="14" t="e">
        <f>HARMEAN(Todas!I533:I536)</f>
        <v>#N/A</v>
      </c>
      <c r="J79" s="14" t="e">
        <f>HARMEAN(Todas!J533:J536)</f>
        <v>#N/A</v>
      </c>
      <c r="K79" s="14">
        <f>HARMEAN(Todas!K533:K536)</f>
        <v>1.7384993189170881</v>
      </c>
      <c r="L79" s="14" t="e">
        <f>HARMEAN(Todas!L533:L536)</f>
        <v>#N/A</v>
      </c>
      <c r="M79" s="14" t="e">
        <f>HARMEAN(Todas!M533:M536)</f>
        <v>#N/A</v>
      </c>
      <c r="N79" s="14" t="e">
        <f>HARMEAN(Todas!N533:N536)</f>
        <v>#N/A</v>
      </c>
      <c r="O79" s="14">
        <f>HARMEAN(Todas!O533:O536)</f>
        <v>3.0781173290920054</v>
      </c>
      <c r="P79" s="14" t="e">
        <f>HARMEAN(Todas!P533:P536)</f>
        <v>#N/A</v>
      </c>
      <c r="Q79" s="14" t="e">
        <f>HARMEAN(Todas!Q533:Q536)</f>
        <v>#N/A</v>
      </c>
      <c r="R79" s="14" t="e">
        <f>HARMEAN(Todas!R533:R536)</f>
        <v>#NUM!</v>
      </c>
      <c r="S79" s="14" t="e">
        <f>HARMEAN(Todas!S533:S536)</f>
        <v>#N/A</v>
      </c>
      <c r="T79" s="14" t="e">
        <f>HARMEAN(Todas!T533:T536)</f>
        <v>#N/A</v>
      </c>
      <c r="U79" s="14">
        <f>HARMEAN(Todas!U533:U536)</f>
        <v>3.0781173290920054</v>
      </c>
      <c r="V79" s="14" t="e">
        <f>HARMEAN(Todas!V533:V536)</f>
        <v>#NUM!</v>
      </c>
      <c r="W79" s="14">
        <f>HARMEAN(Todas!W533:W536)</f>
        <v>2.4064973410710051</v>
      </c>
    </row>
    <row r="80" spans="1:23">
      <c r="A80" t="s">
        <v>182</v>
      </c>
      <c r="B80" t="s">
        <v>259</v>
      </c>
      <c r="C80" s="21" t="str">
        <f>Todas!C537</f>
        <v>Blackjack Peninsula,San Antonio Bay, Texas</v>
      </c>
      <c r="D80" s="14">
        <f>HARMEAN(Todas!D537:D540)</f>
        <v>1994</v>
      </c>
      <c r="E80" s="14">
        <f>HARMEAN(Todas!E537:E540)</f>
        <v>5</v>
      </c>
      <c r="F80" s="14">
        <f>HARMEAN(Todas!F537:F540)</f>
        <v>31</v>
      </c>
      <c r="G80" s="15">
        <f>HARMEAN(Todas!G537:G540)</f>
        <v>152.88</v>
      </c>
      <c r="H80" s="15">
        <f>HARMEAN(Todas!H537:H540)</f>
        <v>2709.7116279069769</v>
      </c>
      <c r="I80" s="14" t="e">
        <f>HARMEAN(Todas!I537:I540)</f>
        <v>#N/A</v>
      </c>
      <c r="J80" s="14" t="e">
        <f>HARMEAN(Todas!J537:J540)</f>
        <v>#N/A</v>
      </c>
      <c r="K80" s="14">
        <f>HARMEAN(Todas!K537:K540)</f>
        <v>20.139292835651595</v>
      </c>
      <c r="L80" s="14" t="e">
        <f>HARMEAN(Todas!L537:L540)</f>
        <v>#N/A</v>
      </c>
      <c r="M80" s="14" t="e">
        <f>HARMEAN(Todas!M537:M540)</f>
        <v>#N/A</v>
      </c>
      <c r="N80" s="14" t="e">
        <f>HARMEAN(Todas!N537:N540)</f>
        <v>#N/A</v>
      </c>
      <c r="O80" s="14">
        <f>HARMEAN(Todas!O537:O540)</f>
        <v>3.4737592532589319</v>
      </c>
      <c r="P80" s="14" t="e">
        <f>HARMEAN(Todas!P537:P540)</f>
        <v>#N/A</v>
      </c>
      <c r="Q80" s="14" t="e">
        <f>HARMEAN(Todas!Q537:Q540)</f>
        <v>#N/A</v>
      </c>
      <c r="R80" s="14">
        <f>HARMEAN(Todas!R537:R540)</f>
        <v>1.3289381268398859</v>
      </c>
      <c r="S80" s="14" t="e">
        <f>HARMEAN(Todas!S537:S540)</f>
        <v>#N/A</v>
      </c>
      <c r="T80" s="14" t="e">
        <f>HARMEAN(Todas!T537:T540)</f>
        <v>#N/A</v>
      </c>
      <c r="U80" s="14">
        <f>HARMEAN(Todas!U537:U540)</f>
        <v>3.4737592532589319</v>
      </c>
      <c r="V80" s="14">
        <f>HARMEAN(Todas!V537:V540)</f>
        <v>1.3289381268398859</v>
      </c>
      <c r="W80" s="14">
        <f>HARMEAN(Todas!W537:W540)</f>
        <v>1.457784260183399</v>
      </c>
    </row>
    <row r="81" spans="1:23">
      <c r="A81" t="s">
        <v>182</v>
      </c>
      <c r="B81" t="s">
        <v>259</v>
      </c>
      <c r="C81" s="21" t="str">
        <f>Todas!C541</f>
        <v>Blackjack Peninsula,San Antonio Bay, Texas</v>
      </c>
      <c r="D81" s="14">
        <f>HARMEAN(Todas!D541:D544)</f>
        <v>1994</v>
      </c>
      <c r="E81" s="14">
        <f>HARMEAN(Todas!E541:E544)</f>
        <v>9</v>
      </c>
      <c r="F81" s="14">
        <f>HARMEAN(Todas!F541:F544)</f>
        <v>12</v>
      </c>
      <c r="G81" s="15">
        <f>HARMEAN(Todas!G541:G544)</f>
        <v>255.76</v>
      </c>
      <c r="H81" s="15">
        <f>HARMEAN(Todas!H541:H544)</f>
        <v>5685.6924587715475</v>
      </c>
      <c r="I81" s="14" t="e">
        <f>HARMEAN(Todas!I541:I544)</f>
        <v>#N/A</v>
      </c>
      <c r="J81" s="14" t="e">
        <f>HARMEAN(Todas!J541:J544)</f>
        <v>#N/A</v>
      </c>
      <c r="K81" s="14">
        <f>HARMEAN(Todas!K541:K544)</f>
        <v>60.57321544329087</v>
      </c>
      <c r="L81" s="14" t="e">
        <f>HARMEAN(Todas!L541:L544)</f>
        <v>#N/A</v>
      </c>
      <c r="M81" s="14" t="e">
        <f>HARMEAN(Todas!M541:M544)</f>
        <v>#N/A</v>
      </c>
      <c r="N81" s="14" t="e">
        <f>HARMEAN(Todas!N541:N544)</f>
        <v>#N/A</v>
      </c>
      <c r="O81" s="14">
        <f>HARMEAN(Todas!O541:O544)</f>
        <v>3.7636387099090154</v>
      </c>
      <c r="P81" s="14" t="e">
        <f>HARMEAN(Todas!P541:P544)</f>
        <v>#N/A</v>
      </c>
      <c r="Q81" s="14" t="e">
        <f>HARMEAN(Todas!Q541:Q544)</f>
        <v>#N/A</v>
      </c>
      <c r="R81" s="14">
        <f>HARMEAN(Todas!R541:R544)</f>
        <v>1.7970850691397382</v>
      </c>
      <c r="S81" s="14" t="e">
        <f>HARMEAN(Todas!S541:S544)</f>
        <v>#N/A</v>
      </c>
      <c r="T81" s="14" t="e">
        <f>HARMEAN(Todas!T541:T544)</f>
        <v>#N/A</v>
      </c>
      <c r="U81" s="14">
        <f>HARMEAN(Todas!U541:U544)</f>
        <v>3.7636387099090154</v>
      </c>
      <c r="V81" s="14">
        <f>HARMEAN(Todas!V541:V544)</f>
        <v>1.7970850691397382</v>
      </c>
      <c r="W81" s="14">
        <f>HARMEAN(Todas!W541:W544)</f>
        <v>0.99624680748307359</v>
      </c>
    </row>
    <row r="82" spans="1:23">
      <c r="A82" t="s">
        <v>182</v>
      </c>
      <c r="B82" t="s">
        <v>259</v>
      </c>
      <c r="C82" s="21" t="str">
        <f>Todas!C545</f>
        <v>Blackjack Peninsula,San Antonio Bay, Texas</v>
      </c>
      <c r="D82" s="14">
        <f>HARMEAN(Todas!D545:D548)</f>
        <v>1994</v>
      </c>
      <c r="E82" s="14">
        <f>HARMEAN(Todas!E545:E548)</f>
        <v>12</v>
      </c>
      <c r="F82" s="14">
        <f>HARMEAN(Todas!F545:F548)</f>
        <v>5</v>
      </c>
      <c r="G82" s="15">
        <f>HARMEAN(Todas!G545:G548)</f>
        <v>340.16999999999996</v>
      </c>
      <c r="H82" s="15">
        <f>HARMEAN(Todas!H545:H548)</f>
        <v>1525.8257142857142</v>
      </c>
      <c r="I82" s="14" t="e">
        <f>HARMEAN(Todas!I545:I548)</f>
        <v>#N/A</v>
      </c>
      <c r="J82" s="14" t="e">
        <f>HARMEAN(Todas!J545:J548)</f>
        <v>#N/A</v>
      </c>
      <c r="K82" s="14">
        <f>HARMEAN(Todas!K545:K548)</f>
        <v>3.4196562557813914</v>
      </c>
      <c r="L82" s="14" t="e">
        <f>HARMEAN(Todas!L545:L548)</f>
        <v>#N/A</v>
      </c>
      <c r="M82" s="14" t="e">
        <f>HARMEAN(Todas!M545:M548)</f>
        <v>#N/A</v>
      </c>
      <c r="N82" s="14" t="e">
        <f>HARMEAN(Todas!N545:N548)</f>
        <v>#N/A</v>
      </c>
      <c r="O82" s="14">
        <f>HARMEAN(Todas!O545:O548)</f>
        <v>3.2244226651482886</v>
      </c>
      <c r="P82" s="14" t="e">
        <f>HARMEAN(Todas!P545:P548)</f>
        <v>#N/A</v>
      </c>
      <c r="Q82" s="14" t="e">
        <f>HARMEAN(Todas!Q545:Q548)</f>
        <v>#N/A</v>
      </c>
      <c r="R82" s="14">
        <f>HARMEAN(Todas!R545:R548)</f>
        <v>0.37065347908521612</v>
      </c>
      <c r="S82" s="14" t="e">
        <f>HARMEAN(Todas!S545:S548)</f>
        <v>#N/A</v>
      </c>
      <c r="T82" s="14" t="e">
        <f>HARMEAN(Todas!T545:T548)</f>
        <v>#N/A</v>
      </c>
      <c r="U82" s="14">
        <f>HARMEAN(Todas!U545:U548)</f>
        <v>3.2244226651482886</v>
      </c>
      <c r="V82" s="14">
        <f>HARMEAN(Todas!V545:V548)</f>
        <v>0.37065347908521612</v>
      </c>
      <c r="W82" s="14">
        <f>HARMEAN(Todas!W545:W548)</f>
        <v>2.0048923662566693</v>
      </c>
    </row>
    <row r="83" spans="1:23">
      <c r="A83" t="s">
        <v>182</v>
      </c>
      <c r="B83" t="s">
        <v>259</v>
      </c>
      <c r="C83" s="21" t="str">
        <f>Todas!C549</f>
        <v>Blackjack Peninsula,San Antonio Bay, Texas</v>
      </c>
      <c r="D83" s="14">
        <f>HARMEAN(Todas!D549:D552)</f>
        <v>1995</v>
      </c>
      <c r="E83" s="14">
        <f>HARMEAN(Todas!E549:E552)</f>
        <v>3</v>
      </c>
      <c r="F83" s="14">
        <f>HARMEAN(Todas!F549:F552)</f>
        <v>15</v>
      </c>
      <c r="G83" s="15">
        <f>HARMEAN(Todas!G549:G552)</f>
        <v>75.94</v>
      </c>
      <c r="H83" s="15">
        <f>HARMEAN(Todas!H549:H552)</f>
        <v>863.09333333333348</v>
      </c>
      <c r="I83" s="14" t="e">
        <f>HARMEAN(Todas!I549:I552)</f>
        <v>#N/A</v>
      </c>
      <c r="J83" s="14" t="e">
        <f>HARMEAN(Todas!J549:J552)</f>
        <v>#N/A</v>
      </c>
      <c r="K83" s="14">
        <f>HARMEAN(Todas!K549:K552)</f>
        <v>2.3820153146726</v>
      </c>
      <c r="L83" s="14" t="e">
        <f>HARMEAN(Todas!L549:L552)</f>
        <v>#N/A</v>
      </c>
      <c r="M83" s="14" t="e">
        <f>HARMEAN(Todas!M549:M552)</f>
        <v>#N/A</v>
      </c>
      <c r="N83" s="14" t="e">
        <f>HARMEAN(Todas!N549:N552)</f>
        <v>#N/A</v>
      </c>
      <c r="O83" s="14">
        <f>HARMEAN(Todas!O549:O552)</f>
        <v>2.9539846093523159</v>
      </c>
      <c r="P83" s="14" t="e">
        <f>HARMEAN(Todas!P549:P552)</f>
        <v>#N/A</v>
      </c>
      <c r="Q83" s="14" t="e">
        <f>HARMEAN(Todas!Q549:Q552)</f>
        <v>#N/A</v>
      </c>
      <c r="R83" s="14">
        <f>HARMEAN(Todas!R549:R552)</f>
        <v>0.28846811497402591</v>
      </c>
      <c r="S83" s="14" t="e">
        <f>HARMEAN(Todas!S549:S552)</f>
        <v>#N/A</v>
      </c>
      <c r="T83" s="14" t="e">
        <f>HARMEAN(Todas!T549:T552)</f>
        <v>#N/A</v>
      </c>
      <c r="U83" s="14">
        <f>HARMEAN(Todas!U549:U552)</f>
        <v>2.9539846093523159</v>
      </c>
      <c r="V83" s="14">
        <f>HARMEAN(Todas!V549:V552)</f>
        <v>0.28846811497402591</v>
      </c>
      <c r="W83" s="14">
        <f>HARMEAN(Todas!W549:W552)</f>
        <v>2.271296776744737</v>
      </c>
    </row>
    <row r="84" spans="1:23">
      <c r="A84" t="s">
        <v>182</v>
      </c>
      <c r="B84" t="s">
        <v>259</v>
      </c>
      <c r="C84" s="21" t="str">
        <f>Todas!C553</f>
        <v>Blackjack Peninsula,San Antonio Bay, Texas</v>
      </c>
      <c r="D84" s="14">
        <f>HARMEAN(Todas!D553:D556)</f>
        <v>1995</v>
      </c>
      <c r="E84" s="14">
        <f>HARMEAN(Todas!E553:E556)</f>
        <v>6</v>
      </c>
      <c r="F84" s="14">
        <f>HARMEAN(Todas!F553:F556)</f>
        <v>15</v>
      </c>
      <c r="G84" s="15">
        <f>HARMEAN(Todas!G553:G556)</f>
        <v>167.35</v>
      </c>
      <c r="H84" s="15">
        <f>HARMEAN(Todas!H553:H556)</f>
        <v>2989.6480756245783</v>
      </c>
      <c r="I84" s="14" t="e">
        <f>HARMEAN(Todas!I553:I556)</f>
        <v>#N/A</v>
      </c>
      <c r="J84" s="14" t="e">
        <f>HARMEAN(Todas!J553:J556)</f>
        <v>#N/A</v>
      </c>
      <c r="K84" s="14">
        <f>HARMEAN(Todas!K553:K556)</f>
        <v>26.319245559251293</v>
      </c>
      <c r="L84" s="14" t="e">
        <f>HARMEAN(Todas!L553:L556)</f>
        <v>#N/A</v>
      </c>
      <c r="M84" s="14" t="e">
        <f>HARMEAN(Todas!M553:M556)</f>
        <v>#N/A</v>
      </c>
      <c r="N84" s="14" t="e">
        <f>HARMEAN(Todas!N553:N556)</f>
        <v>#N/A</v>
      </c>
      <c r="O84" s="14">
        <f>HARMEAN(Todas!O553:O556)</f>
        <v>3.4801230471897182</v>
      </c>
      <c r="P84" s="14" t="e">
        <f>HARMEAN(Todas!P553:P556)</f>
        <v>#N/A</v>
      </c>
      <c r="Q84" s="14" t="e">
        <f>HARMEAN(Todas!Q553:Q556)</f>
        <v>#N/A</v>
      </c>
      <c r="R84" s="14">
        <f>HARMEAN(Todas!R553:R556)</f>
        <v>1.4205670330114615</v>
      </c>
      <c r="S84" s="14" t="e">
        <f>HARMEAN(Todas!S553:S556)</f>
        <v>#N/A</v>
      </c>
      <c r="T84" s="14" t="e">
        <f>HARMEAN(Todas!T553:T556)</f>
        <v>#N/A</v>
      </c>
      <c r="U84" s="14">
        <f>HARMEAN(Todas!U553:U556)</f>
        <v>3.4801230471897182</v>
      </c>
      <c r="V84" s="14">
        <f>HARMEAN(Todas!V553:V556)</f>
        <v>1.4205670330114615</v>
      </c>
      <c r="W84" s="14">
        <f>HARMEAN(Todas!W553:W556)</f>
        <v>1.4768538126073685</v>
      </c>
    </row>
    <row r="85" spans="1:23">
      <c r="A85" t="s">
        <v>182</v>
      </c>
      <c r="B85" t="s">
        <v>259</v>
      </c>
      <c r="C85" s="21" t="str">
        <f>Todas!C561</f>
        <v>East Flats, Corpus Cristi Bay, Texas</v>
      </c>
      <c r="D85" s="14">
        <f>HARMEAN(Todas!D561:D564)</f>
        <v>1989.0000000000002</v>
      </c>
      <c r="E85" s="14">
        <f>HARMEAN(Todas!E561:E564)</f>
        <v>12</v>
      </c>
      <c r="F85" s="14">
        <f>HARMEAN(Todas!F561:F564)</f>
        <v>6</v>
      </c>
      <c r="G85" s="15">
        <f>HARMEAN(Todas!G561:G564)</f>
        <v>341.16999999999996</v>
      </c>
      <c r="H85" s="15">
        <f>HARMEAN(Todas!H561:H564)</f>
        <v>3155.6330981398328</v>
      </c>
      <c r="I85" s="14" t="e">
        <f>HARMEAN(Todas!I561:I564)</f>
        <v>#N/A</v>
      </c>
      <c r="J85" s="14" t="e">
        <f>HARMEAN(Todas!J561:J564)</f>
        <v>#N/A</v>
      </c>
      <c r="K85" s="14">
        <f>HARMEAN(Todas!K561:K564)</f>
        <v>38.570245238269834</v>
      </c>
      <c r="L85" s="14" t="e">
        <f>HARMEAN(Todas!L561:L564)</f>
        <v>#N/A</v>
      </c>
      <c r="M85" s="14" t="e">
        <f>HARMEAN(Todas!M561:M564)</f>
        <v>#N/A</v>
      </c>
      <c r="N85" s="14" t="e">
        <f>HARMEAN(Todas!N561:N564)</f>
        <v>#N/A</v>
      </c>
      <c r="O85" s="14">
        <f>HARMEAN(Todas!O561:O564)</f>
        <v>3.503159255525873</v>
      </c>
      <c r="P85" s="14" t="e">
        <f>HARMEAN(Todas!P561:P564)</f>
        <v>#N/A</v>
      </c>
      <c r="Q85" s="14" t="e">
        <f>HARMEAN(Todas!Q561:Q564)</f>
        <v>#N/A</v>
      </c>
      <c r="R85" s="14">
        <f>HARMEAN(Todas!R561:R564)</f>
        <v>1.5973197732324789</v>
      </c>
      <c r="S85" s="14" t="e">
        <f>HARMEAN(Todas!S561:S564)</f>
        <v>#N/A</v>
      </c>
      <c r="T85" s="14" t="e">
        <f>HARMEAN(Todas!T561:T564)</f>
        <v>#N/A</v>
      </c>
      <c r="U85" s="14">
        <f>HARMEAN(Todas!U561:U564)</f>
        <v>3.503159255525873</v>
      </c>
      <c r="V85" s="14">
        <f>HARMEAN(Todas!V561:V564)</f>
        <v>1.5973197732324789</v>
      </c>
      <c r="W85" s="14">
        <f>HARMEAN(Todas!W561:W564)</f>
        <v>1.2734144214587659</v>
      </c>
    </row>
    <row r="86" spans="1:23">
      <c r="A86" t="s">
        <v>182</v>
      </c>
      <c r="B86" t="s">
        <v>259</v>
      </c>
      <c r="C86" s="21" t="str">
        <f>Todas!C565</f>
        <v>East Flats, Corpus Cristi Bay, Texas</v>
      </c>
      <c r="D86" s="14">
        <f>HARMEAN(Todas!D565:D568)</f>
        <v>1989.9999999999998</v>
      </c>
      <c r="E86" s="14">
        <f>HARMEAN(Todas!E565:E568)</f>
        <v>1</v>
      </c>
      <c r="F86" s="14">
        <f>HARMEAN(Todas!F565:F568)</f>
        <v>26</v>
      </c>
      <c r="G86" s="15">
        <f>HARMEAN(Todas!G565:G568)</f>
        <v>26</v>
      </c>
      <c r="H86" s="15">
        <f>HARMEAN(Todas!H565:H568)</f>
        <v>4911.4952290353276</v>
      </c>
      <c r="I86" s="14" t="e">
        <f>HARMEAN(Todas!I565:I568)</f>
        <v>#N/A</v>
      </c>
      <c r="J86" s="14" t="e">
        <f>HARMEAN(Todas!J565:J568)</f>
        <v>#N/A</v>
      </c>
      <c r="K86" s="14">
        <f>HARMEAN(Todas!K565:K568)</f>
        <v>48.680929314671509</v>
      </c>
      <c r="L86" s="14" t="e">
        <f>HARMEAN(Todas!L565:L568)</f>
        <v>#N/A</v>
      </c>
      <c r="M86" s="14" t="e">
        <f>HARMEAN(Todas!M565:M568)</f>
        <v>#N/A</v>
      </c>
      <c r="N86" s="14" t="e">
        <f>HARMEAN(Todas!N565:N568)</f>
        <v>#N/A</v>
      </c>
      <c r="O86" s="14">
        <f>HARMEAN(Todas!O565:O568)</f>
        <v>3.6997836216958557</v>
      </c>
      <c r="P86" s="14" t="e">
        <f>HARMEAN(Todas!P565:P568)</f>
        <v>#N/A</v>
      </c>
      <c r="Q86" s="14" t="e">
        <f>HARMEAN(Todas!Q565:Q568)</f>
        <v>#N/A</v>
      </c>
      <c r="R86" s="14">
        <f>HARMEAN(Todas!R565:R568)</f>
        <v>1.7195221466905346</v>
      </c>
      <c r="S86" s="14" t="e">
        <f>HARMEAN(Todas!S565:S568)</f>
        <v>#N/A</v>
      </c>
      <c r="T86" s="14" t="e">
        <f>HARMEAN(Todas!T565:T568)</f>
        <v>#N/A</v>
      </c>
      <c r="U86" s="14">
        <f>HARMEAN(Todas!U565:U568)</f>
        <v>3.6997836216958557</v>
      </c>
      <c r="V86" s="14">
        <f>HARMEAN(Todas!V565:V568)</f>
        <v>1.7195221466905346</v>
      </c>
      <c r="W86" s="14">
        <f>HARMEAN(Todas!W565:W568)</f>
        <v>1.0471962222715914</v>
      </c>
    </row>
    <row r="87" spans="1:23">
      <c r="A87" t="s">
        <v>182</v>
      </c>
      <c r="B87" t="s">
        <v>259</v>
      </c>
      <c r="C87" s="21" t="str">
        <f>Todas!C569</f>
        <v>East Flats, Corpus Cristi Bay, Texas</v>
      </c>
      <c r="D87" s="14">
        <f>HARMEAN(Todas!D569:D572)</f>
        <v>1989.9999999999998</v>
      </c>
      <c r="E87" s="14">
        <f>HARMEAN(Todas!E569:E572)</f>
        <v>3</v>
      </c>
      <c r="F87" s="14">
        <f>HARMEAN(Todas!F569:F572)</f>
        <v>16</v>
      </c>
      <c r="G87" s="15">
        <f>HARMEAN(Todas!G569:G572)</f>
        <v>76.94</v>
      </c>
      <c r="H87" s="15">
        <f>HARMEAN(Todas!H569:H572)</f>
        <v>3133.606213981458</v>
      </c>
      <c r="I87" s="14" t="e">
        <f>HARMEAN(Todas!I569:I572)</f>
        <v>#N/A</v>
      </c>
      <c r="J87" s="14" t="e">
        <f>HARMEAN(Todas!J569:J572)</f>
        <v>#N/A</v>
      </c>
      <c r="K87" s="14">
        <f>HARMEAN(Todas!K569:K572)</f>
        <v>59.389540322741141</v>
      </c>
      <c r="L87" s="14" t="e">
        <f>HARMEAN(Todas!L569:L572)</f>
        <v>#N/A</v>
      </c>
      <c r="M87" s="14" t="e">
        <f>HARMEAN(Todas!M569:M572)</f>
        <v>#N/A</v>
      </c>
      <c r="N87" s="14" t="e">
        <f>HARMEAN(Todas!N569:N572)</f>
        <v>#N/A</v>
      </c>
      <c r="O87" s="14">
        <f>HARMEAN(Todas!O569:O572)</f>
        <v>3.5038618661370386</v>
      </c>
      <c r="P87" s="14" t="e">
        <f>HARMEAN(Todas!P569:P572)</f>
        <v>#N/A</v>
      </c>
      <c r="Q87" s="14" t="e">
        <f>HARMEAN(Todas!Q569:Q572)</f>
        <v>#N/A</v>
      </c>
      <c r="R87" s="14">
        <f>HARMEAN(Todas!R569:R572)</f>
        <v>1.785342655211243</v>
      </c>
      <c r="S87" s="14" t="e">
        <f>HARMEAN(Todas!S569:S572)</f>
        <v>#N/A</v>
      </c>
      <c r="T87" s="14" t="e">
        <f>HARMEAN(Todas!T569:T572)</f>
        <v>#N/A</v>
      </c>
      <c r="U87" s="14">
        <f>HARMEAN(Todas!U569:U572)</f>
        <v>3.5038618661370386</v>
      </c>
      <c r="V87" s="14">
        <f>HARMEAN(Todas!V569:V572)</f>
        <v>1.785342655211243</v>
      </c>
      <c r="W87" s="14">
        <f>HARMEAN(Todas!W569:W572)</f>
        <v>1.1000898137017656</v>
      </c>
    </row>
    <row r="88" spans="1:23">
      <c r="A88" t="s">
        <v>182</v>
      </c>
      <c r="B88" t="s">
        <v>259</v>
      </c>
      <c r="C88" s="21" t="str">
        <f>Todas!C573</f>
        <v>East Flats, Corpus Cristi Bay, Texas</v>
      </c>
      <c r="D88" s="14">
        <f>HARMEAN(Todas!D573:D576)</f>
        <v>1989.9999999999998</v>
      </c>
      <c r="E88" s="14">
        <f>HARMEAN(Todas!E573:E576)</f>
        <v>5</v>
      </c>
      <c r="F88" s="14">
        <f>HARMEAN(Todas!F573:F576)</f>
        <v>17</v>
      </c>
      <c r="G88" s="15">
        <f>HARMEAN(Todas!G573:G576)</f>
        <v>138.88</v>
      </c>
      <c r="H88" s="15">
        <f>HARMEAN(Todas!H573:H576)</f>
        <v>5957.0796260363377</v>
      </c>
      <c r="I88" s="14" t="e">
        <f>HARMEAN(Todas!I573:I576)</f>
        <v>#N/A</v>
      </c>
      <c r="J88" s="14" t="e">
        <f>HARMEAN(Todas!J573:J576)</f>
        <v>#N/A</v>
      </c>
      <c r="K88" s="14">
        <f>HARMEAN(Todas!K573:K576)</f>
        <v>109.93003710565368</v>
      </c>
      <c r="L88" s="14" t="e">
        <f>HARMEAN(Todas!L573:L576)</f>
        <v>#N/A</v>
      </c>
      <c r="M88" s="14" t="e">
        <f>HARMEAN(Todas!M573:M576)</f>
        <v>#N/A</v>
      </c>
      <c r="N88" s="14" t="e">
        <f>HARMEAN(Todas!N573:N576)</f>
        <v>#N/A</v>
      </c>
      <c r="O88" s="14">
        <f>HARMEAN(Todas!O573:O576)</f>
        <v>3.7792077503833741</v>
      </c>
      <c r="P88" s="14" t="e">
        <f>HARMEAN(Todas!P573:P576)</f>
        <v>#N/A</v>
      </c>
      <c r="Q88" s="14" t="e">
        <f>HARMEAN(Todas!Q573:Q576)</f>
        <v>#N/A</v>
      </c>
      <c r="R88" s="14">
        <f>HARMEAN(Todas!R573:R576)</f>
        <v>2.0447806973762175</v>
      </c>
      <c r="S88" s="14" t="e">
        <f>HARMEAN(Todas!S573:S576)</f>
        <v>#N/A</v>
      </c>
      <c r="T88" s="14" t="e">
        <f>HARMEAN(Todas!T573:T576)</f>
        <v>#N/A</v>
      </c>
      <c r="U88" s="14">
        <f>HARMEAN(Todas!U573:U576)</f>
        <v>3.7792077503833741</v>
      </c>
      <c r="V88" s="14">
        <f>HARMEAN(Todas!V573:V576)</f>
        <v>2.0447806973762175</v>
      </c>
      <c r="W88" s="14">
        <f>HARMEAN(Todas!W573:W576)</f>
        <v>0.78255435121229056</v>
      </c>
    </row>
    <row r="89" spans="1:23">
      <c r="A89" t="s">
        <v>182</v>
      </c>
      <c r="B89" t="s">
        <v>259</v>
      </c>
      <c r="C89" s="21" t="str">
        <f>Todas!C577</f>
        <v>East Flats, Corpus Cristi Bay, Texas</v>
      </c>
      <c r="D89" s="14">
        <f>HARMEAN(Todas!D577:D580)</f>
        <v>1989.9999999999998</v>
      </c>
      <c r="E89" s="14">
        <f>HARMEAN(Todas!E577:E580)</f>
        <v>7</v>
      </c>
      <c r="F89" s="14">
        <f>HARMEAN(Todas!F577:F580)</f>
        <v>2</v>
      </c>
      <c r="G89" s="15">
        <f>HARMEAN(Todas!G577:G580)</f>
        <v>184.82</v>
      </c>
      <c r="H89" s="15">
        <f>HARMEAN(Todas!H577:H580)</f>
        <v>2447.1476849642008</v>
      </c>
      <c r="I89" s="14" t="e">
        <f>HARMEAN(Todas!I577:I580)</f>
        <v>#N/A</v>
      </c>
      <c r="J89" s="14" t="e">
        <f>HARMEAN(Todas!J577:J580)</f>
        <v>#N/A</v>
      </c>
      <c r="K89" s="14">
        <f>HARMEAN(Todas!K577:K580)</f>
        <v>57.367421155479143</v>
      </c>
      <c r="L89" s="14" t="e">
        <f>HARMEAN(Todas!L577:L580)</f>
        <v>#N/A</v>
      </c>
      <c r="M89" s="14" t="e">
        <f>HARMEAN(Todas!M577:M580)</f>
        <v>#N/A</v>
      </c>
      <c r="N89" s="14" t="e">
        <f>HARMEAN(Todas!N577:N580)</f>
        <v>#N/A</v>
      </c>
      <c r="O89" s="14">
        <f>HARMEAN(Todas!O577:O580)</f>
        <v>3.3957486247677116</v>
      </c>
      <c r="P89" s="14" t="e">
        <f>HARMEAN(Todas!P577:P580)</f>
        <v>#N/A</v>
      </c>
      <c r="Q89" s="14" t="e">
        <f>HARMEAN(Todas!Q577:Q580)</f>
        <v>#N/A</v>
      </c>
      <c r="R89" s="14">
        <f>HARMEAN(Todas!R577:R580)</f>
        <v>1.7680983649304221</v>
      </c>
      <c r="S89" s="14" t="e">
        <f>HARMEAN(Todas!S577:S580)</f>
        <v>#N/A</v>
      </c>
      <c r="T89" s="14" t="e">
        <f>HARMEAN(Todas!T577:T580)</f>
        <v>#N/A</v>
      </c>
      <c r="U89" s="14">
        <f>HARMEAN(Todas!U577:U580)</f>
        <v>3.3957486247677116</v>
      </c>
      <c r="V89" s="14">
        <f>HARMEAN(Todas!V577:V580)</f>
        <v>1.7680983649304221</v>
      </c>
      <c r="W89" s="14">
        <f>HARMEAN(Todas!W577:W580)</f>
        <v>1.1445382247884803</v>
      </c>
    </row>
    <row r="90" spans="1:23">
      <c r="A90" t="s">
        <v>182</v>
      </c>
      <c r="B90" t="s">
        <v>259</v>
      </c>
      <c r="C90" s="21" t="str">
        <f>Todas!C581</f>
        <v>East Flats, Corpus Cristi Bay, Texas</v>
      </c>
      <c r="D90" s="14">
        <f>HARMEAN(Todas!D581:D584)</f>
        <v>1989.9999999999998</v>
      </c>
      <c r="E90" s="14">
        <f>HARMEAN(Todas!E581:E584)</f>
        <v>9</v>
      </c>
      <c r="F90" s="14">
        <f>HARMEAN(Todas!F581:F584)</f>
        <v>10</v>
      </c>
      <c r="G90" s="15">
        <f>HARMEAN(Todas!G581:G584)</f>
        <v>253.76</v>
      </c>
      <c r="H90" s="15">
        <f>HARMEAN(Todas!H581:H584)</f>
        <v>7440.5448730619482</v>
      </c>
      <c r="I90" s="14" t="e">
        <f>HARMEAN(Todas!I581:I584)</f>
        <v>#N/A</v>
      </c>
      <c r="J90" s="14" t="e">
        <f>HARMEAN(Todas!J581:J584)</f>
        <v>#N/A</v>
      </c>
      <c r="K90" s="14">
        <f>HARMEAN(Todas!K581:K584)</f>
        <v>215.36690054725321</v>
      </c>
      <c r="L90" s="14" t="e">
        <f>HARMEAN(Todas!L581:L584)</f>
        <v>#N/A</v>
      </c>
      <c r="M90" s="14" t="e">
        <f>HARMEAN(Todas!M581:M584)</f>
        <v>#N/A</v>
      </c>
      <c r="N90" s="14" t="e">
        <f>HARMEAN(Todas!N581:N584)</f>
        <v>#N/A</v>
      </c>
      <c r="O90" s="14">
        <f>HARMEAN(Todas!O581:O584)</f>
        <v>3.884112395161512</v>
      </c>
      <c r="P90" s="14" t="e">
        <f>HARMEAN(Todas!P581:P584)</f>
        <v>#N/A</v>
      </c>
      <c r="Q90" s="14" t="e">
        <f>HARMEAN(Todas!Q581:Q584)</f>
        <v>#N/A</v>
      </c>
      <c r="R90" s="14">
        <f>HARMEAN(Todas!R581:R584)</f>
        <v>2.354340874567459</v>
      </c>
      <c r="S90" s="14" t="e">
        <f>HARMEAN(Todas!S581:S584)</f>
        <v>#N/A</v>
      </c>
      <c r="T90" s="14" t="e">
        <f>HARMEAN(Todas!T581:T584)</f>
        <v>#N/A</v>
      </c>
      <c r="U90" s="14">
        <f>HARMEAN(Todas!U581:U584)</f>
        <v>3.884112395161512</v>
      </c>
      <c r="V90" s="14">
        <f>HARMEAN(Todas!V581:V584)</f>
        <v>2.354340874567459</v>
      </c>
      <c r="W90" s="14">
        <f>HARMEAN(Todas!W581:W584)</f>
        <v>0.35222884445424335</v>
      </c>
    </row>
    <row r="91" spans="1:23">
      <c r="A91" t="s">
        <v>182</v>
      </c>
      <c r="B91" t="s">
        <v>259</v>
      </c>
      <c r="C91" s="21" t="str">
        <f>Todas!C585</f>
        <v>East Flats, Corpus Cristi Bay, Texas</v>
      </c>
      <c r="D91" s="14">
        <f>HARMEAN(Todas!D585:D588)</f>
        <v>1989.9999999999998</v>
      </c>
      <c r="E91" s="14">
        <f>HARMEAN(Todas!E585:E588)</f>
        <v>11</v>
      </c>
      <c r="F91" s="14">
        <f>HARMEAN(Todas!F585:F588)</f>
        <v>13</v>
      </c>
      <c r="G91" s="15">
        <f>HARMEAN(Todas!G585:G588)</f>
        <v>317.7</v>
      </c>
      <c r="H91" s="15">
        <f>HARMEAN(Todas!H585:H588)</f>
        <v>3066.3201003366562</v>
      </c>
      <c r="I91" s="14" t="e">
        <f>HARMEAN(Todas!I585:I588)</f>
        <v>#N/A</v>
      </c>
      <c r="J91" s="14" t="e">
        <f>HARMEAN(Todas!J585:J588)</f>
        <v>#N/A</v>
      </c>
      <c r="K91" s="14">
        <f>HARMEAN(Todas!K585:K588)</f>
        <v>84.070872923461906</v>
      </c>
      <c r="L91" s="14" t="e">
        <f>HARMEAN(Todas!L585:L588)</f>
        <v>#N/A</v>
      </c>
      <c r="M91" s="14" t="e">
        <f>HARMEAN(Todas!M585:M588)</f>
        <v>#N/A</v>
      </c>
      <c r="N91" s="14" t="e">
        <f>HARMEAN(Todas!N585:N588)</f>
        <v>#N/A</v>
      </c>
      <c r="O91" s="14">
        <f>HARMEAN(Todas!O585:O588)</f>
        <v>3.4953549876259684</v>
      </c>
      <c r="P91" s="14" t="e">
        <f>HARMEAN(Todas!P585:P588)</f>
        <v>#N/A</v>
      </c>
      <c r="Q91" s="14" t="e">
        <f>HARMEAN(Todas!Q585:Q588)</f>
        <v>#N/A</v>
      </c>
      <c r="R91" s="14">
        <f>HARMEAN(Todas!R585:R588)</f>
        <v>1.9371402951464038</v>
      </c>
      <c r="S91" s="14" t="e">
        <f>HARMEAN(Todas!S585:S588)</f>
        <v>#N/A</v>
      </c>
      <c r="T91" s="14" t="e">
        <f>HARMEAN(Todas!T585:T588)</f>
        <v>#N/A</v>
      </c>
      <c r="U91" s="14">
        <f>HARMEAN(Todas!U585:U588)</f>
        <v>3.4953549876259684</v>
      </c>
      <c r="V91" s="14">
        <f>HARMEAN(Todas!V585:V588)</f>
        <v>1.9371402951464038</v>
      </c>
      <c r="W91" s="14">
        <f>HARMEAN(Todas!W585:W588)</f>
        <v>0.93949644235145491</v>
      </c>
    </row>
    <row r="92" spans="1:23">
      <c r="A92" t="s">
        <v>182</v>
      </c>
      <c r="B92" t="s">
        <v>259</v>
      </c>
      <c r="C92" s="21" t="str">
        <f>Todas!C589</f>
        <v>East Flats, Corpus Cristi Bay, Texas</v>
      </c>
      <c r="D92" s="14">
        <f>HARMEAN(Todas!D589:D592)</f>
        <v>1990.9999999999998</v>
      </c>
      <c r="E92" s="14">
        <f>HARMEAN(Todas!E589:E592)</f>
        <v>1</v>
      </c>
      <c r="F92" s="14">
        <f>HARMEAN(Todas!F589:F592)</f>
        <v>14</v>
      </c>
      <c r="G92" s="15">
        <f>HARMEAN(Todas!G589:G592)</f>
        <v>14</v>
      </c>
      <c r="H92" s="15">
        <f>HARMEAN(Todas!H589:H592)</f>
        <v>3800.0709276407588</v>
      </c>
      <c r="I92" s="14" t="e">
        <f>HARMEAN(Todas!I589:I592)</f>
        <v>#N/A</v>
      </c>
      <c r="J92" s="14" t="e">
        <f>HARMEAN(Todas!J589:J592)</f>
        <v>#N/A</v>
      </c>
      <c r="K92" s="14">
        <f>HARMEAN(Todas!K589:K592)</f>
        <v>83.459648008402425</v>
      </c>
      <c r="L92" s="14" t="e">
        <f>HARMEAN(Todas!L589:L592)</f>
        <v>#N/A</v>
      </c>
      <c r="M92" s="14" t="e">
        <f>HARMEAN(Todas!M589:M592)</f>
        <v>#N/A</v>
      </c>
      <c r="N92" s="14" t="e">
        <f>HARMEAN(Todas!N589:N592)</f>
        <v>#N/A</v>
      </c>
      <c r="O92" s="14">
        <f>HARMEAN(Todas!O589:O592)</f>
        <v>3.5849888454830134</v>
      </c>
      <c r="P92" s="14" t="e">
        <f>HARMEAN(Todas!P589:P592)</f>
        <v>#N/A</v>
      </c>
      <c r="Q92" s="14" t="e">
        <f>HARMEAN(Todas!Q589:Q592)</f>
        <v>#N/A</v>
      </c>
      <c r="R92" s="14">
        <f>HARMEAN(Todas!R589:R592)</f>
        <v>1.9248846259095747</v>
      </c>
      <c r="S92" s="14" t="e">
        <f>HARMEAN(Todas!S589:S592)</f>
        <v>#N/A</v>
      </c>
      <c r="T92" s="14" t="e">
        <f>HARMEAN(Todas!T589:T592)</f>
        <v>#N/A</v>
      </c>
      <c r="U92" s="14">
        <f>HARMEAN(Todas!U589:U592)</f>
        <v>3.5849888454830134</v>
      </c>
      <c r="V92" s="14">
        <f>HARMEAN(Todas!V589:V592)</f>
        <v>1.9248846259095747</v>
      </c>
      <c r="W92" s="14">
        <f>HARMEAN(Todas!W589:W592)</f>
        <v>0.95838042132088563</v>
      </c>
    </row>
    <row r="93" spans="1:23">
      <c r="A93" t="s">
        <v>182</v>
      </c>
      <c r="B93" t="s">
        <v>259</v>
      </c>
      <c r="C93" s="21" t="str">
        <f>Todas!C593</f>
        <v>East Flats, Corpus Cristi Bay, Texas</v>
      </c>
      <c r="D93" s="14">
        <f>HARMEAN(Todas!D593:D596)</f>
        <v>1990.9999999999998</v>
      </c>
      <c r="E93" s="14">
        <f>HARMEAN(Todas!E593:E596)</f>
        <v>2</v>
      </c>
      <c r="F93" s="14">
        <f>HARMEAN(Todas!F593:F596)</f>
        <v>15</v>
      </c>
      <c r="G93" s="15">
        <f>HARMEAN(Todas!G593:G596)</f>
        <v>45.47</v>
      </c>
      <c r="H93" s="15">
        <f>HARMEAN(Todas!H593:H596)</f>
        <v>4879.7515856123764</v>
      </c>
      <c r="I93" s="14" t="e">
        <f>HARMEAN(Todas!I593:I596)</f>
        <v>#N/A</v>
      </c>
      <c r="J93" s="14" t="e">
        <f>HARMEAN(Todas!J593:J596)</f>
        <v>#N/A</v>
      </c>
      <c r="K93" s="14">
        <f>HARMEAN(Todas!K593:K596)</f>
        <v>78.114555624011047</v>
      </c>
      <c r="L93" s="14" t="e">
        <f>HARMEAN(Todas!L593:L596)</f>
        <v>#N/A</v>
      </c>
      <c r="M93" s="14" t="e">
        <f>HARMEAN(Todas!M593:M596)</f>
        <v>#N/A</v>
      </c>
      <c r="N93" s="14" t="e">
        <f>HARMEAN(Todas!N593:N596)</f>
        <v>#N/A</v>
      </c>
      <c r="O93" s="14">
        <f>HARMEAN(Todas!O593:O596)</f>
        <v>3.695673501485194</v>
      </c>
      <c r="P93" s="14" t="e">
        <f>HARMEAN(Todas!P593:P596)</f>
        <v>#N/A</v>
      </c>
      <c r="Q93" s="14" t="e">
        <f>HARMEAN(Todas!Q593:Q596)</f>
        <v>#N/A</v>
      </c>
      <c r="R93" s="14">
        <f>HARMEAN(Todas!R593:R596)</f>
        <v>1.8930878682847201</v>
      </c>
      <c r="S93" s="14" t="e">
        <f>HARMEAN(Todas!S593:S596)</f>
        <v>#N/A</v>
      </c>
      <c r="T93" s="14" t="e">
        <f>HARMEAN(Todas!T593:T596)</f>
        <v>#N/A</v>
      </c>
      <c r="U93" s="14">
        <f>HARMEAN(Todas!U593:U596)</f>
        <v>3.695673501485194</v>
      </c>
      <c r="V93" s="14">
        <f>HARMEAN(Todas!V593:V596)</f>
        <v>1.8930878682847201</v>
      </c>
      <c r="W93" s="14">
        <f>HARMEAN(Todas!W593:W596)</f>
        <v>0.96177248537073556</v>
      </c>
    </row>
    <row r="94" spans="1:23">
      <c r="A94" t="s">
        <v>182</v>
      </c>
      <c r="B94" t="s">
        <v>259</v>
      </c>
      <c r="C94" s="21" t="str">
        <f>Todas!C597</f>
        <v>East Flats, Corpus Cristi Bay, Texas</v>
      </c>
      <c r="D94" s="14">
        <f>HARMEAN(Todas!D597:D600)</f>
        <v>1990.9999999999998</v>
      </c>
      <c r="E94" s="14">
        <f>HARMEAN(Todas!E597:E600)</f>
        <v>4</v>
      </c>
      <c r="F94" s="14">
        <f>HARMEAN(Todas!F597:F600)</f>
        <v>1</v>
      </c>
      <c r="G94" s="15">
        <f>HARMEAN(Todas!G597:G600)</f>
        <v>92.41</v>
      </c>
      <c r="H94" s="15">
        <f>HARMEAN(Todas!H597:H600)</f>
        <v>4473.4744786096253</v>
      </c>
      <c r="I94" s="14" t="e">
        <f>HARMEAN(Todas!I597:I600)</f>
        <v>#N/A</v>
      </c>
      <c r="J94" s="14" t="e">
        <f>HARMEAN(Todas!J597:J600)</f>
        <v>#N/A</v>
      </c>
      <c r="K94" s="14">
        <f>HARMEAN(Todas!K597:K600)</f>
        <v>87.310827564879759</v>
      </c>
      <c r="L94" s="14" t="e">
        <f>HARMEAN(Todas!L597:L600)</f>
        <v>#N/A</v>
      </c>
      <c r="M94" s="14" t="e">
        <f>HARMEAN(Todas!M597:M600)</f>
        <v>#N/A</v>
      </c>
      <c r="N94" s="14" t="e">
        <f>HARMEAN(Todas!N597:N600)</f>
        <v>#N/A</v>
      </c>
      <c r="O94" s="14">
        <f>HARMEAN(Todas!O597:O600)</f>
        <v>3.6528588891213527</v>
      </c>
      <c r="P94" s="14" t="e">
        <f>HARMEAN(Todas!P597:P600)</f>
        <v>#N/A</v>
      </c>
      <c r="Q94" s="14" t="e">
        <f>HARMEAN(Todas!Q597:Q600)</f>
        <v>#N/A</v>
      </c>
      <c r="R94" s="14">
        <f>HARMEAN(Todas!R597:R600)</f>
        <v>1.942194538249739</v>
      </c>
      <c r="S94" s="14" t="e">
        <f>HARMEAN(Todas!S597:S600)</f>
        <v>#N/A</v>
      </c>
      <c r="T94" s="14" t="e">
        <f>HARMEAN(Todas!T597:T600)</f>
        <v>#N/A</v>
      </c>
      <c r="U94" s="14">
        <f>HARMEAN(Todas!U597:U600)</f>
        <v>3.6528588891213527</v>
      </c>
      <c r="V94" s="14">
        <f>HARMEAN(Todas!V597:V600)</f>
        <v>1.942194538249739</v>
      </c>
      <c r="W94" s="14">
        <f>HARMEAN(Todas!W597:W600)</f>
        <v>0.92664133151988903</v>
      </c>
    </row>
    <row r="95" spans="1:23">
      <c r="A95" t="s">
        <v>182</v>
      </c>
      <c r="B95" t="s">
        <v>259</v>
      </c>
      <c r="C95" s="21" t="str">
        <f>Todas!C601</f>
        <v>East Flats, Corpus Cristi Bay, Texas</v>
      </c>
      <c r="D95" s="14">
        <f>HARMEAN(Todas!D601:D604)</f>
        <v>1990.9999999999998</v>
      </c>
      <c r="E95" s="14">
        <f>HARMEAN(Todas!E601:E604)</f>
        <v>5</v>
      </c>
      <c r="F95" s="14">
        <f>HARMEAN(Todas!F601:F604)</f>
        <v>20</v>
      </c>
      <c r="G95" s="15">
        <f>HARMEAN(Todas!G601:G604)</f>
        <v>141.88</v>
      </c>
      <c r="H95" s="15">
        <f>HARMEAN(Todas!H601:H604)</f>
        <v>1731.6840764331212</v>
      </c>
      <c r="I95" s="14" t="e">
        <f>HARMEAN(Todas!I601:I604)</f>
        <v>#N/A</v>
      </c>
      <c r="J95" s="14" t="e">
        <f>HARMEAN(Todas!J601:J604)</f>
        <v>#N/A</v>
      </c>
      <c r="K95" s="14">
        <f>HARMEAN(Todas!K601:K604)</f>
        <v>68.101293495990419</v>
      </c>
      <c r="L95" s="14" t="e">
        <f>HARMEAN(Todas!L601:L604)</f>
        <v>#N/A</v>
      </c>
      <c r="M95" s="14" t="e">
        <f>HARMEAN(Todas!M601:M604)</f>
        <v>#N/A</v>
      </c>
      <c r="N95" s="14" t="e">
        <f>HARMEAN(Todas!N601:N604)</f>
        <v>#N/A</v>
      </c>
      <c r="O95" s="14">
        <f>HARMEAN(Todas!O601:O604)</f>
        <v>3.2617434794166136</v>
      </c>
      <c r="P95" s="14" t="e">
        <f>HARMEAN(Todas!P601:P604)</f>
        <v>#N/A</v>
      </c>
      <c r="Q95" s="14" t="e">
        <f>HARMEAN(Todas!Q601:Q604)</f>
        <v>#N/A</v>
      </c>
      <c r="R95" s="14">
        <f>HARMEAN(Todas!R601:R604)</f>
        <v>1.8543782207215265</v>
      </c>
      <c r="S95" s="14" t="e">
        <f>HARMEAN(Todas!S601:S604)</f>
        <v>#N/A</v>
      </c>
      <c r="T95" s="14" t="e">
        <f>HARMEAN(Todas!T601:T604)</f>
        <v>#N/A</v>
      </c>
      <c r="U95" s="14">
        <f>HARMEAN(Todas!U601:U604)</f>
        <v>3.2617434794166136</v>
      </c>
      <c r="V95" s="14">
        <f>HARMEAN(Todas!V601:V604)</f>
        <v>1.8543782207215265</v>
      </c>
      <c r="W95" s="14">
        <f>HARMEAN(Todas!W601:W604)</f>
        <v>1.0807501568266551</v>
      </c>
    </row>
    <row r="96" spans="1:23">
      <c r="A96" t="s">
        <v>182</v>
      </c>
      <c r="B96" t="s">
        <v>259</v>
      </c>
      <c r="C96" s="21" t="str">
        <f>Todas!C605</f>
        <v>East Flats, Corpus Cristi Bay, Texas</v>
      </c>
      <c r="D96" s="14">
        <f>HARMEAN(Todas!D605:D608)</f>
        <v>1990.9999999999998</v>
      </c>
      <c r="E96" s="14">
        <f>HARMEAN(Todas!E605:E608)</f>
        <v>7</v>
      </c>
      <c r="F96" s="14">
        <f>HARMEAN(Todas!F605:F608)</f>
        <v>23</v>
      </c>
      <c r="G96" s="15">
        <f>HARMEAN(Todas!G605:G608)</f>
        <v>205.82</v>
      </c>
      <c r="H96" s="15">
        <f>HARMEAN(Todas!H605:H608)</f>
        <v>2528.1921046484467</v>
      </c>
      <c r="I96" s="14" t="e">
        <f>HARMEAN(Todas!I605:I608)</f>
        <v>#N/A</v>
      </c>
      <c r="J96" s="14" t="e">
        <f>HARMEAN(Todas!J605:J608)</f>
        <v>#N/A</v>
      </c>
      <c r="K96" s="14">
        <f>HARMEAN(Todas!K605:K608)</f>
        <v>45.381642303707459</v>
      </c>
      <c r="L96" s="14" t="e">
        <f>HARMEAN(Todas!L605:L608)</f>
        <v>#N/A</v>
      </c>
      <c r="M96" s="14" t="e">
        <f>HARMEAN(Todas!M605:M608)</f>
        <v>#N/A</v>
      </c>
      <c r="N96" s="14" t="e">
        <f>HARMEAN(Todas!N605:N608)</f>
        <v>#N/A</v>
      </c>
      <c r="O96" s="14">
        <f>HARMEAN(Todas!O605:O608)</f>
        <v>3.412278527591651</v>
      </c>
      <c r="P96" s="14" t="e">
        <f>HARMEAN(Todas!P605:P608)</f>
        <v>#N/A</v>
      </c>
      <c r="Q96" s="14" t="e">
        <f>HARMEAN(Todas!Q605:Q608)</f>
        <v>#N/A</v>
      </c>
      <c r="R96" s="14">
        <f>HARMEAN(Todas!R605:R608)</f>
        <v>1.66765574854927</v>
      </c>
      <c r="S96" s="14" t="e">
        <f>HARMEAN(Todas!S605:S608)</f>
        <v>#N/A</v>
      </c>
      <c r="T96" s="14" t="e">
        <f>HARMEAN(Todas!T605:T608)</f>
        <v>#N/A</v>
      </c>
      <c r="U96" s="14">
        <f>HARMEAN(Todas!U605:U608)</f>
        <v>3.412278527591651</v>
      </c>
      <c r="V96" s="14">
        <f>HARMEAN(Todas!V605:V608)</f>
        <v>1.66765574854927</v>
      </c>
      <c r="W96" s="14">
        <f>HARMEAN(Todas!W605:W608)</f>
        <v>1.2328776330808613</v>
      </c>
    </row>
    <row r="97" spans="1:23">
      <c r="A97" t="s">
        <v>182</v>
      </c>
      <c r="B97" t="s">
        <v>259</v>
      </c>
      <c r="C97" s="21" t="str">
        <f>Todas!C609</f>
        <v>East Flats, Corpus Cristi Bay, Texas</v>
      </c>
      <c r="D97" s="14">
        <f>HARMEAN(Todas!D609:D612)</f>
        <v>1990.9999999999998</v>
      </c>
      <c r="E97" s="14">
        <f>HARMEAN(Todas!E609:E612)</f>
        <v>10</v>
      </c>
      <c r="F97" s="14">
        <f>HARMEAN(Todas!F609:F612)</f>
        <v>2</v>
      </c>
      <c r="G97" s="15">
        <f>HARMEAN(Todas!G609:G612)</f>
        <v>276.23</v>
      </c>
      <c r="H97" s="15">
        <f>HARMEAN(Todas!H609:H612)</f>
        <v>2448.4538936959211</v>
      </c>
      <c r="I97" s="14" t="e">
        <f>HARMEAN(Todas!I609:I612)</f>
        <v>#N/A</v>
      </c>
      <c r="J97" s="14" t="e">
        <f>HARMEAN(Todas!J609:J612)</f>
        <v>#N/A</v>
      </c>
      <c r="K97" s="14">
        <f>HARMEAN(Todas!K609:K612)</f>
        <v>61.243525375275929</v>
      </c>
      <c r="L97" s="14" t="e">
        <f>HARMEAN(Todas!L609:L612)</f>
        <v>#N/A</v>
      </c>
      <c r="M97" s="14" t="e">
        <f>HARMEAN(Todas!M609:M612)</f>
        <v>#N/A</v>
      </c>
      <c r="N97" s="14" t="e">
        <f>HARMEAN(Todas!N609:N612)</f>
        <v>#N/A</v>
      </c>
      <c r="O97" s="14">
        <f>HARMEAN(Todas!O609:O612)</f>
        <v>3.3929441844426069</v>
      </c>
      <c r="P97" s="14" t="e">
        <f>HARMEAN(Todas!P609:P612)</f>
        <v>#N/A</v>
      </c>
      <c r="Q97" s="14" t="e">
        <f>HARMEAN(Todas!Q609:Q612)</f>
        <v>#N/A</v>
      </c>
      <c r="R97" s="14">
        <f>HARMEAN(Todas!R609:R612)</f>
        <v>1.7946144967394537</v>
      </c>
      <c r="S97" s="14" t="e">
        <f>HARMEAN(Todas!S609:S612)</f>
        <v>#N/A</v>
      </c>
      <c r="T97" s="14" t="e">
        <f>HARMEAN(Todas!T609:T612)</f>
        <v>#N/A</v>
      </c>
      <c r="U97" s="14">
        <f>HARMEAN(Todas!U609:U612)</f>
        <v>3.3929441844426069</v>
      </c>
      <c r="V97" s="14">
        <f>HARMEAN(Todas!V609:V612)</f>
        <v>1.7946144967394537</v>
      </c>
      <c r="W97" s="14">
        <f>HARMEAN(Todas!W609:W612)</f>
        <v>1.1300030130220011</v>
      </c>
    </row>
    <row r="98" spans="1:23">
      <c r="A98" t="s">
        <v>182</v>
      </c>
      <c r="B98" t="s">
        <v>259</v>
      </c>
      <c r="C98" s="21" t="str">
        <f>Todas!C613</f>
        <v>East Flats, Corpus Cristi Bay, Texas</v>
      </c>
      <c r="D98" s="14">
        <f>HARMEAN(Todas!D613:D616)</f>
        <v>1990.9999999999998</v>
      </c>
      <c r="E98" s="14">
        <f>HARMEAN(Todas!E613:E616)</f>
        <v>12</v>
      </c>
      <c r="F98" s="14">
        <f>HARMEAN(Todas!F613:F616)</f>
        <v>6</v>
      </c>
      <c r="G98" s="15">
        <f>HARMEAN(Todas!G613:G616)</f>
        <v>341.16999999999996</v>
      </c>
      <c r="H98" s="15">
        <f>HARMEAN(Todas!H613:H616)</f>
        <v>4353.3216374269005</v>
      </c>
      <c r="I98" s="14" t="e">
        <f>HARMEAN(Todas!I613:I616)</f>
        <v>#N/A</v>
      </c>
      <c r="J98" s="14" t="e">
        <f>HARMEAN(Todas!J613:J616)</f>
        <v>#N/A</v>
      </c>
      <c r="K98" s="14">
        <f>HARMEAN(Todas!K613:K616)</f>
        <v>76.929827223709879</v>
      </c>
      <c r="L98" s="14" t="e">
        <f>HARMEAN(Todas!L613:L616)</f>
        <v>#N/A</v>
      </c>
      <c r="M98" s="14" t="e">
        <f>HARMEAN(Todas!M613:M616)</f>
        <v>#N/A</v>
      </c>
      <c r="N98" s="14" t="e">
        <f>HARMEAN(Todas!N613:N616)</f>
        <v>#N/A</v>
      </c>
      <c r="O98" s="14">
        <f>HARMEAN(Todas!O613:O616)</f>
        <v>3.650913884097144</v>
      </c>
      <c r="P98" s="14" t="e">
        <f>HARMEAN(Todas!P613:P616)</f>
        <v>#N/A</v>
      </c>
      <c r="Q98" s="14" t="e">
        <f>HARMEAN(Todas!Q613:Q616)</f>
        <v>#N/A</v>
      </c>
      <c r="R98" s="14">
        <f>HARMEAN(Todas!R613:R616)</f>
        <v>1.900356365488387</v>
      </c>
      <c r="S98" s="14" t="e">
        <f>HARMEAN(Todas!S613:S616)</f>
        <v>#N/A</v>
      </c>
      <c r="T98" s="14" t="e">
        <f>HARMEAN(Todas!T613:T616)</f>
        <v>#N/A</v>
      </c>
      <c r="U98" s="14">
        <f>HARMEAN(Todas!U613:U616)</f>
        <v>3.650913884097144</v>
      </c>
      <c r="V98" s="14">
        <f>HARMEAN(Todas!V613:V616)</f>
        <v>1.900356365488387</v>
      </c>
      <c r="W98" s="14">
        <f>HARMEAN(Todas!W613:W616)</f>
        <v>0.91796851109038724</v>
      </c>
    </row>
    <row r="99" spans="1:23">
      <c r="A99" t="s">
        <v>182</v>
      </c>
      <c r="B99" t="s">
        <v>259</v>
      </c>
      <c r="C99" s="21" t="str">
        <f>Todas!C617</f>
        <v>East Flats, Corpus Cristi Bay, Texas</v>
      </c>
      <c r="D99" s="14">
        <f>HARMEAN(Todas!D617:D620)</f>
        <v>1992.0000000000002</v>
      </c>
      <c r="E99" s="14">
        <f>HARMEAN(Todas!E617:E620)</f>
        <v>1</v>
      </c>
      <c r="F99" s="14">
        <f>HARMEAN(Todas!F617:F620)</f>
        <v>23</v>
      </c>
      <c r="G99" s="15">
        <f>HARMEAN(Todas!G617:G620)</f>
        <v>23</v>
      </c>
      <c r="H99" s="15">
        <f>HARMEAN(Todas!H617:H620)</f>
        <v>3483.336322869955</v>
      </c>
      <c r="I99" s="14" t="e">
        <f>HARMEAN(Todas!I617:I620)</f>
        <v>#N/A</v>
      </c>
      <c r="J99" s="14" t="e">
        <f>HARMEAN(Todas!J617:J620)</f>
        <v>#N/A</v>
      </c>
      <c r="K99" s="14">
        <f>HARMEAN(Todas!K617:K620)</f>
        <v>90.193538069452913</v>
      </c>
      <c r="L99" s="14" t="e">
        <f>HARMEAN(Todas!L617:L620)</f>
        <v>#N/A</v>
      </c>
      <c r="M99" s="14" t="e">
        <f>HARMEAN(Todas!M617:M620)</f>
        <v>#N/A</v>
      </c>
      <c r="N99" s="14" t="e">
        <f>HARMEAN(Todas!N617:N620)</f>
        <v>#N/A</v>
      </c>
      <c r="O99" s="14">
        <f>HARMEAN(Todas!O617:O620)</f>
        <v>3.5495258485784911</v>
      </c>
      <c r="P99" s="14" t="e">
        <f>HARMEAN(Todas!P617:P620)</f>
        <v>#N/A</v>
      </c>
      <c r="Q99" s="14" t="e">
        <f>HARMEAN(Todas!Q617:Q620)</f>
        <v>#N/A</v>
      </c>
      <c r="R99" s="14">
        <f>HARMEAN(Todas!R617:R620)</f>
        <v>1.9601526668559694</v>
      </c>
      <c r="S99" s="14" t="e">
        <f>HARMEAN(Todas!S617:S620)</f>
        <v>#N/A</v>
      </c>
      <c r="T99" s="14" t="e">
        <f>HARMEAN(Todas!T617:T620)</f>
        <v>#N/A</v>
      </c>
      <c r="U99" s="14">
        <f>HARMEAN(Todas!U617:U620)</f>
        <v>3.5495258485784911</v>
      </c>
      <c r="V99" s="14">
        <f>HARMEAN(Todas!V617:V620)</f>
        <v>1.9601526668559694</v>
      </c>
      <c r="W99" s="14">
        <f>HARMEAN(Todas!W617:W620)</f>
        <v>0.92448483725545183</v>
      </c>
    </row>
    <row r="100" spans="1:23">
      <c r="A100" t="s">
        <v>182</v>
      </c>
      <c r="B100" t="s">
        <v>259</v>
      </c>
      <c r="C100" s="21" t="str">
        <f>Todas!C621</f>
        <v>East Flats, Corpus Cristi Bay, Texas</v>
      </c>
      <c r="D100" s="14">
        <f>HARMEAN(Todas!D621:D624)</f>
        <v>1992.0000000000002</v>
      </c>
      <c r="E100" s="14">
        <f>HARMEAN(Todas!E621:E624)</f>
        <v>3</v>
      </c>
      <c r="F100" s="14">
        <f>HARMEAN(Todas!F621:F624)</f>
        <v>30</v>
      </c>
      <c r="G100" s="15">
        <f>HARMEAN(Todas!G621:G624)</f>
        <v>90.94</v>
      </c>
      <c r="H100" s="15">
        <f>HARMEAN(Todas!H621:H624)</f>
        <v>4959.7552526735153</v>
      </c>
      <c r="I100" s="14" t="e">
        <f>HARMEAN(Todas!I621:I624)</f>
        <v>#N/A</v>
      </c>
      <c r="J100" s="14" t="e">
        <f>HARMEAN(Todas!J621:J624)</f>
        <v>#N/A</v>
      </c>
      <c r="K100" s="14">
        <f>HARMEAN(Todas!K621:K624)</f>
        <v>86.881012474550445</v>
      </c>
      <c r="L100" s="14" t="e">
        <f>HARMEAN(Todas!L621:L624)</f>
        <v>#N/A</v>
      </c>
      <c r="M100" s="14" t="e">
        <f>HARMEAN(Todas!M621:M624)</f>
        <v>#N/A</v>
      </c>
      <c r="N100" s="14" t="e">
        <f>HARMEAN(Todas!N621:N624)</f>
        <v>#N/A</v>
      </c>
      <c r="O100" s="14">
        <f>HARMEAN(Todas!O621:O624)</f>
        <v>3.7136107331370645</v>
      </c>
      <c r="P100" s="14" t="e">
        <f>HARMEAN(Todas!P621:P624)</f>
        <v>#N/A</v>
      </c>
      <c r="Q100" s="14" t="e">
        <f>HARMEAN(Todas!Q621:Q624)</f>
        <v>#N/A</v>
      </c>
      <c r="R100" s="14">
        <f>HARMEAN(Todas!R621:R624)</f>
        <v>1.9558415613539324</v>
      </c>
      <c r="S100" s="14" t="e">
        <f>HARMEAN(Todas!S621:S624)</f>
        <v>#N/A</v>
      </c>
      <c r="T100" s="14" t="e">
        <f>HARMEAN(Todas!T621:T624)</f>
        <v>#N/A</v>
      </c>
      <c r="U100" s="14">
        <f>HARMEAN(Todas!U621:U624)</f>
        <v>3.7136107331370645</v>
      </c>
      <c r="V100" s="14">
        <f>HARMEAN(Todas!V621:V624)</f>
        <v>1.9558415613539324</v>
      </c>
      <c r="W100" s="14">
        <f>HARMEAN(Todas!W621:W624)</f>
        <v>0.8377813601491203</v>
      </c>
    </row>
    <row r="101" spans="1:23">
      <c r="A101" t="s">
        <v>182</v>
      </c>
      <c r="B101" t="s">
        <v>259</v>
      </c>
      <c r="C101" s="21" t="str">
        <f>Todas!C625</f>
        <v>East Flats, Corpus Cristi Bay, Texas</v>
      </c>
      <c r="D101" s="14">
        <f>HARMEAN(Todas!D625:D628)</f>
        <v>1992.0000000000002</v>
      </c>
      <c r="E101" s="14">
        <f>HARMEAN(Todas!E625:E628)</f>
        <v>6</v>
      </c>
      <c r="F101" s="14">
        <f>HARMEAN(Todas!F625:F628)</f>
        <v>2</v>
      </c>
      <c r="G101" s="15">
        <f>HARMEAN(Todas!G625:G628)</f>
        <v>154.35</v>
      </c>
      <c r="H101" s="15">
        <f>HARMEAN(Todas!H625:H628)</f>
        <v>10317.282983592191</v>
      </c>
      <c r="I101" s="14" t="e">
        <f>HARMEAN(Todas!I625:I628)</f>
        <v>#N/A</v>
      </c>
      <c r="J101" s="14" t="e">
        <f>HARMEAN(Todas!J625:J628)</f>
        <v>#N/A</v>
      </c>
      <c r="K101" s="14">
        <f>HARMEAN(Todas!K625:K628)</f>
        <v>149.44330638564443</v>
      </c>
      <c r="L101" s="14" t="e">
        <f>HARMEAN(Todas!L625:L628)</f>
        <v>#N/A</v>
      </c>
      <c r="M101" s="14" t="e">
        <f>HARMEAN(Todas!M625:M628)</f>
        <v>#N/A</v>
      </c>
      <c r="N101" s="14" t="e">
        <f>HARMEAN(Todas!N625:N628)</f>
        <v>#N/A</v>
      </c>
      <c r="O101" s="14">
        <f>HARMEAN(Todas!O625:O628)</f>
        <v>4.0207889253847187</v>
      </c>
      <c r="P101" s="14" t="e">
        <f>HARMEAN(Todas!P625:P628)</f>
        <v>#N/A</v>
      </c>
      <c r="Q101" s="14" t="e">
        <f>HARMEAN(Todas!Q625:Q628)</f>
        <v>#N/A</v>
      </c>
      <c r="R101" s="14">
        <f>HARMEAN(Todas!R625:R628)</f>
        <v>2.1806639884971721</v>
      </c>
      <c r="S101" s="14" t="e">
        <f>HARMEAN(Todas!S625:S628)</f>
        <v>#N/A</v>
      </c>
      <c r="T101" s="14" t="e">
        <f>HARMEAN(Todas!T625:T628)</f>
        <v>#N/A</v>
      </c>
      <c r="U101" s="14">
        <f>HARMEAN(Todas!U625:U628)</f>
        <v>4.0207889253847187</v>
      </c>
      <c r="V101" s="14">
        <f>HARMEAN(Todas!V625:V628)</f>
        <v>2.1806639884971721</v>
      </c>
      <c r="W101" s="14">
        <f>HARMEAN(Todas!W625:W628)</f>
        <v>0.55632684671785559</v>
      </c>
    </row>
    <row r="102" spans="1:23">
      <c r="A102" t="s">
        <v>182</v>
      </c>
      <c r="B102" t="s">
        <v>259</v>
      </c>
      <c r="C102" s="21" t="str">
        <f>Todas!C629</f>
        <v>East Flats, Corpus Cristi Bay, Texas</v>
      </c>
      <c r="D102" s="14">
        <f>HARMEAN(Todas!D629:D632)</f>
        <v>1992.0000000000002</v>
      </c>
      <c r="E102" s="14">
        <f>HARMEAN(Todas!E629:E632)</f>
        <v>7</v>
      </c>
      <c r="F102" s="14">
        <f>HARMEAN(Todas!F629:F632)</f>
        <v>13</v>
      </c>
      <c r="G102" s="15">
        <f>HARMEAN(Todas!G629:G632)</f>
        <v>195.82000000000002</v>
      </c>
      <c r="H102" s="15">
        <f>HARMEAN(Todas!H629:H632)</f>
        <v>8780.1401165554526</v>
      </c>
      <c r="I102" s="14" t="e">
        <f>HARMEAN(Todas!I629:I632)</f>
        <v>#N/A</v>
      </c>
      <c r="J102" s="14" t="e">
        <f>HARMEAN(Todas!J629:J632)</f>
        <v>#N/A</v>
      </c>
      <c r="K102" s="14">
        <f>HARMEAN(Todas!K629:K632)</f>
        <v>124.46518740276272</v>
      </c>
      <c r="L102" s="14" t="e">
        <f>HARMEAN(Todas!L629:L632)</f>
        <v>#N/A</v>
      </c>
      <c r="M102" s="14" t="e">
        <f>HARMEAN(Todas!M629:M632)</f>
        <v>#N/A</v>
      </c>
      <c r="N102" s="14" t="e">
        <f>HARMEAN(Todas!N629:N632)</f>
        <v>#N/A</v>
      </c>
      <c r="O102" s="14">
        <f>HARMEAN(Todas!O629:O632)</f>
        <v>3.9490040836377007</v>
      </c>
      <c r="P102" s="14" t="e">
        <f>HARMEAN(Todas!P629:P632)</f>
        <v>#N/A</v>
      </c>
      <c r="Q102" s="14" t="e">
        <f>HARMEAN(Todas!Q629:Q632)</f>
        <v>#N/A</v>
      </c>
      <c r="R102" s="14">
        <f>HARMEAN(Todas!R629:R632)</f>
        <v>2.0972466940774472</v>
      </c>
      <c r="S102" s="14" t="e">
        <f>HARMEAN(Todas!S629:S632)</f>
        <v>#N/A</v>
      </c>
      <c r="T102" s="14" t="e">
        <f>HARMEAN(Todas!T629:T632)</f>
        <v>#N/A</v>
      </c>
      <c r="U102" s="14">
        <f>HARMEAN(Todas!U629:U632)</f>
        <v>3.9490040836377007</v>
      </c>
      <c r="V102" s="14">
        <f>HARMEAN(Todas!V629:V632)</f>
        <v>2.0972466940774472</v>
      </c>
      <c r="W102" s="14">
        <f>HARMEAN(Todas!W629:W632)</f>
        <v>0.68329243167744269</v>
      </c>
    </row>
    <row r="103" spans="1:23">
      <c r="A103" t="s">
        <v>182</v>
      </c>
      <c r="B103" t="s">
        <v>259</v>
      </c>
      <c r="C103" s="21" t="str">
        <f>Todas!C633</f>
        <v>East Flats, Corpus Cristi Bay, Texas</v>
      </c>
      <c r="D103" s="14">
        <f>HARMEAN(Todas!D633:D636)</f>
        <v>1992.0000000000002</v>
      </c>
      <c r="E103" s="14">
        <f>HARMEAN(Todas!E633:E636)</f>
        <v>8</v>
      </c>
      <c r="F103" s="14">
        <f>HARMEAN(Todas!F633:F636)</f>
        <v>24</v>
      </c>
      <c r="G103" s="15">
        <f>HARMEAN(Todas!G633:G636)</f>
        <v>237.28999999999996</v>
      </c>
      <c r="H103" s="15">
        <f>HARMEAN(Todas!H633:H636)</f>
        <v>10136.668004675628</v>
      </c>
      <c r="I103" s="14" t="e">
        <f>HARMEAN(Todas!I633:I636)</f>
        <v>#N/A</v>
      </c>
      <c r="J103" s="14" t="e">
        <f>HARMEAN(Todas!J633:J636)</f>
        <v>#N/A</v>
      </c>
      <c r="K103" s="14">
        <f>HARMEAN(Todas!K633:K636)</f>
        <v>251.94512189920167</v>
      </c>
      <c r="L103" s="14" t="e">
        <f>HARMEAN(Todas!L633:L636)</f>
        <v>#N/A</v>
      </c>
      <c r="M103" s="14" t="e">
        <f>HARMEAN(Todas!M633:M636)</f>
        <v>#N/A</v>
      </c>
      <c r="N103" s="14" t="e">
        <f>HARMEAN(Todas!N633:N636)</f>
        <v>#N/A</v>
      </c>
      <c r="O103" s="14">
        <f>HARMEAN(Todas!O633:O636)</f>
        <v>4.0190216488931956</v>
      </c>
      <c r="P103" s="14" t="e">
        <f>HARMEAN(Todas!P633:P636)</f>
        <v>#N/A</v>
      </c>
      <c r="Q103" s="14" t="e">
        <f>HARMEAN(Todas!Q633:Q636)</f>
        <v>#N/A</v>
      </c>
      <c r="R103" s="14">
        <f>HARMEAN(Todas!R633:R636)</f>
        <v>2.4042133328743045</v>
      </c>
      <c r="S103" s="14" t="e">
        <f>HARMEAN(Todas!S633:S636)</f>
        <v>#N/A</v>
      </c>
      <c r="T103" s="14" t="e">
        <f>HARMEAN(Todas!T633:T636)</f>
        <v>#N/A</v>
      </c>
      <c r="U103" s="14">
        <f>HARMEAN(Todas!U633:U636)</f>
        <v>4.0190216488931956</v>
      </c>
      <c r="V103" s="14">
        <f>HARMEAN(Todas!V633:V636)</f>
        <v>2.4042133328743045</v>
      </c>
      <c r="W103" s="14">
        <f>HARMEAN(Todas!W633:W636)</f>
        <v>0.35084684025501667</v>
      </c>
    </row>
    <row r="104" spans="1:23">
      <c r="A104" t="s">
        <v>182</v>
      </c>
      <c r="B104" t="s">
        <v>259</v>
      </c>
      <c r="C104" s="21" t="str">
        <f>Todas!C637</f>
        <v>East Flats, Corpus Cristi Bay, Texas</v>
      </c>
      <c r="D104" s="14">
        <f>HARMEAN(Todas!D637:D640)</f>
        <v>1992.0000000000002</v>
      </c>
      <c r="E104" s="14">
        <f>HARMEAN(Todas!E637:E640)</f>
        <v>10</v>
      </c>
      <c r="F104" s="14">
        <f>HARMEAN(Todas!F637:F640)</f>
        <v>14</v>
      </c>
      <c r="G104" s="15">
        <f>HARMEAN(Todas!G637:G640)</f>
        <v>288.23</v>
      </c>
      <c r="H104" s="15">
        <f>HARMEAN(Todas!H637:H640)</f>
        <v>7973.4582024941474</v>
      </c>
      <c r="I104" s="14" t="e">
        <f>HARMEAN(Todas!I637:I640)</f>
        <v>#N/A</v>
      </c>
      <c r="J104" s="14" t="e">
        <f>HARMEAN(Todas!J637:J640)</f>
        <v>#N/A</v>
      </c>
      <c r="K104" s="14">
        <f>HARMEAN(Todas!K637:K640)</f>
        <v>100.02899848190761</v>
      </c>
      <c r="L104" s="14" t="e">
        <f>HARMEAN(Todas!L637:L640)</f>
        <v>#N/A</v>
      </c>
      <c r="M104" s="14" t="e">
        <f>HARMEAN(Todas!M637:M640)</f>
        <v>#N/A</v>
      </c>
      <c r="N104" s="14" t="e">
        <f>HARMEAN(Todas!N637:N640)</f>
        <v>#N/A</v>
      </c>
      <c r="O104" s="14">
        <f>HARMEAN(Todas!O637:O640)</f>
        <v>3.9057420476731748</v>
      </c>
      <c r="P104" s="14" t="e">
        <f>HARMEAN(Todas!P637:P640)</f>
        <v>#N/A</v>
      </c>
      <c r="Q104" s="14" t="e">
        <f>HARMEAN(Todas!Q637:Q640)</f>
        <v>#N/A</v>
      </c>
      <c r="R104" s="14">
        <f>HARMEAN(Todas!R637:R640)</f>
        <v>2.003320331237294</v>
      </c>
      <c r="S104" s="14" t="e">
        <f>HARMEAN(Todas!S637:S640)</f>
        <v>#N/A</v>
      </c>
      <c r="T104" s="14" t="e">
        <f>HARMEAN(Todas!T637:T640)</f>
        <v>#N/A</v>
      </c>
      <c r="U104" s="14">
        <f>HARMEAN(Todas!U637:U640)</f>
        <v>3.9057420476731748</v>
      </c>
      <c r="V104" s="14">
        <f>HARMEAN(Todas!V637:V640)</f>
        <v>2.003320331237294</v>
      </c>
      <c r="W104" s="14">
        <f>HARMEAN(Todas!W637:W640)</f>
        <v>0.78536228146001175</v>
      </c>
    </row>
    <row r="105" spans="1:23">
      <c r="A105" t="s">
        <v>182</v>
      </c>
      <c r="B105" t="s">
        <v>259</v>
      </c>
      <c r="C105" s="21" t="str">
        <f>Todas!C641</f>
        <v>East Flats, Corpus Cristi Bay, Texas</v>
      </c>
      <c r="D105" s="14">
        <f>HARMEAN(Todas!D641:D644)</f>
        <v>1992.0000000000002</v>
      </c>
      <c r="E105" s="14">
        <f>HARMEAN(Todas!E641:E644)</f>
        <v>12</v>
      </c>
      <c r="F105" s="14">
        <f>HARMEAN(Todas!F641:F644)</f>
        <v>9</v>
      </c>
      <c r="G105" s="15">
        <f>HARMEAN(Todas!G641:G644)</f>
        <v>344.16999999999996</v>
      </c>
      <c r="H105" s="15">
        <f>HARMEAN(Todas!H641:H644)</f>
        <v>5695.0278562009553</v>
      </c>
      <c r="I105" s="14" t="e">
        <f>HARMEAN(Todas!I641:I644)</f>
        <v>#N/A</v>
      </c>
      <c r="J105" s="14" t="e">
        <f>HARMEAN(Todas!J641:J644)</f>
        <v>#N/A</v>
      </c>
      <c r="K105" s="14">
        <f>HARMEAN(Todas!K641:K644)</f>
        <v>53.705060939109138</v>
      </c>
      <c r="L105" s="14" t="e">
        <f>HARMEAN(Todas!L641:L644)</f>
        <v>#N/A</v>
      </c>
      <c r="M105" s="14" t="e">
        <f>HARMEAN(Todas!M641:M644)</f>
        <v>#N/A</v>
      </c>
      <c r="N105" s="14" t="e">
        <f>HARMEAN(Todas!N641:N644)</f>
        <v>#N/A</v>
      </c>
      <c r="O105" s="14">
        <f>HARMEAN(Todas!O641:O644)</f>
        <v>3.7604736453043954</v>
      </c>
      <c r="P105" s="14" t="e">
        <f>HARMEAN(Todas!P641:P644)</f>
        <v>#N/A</v>
      </c>
      <c r="Q105" s="14" t="e">
        <f>HARMEAN(Todas!Q641:Q644)</f>
        <v>#N/A</v>
      </c>
      <c r="R105" s="14">
        <f>HARMEAN(Todas!R641:R644)</f>
        <v>1.7338347442091366</v>
      </c>
      <c r="S105" s="14" t="e">
        <f>HARMEAN(Todas!S641:S644)</f>
        <v>#N/A</v>
      </c>
      <c r="T105" s="14" t="e">
        <f>HARMEAN(Todas!T641:T644)</f>
        <v>#N/A</v>
      </c>
      <c r="U105" s="14">
        <f>HARMEAN(Todas!U641:U644)</f>
        <v>3.7604736453043954</v>
      </c>
      <c r="V105" s="14">
        <f>HARMEAN(Todas!V641:V644)</f>
        <v>1.7338347442091366</v>
      </c>
      <c r="W105" s="14">
        <f>HARMEAN(Todas!W641:W644)</f>
        <v>1.0818834876713288</v>
      </c>
    </row>
    <row r="106" spans="1:23">
      <c r="A106" t="s">
        <v>182</v>
      </c>
      <c r="B106" t="s">
        <v>259</v>
      </c>
      <c r="C106" s="21" t="str">
        <f>Todas!C645</f>
        <v>East Flats, Corpus Cristi Bay, Texas</v>
      </c>
      <c r="D106" s="14">
        <f>HARMEAN(Todas!D645:D648)</f>
        <v>1993.0000000000002</v>
      </c>
      <c r="E106" s="14">
        <f>HARMEAN(Todas!E645:E648)</f>
        <v>2</v>
      </c>
      <c r="F106" s="14">
        <f>HARMEAN(Todas!F645:F648)</f>
        <v>16</v>
      </c>
      <c r="G106" s="15">
        <f>HARMEAN(Todas!G645:G648)</f>
        <v>46.47</v>
      </c>
      <c r="H106" s="15">
        <f>HARMEAN(Todas!H645:H648)</f>
        <v>6436.9816887080378</v>
      </c>
      <c r="I106" s="14" t="e">
        <f>HARMEAN(Todas!I645:I648)</f>
        <v>#N/A</v>
      </c>
      <c r="J106" s="14" t="e">
        <f>HARMEAN(Todas!J645:J648)</f>
        <v>#N/A</v>
      </c>
      <c r="K106" s="14">
        <f>HARMEAN(Todas!K645:K648)</f>
        <v>61.344765305834827</v>
      </c>
      <c r="L106" s="14" t="e">
        <f>HARMEAN(Todas!L645:L648)</f>
        <v>#N/A</v>
      </c>
      <c r="M106" s="14" t="e">
        <f>HARMEAN(Todas!M645:M648)</f>
        <v>#N/A</v>
      </c>
      <c r="N106" s="14" t="e">
        <f>HARMEAN(Todas!N645:N648)</f>
        <v>#N/A</v>
      </c>
      <c r="O106" s="14">
        <f>HARMEAN(Todas!O645:O648)</f>
        <v>3.8137276575408006</v>
      </c>
      <c r="P106" s="14" t="e">
        <f>HARMEAN(Todas!P645:P648)</f>
        <v>#N/A</v>
      </c>
      <c r="Q106" s="14" t="e">
        <f>HARMEAN(Todas!Q645:Q648)</f>
        <v>#N/A</v>
      </c>
      <c r="R106" s="14">
        <f>HARMEAN(Todas!R645:R648)</f>
        <v>1.7930441694047294</v>
      </c>
      <c r="S106" s="14" t="e">
        <f>HARMEAN(Todas!S645:S648)</f>
        <v>#N/A</v>
      </c>
      <c r="T106" s="14" t="e">
        <f>HARMEAN(Todas!T645:T648)</f>
        <v>#N/A</v>
      </c>
      <c r="U106" s="14">
        <f>HARMEAN(Todas!U645:U648)</f>
        <v>3.8137276575408006</v>
      </c>
      <c r="V106" s="14">
        <f>HARMEAN(Todas!V645:V648)</f>
        <v>1.7930441694047294</v>
      </c>
      <c r="W106" s="14">
        <f>HARMEAN(Todas!W645:W648)</f>
        <v>1.0045038773058708</v>
      </c>
    </row>
    <row r="107" spans="1:23">
      <c r="A107" t="s">
        <v>182</v>
      </c>
      <c r="B107" t="s">
        <v>259</v>
      </c>
      <c r="C107" s="21" t="str">
        <f>Todas!C649</f>
        <v>East Flats, Corpus Cristi Bay, Texas</v>
      </c>
      <c r="D107" s="14">
        <f>HARMEAN(Todas!D649:D652)</f>
        <v>1993.0000000000002</v>
      </c>
      <c r="E107" s="14">
        <f>HARMEAN(Todas!E649:E652)</f>
        <v>5</v>
      </c>
      <c r="F107" s="14">
        <f>HARMEAN(Todas!F649:F652)</f>
        <v>21</v>
      </c>
      <c r="G107" s="15">
        <f>HARMEAN(Todas!G649:G652)</f>
        <v>142.88</v>
      </c>
      <c r="H107" s="15">
        <f>HARMEAN(Todas!H649:H652)</f>
        <v>6084.9923573225424</v>
      </c>
      <c r="I107" s="14" t="e">
        <f>HARMEAN(Todas!I649:I652)</f>
        <v>#N/A</v>
      </c>
      <c r="J107" s="14" t="e">
        <f>HARMEAN(Todas!J649:J652)</f>
        <v>#N/A</v>
      </c>
      <c r="K107" s="14">
        <f>HARMEAN(Todas!K649:K652)</f>
        <v>82.175332688156601</v>
      </c>
      <c r="L107" s="14" t="e">
        <f>HARMEAN(Todas!L649:L652)</f>
        <v>#N/A</v>
      </c>
      <c r="M107" s="14" t="e">
        <f>HARMEAN(Todas!M649:M652)</f>
        <v>#N/A</v>
      </c>
      <c r="N107" s="14" t="e">
        <f>HARMEAN(Todas!N649:N652)</f>
        <v>#N/A</v>
      </c>
      <c r="O107" s="14">
        <f>HARMEAN(Todas!O649:O652)</f>
        <v>3.7956309650999085</v>
      </c>
      <c r="P107" s="14" t="e">
        <f>HARMEAN(Todas!P649:P652)</f>
        <v>#N/A</v>
      </c>
      <c r="Q107" s="14" t="e">
        <f>HARMEAN(Todas!Q649:Q652)</f>
        <v>#N/A</v>
      </c>
      <c r="R107" s="14">
        <f>HARMEAN(Todas!R649:R652)</f>
        <v>1.9202543401169774</v>
      </c>
      <c r="S107" s="14" t="e">
        <f>HARMEAN(Todas!S649:S652)</f>
        <v>#N/A</v>
      </c>
      <c r="T107" s="14" t="e">
        <f>HARMEAN(Todas!T649:T652)</f>
        <v>#N/A</v>
      </c>
      <c r="U107" s="14">
        <f>HARMEAN(Todas!U649:U652)</f>
        <v>3.7956309650999085</v>
      </c>
      <c r="V107" s="14">
        <f>HARMEAN(Todas!V649:V652)</f>
        <v>1.9202543401169774</v>
      </c>
      <c r="W107" s="14">
        <f>HARMEAN(Todas!W649:W652)</f>
        <v>0.88767779810719438</v>
      </c>
    </row>
    <row r="108" spans="1:23">
      <c r="A108" t="s">
        <v>182</v>
      </c>
      <c r="B108" t="s">
        <v>259</v>
      </c>
      <c r="C108" s="21" t="str">
        <f>Todas!C653</f>
        <v>East Flats, Corpus Cristi Bay, Texas</v>
      </c>
      <c r="D108" s="14">
        <f>HARMEAN(Todas!D653:D656)</f>
        <v>1993.0000000000002</v>
      </c>
      <c r="E108" s="14">
        <f>HARMEAN(Todas!E653:E656)</f>
        <v>8</v>
      </c>
      <c r="F108" s="14">
        <f>HARMEAN(Todas!F653:F656)</f>
        <v>25</v>
      </c>
      <c r="G108" s="15">
        <f>HARMEAN(Todas!G653:G656)</f>
        <v>238.29</v>
      </c>
      <c r="H108" s="15">
        <f>HARMEAN(Todas!H653:H656)</f>
        <v>6745.1253429756453</v>
      </c>
      <c r="I108" s="14" t="e">
        <f>HARMEAN(Todas!I653:I656)</f>
        <v>#N/A</v>
      </c>
      <c r="J108" s="14" t="e">
        <f>HARMEAN(Todas!J653:J656)</f>
        <v>#N/A</v>
      </c>
      <c r="K108" s="14">
        <f>HARMEAN(Todas!K653:K656)</f>
        <v>191.78067388549263</v>
      </c>
      <c r="L108" s="14" t="e">
        <f>HARMEAN(Todas!L653:L656)</f>
        <v>#N/A</v>
      </c>
      <c r="M108" s="14" t="e">
        <f>HARMEAN(Todas!M653:M656)</f>
        <v>#N/A</v>
      </c>
      <c r="N108" s="14" t="e">
        <f>HARMEAN(Todas!N653:N656)</f>
        <v>#N/A</v>
      </c>
      <c r="O108" s="14">
        <f>HARMEAN(Todas!O653:O656)</f>
        <v>3.863184979356046</v>
      </c>
      <c r="P108" s="14" t="e">
        <f>HARMEAN(Todas!P653:P656)</f>
        <v>#N/A</v>
      </c>
      <c r="Q108" s="14" t="e">
        <f>HARMEAN(Todas!Q653:Q656)</f>
        <v>#N/A</v>
      </c>
      <c r="R108" s="14">
        <f>HARMEAN(Todas!R653:R656)</f>
        <v>2.2909849093962462</v>
      </c>
      <c r="S108" s="14" t="e">
        <f>HARMEAN(Todas!S653:S656)</f>
        <v>#N/A</v>
      </c>
      <c r="T108" s="14" t="e">
        <f>HARMEAN(Todas!T653:T656)</f>
        <v>#N/A</v>
      </c>
      <c r="U108" s="14">
        <f>HARMEAN(Todas!U653:U656)</f>
        <v>3.863184979356046</v>
      </c>
      <c r="V108" s="14">
        <f>HARMEAN(Todas!V653:V656)</f>
        <v>2.2909849093962462</v>
      </c>
      <c r="W108" s="14">
        <f>HARMEAN(Todas!W653:W656)</f>
        <v>0.47961064301822165</v>
      </c>
    </row>
    <row r="109" spans="1:23">
      <c r="A109" t="s">
        <v>182</v>
      </c>
      <c r="B109" t="s">
        <v>259</v>
      </c>
      <c r="C109" s="21" t="str">
        <f>Todas!C657</f>
        <v>East Flats, Corpus Cristi Bay, Texas</v>
      </c>
      <c r="D109" s="14">
        <f>HARMEAN(Todas!D657:D660)</f>
        <v>1993.0000000000002</v>
      </c>
      <c r="E109" s="14">
        <f>HARMEAN(Todas!E657:E660)</f>
        <v>12</v>
      </c>
      <c r="F109" s="14">
        <f>HARMEAN(Todas!F657:F660)</f>
        <v>21</v>
      </c>
      <c r="G109" s="15">
        <f>HARMEAN(Todas!G657:G660)</f>
        <v>356.16999999999996</v>
      </c>
      <c r="H109" s="15">
        <f>HARMEAN(Todas!H657:H660)</f>
        <v>4407.4862567547825</v>
      </c>
      <c r="I109" s="14" t="e">
        <f>HARMEAN(Todas!I657:I660)</f>
        <v>#N/A</v>
      </c>
      <c r="J109" s="14" t="e">
        <f>HARMEAN(Todas!J657:J660)</f>
        <v>#N/A</v>
      </c>
      <c r="K109" s="14">
        <f>HARMEAN(Todas!K657:K660)</f>
        <v>30.27047900820002</v>
      </c>
      <c r="L109" s="14" t="e">
        <f>HARMEAN(Todas!L657:L660)</f>
        <v>#N/A</v>
      </c>
      <c r="M109" s="14" t="e">
        <f>HARMEAN(Todas!M657:M660)</f>
        <v>#N/A</v>
      </c>
      <c r="N109" s="14" t="e">
        <f>HARMEAN(Todas!N657:N660)</f>
        <v>#N/A</v>
      </c>
      <c r="O109" s="14">
        <f>HARMEAN(Todas!O657:O660)</f>
        <v>3.6584831277227301</v>
      </c>
      <c r="P109" s="14" t="e">
        <f>HARMEAN(Todas!P657:P660)</f>
        <v>#N/A</v>
      </c>
      <c r="Q109" s="14" t="e">
        <f>HARMEAN(Todas!Q657:Q660)</f>
        <v>#N/A</v>
      </c>
      <c r="R109" s="14">
        <f>HARMEAN(Todas!R657:R660)</f>
        <v>1.4859296364513401</v>
      </c>
      <c r="S109" s="14" t="e">
        <f>HARMEAN(Todas!S657:S660)</f>
        <v>#N/A</v>
      </c>
      <c r="T109" s="14" t="e">
        <f>HARMEAN(Todas!T657:T660)</f>
        <v>#N/A</v>
      </c>
      <c r="U109" s="14">
        <f>HARMEAN(Todas!U657:U660)</f>
        <v>3.6584831277227301</v>
      </c>
      <c r="V109" s="14">
        <f>HARMEAN(Todas!V657:V660)</f>
        <v>1.4859296364513401</v>
      </c>
      <c r="W109" s="14">
        <f>HARMEAN(Todas!W657:W660)</f>
        <v>1.3436657065785027</v>
      </c>
    </row>
    <row r="110" spans="1:23">
      <c r="A110" t="s">
        <v>182</v>
      </c>
      <c r="B110" t="s">
        <v>259</v>
      </c>
      <c r="C110" s="21" t="str">
        <f>Todas!C661</f>
        <v>East Flats, Corpus Cristi Bay, Texas</v>
      </c>
      <c r="D110" s="14">
        <f>HARMEAN(Todas!D661:D664)</f>
        <v>1994</v>
      </c>
      <c r="E110" s="14">
        <f>HARMEAN(Todas!E661:E664)</f>
        <v>3</v>
      </c>
      <c r="F110" s="14">
        <f>HARMEAN(Todas!F661:F664)</f>
        <v>10</v>
      </c>
      <c r="G110" s="15">
        <f>HARMEAN(Todas!G661:G664)</f>
        <v>70.94</v>
      </c>
      <c r="H110" s="15">
        <f>HARMEAN(Todas!H661:H664)</f>
        <v>5536.1502685033865</v>
      </c>
      <c r="I110" s="14" t="e">
        <f>HARMEAN(Todas!I661:I664)</f>
        <v>#N/A</v>
      </c>
      <c r="J110" s="14" t="e">
        <f>HARMEAN(Todas!J661:J664)</f>
        <v>#N/A</v>
      </c>
      <c r="K110" s="14">
        <f>HARMEAN(Todas!K661:K664)</f>
        <v>32.399674674461004</v>
      </c>
      <c r="L110" s="14" t="e">
        <f>HARMEAN(Todas!L661:L664)</f>
        <v>#N/A</v>
      </c>
      <c r="M110" s="14" t="e">
        <f>HARMEAN(Todas!M661:M664)</f>
        <v>#N/A</v>
      </c>
      <c r="N110" s="14" t="e">
        <f>HARMEAN(Todas!N661:N664)</f>
        <v>#N/A</v>
      </c>
      <c r="O110" s="14">
        <f>HARMEAN(Todas!O661:O664)</f>
        <v>3.7588872604551153</v>
      </c>
      <c r="P110" s="14" t="e">
        <f>HARMEAN(Todas!P661:P664)</f>
        <v>#N/A</v>
      </c>
      <c r="Q110" s="14" t="e">
        <f>HARMEAN(Todas!Q661:Q664)</f>
        <v>#N/A</v>
      </c>
      <c r="R110" s="14">
        <f>HARMEAN(Todas!R661:R664)</f>
        <v>1.5207310598197477</v>
      </c>
      <c r="S110" s="14" t="e">
        <f>HARMEAN(Todas!S661:S664)</f>
        <v>#N/A</v>
      </c>
      <c r="T110" s="14" t="e">
        <f>HARMEAN(Todas!T661:T664)</f>
        <v>#N/A</v>
      </c>
      <c r="U110" s="14">
        <f>HARMEAN(Todas!U661:U664)</f>
        <v>3.7588872604551153</v>
      </c>
      <c r="V110" s="14">
        <f>HARMEAN(Todas!V661:V664)</f>
        <v>1.5207310598197477</v>
      </c>
      <c r="W110" s="14">
        <f>HARMEAN(Todas!W661:W664)</f>
        <v>1.2665956195488699</v>
      </c>
    </row>
    <row r="111" spans="1:23">
      <c r="A111" t="s">
        <v>182</v>
      </c>
      <c r="B111" t="s">
        <v>259</v>
      </c>
      <c r="C111" s="21" t="str">
        <f>Todas!C665</f>
        <v>East Flats, Corpus Cristi Bay, Texas</v>
      </c>
      <c r="D111" s="14">
        <f>HARMEAN(Todas!D665:D668)</f>
        <v>1994</v>
      </c>
      <c r="E111" s="14">
        <f>HARMEAN(Todas!E665:E668)</f>
        <v>6</v>
      </c>
      <c r="F111" s="14">
        <f>HARMEAN(Todas!F665:F668)</f>
        <v>1</v>
      </c>
      <c r="G111" s="15">
        <f>HARMEAN(Todas!G665:G668)</f>
        <v>153.35</v>
      </c>
      <c r="H111" s="15">
        <f>HARMEAN(Todas!H665:H668)</f>
        <v>6686.9746274667732</v>
      </c>
      <c r="I111" s="14" t="e">
        <f>HARMEAN(Todas!I665:I668)</f>
        <v>#N/A</v>
      </c>
      <c r="J111" s="14" t="e">
        <f>HARMEAN(Todas!J665:J668)</f>
        <v>#N/A</v>
      </c>
      <c r="K111" s="14">
        <f>HARMEAN(Todas!K665:K668)</f>
        <v>103.34644416724278</v>
      </c>
      <c r="L111" s="14" t="e">
        <f>HARMEAN(Todas!L665:L668)</f>
        <v>#N/A</v>
      </c>
      <c r="M111" s="14" t="e">
        <f>HARMEAN(Todas!M665:M668)</f>
        <v>#N/A</v>
      </c>
      <c r="N111" s="14" t="e">
        <f>HARMEAN(Todas!N665:N668)</f>
        <v>#N/A</v>
      </c>
      <c r="O111" s="14">
        <f>HARMEAN(Todas!O665:O668)</f>
        <v>3.8398666729855888</v>
      </c>
      <c r="P111" s="14" t="e">
        <f>HARMEAN(Todas!P665:P668)</f>
        <v>#N/A</v>
      </c>
      <c r="Q111" s="14" t="e">
        <f>HARMEAN(Todas!Q665:Q668)</f>
        <v>#N/A</v>
      </c>
      <c r="R111" s="14">
        <f>HARMEAN(Todas!R665:R668)</f>
        <v>2.0731742838346077</v>
      </c>
      <c r="S111" s="14" t="e">
        <f>HARMEAN(Todas!S665:S668)</f>
        <v>#N/A</v>
      </c>
      <c r="T111" s="14" t="e">
        <f>HARMEAN(Todas!T665:T668)</f>
        <v>#N/A</v>
      </c>
      <c r="U111" s="14">
        <f>HARMEAN(Todas!U665:U668)</f>
        <v>3.8398666729855888</v>
      </c>
      <c r="V111" s="14">
        <f>HARMEAN(Todas!V665:V668)</f>
        <v>2.0731742838346077</v>
      </c>
      <c r="W111" s="14">
        <f>HARMEAN(Todas!W665:W668)</f>
        <v>0.62648381552460419</v>
      </c>
    </row>
    <row r="112" spans="1:23">
      <c r="A112" t="s">
        <v>182</v>
      </c>
      <c r="B112" t="s">
        <v>259</v>
      </c>
      <c r="C112" s="21" t="str">
        <f>Todas!C669</f>
        <v>East Flats, Corpus Cristi Bay, Texas</v>
      </c>
      <c r="D112" s="14">
        <f>HARMEAN(Todas!D669:D672)</f>
        <v>1994</v>
      </c>
      <c r="E112" s="14">
        <f>HARMEAN(Todas!E669:E672)</f>
        <v>9</v>
      </c>
      <c r="F112" s="14">
        <f>HARMEAN(Todas!F669:F672)</f>
        <v>19</v>
      </c>
      <c r="G112" s="15">
        <f>HARMEAN(Todas!G669:G672)</f>
        <v>262.76</v>
      </c>
      <c r="H112" s="15">
        <f>HARMEAN(Todas!H669:H672)</f>
        <v>4561.2208437083245</v>
      </c>
      <c r="I112" s="14" t="e">
        <f>HARMEAN(Todas!I669:I672)</f>
        <v>#N/A</v>
      </c>
      <c r="J112" s="14" t="e">
        <f>HARMEAN(Todas!J669:J672)</f>
        <v>#N/A</v>
      </c>
      <c r="K112" s="14">
        <f>HARMEAN(Todas!K669:K672)</f>
        <v>48.806113549957217</v>
      </c>
      <c r="L112" s="14" t="e">
        <f>HARMEAN(Todas!L669:L672)</f>
        <v>#N/A</v>
      </c>
      <c r="M112" s="14" t="e">
        <f>HARMEAN(Todas!M669:M672)</f>
        <v>#N/A</v>
      </c>
      <c r="N112" s="14" t="e">
        <f>HARMEAN(Todas!N669:N672)</f>
        <v>#N/A</v>
      </c>
      <c r="O112" s="14">
        <f>HARMEAN(Todas!O669:O672)</f>
        <v>3.6810033137829516</v>
      </c>
      <c r="P112" s="14" t="e">
        <f>HARMEAN(Todas!P669:P672)</f>
        <v>#N/A</v>
      </c>
      <c r="Q112" s="14" t="e">
        <f>HARMEAN(Todas!Q669:Q672)</f>
        <v>#N/A</v>
      </c>
      <c r="R112" s="14">
        <f>HARMEAN(Todas!R669:R672)</f>
        <v>1.6921362448197026</v>
      </c>
      <c r="S112" s="14" t="e">
        <f>HARMEAN(Todas!S669:S672)</f>
        <v>#N/A</v>
      </c>
      <c r="T112" s="14" t="e">
        <f>HARMEAN(Todas!T669:T672)</f>
        <v>#N/A</v>
      </c>
      <c r="U112" s="14">
        <f>HARMEAN(Todas!U669:U672)</f>
        <v>3.6810033137829516</v>
      </c>
      <c r="V112" s="14">
        <f>HARMEAN(Todas!V669:V672)</f>
        <v>1.6921362448197026</v>
      </c>
      <c r="W112" s="14">
        <f>HARMEAN(Todas!W669:W672)</f>
        <v>1.1428646056522187</v>
      </c>
    </row>
    <row r="113" spans="1:23">
      <c r="A113" t="s">
        <v>182</v>
      </c>
      <c r="B113" t="s">
        <v>259</v>
      </c>
      <c r="C113" s="21" t="str">
        <f>Todas!C673</f>
        <v>East Flats, Corpus Cristi Bay, Texas</v>
      </c>
      <c r="D113" s="14">
        <f>HARMEAN(Todas!D673:D676)</f>
        <v>1994</v>
      </c>
      <c r="E113" s="14">
        <f>HARMEAN(Todas!E673:E676)</f>
        <v>12</v>
      </c>
      <c r="F113" s="14">
        <f>HARMEAN(Todas!F673:F676)</f>
        <v>5</v>
      </c>
      <c r="G113" s="15">
        <f>HARMEAN(Todas!G673:G676)</f>
        <v>340.16999999999996</v>
      </c>
      <c r="H113" s="15">
        <f>HARMEAN(Todas!H673:H676)</f>
        <v>4691.0968674766846</v>
      </c>
      <c r="I113" s="14" t="e">
        <f>HARMEAN(Todas!I673:I676)</f>
        <v>#N/A</v>
      </c>
      <c r="J113" s="14" t="e">
        <f>HARMEAN(Todas!J673:J676)</f>
        <v>#N/A</v>
      </c>
      <c r="K113" s="14">
        <f>HARMEAN(Todas!K673:K676)</f>
        <v>59.670385206122013</v>
      </c>
      <c r="L113" s="14" t="e">
        <f>HARMEAN(Todas!L673:L676)</f>
        <v>#N/A</v>
      </c>
      <c r="M113" s="14" t="e">
        <f>HARMEAN(Todas!M673:M676)</f>
        <v>#N/A</v>
      </c>
      <c r="N113" s="14" t="e">
        <f>HARMEAN(Todas!N673:N676)</f>
        <v>#N/A</v>
      </c>
      <c r="O113" s="14">
        <f>HARMEAN(Todas!O673:O676)</f>
        <v>3.7029118824434479</v>
      </c>
      <c r="P113" s="14" t="e">
        <f>HARMEAN(Todas!P673:P676)</f>
        <v>#N/A</v>
      </c>
      <c r="Q113" s="14" t="e">
        <f>HARMEAN(Todas!Q673:Q676)</f>
        <v>#N/A</v>
      </c>
      <c r="R113" s="14">
        <f>HARMEAN(Todas!R673:R676)</f>
        <v>1.7798975961814505</v>
      </c>
      <c r="S113" s="14" t="e">
        <f>HARMEAN(Todas!S673:S676)</f>
        <v>#N/A</v>
      </c>
      <c r="T113" s="14" t="e">
        <f>HARMEAN(Todas!T673:T676)</f>
        <v>#N/A</v>
      </c>
      <c r="U113" s="14">
        <f>HARMEAN(Todas!U673:U676)</f>
        <v>3.7029118824434479</v>
      </c>
      <c r="V113" s="14">
        <f>HARMEAN(Todas!V673:V676)</f>
        <v>1.7798975961814505</v>
      </c>
      <c r="W113" s="14">
        <f>HARMEAN(Todas!W673:W676)</f>
        <v>1.0493403719920391</v>
      </c>
    </row>
    <row r="114" spans="1:23">
      <c r="A114" t="s">
        <v>182</v>
      </c>
      <c r="B114" t="s">
        <v>259</v>
      </c>
      <c r="C114" s="21" t="str">
        <f>Todas!C677</f>
        <v>East Flats, Corpus Cristi Bay, Texas</v>
      </c>
      <c r="D114" s="14">
        <f>HARMEAN(Todas!D677:D680)</f>
        <v>1995</v>
      </c>
      <c r="E114" s="14">
        <f>HARMEAN(Todas!E677:E680)</f>
        <v>3</v>
      </c>
      <c r="F114" s="14">
        <f>HARMEAN(Todas!F677:F680)</f>
        <v>15</v>
      </c>
      <c r="G114" s="15">
        <f>HARMEAN(Todas!G677:G680)</f>
        <v>75.94</v>
      </c>
      <c r="H114" s="15">
        <f>HARMEAN(Todas!H677:H680)</f>
        <v>6650.7451445515198</v>
      </c>
      <c r="I114" s="14" t="e">
        <f>HARMEAN(Todas!I677:I680)</f>
        <v>#N/A</v>
      </c>
      <c r="J114" s="14" t="e">
        <f>HARMEAN(Todas!J677:J680)</f>
        <v>#N/A</v>
      </c>
      <c r="K114" s="14">
        <f>HARMEAN(Todas!K677:K680)</f>
        <v>74.127967593393564</v>
      </c>
      <c r="L114" s="14" t="e">
        <f>HARMEAN(Todas!L677:L680)</f>
        <v>#N/A</v>
      </c>
      <c r="M114" s="14" t="e">
        <f>HARMEAN(Todas!M677:M680)</f>
        <v>#N/A</v>
      </c>
      <c r="N114" s="14" t="e">
        <f>HARMEAN(Todas!N677:N680)</f>
        <v>#N/A</v>
      </c>
      <c r="O114" s="14">
        <f>HARMEAN(Todas!O677:O680)</f>
        <v>3.8245680996151363</v>
      </c>
      <c r="P114" s="14" t="e">
        <f>HARMEAN(Todas!P677:P680)</f>
        <v>#N/A</v>
      </c>
      <c r="Q114" s="14" t="e">
        <f>HARMEAN(Todas!Q677:Q680)</f>
        <v>#N/A</v>
      </c>
      <c r="R114" s="14">
        <f>HARMEAN(Todas!R677:R680)</f>
        <v>1.8766955264529241</v>
      </c>
      <c r="S114" s="14" t="e">
        <f>HARMEAN(Todas!S677:S680)</f>
        <v>#N/A</v>
      </c>
      <c r="T114" s="14" t="e">
        <f>HARMEAN(Todas!T677:T680)</f>
        <v>#N/A</v>
      </c>
      <c r="U114" s="14">
        <f>HARMEAN(Todas!U677:U680)</f>
        <v>3.8245680996151363</v>
      </c>
      <c r="V114" s="14">
        <f>HARMEAN(Todas!V677:V680)</f>
        <v>1.8766955264529241</v>
      </c>
      <c r="W114" s="14">
        <f>HARMEAN(Todas!W677:W680)</f>
        <v>0.92285738883692769</v>
      </c>
    </row>
    <row r="115" spans="1:23">
      <c r="A115" t="s">
        <v>182</v>
      </c>
      <c r="B115" t="s">
        <v>259</v>
      </c>
      <c r="C115" s="21" t="str">
        <f>Todas!C681</f>
        <v>East Flats, Corpus Cristi Bay, Texas</v>
      </c>
      <c r="D115" s="14">
        <f>HARMEAN(Todas!D681:D684)</f>
        <v>1995</v>
      </c>
      <c r="E115" s="14">
        <f>HARMEAN(Todas!E681:E684)</f>
        <v>6</v>
      </c>
      <c r="F115" s="14">
        <f>HARMEAN(Todas!F681:F684)</f>
        <v>15</v>
      </c>
      <c r="G115" s="15">
        <f>HARMEAN(Todas!G681:G684)</f>
        <v>167.35</v>
      </c>
      <c r="H115" s="15">
        <f>HARMEAN(Todas!H681:H684)</f>
        <v>2419.4022683650323</v>
      </c>
      <c r="I115" s="14" t="e">
        <f>HARMEAN(Todas!I681:I684)</f>
        <v>#N/A</v>
      </c>
      <c r="J115" s="14" t="e">
        <f>HARMEAN(Todas!J681:J684)</f>
        <v>#N/A</v>
      </c>
      <c r="K115" s="14">
        <f>HARMEAN(Todas!K681:K684)</f>
        <v>33.63799859654403</v>
      </c>
      <c r="L115" s="14" t="e">
        <f>HARMEAN(Todas!L681:L684)</f>
        <v>#N/A</v>
      </c>
      <c r="M115" s="14" t="e">
        <f>HARMEAN(Todas!M681:M684)</f>
        <v>#N/A</v>
      </c>
      <c r="N115" s="14" t="e">
        <f>HARMEAN(Todas!N681:N684)</f>
        <v>#N/A</v>
      </c>
      <c r="O115" s="14">
        <f>HARMEAN(Todas!O681:O684)</f>
        <v>3.4044253981999639</v>
      </c>
      <c r="P115" s="14" t="e">
        <f>HARMEAN(Todas!P681:P684)</f>
        <v>#N/A</v>
      </c>
      <c r="Q115" s="14" t="e">
        <f>HARMEAN(Todas!Q681:Q684)</f>
        <v>#N/A</v>
      </c>
      <c r="R115" s="14">
        <f>HARMEAN(Todas!R681:R684)</f>
        <v>1.5490848978517346</v>
      </c>
      <c r="S115" s="14" t="e">
        <f>HARMEAN(Todas!S681:S684)</f>
        <v>#N/A</v>
      </c>
      <c r="T115" s="14" t="e">
        <f>HARMEAN(Todas!T681:T684)</f>
        <v>#N/A</v>
      </c>
      <c r="U115" s="14">
        <f>HARMEAN(Todas!U681:U684)</f>
        <v>3.4044253981999639</v>
      </c>
      <c r="V115" s="14">
        <f>HARMEAN(Todas!V681:V684)</f>
        <v>1.5490848978517346</v>
      </c>
      <c r="W115" s="14">
        <f>HARMEAN(Todas!W681:W684)</f>
        <v>1.3073551916630768</v>
      </c>
    </row>
    <row r="116" spans="1:23">
      <c r="A116" t="s">
        <v>182</v>
      </c>
      <c r="B116" t="s">
        <v>259</v>
      </c>
      <c r="C116" s="21" t="str">
        <f>Todas!C685</f>
        <v>East Flats, Corpus Cristi Bay, Texas</v>
      </c>
      <c r="D116" s="14">
        <f>HARMEAN(Todas!D685:D688)</f>
        <v>1995</v>
      </c>
      <c r="E116" s="14">
        <f>HARMEAN(Todas!E685:E688)</f>
        <v>9</v>
      </c>
      <c r="F116" s="14">
        <f>HARMEAN(Todas!F685:F688)</f>
        <v>7</v>
      </c>
      <c r="G116" s="15">
        <f>HARMEAN(Todas!G685:G688)</f>
        <v>250.76</v>
      </c>
      <c r="H116" s="15">
        <f>HARMEAN(Todas!H685:H688)</f>
        <v>4134.2883966942145</v>
      </c>
      <c r="I116" s="14" t="e">
        <f>HARMEAN(Todas!I685:I688)</f>
        <v>#N/A</v>
      </c>
      <c r="J116" s="14" t="e">
        <f>HARMEAN(Todas!J685:J688)</f>
        <v>#N/A</v>
      </c>
      <c r="K116" s="14">
        <f>HARMEAN(Todas!K685:K688)</f>
        <v>102.03501673245097</v>
      </c>
      <c r="L116" s="14" t="e">
        <f>HARMEAN(Todas!L685:L688)</f>
        <v>#N/A</v>
      </c>
      <c r="M116" s="14" t="e">
        <f>HARMEAN(Todas!M685:M688)</f>
        <v>#N/A</v>
      </c>
      <c r="N116" s="14" t="e">
        <f>HARMEAN(Todas!N685:N688)</f>
        <v>#N/A</v>
      </c>
      <c r="O116" s="14">
        <f>HARMEAN(Todas!O685:O688)</f>
        <v>3.617709554021618</v>
      </c>
      <c r="P116" s="14" t="e">
        <f>HARMEAN(Todas!P685:P688)</f>
        <v>#N/A</v>
      </c>
      <c r="Q116" s="14" t="e">
        <f>HARMEAN(Todas!Q685:Q688)</f>
        <v>#N/A</v>
      </c>
      <c r="R116" s="14">
        <f>HARMEAN(Todas!R685:R688)</f>
        <v>2.0157993285239626</v>
      </c>
      <c r="S116" s="14" t="e">
        <f>HARMEAN(Todas!S685:S688)</f>
        <v>#N/A</v>
      </c>
      <c r="T116" s="14" t="e">
        <f>HARMEAN(Todas!T685:T688)</f>
        <v>#N/A</v>
      </c>
      <c r="U116" s="14">
        <f>HARMEAN(Todas!U685:U688)</f>
        <v>3.617709554021618</v>
      </c>
      <c r="V116" s="14">
        <f>HARMEAN(Todas!V685:V688)</f>
        <v>2.0157993285239626</v>
      </c>
      <c r="W116" s="14">
        <f>HARMEAN(Todas!W685:W688)</f>
        <v>0.85432704166845819</v>
      </c>
    </row>
    <row r="117" spans="1:23">
      <c r="A117" t="s">
        <v>182</v>
      </c>
      <c r="B117" t="s">
        <v>259</v>
      </c>
      <c r="C117" s="21" t="str">
        <f>Todas!C689</f>
        <v>East Flats, Corpus Cristi Bay, Texas</v>
      </c>
      <c r="D117" s="14">
        <f>HARMEAN(Todas!D689:D692)</f>
        <v>1995</v>
      </c>
      <c r="E117" s="14">
        <f>HARMEAN(Todas!E689:E692)</f>
        <v>12</v>
      </c>
      <c r="F117" s="14">
        <f>HARMEAN(Todas!F689:F692)</f>
        <v>4</v>
      </c>
      <c r="G117" s="15">
        <f>HARMEAN(Todas!G689:G692)</f>
        <v>339.16999999999996</v>
      </c>
      <c r="H117" s="15">
        <f>HARMEAN(Todas!H689:H692)</f>
        <v>3534.4310048821117</v>
      </c>
      <c r="I117" s="14" t="e">
        <f>HARMEAN(Todas!I689:I692)</f>
        <v>#N/A</v>
      </c>
      <c r="J117" s="14" t="e">
        <f>HARMEAN(Todas!J689:J692)</f>
        <v>#N/A</v>
      </c>
      <c r="K117" s="14">
        <f>HARMEAN(Todas!K689:K692)</f>
        <v>34.365808912624168</v>
      </c>
      <c r="L117" s="14" t="e">
        <f>HARMEAN(Todas!L689:L692)</f>
        <v>#N/A</v>
      </c>
      <c r="M117" s="14" t="e">
        <f>HARMEAN(Todas!M689:M692)</f>
        <v>#N/A</v>
      </c>
      <c r="N117" s="14" t="e">
        <f>HARMEAN(Todas!N689:N692)</f>
        <v>#N/A</v>
      </c>
      <c r="O117" s="14">
        <f>HARMEAN(Todas!O689:O692)</f>
        <v>3.5512959123696581</v>
      </c>
      <c r="P117" s="14" t="e">
        <f>HARMEAN(Todas!P689:P692)</f>
        <v>#N/A</v>
      </c>
      <c r="Q117" s="14" t="e">
        <f>HARMEAN(Todas!Q689:Q692)</f>
        <v>#N/A</v>
      </c>
      <c r="R117" s="14">
        <f>HARMEAN(Todas!R689:R692)</f>
        <v>1.5375072555858147</v>
      </c>
      <c r="S117" s="14" t="e">
        <f>HARMEAN(Todas!S689:S692)</f>
        <v>#N/A</v>
      </c>
      <c r="T117" s="14" t="e">
        <f>HARMEAN(Todas!T689:T692)</f>
        <v>#N/A</v>
      </c>
      <c r="U117" s="14">
        <f>HARMEAN(Todas!U689:U692)</f>
        <v>3.5512959123696581</v>
      </c>
      <c r="V117" s="14">
        <f>HARMEAN(Todas!V689:V692)</f>
        <v>1.5375072555858147</v>
      </c>
      <c r="W117" s="14">
        <f>HARMEAN(Todas!W689:W692)</f>
        <v>1.3430753904416237</v>
      </c>
    </row>
    <row r="118" spans="1:23">
      <c r="A118" t="s">
        <v>182</v>
      </c>
      <c r="B118" t="s">
        <v>259</v>
      </c>
      <c r="C118" s="21" t="str">
        <f>Todas!C693</f>
        <v>USFWS</v>
      </c>
      <c r="D118" s="14">
        <f>HARMEAN(Todas!D693:D696)</f>
        <v>1993.0000000000002</v>
      </c>
      <c r="E118" s="14">
        <f>HARMEAN(Todas!E693:E696)</f>
        <v>5</v>
      </c>
      <c r="F118" s="14">
        <f>HARMEAN(Todas!F693:F696)</f>
        <v>20</v>
      </c>
      <c r="G118" s="15">
        <f>HARMEAN(Todas!G693:G696)</f>
        <v>141.88</v>
      </c>
      <c r="H118" s="15">
        <f>HARMEAN(Todas!H693:H696)</f>
        <v>5195.2624839279106</v>
      </c>
      <c r="I118" s="14" t="e">
        <f>HARMEAN(Todas!I693:I696)</f>
        <v>#N/A</v>
      </c>
      <c r="J118" s="14" t="e">
        <f>HARMEAN(Todas!J693:J696)</f>
        <v>#N/A</v>
      </c>
      <c r="K118" s="14">
        <f>HARMEAN(Todas!K693:K696)</f>
        <v>79.862789160819418</v>
      </c>
      <c r="L118" s="14" t="e">
        <f>HARMEAN(Todas!L693:L696)</f>
        <v>#N/A</v>
      </c>
      <c r="M118" s="14" t="e">
        <f>HARMEAN(Todas!M693:M696)</f>
        <v>#N/A</v>
      </c>
      <c r="N118" s="14" t="e">
        <f>HARMEAN(Todas!N693:N696)</f>
        <v>#N/A</v>
      </c>
      <c r="O118" s="14">
        <f>HARMEAN(Todas!O693:O696)</f>
        <v>3.7188749653305639</v>
      </c>
      <c r="P118" s="14" t="e">
        <f>HARMEAN(Todas!P693:P696)</f>
        <v>#N/A</v>
      </c>
      <c r="Q118" s="14" t="e">
        <f>HARMEAN(Todas!Q693:Q696)</f>
        <v>#N/A</v>
      </c>
      <c r="R118" s="14">
        <f>HARMEAN(Todas!R693:R696)</f>
        <v>1.9193198612700968</v>
      </c>
      <c r="S118" s="14" t="e">
        <f>HARMEAN(Todas!S693:S696)</f>
        <v>#N/A</v>
      </c>
      <c r="T118" s="14" t="e">
        <f>HARMEAN(Todas!T693:T696)</f>
        <v>#N/A</v>
      </c>
      <c r="U118" s="14">
        <f>HARMEAN(Todas!U693:U696)</f>
        <v>3.7188749653305639</v>
      </c>
      <c r="V118" s="14">
        <f>HARMEAN(Todas!V693:V696)</f>
        <v>1.9193198612700968</v>
      </c>
      <c r="W118" s="14">
        <f>HARMEAN(Todas!W693:W696)</f>
        <v>0.87742493372393904</v>
      </c>
    </row>
    <row r="119" spans="1:23">
      <c r="A119" t="s">
        <v>182</v>
      </c>
      <c r="B119" t="s">
        <v>259</v>
      </c>
      <c r="C119" s="21" t="str">
        <f>Todas!C697</f>
        <v>USFWS</v>
      </c>
      <c r="D119" s="14">
        <f>HARMEAN(Todas!D697:D700)</f>
        <v>1993.0000000000002</v>
      </c>
      <c r="E119" s="14">
        <f>HARMEAN(Todas!E697:E700)</f>
        <v>8</v>
      </c>
      <c r="F119" s="14">
        <f>HARMEAN(Todas!F697:F700)</f>
        <v>30</v>
      </c>
      <c r="G119" s="15">
        <f>HARMEAN(Todas!G697:G700)</f>
        <v>243.29</v>
      </c>
      <c r="H119" s="15">
        <f>HARMEAN(Todas!H697:H700)</f>
        <v>3377.3217391304347</v>
      </c>
      <c r="I119" s="14" t="e">
        <f>HARMEAN(Todas!I697:I700)</f>
        <v>#N/A</v>
      </c>
      <c r="J119" s="14" t="e">
        <f>HARMEAN(Todas!J697:J700)</f>
        <v>#N/A</v>
      </c>
      <c r="K119" s="14">
        <f>HARMEAN(Todas!K697:K700)</f>
        <v>36.45967885626699</v>
      </c>
      <c r="L119" s="14" t="e">
        <f>HARMEAN(Todas!L697:L700)</f>
        <v>#N/A</v>
      </c>
      <c r="M119" s="14" t="e">
        <f>HARMEAN(Todas!M697:M700)</f>
        <v>#N/A</v>
      </c>
      <c r="N119" s="14" t="e">
        <f>HARMEAN(Todas!N697:N700)</f>
        <v>#N/A</v>
      </c>
      <c r="O119" s="14">
        <f>HARMEAN(Todas!O697:O700)</f>
        <v>3.5629006950736017</v>
      </c>
      <c r="P119" s="14" t="e">
        <f>HARMEAN(Todas!P697:P700)</f>
        <v>#N/A</v>
      </c>
      <c r="Q119" s="14" t="e">
        <f>HARMEAN(Todas!Q697:Q700)</f>
        <v>#N/A</v>
      </c>
      <c r="R119" s="14">
        <f>HARMEAN(Todas!R697:R700)</f>
        <v>1.593493221435647</v>
      </c>
      <c r="S119" s="14" t="e">
        <f>HARMEAN(Todas!S697:S700)</f>
        <v>#N/A</v>
      </c>
      <c r="T119" s="14" t="e">
        <f>HARMEAN(Todas!T697:T700)</f>
        <v>#N/A</v>
      </c>
      <c r="U119" s="14">
        <f>HARMEAN(Todas!U697:U700)</f>
        <v>3.5629006950736017</v>
      </c>
      <c r="V119" s="14">
        <f>HARMEAN(Todas!V697:V700)</f>
        <v>1.593493221435647</v>
      </c>
      <c r="W119" s="14">
        <f>HARMEAN(Todas!W697:W700)</f>
        <v>1.1878344087414701</v>
      </c>
    </row>
    <row r="120" spans="1:23">
      <c r="A120" t="s">
        <v>182</v>
      </c>
      <c r="B120" t="s">
        <v>259</v>
      </c>
      <c r="C120" s="21" t="str">
        <f>Todas!C701</f>
        <v>USFWS</v>
      </c>
      <c r="D120" s="14">
        <f>HARMEAN(Todas!D701:D704)</f>
        <v>1993.0000000000002</v>
      </c>
      <c r="E120" s="14">
        <f>HARMEAN(Todas!E701:E704)</f>
        <v>12</v>
      </c>
      <c r="F120" s="14">
        <f>HARMEAN(Todas!F701:F704)</f>
        <v>8</v>
      </c>
      <c r="G120" s="15">
        <f>HARMEAN(Todas!G701:G704)</f>
        <v>343.16999999999996</v>
      </c>
      <c r="H120" s="15">
        <f>HARMEAN(Todas!H701:H704)</f>
        <v>2405.1334605377278</v>
      </c>
      <c r="I120" s="14" t="e">
        <f>HARMEAN(Todas!I701:I704)</f>
        <v>#N/A</v>
      </c>
      <c r="J120" s="14" t="e">
        <f>HARMEAN(Todas!J701:J704)</f>
        <v>#N/A</v>
      </c>
      <c r="K120" s="14">
        <f>HARMEAN(Todas!K701:K704)</f>
        <v>10.149435222521017</v>
      </c>
      <c r="L120" s="14" t="e">
        <f>HARMEAN(Todas!L701:L704)</f>
        <v>#N/A</v>
      </c>
      <c r="M120" s="14" t="e">
        <f>HARMEAN(Todas!M701:M704)</f>
        <v>#N/A</v>
      </c>
      <c r="N120" s="14" t="e">
        <f>HARMEAN(Todas!N701:N704)</f>
        <v>#N/A</v>
      </c>
      <c r="O120" s="14">
        <f>HARMEAN(Todas!O701:O704)</f>
        <v>3.3853685933929838</v>
      </c>
      <c r="P120" s="14" t="e">
        <f>HARMEAN(Todas!P701:P704)</f>
        <v>#N/A</v>
      </c>
      <c r="Q120" s="14" t="e">
        <f>HARMEAN(Todas!Q701:Q704)</f>
        <v>#N/A</v>
      </c>
      <c r="R120" s="14">
        <f>HARMEAN(Todas!R701:R704)</f>
        <v>1.0113787376624526</v>
      </c>
      <c r="S120" s="14" t="e">
        <f>HARMEAN(Todas!S701:S704)</f>
        <v>#N/A</v>
      </c>
      <c r="T120" s="14" t="e">
        <f>HARMEAN(Todas!T701:T704)</f>
        <v>#N/A</v>
      </c>
      <c r="U120" s="14">
        <f>HARMEAN(Todas!U701:U704)</f>
        <v>3.3853685933929838</v>
      </c>
      <c r="V120" s="14">
        <f>HARMEAN(Todas!V701:V704)</f>
        <v>1.0113787376624526</v>
      </c>
      <c r="W120" s="14">
        <f>HARMEAN(Todas!W701:W704)</f>
        <v>1.8461723993871453</v>
      </c>
    </row>
    <row r="121" spans="1:23">
      <c r="A121" t="s">
        <v>182</v>
      </c>
      <c r="B121" t="s">
        <v>259</v>
      </c>
      <c r="C121" s="21" t="str">
        <f>Todas!C705</f>
        <v>USFWS</v>
      </c>
      <c r="D121" s="14">
        <f>HARMEAN(Todas!D705:D708)</f>
        <v>1994</v>
      </c>
      <c r="E121" s="14">
        <f>HARMEAN(Todas!E705:E708)</f>
        <v>3</v>
      </c>
      <c r="F121" s="14">
        <f>HARMEAN(Todas!F705:F708)</f>
        <v>8</v>
      </c>
      <c r="G121" s="15">
        <f>HARMEAN(Todas!G705:G708)</f>
        <v>68.94</v>
      </c>
      <c r="H121" s="15">
        <f>HARMEAN(Todas!H705:H708)</f>
        <v>1541.6493662441628</v>
      </c>
      <c r="I121" s="14" t="e">
        <f>HARMEAN(Todas!I705:I708)</f>
        <v>#N/A</v>
      </c>
      <c r="J121" s="14" t="e">
        <f>HARMEAN(Todas!J705:J708)</f>
        <v>#N/A</v>
      </c>
      <c r="K121" s="14">
        <f>HARMEAN(Todas!K705:K708)</f>
        <v>15.239525865036081</v>
      </c>
      <c r="L121" s="14" t="e">
        <f>HARMEAN(Todas!L705:L708)</f>
        <v>#N/A</v>
      </c>
      <c r="M121" s="14" t="e">
        <f>HARMEAN(Todas!M705:M708)</f>
        <v>#N/A</v>
      </c>
      <c r="N121" s="14" t="e">
        <f>HARMEAN(Todas!N705:N708)</f>
        <v>#N/A</v>
      </c>
      <c r="O121" s="14">
        <f>HARMEAN(Todas!O705:O708)</f>
        <v>3.2737968848313455</v>
      </c>
      <c r="P121" s="14" t="e">
        <f>HARMEAN(Todas!P705:P708)</f>
        <v>#N/A</v>
      </c>
      <c r="Q121" s="14" t="e">
        <f>HARMEAN(Todas!Q705:Q708)</f>
        <v>#N/A</v>
      </c>
      <c r="R121" s="14">
        <f>HARMEAN(Todas!R705:R708)</f>
        <v>1.2299096202058528</v>
      </c>
      <c r="S121" s="14" t="e">
        <f>HARMEAN(Todas!S705:S708)</f>
        <v>#N/A</v>
      </c>
      <c r="T121" s="14" t="e">
        <f>HARMEAN(Todas!T705:T708)</f>
        <v>#N/A</v>
      </c>
      <c r="U121" s="14">
        <f>HARMEAN(Todas!U705:U708)</f>
        <v>3.2737968848313455</v>
      </c>
      <c r="V121" s="14">
        <f>HARMEAN(Todas!V705:V708)</f>
        <v>1.2299096202058528</v>
      </c>
      <c r="W121" s="14">
        <f>HARMEAN(Todas!W705:W708)</f>
        <v>1.4387056875055226</v>
      </c>
    </row>
    <row r="122" spans="1:23">
      <c r="A122" t="s">
        <v>182</v>
      </c>
      <c r="B122" t="s">
        <v>259</v>
      </c>
      <c r="C122" s="21" t="str">
        <f>Todas!C709</f>
        <v>USFWS</v>
      </c>
      <c r="D122" s="14">
        <f>HARMEAN(Todas!D709:D712)</f>
        <v>1994</v>
      </c>
      <c r="E122" s="14">
        <f>HARMEAN(Todas!E709:E712)</f>
        <v>6</v>
      </c>
      <c r="F122" s="14">
        <f>HARMEAN(Todas!F709:F712)</f>
        <v>3</v>
      </c>
      <c r="G122" s="15">
        <f>HARMEAN(Todas!G709:G712)</f>
        <v>155.35</v>
      </c>
      <c r="H122" s="15">
        <f>HARMEAN(Todas!H709:H712)</f>
        <v>1489.8083690987125</v>
      </c>
      <c r="I122" s="14" t="e">
        <f>HARMEAN(Todas!I709:I712)</f>
        <v>#N/A</v>
      </c>
      <c r="J122" s="14" t="e">
        <f>HARMEAN(Todas!J709:J712)</f>
        <v>#N/A</v>
      </c>
      <c r="K122" s="14">
        <f>HARMEAN(Todas!K709:K712)</f>
        <v>3.2008018015963517</v>
      </c>
      <c r="L122" s="14" t="e">
        <f>HARMEAN(Todas!L709:L712)</f>
        <v>#N/A</v>
      </c>
      <c r="M122" s="14" t="e">
        <f>HARMEAN(Todas!M709:M712)</f>
        <v>#N/A</v>
      </c>
      <c r="N122" s="14" t="e">
        <f>HARMEAN(Todas!N709:N712)</f>
        <v>#N/A</v>
      </c>
      <c r="O122" s="14">
        <f>HARMEAN(Todas!O709:O712)</f>
        <v>3.1873511971450434</v>
      </c>
      <c r="P122" s="14" t="e">
        <f>HARMEAN(Todas!P709:P712)</f>
        <v>#N/A</v>
      </c>
      <c r="Q122" s="14" t="e">
        <f>HARMEAN(Todas!Q709:Q712)</f>
        <v>#N/A</v>
      </c>
      <c r="R122" s="14">
        <f>HARMEAN(Todas!R709:R712)</f>
        <v>0.49741478529455924</v>
      </c>
      <c r="S122" s="14" t="e">
        <f>HARMEAN(Todas!S709:S712)</f>
        <v>#N/A</v>
      </c>
      <c r="T122" s="14" t="e">
        <f>HARMEAN(Todas!T709:T712)</f>
        <v>#N/A</v>
      </c>
      <c r="U122" s="14">
        <f>HARMEAN(Todas!U709:U712)</f>
        <v>3.1873511971450434</v>
      </c>
      <c r="V122" s="14">
        <f>HARMEAN(Todas!V709:V712)</f>
        <v>0.49741478529455924</v>
      </c>
      <c r="W122" s="14">
        <f>HARMEAN(Todas!W709:W712)</f>
        <v>2.424539313595115</v>
      </c>
    </row>
    <row r="123" spans="1:23">
      <c r="A123" t="s">
        <v>182</v>
      </c>
      <c r="B123" t="s">
        <v>259</v>
      </c>
      <c r="C123" s="21" t="str">
        <f>Todas!C713</f>
        <v>USFWS</v>
      </c>
      <c r="D123" s="14">
        <f>HARMEAN(Todas!D713:D716)</f>
        <v>1994</v>
      </c>
      <c r="E123" s="14">
        <f>HARMEAN(Todas!E713:E716)</f>
        <v>12</v>
      </c>
      <c r="F123" s="14">
        <f>HARMEAN(Todas!F713:F716)</f>
        <v>6</v>
      </c>
      <c r="G123" s="15">
        <f>HARMEAN(Todas!G713:G716)</f>
        <v>341.16999999999996</v>
      </c>
      <c r="H123" s="15">
        <f>HARMEAN(Todas!H713:H716)</f>
        <v>1281.327506426735</v>
      </c>
      <c r="I123" s="14" t="e">
        <f>HARMEAN(Todas!I713:I716)</f>
        <v>#N/A</v>
      </c>
      <c r="J123" s="14" t="e">
        <f>HARMEAN(Todas!J713:J716)</f>
        <v>#N/A</v>
      </c>
      <c r="K123" s="14">
        <f>HARMEAN(Todas!K713:K716)</f>
        <v>7.1280076362173244</v>
      </c>
      <c r="L123" s="14" t="e">
        <f>HARMEAN(Todas!L713:L716)</f>
        <v>#N/A</v>
      </c>
      <c r="M123" s="14" t="e">
        <f>HARMEAN(Todas!M713:M716)</f>
        <v>#N/A</v>
      </c>
      <c r="N123" s="14" t="e">
        <f>HARMEAN(Todas!N713:N716)</f>
        <v>#N/A</v>
      </c>
      <c r="O123" s="14">
        <f>HARMEAN(Todas!O713:O716)</f>
        <v>3.1323570594240753</v>
      </c>
      <c r="P123" s="14" t="e">
        <f>HARMEAN(Todas!P713:P716)</f>
        <v>#N/A</v>
      </c>
      <c r="Q123" s="14" t="e">
        <f>HARMEAN(Todas!Q713:Q716)</f>
        <v>#N/A</v>
      </c>
      <c r="R123" s="14">
        <f>HARMEAN(Todas!R713:R716)</f>
        <v>0.84385910285896093</v>
      </c>
      <c r="S123" s="14" t="e">
        <f>HARMEAN(Todas!S713:S716)</f>
        <v>#N/A</v>
      </c>
      <c r="T123" s="14" t="e">
        <f>HARMEAN(Todas!T713:T716)</f>
        <v>#N/A</v>
      </c>
      <c r="U123" s="14">
        <f>HARMEAN(Todas!U713:U716)</f>
        <v>3.1323570594240753</v>
      </c>
      <c r="V123" s="14">
        <f>HARMEAN(Todas!V713:V716)</f>
        <v>0.84385910285896093</v>
      </c>
      <c r="W123" s="14">
        <f>HARMEAN(Todas!W713:W716)</f>
        <v>2.0098219532117954</v>
      </c>
    </row>
    <row r="124" spans="1:23">
      <c r="A124" t="s">
        <v>182</v>
      </c>
      <c r="B124" t="s">
        <v>259</v>
      </c>
      <c r="C124" s="21" t="str">
        <f>Todas!C717</f>
        <v>USFWS</v>
      </c>
      <c r="D124" s="14">
        <f>HARMEAN(Todas!D717:D720)</f>
        <v>1995</v>
      </c>
      <c r="E124" s="14">
        <f>HARMEAN(Todas!E717:E720)</f>
        <v>3</v>
      </c>
      <c r="F124" s="14">
        <f>HARMEAN(Todas!F717:F720)</f>
        <v>16</v>
      </c>
      <c r="G124" s="15">
        <f>HARMEAN(Todas!G717:G720)</f>
        <v>76.94</v>
      </c>
      <c r="H124" s="15">
        <f>HARMEAN(Todas!H717:H720)</f>
        <v>587.83654054054068</v>
      </c>
      <c r="I124" s="14" t="e">
        <f>HARMEAN(Todas!I717:I720)</f>
        <v>#N/A</v>
      </c>
      <c r="J124" s="14" t="e">
        <f>HARMEAN(Todas!J717:J720)</f>
        <v>#N/A</v>
      </c>
      <c r="K124" s="14">
        <f>HARMEAN(Todas!K717:K720)</f>
        <v>2.8082334413941958</v>
      </c>
      <c r="L124" s="14" t="e">
        <f>HARMEAN(Todas!L717:L720)</f>
        <v>#N/A</v>
      </c>
      <c r="M124" s="14" t="e">
        <f>HARMEAN(Todas!M717:M720)</f>
        <v>#N/A</v>
      </c>
      <c r="N124" s="14" t="e">
        <f>HARMEAN(Todas!N717:N720)</f>
        <v>#N/A</v>
      </c>
      <c r="O124" s="14">
        <f>HARMEAN(Todas!O717:O720)</f>
        <v>2.8180682622461659</v>
      </c>
      <c r="P124" s="14" t="e">
        <f>HARMEAN(Todas!P717:P720)</f>
        <v>#N/A</v>
      </c>
      <c r="Q124" s="14" t="e">
        <f>HARMEAN(Todas!Q717:Q720)</f>
        <v>#N/A</v>
      </c>
      <c r="R124" s="14">
        <f>HARMEAN(Todas!R717:R720)</f>
        <v>0.41966153701583514</v>
      </c>
      <c r="S124" s="14" t="e">
        <f>HARMEAN(Todas!S717:S720)</f>
        <v>#N/A</v>
      </c>
      <c r="T124" s="14" t="e">
        <f>HARMEAN(Todas!T717:T720)</f>
        <v>#N/A</v>
      </c>
      <c r="U124" s="14">
        <f>HARMEAN(Todas!U717:U720)</f>
        <v>2.8180682622461659</v>
      </c>
      <c r="V124" s="14">
        <f>HARMEAN(Todas!V717:V720)</f>
        <v>0.41966153701583514</v>
      </c>
      <c r="W124" s="14">
        <f>HARMEAN(Todas!W717:W720)</f>
        <v>2.5458237878832071</v>
      </c>
    </row>
    <row r="125" spans="1:23">
      <c r="A125" t="s">
        <v>182</v>
      </c>
      <c r="B125" t="s">
        <v>259</v>
      </c>
      <c r="C125" s="21" t="str">
        <f>Todas!C721</f>
        <v>USFWS</v>
      </c>
      <c r="D125" s="14">
        <f>HARMEAN(Todas!D721:D724)</f>
        <v>1995</v>
      </c>
      <c r="E125" s="14">
        <f>HARMEAN(Todas!E721:E724)</f>
        <v>6</v>
      </c>
      <c r="F125" s="14">
        <f>HARMEAN(Todas!F721:F724)</f>
        <v>15</v>
      </c>
      <c r="G125" s="15">
        <f>HARMEAN(Todas!G721:G724)</f>
        <v>167.35</v>
      </c>
      <c r="H125" s="15">
        <f>HARMEAN(Todas!H721:H724)</f>
        <v>388.39200000000005</v>
      </c>
      <c r="I125" s="14" t="e">
        <f>HARMEAN(Todas!I721:I724)</f>
        <v>#N/A</v>
      </c>
      <c r="J125" s="14" t="e">
        <f>HARMEAN(Todas!J721:J724)</f>
        <v>#N/A</v>
      </c>
      <c r="K125" s="14">
        <f>HARMEAN(Todas!K721:K724)</f>
        <v>1.7787862690206333</v>
      </c>
      <c r="L125" s="14" t="e">
        <f>HARMEAN(Todas!L721:L724)</f>
        <v>#N/A</v>
      </c>
      <c r="M125" s="14" t="e">
        <f>HARMEAN(Todas!M721:M724)</f>
        <v>#N/A</v>
      </c>
      <c r="N125" s="14" t="e">
        <f>HARMEAN(Todas!N721:N724)</f>
        <v>#N/A</v>
      </c>
      <c r="O125" s="14">
        <f>HARMEAN(Todas!O721:O724)</f>
        <v>2.5951509675973501</v>
      </c>
      <c r="P125" s="14" t="e">
        <f>HARMEAN(Todas!P721:P724)</f>
        <v>#N/A</v>
      </c>
      <c r="Q125" s="14" t="e">
        <f>HARMEAN(Todas!Q721:Q724)</f>
        <v>#N/A</v>
      </c>
      <c r="R125" s="14" t="e">
        <f>HARMEAN(Todas!R721:R724)</f>
        <v>#NUM!</v>
      </c>
      <c r="S125" s="14" t="e">
        <f>HARMEAN(Todas!S721:S724)</f>
        <v>#N/A</v>
      </c>
      <c r="T125" s="14" t="e">
        <f>HARMEAN(Todas!T721:T724)</f>
        <v>#N/A</v>
      </c>
      <c r="U125" s="14">
        <f>HARMEAN(Todas!U721:U724)</f>
        <v>2.5951509675973501</v>
      </c>
      <c r="V125" s="14" t="e">
        <f>HARMEAN(Todas!V721:V724)</f>
        <v>#NUM!</v>
      </c>
      <c r="W125" s="14">
        <f>HARMEAN(Todas!W721:W724)</f>
        <v>2.7247279717284112</v>
      </c>
    </row>
    <row r="126" spans="1:23">
      <c r="A126" t="s">
        <v>182</v>
      </c>
      <c r="B126" t="s">
        <v>259</v>
      </c>
      <c r="C126" s="21" t="str">
        <f>Todas!C725</f>
        <v>USFWS</v>
      </c>
      <c r="D126" s="14">
        <f>HARMEAN(Todas!D725:D727)</f>
        <v>1995</v>
      </c>
      <c r="E126" s="14">
        <f>HARMEAN(Todas!E725:E727)</f>
        <v>9</v>
      </c>
      <c r="F126" s="14">
        <f>HARMEAN(Todas!F725:F727)</f>
        <v>7</v>
      </c>
      <c r="G126" s="15">
        <f>HARMEAN(Todas!G725:G727)</f>
        <v>250.76</v>
      </c>
      <c r="H126" s="15">
        <f>HARMEAN(Todas!H725:H727)</f>
        <v>1637.7975903614456</v>
      </c>
      <c r="I126" s="14" t="e">
        <f>HARMEAN(Todas!I725:I727)</f>
        <v>#N/A</v>
      </c>
      <c r="J126" s="14" t="e">
        <f>HARMEAN(Todas!J725:J727)</f>
        <v>#N/A</v>
      </c>
      <c r="K126" s="14">
        <f>HARMEAN(Todas!K725:K727)</f>
        <v>22.218137098034649</v>
      </c>
      <c r="L126" s="14" t="e">
        <f>HARMEAN(Todas!L725:L727)</f>
        <v>#N/A</v>
      </c>
      <c r="M126" s="14" t="e">
        <f>HARMEAN(Todas!M725:M727)</f>
        <v>#N/A</v>
      </c>
      <c r="N126" s="14" t="e">
        <f>HARMEAN(Todas!N725:N727)</f>
        <v>#N/A</v>
      </c>
      <c r="O126" s="14">
        <f>HARMEAN(Todas!O725:O727)</f>
        <v>3.222392881531039</v>
      </c>
      <c r="P126" s="14" t="e">
        <f>HARMEAN(Todas!P725:P727)</f>
        <v>#N/A</v>
      </c>
      <c r="Q126" s="14" t="e">
        <f>HARMEAN(Todas!Q725:Q727)</f>
        <v>#N/A</v>
      </c>
      <c r="R126" s="14">
        <f>HARMEAN(Todas!R725:R727)</f>
        <v>1.3667508775629331</v>
      </c>
      <c r="S126" s="14" t="e">
        <f>HARMEAN(Todas!S725:S727)</f>
        <v>#N/A</v>
      </c>
      <c r="T126" s="14" t="e">
        <f>HARMEAN(Todas!T725:T727)</f>
        <v>#N/A</v>
      </c>
      <c r="U126" s="14">
        <f>HARMEAN(Todas!U725:U727)</f>
        <v>3.222392881531039</v>
      </c>
      <c r="V126" s="14">
        <f>HARMEAN(Todas!V725:V727)</f>
        <v>1.3667508775629331</v>
      </c>
      <c r="W126" s="14">
        <f>HARMEAN(Todas!W725:W727)</f>
        <v>1.5425089612556406</v>
      </c>
    </row>
    <row r="127" spans="1:23">
      <c r="A127" t="s">
        <v>182</v>
      </c>
      <c r="B127" t="s">
        <v>259</v>
      </c>
      <c r="C127" s="21" t="str">
        <f>Todas!C728</f>
        <v>KR</v>
      </c>
      <c r="D127" s="14">
        <f>HARMEAN(Todas!D728:D731)</f>
        <v>1990.9999999999998</v>
      </c>
      <c r="E127" s="14">
        <f>HARMEAN(Todas!E728:E731)</f>
        <v>3</v>
      </c>
      <c r="F127" s="14">
        <f>HARMEAN(Todas!F728:F731)</f>
        <v>27</v>
      </c>
      <c r="G127" s="15">
        <f>HARMEAN(Todas!G728:G731)</f>
        <v>87.94</v>
      </c>
      <c r="H127" s="15">
        <f>HARMEAN(Todas!H728:H731)</f>
        <v>13695.295289519014</v>
      </c>
      <c r="I127" s="14" t="e">
        <f>HARMEAN(Todas!I728:I731)</f>
        <v>#N/A</v>
      </c>
      <c r="J127" s="14" t="e">
        <f>HARMEAN(Todas!J728:J731)</f>
        <v>#N/A</v>
      </c>
      <c r="K127" s="14">
        <f>HARMEAN(Todas!K728:K731)</f>
        <v>65.527726423668909</v>
      </c>
      <c r="L127" s="14" t="e">
        <f>HARMEAN(Todas!L728:L731)</f>
        <v>#N/A</v>
      </c>
      <c r="M127" s="14" t="e">
        <f>HARMEAN(Todas!M728:M731)</f>
        <v>#N/A</v>
      </c>
      <c r="N127" s="14" t="e">
        <f>HARMEAN(Todas!N728:N731)</f>
        <v>#N/A</v>
      </c>
      <c r="O127" s="14">
        <f>HARMEAN(Todas!O728:O731)</f>
        <v>4.1373032829907883</v>
      </c>
      <c r="P127" s="14" t="e">
        <f>HARMEAN(Todas!P728:P731)</f>
        <v>#N/A</v>
      </c>
      <c r="Q127" s="14" t="e">
        <f>HARMEAN(Todas!Q728:Q731)</f>
        <v>#N/A</v>
      </c>
      <c r="R127" s="14">
        <f>HARMEAN(Todas!R728:R731)</f>
        <v>1.8188108349156276</v>
      </c>
      <c r="S127" s="14" t="e">
        <f>HARMEAN(Todas!S728:S731)</f>
        <v>#N/A</v>
      </c>
      <c r="T127" s="14" t="e">
        <f>HARMEAN(Todas!T728:T731)</f>
        <v>#N/A</v>
      </c>
      <c r="U127" s="14">
        <f>HARMEAN(Todas!U728:U731)</f>
        <v>4.1373032829907883</v>
      </c>
      <c r="V127" s="14">
        <f>HARMEAN(Todas!V728:V731)</f>
        <v>1.8188108349156276</v>
      </c>
      <c r="W127" s="14">
        <f>HARMEAN(Todas!W728:W731)</f>
        <v>0.89640478636607202</v>
      </c>
    </row>
    <row r="128" spans="1:23">
      <c r="A128" t="s">
        <v>182</v>
      </c>
      <c r="B128" t="s">
        <v>259</v>
      </c>
      <c r="C128" s="21" t="str">
        <f>Todas!C732</f>
        <v>KR</v>
      </c>
      <c r="D128" s="14">
        <f>HARMEAN(Todas!D732:D735)</f>
        <v>1990.9999999999998</v>
      </c>
      <c r="E128" s="14">
        <f>HARMEAN(Todas!E732:E735)</f>
        <v>5</v>
      </c>
      <c r="F128" s="14">
        <f>HARMEAN(Todas!F732:F735)</f>
        <v>15</v>
      </c>
      <c r="G128" s="15">
        <f>HARMEAN(Todas!G732:G735)</f>
        <v>136.88</v>
      </c>
      <c r="H128" s="15">
        <f>HARMEAN(Todas!H732:H735)</f>
        <v>10489.547253296738</v>
      </c>
      <c r="I128" s="14" t="e">
        <f>HARMEAN(Todas!I732:I735)</f>
        <v>#N/A</v>
      </c>
      <c r="J128" s="14" t="e">
        <f>HARMEAN(Todas!J732:J735)</f>
        <v>#N/A</v>
      </c>
      <c r="K128" s="14">
        <f>HARMEAN(Todas!K732:K735)</f>
        <v>89.629682691241413</v>
      </c>
      <c r="L128" s="14" t="e">
        <f>HARMEAN(Todas!L732:L735)</f>
        <v>#N/A</v>
      </c>
      <c r="M128" s="14" t="e">
        <f>HARMEAN(Todas!M732:M735)</f>
        <v>#N/A</v>
      </c>
      <c r="N128" s="14" t="e">
        <f>HARMEAN(Todas!N732:N735)</f>
        <v>#N/A</v>
      </c>
      <c r="O128" s="14">
        <f>HARMEAN(Todas!O732:O735)</f>
        <v>4.0274495151698799</v>
      </c>
      <c r="P128" s="14" t="e">
        <f>HARMEAN(Todas!P732:P735)</f>
        <v>#N/A</v>
      </c>
      <c r="Q128" s="14" t="e">
        <f>HARMEAN(Todas!Q732:Q735)</f>
        <v>#N/A</v>
      </c>
      <c r="R128" s="14">
        <f>HARMEAN(Todas!R732:R735)</f>
        <v>1.960352738008186</v>
      </c>
      <c r="S128" s="14" t="e">
        <f>HARMEAN(Todas!S732:S735)</f>
        <v>#N/A</v>
      </c>
      <c r="T128" s="14" t="e">
        <f>HARMEAN(Todas!T732:T735)</f>
        <v>#N/A</v>
      </c>
      <c r="U128" s="14">
        <f>HARMEAN(Todas!U732:U735)</f>
        <v>4.0274495151698799</v>
      </c>
      <c r="V128" s="14">
        <f>HARMEAN(Todas!V732:V735)</f>
        <v>1.960352738008186</v>
      </c>
      <c r="W128" s="14">
        <f>HARMEAN(Todas!W732:W735)</f>
        <v>0.77404080308028811</v>
      </c>
    </row>
    <row r="129" spans="1:23">
      <c r="A129" t="s">
        <v>182</v>
      </c>
      <c r="B129" t="s">
        <v>259</v>
      </c>
      <c r="C129" s="21" t="str">
        <f>Todas!C736</f>
        <v>KR</v>
      </c>
      <c r="D129" s="14">
        <f>HARMEAN(Todas!D736:D739)</f>
        <v>1990.9999999999998</v>
      </c>
      <c r="E129" s="14">
        <f>HARMEAN(Todas!E736:E739)</f>
        <v>7</v>
      </c>
      <c r="F129" s="14">
        <f>HARMEAN(Todas!F736:F739)</f>
        <v>18</v>
      </c>
      <c r="G129" s="15">
        <f>HARMEAN(Todas!G736:G739)</f>
        <v>200.82</v>
      </c>
      <c r="H129" s="15">
        <f>HARMEAN(Todas!H736:H739)</f>
        <v>6164.6504555472056</v>
      </c>
      <c r="I129" s="14" t="e">
        <f>HARMEAN(Todas!I736:I739)</f>
        <v>#N/A</v>
      </c>
      <c r="J129" s="14" t="e">
        <f>HARMEAN(Todas!J736:J739)</f>
        <v>#N/A</v>
      </c>
      <c r="K129" s="14">
        <f>HARMEAN(Todas!K736:K739)</f>
        <v>126.91376680696565</v>
      </c>
      <c r="L129" s="14" t="e">
        <f>HARMEAN(Todas!L736:L739)</f>
        <v>#N/A</v>
      </c>
      <c r="M129" s="14" t="e">
        <f>HARMEAN(Todas!M736:M739)</f>
        <v>#N/A</v>
      </c>
      <c r="N129" s="14" t="e">
        <f>HARMEAN(Todas!N736:N739)</f>
        <v>#N/A</v>
      </c>
      <c r="O129" s="14">
        <f>HARMEAN(Todas!O736:O739)</f>
        <v>3.7956035645267665</v>
      </c>
      <c r="P129" s="14" t="e">
        <f>HARMEAN(Todas!P736:P739)</f>
        <v>#N/A</v>
      </c>
      <c r="Q129" s="14" t="e">
        <f>HARMEAN(Todas!Q736:Q739)</f>
        <v>#N/A</v>
      </c>
      <c r="R129" s="14">
        <f>HARMEAN(Todas!R736:R739)</f>
        <v>2.1048837219674521</v>
      </c>
      <c r="S129" s="14" t="e">
        <f>HARMEAN(Todas!S736:S739)</f>
        <v>#N/A</v>
      </c>
      <c r="T129" s="14" t="e">
        <f>HARMEAN(Todas!T736:T739)</f>
        <v>#N/A</v>
      </c>
      <c r="U129" s="14">
        <f>HARMEAN(Todas!U736:U739)</f>
        <v>3.7956035645267665</v>
      </c>
      <c r="V129" s="14">
        <f>HARMEAN(Todas!V736:V739)</f>
        <v>2.1048837219674521</v>
      </c>
      <c r="W129" s="14">
        <f>HARMEAN(Todas!W736:W739)</f>
        <v>0.72492086478214057</v>
      </c>
    </row>
    <row r="130" spans="1:23">
      <c r="A130" t="s">
        <v>182</v>
      </c>
      <c r="B130" t="s">
        <v>259</v>
      </c>
      <c r="C130" s="21" t="str">
        <f>Todas!C740</f>
        <v>KR</v>
      </c>
      <c r="D130" s="14">
        <f>HARMEAN(Todas!D740:D743)</f>
        <v>1990.9999999999998</v>
      </c>
      <c r="E130" s="14">
        <f>HARMEAN(Todas!E740:E743)</f>
        <v>9</v>
      </c>
      <c r="F130" s="14">
        <f>HARMEAN(Todas!F740:F743)</f>
        <v>25</v>
      </c>
      <c r="G130" s="15">
        <f>HARMEAN(Todas!G740:G743)</f>
        <v>268.76</v>
      </c>
      <c r="H130" s="15">
        <f>HARMEAN(Todas!H740:H743)</f>
        <v>12131.251590032562</v>
      </c>
      <c r="I130" s="14" t="e">
        <f>HARMEAN(Todas!I740:I743)</f>
        <v>#N/A</v>
      </c>
      <c r="J130" s="14" t="e">
        <f>HARMEAN(Todas!J740:J743)</f>
        <v>#N/A</v>
      </c>
      <c r="K130" s="14">
        <f>HARMEAN(Todas!K740:K743)</f>
        <v>96.500643092415345</v>
      </c>
      <c r="L130" s="14" t="e">
        <f>HARMEAN(Todas!L740:L743)</f>
        <v>#N/A</v>
      </c>
      <c r="M130" s="14" t="e">
        <f>HARMEAN(Todas!M740:M743)</f>
        <v>#N/A</v>
      </c>
      <c r="N130" s="14" t="e">
        <f>HARMEAN(Todas!N740:N743)</f>
        <v>#N/A</v>
      </c>
      <c r="O130" s="14">
        <f>HARMEAN(Todas!O740:O743)</f>
        <v>4.0862593980744251</v>
      </c>
      <c r="P130" s="14" t="e">
        <f>HARMEAN(Todas!P740:P743)</f>
        <v>#N/A</v>
      </c>
      <c r="Q130" s="14" t="e">
        <f>HARMEAN(Todas!Q740:Q743)</f>
        <v>#N/A</v>
      </c>
      <c r="R130" s="14">
        <f>HARMEAN(Todas!R740:R743)</f>
        <v>1.992815494247862</v>
      </c>
      <c r="S130" s="14" t="e">
        <f>HARMEAN(Todas!S740:S743)</f>
        <v>#N/A</v>
      </c>
      <c r="T130" s="14" t="e">
        <f>HARMEAN(Todas!T740:T743)</f>
        <v>#N/A</v>
      </c>
      <c r="U130" s="14">
        <f>HARMEAN(Todas!U740:U743)</f>
        <v>4.0862593980744251</v>
      </c>
      <c r="V130" s="14">
        <f>HARMEAN(Todas!V740:V743)</f>
        <v>1.992815494247862</v>
      </c>
      <c r="W130" s="14">
        <f>HARMEAN(Todas!W740:W743)</f>
        <v>0.73314634461507988</v>
      </c>
    </row>
    <row r="131" spans="1:23">
      <c r="A131" t="s">
        <v>182</v>
      </c>
      <c r="B131" t="s">
        <v>259</v>
      </c>
      <c r="C131" s="21" t="str">
        <f>Todas!C744</f>
        <v>KR</v>
      </c>
      <c r="D131" s="14">
        <f>HARMEAN(Todas!D744:D747)</f>
        <v>1990.9999999999998</v>
      </c>
      <c r="E131" s="14">
        <f>HARMEAN(Todas!E744:E747)</f>
        <v>11</v>
      </c>
      <c r="F131" s="14">
        <f>HARMEAN(Todas!F744:F747)</f>
        <v>20</v>
      </c>
      <c r="G131" s="15">
        <f>HARMEAN(Todas!G744:G747)</f>
        <v>324.7</v>
      </c>
      <c r="H131" s="15">
        <f>HARMEAN(Todas!H744:H747)</f>
        <v>6747.27537671768</v>
      </c>
      <c r="I131" s="14" t="e">
        <f>HARMEAN(Todas!I744:I747)</f>
        <v>#N/A</v>
      </c>
      <c r="J131" s="14" t="e">
        <f>HARMEAN(Todas!J744:J747)</f>
        <v>#N/A</v>
      </c>
      <c r="K131" s="14">
        <f>HARMEAN(Todas!K744:K747)</f>
        <v>24.984768469451346</v>
      </c>
      <c r="L131" s="14" t="e">
        <f>HARMEAN(Todas!L744:L747)</f>
        <v>#N/A</v>
      </c>
      <c r="M131" s="14" t="e">
        <f>HARMEAN(Todas!M744:M747)</f>
        <v>#N/A</v>
      </c>
      <c r="N131" s="14" t="e">
        <f>HARMEAN(Todas!N744:N747)</f>
        <v>#N/A</v>
      </c>
      <c r="O131" s="14">
        <f>HARMEAN(Todas!O744:O747)</f>
        <v>3.8406136219001921</v>
      </c>
      <c r="P131" s="14" t="e">
        <f>HARMEAN(Todas!P744:P747)</f>
        <v>#N/A</v>
      </c>
      <c r="Q131" s="14" t="e">
        <f>HARMEAN(Todas!Q744:Q747)</f>
        <v>#N/A</v>
      </c>
      <c r="R131" s="14">
        <f>HARMEAN(Todas!R744:R747)</f>
        <v>1.4064838840671487</v>
      </c>
      <c r="S131" s="14" t="e">
        <f>HARMEAN(Todas!S744:S747)</f>
        <v>#N/A</v>
      </c>
      <c r="T131" s="14" t="e">
        <f>HARMEAN(Todas!T744:T747)</f>
        <v>#N/A</v>
      </c>
      <c r="U131" s="14">
        <f>HARMEAN(Todas!U744:U747)</f>
        <v>3.8406136219001921</v>
      </c>
      <c r="V131" s="14">
        <f>HARMEAN(Todas!V744:V747)</f>
        <v>1.4064838840671487</v>
      </c>
      <c r="W131" s="14">
        <f>HARMEAN(Todas!W744:W747)</f>
        <v>1.3528535165906153</v>
      </c>
    </row>
    <row r="132" spans="1:23">
      <c r="A132" t="s">
        <v>182</v>
      </c>
      <c r="B132" t="s">
        <v>259</v>
      </c>
      <c r="C132" s="21" t="str">
        <f>Todas!C748</f>
        <v>KR</v>
      </c>
      <c r="D132" s="14">
        <f>HARMEAN(Todas!D748:D751)</f>
        <v>1992.0000000000002</v>
      </c>
      <c r="E132" s="14">
        <f>HARMEAN(Todas!E748:E751)</f>
        <v>1</v>
      </c>
      <c r="F132" s="14">
        <f>HARMEAN(Todas!F748:F751)</f>
        <v>21</v>
      </c>
      <c r="G132" s="15">
        <f>HARMEAN(Todas!G748:G751)</f>
        <v>21</v>
      </c>
      <c r="H132" s="15">
        <f>HARMEAN(Todas!H748:H751)</f>
        <v>5188.9127417479831</v>
      </c>
      <c r="I132" s="14" t="e">
        <f>HARMEAN(Todas!I748:I751)</f>
        <v>#N/A</v>
      </c>
      <c r="J132" s="14" t="e">
        <f>HARMEAN(Todas!J748:J751)</f>
        <v>#N/A</v>
      </c>
      <c r="K132" s="14">
        <f>HARMEAN(Todas!K748:K751)</f>
        <v>21.340712061738547</v>
      </c>
      <c r="L132" s="14" t="e">
        <f>HARMEAN(Todas!L748:L751)</f>
        <v>#N/A</v>
      </c>
      <c r="M132" s="14" t="e">
        <f>HARMEAN(Todas!M748:M751)</f>
        <v>#N/A</v>
      </c>
      <c r="N132" s="14" t="e">
        <f>HARMEAN(Todas!N748:N751)</f>
        <v>#N/A</v>
      </c>
      <c r="O132" s="14">
        <f>HARMEAN(Todas!O748:O751)</f>
        <v>3.7212130628878297</v>
      </c>
      <c r="P132" s="14" t="e">
        <f>HARMEAN(Todas!P748:P751)</f>
        <v>#N/A</v>
      </c>
      <c r="Q132" s="14" t="e">
        <f>HARMEAN(Todas!Q748:Q751)</f>
        <v>#N/A</v>
      </c>
      <c r="R132" s="14">
        <f>HARMEAN(Todas!R748:R751)</f>
        <v>1.3327361835407256</v>
      </c>
      <c r="S132" s="14" t="e">
        <f>HARMEAN(Todas!S748:S751)</f>
        <v>#N/A</v>
      </c>
      <c r="T132" s="14" t="e">
        <f>HARMEAN(Todas!T748:T751)</f>
        <v>#N/A</v>
      </c>
      <c r="U132" s="14">
        <f>HARMEAN(Todas!U748:U751)</f>
        <v>3.7212130628878297</v>
      </c>
      <c r="V132" s="14">
        <f>HARMEAN(Todas!V748:V751)</f>
        <v>1.3327361835407256</v>
      </c>
      <c r="W132" s="14">
        <f>HARMEAN(Todas!W748:W751)</f>
        <v>1.4749119405903603</v>
      </c>
    </row>
    <row r="133" spans="1:23">
      <c r="A133" t="s">
        <v>182</v>
      </c>
      <c r="B133" t="s">
        <v>259</v>
      </c>
      <c r="C133" s="21" t="str">
        <f>Todas!C752</f>
        <v>KR</v>
      </c>
      <c r="D133" s="14">
        <f>HARMEAN(Todas!D752:D755)</f>
        <v>1992.0000000000002</v>
      </c>
      <c r="E133" s="14">
        <f>HARMEAN(Todas!E752:E755)</f>
        <v>3</v>
      </c>
      <c r="F133" s="14">
        <f>HARMEAN(Todas!F752:F755)</f>
        <v>26</v>
      </c>
      <c r="G133" s="15">
        <f>HARMEAN(Todas!G752:G755)</f>
        <v>86.94</v>
      </c>
      <c r="H133" s="15">
        <f>HARMEAN(Todas!H752:H755)</f>
        <v>13540.486233557587</v>
      </c>
      <c r="I133" s="14" t="e">
        <f>HARMEAN(Todas!I752:I755)</f>
        <v>#N/A</v>
      </c>
      <c r="J133" s="14" t="e">
        <f>HARMEAN(Todas!J752:J755)</f>
        <v>#N/A</v>
      </c>
      <c r="K133" s="14">
        <f>HARMEAN(Todas!K752:K755)</f>
        <v>39.694080867360825</v>
      </c>
      <c r="L133" s="14" t="e">
        <f>HARMEAN(Todas!L752:L755)</f>
        <v>#N/A</v>
      </c>
      <c r="M133" s="14" t="e">
        <f>HARMEAN(Todas!M752:M755)</f>
        <v>#N/A</v>
      </c>
      <c r="N133" s="14" t="e">
        <f>HARMEAN(Todas!N752:N755)</f>
        <v>#N/A</v>
      </c>
      <c r="O133" s="14">
        <f>HARMEAN(Todas!O752:O755)</f>
        <v>4.1375558468124121</v>
      </c>
      <c r="P133" s="14" t="e">
        <f>HARMEAN(Todas!P752:P755)</f>
        <v>#N/A</v>
      </c>
      <c r="Q133" s="14" t="e">
        <f>HARMEAN(Todas!Q752:Q755)</f>
        <v>#N/A</v>
      </c>
      <c r="R133" s="14">
        <f>HARMEAN(Todas!R752:R755)</f>
        <v>1.6038502126982317</v>
      </c>
      <c r="S133" s="14" t="e">
        <f>HARMEAN(Todas!S752:S755)</f>
        <v>#N/A</v>
      </c>
      <c r="T133" s="14" t="e">
        <f>HARMEAN(Todas!T752:T755)</f>
        <v>#N/A</v>
      </c>
      <c r="U133" s="14">
        <f>HARMEAN(Todas!U752:U755)</f>
        <v>4.1375558468124121</v>
      </c>
      <c r="V133" s="14">
        <f>HARMEAN(Todas!V752:V755)</f>
        <v>1.6038502126982317</v>
      </c>
      <c r="W133" s="14">
        <f>HARMEAN(Todas!W752:W755)</f>
        <v>1.0891896942170245</v>
      </c>
    </row>
    <row r="134" spans="1:23">
      <c r="A134" t="s">
        <v>182</v>
      </c>
      <c r="B134" t="s">
        <v>259</v>
      </c>
      <c r="C134" s="21" t="str">
        <f>Todas!C756</f>
        <v>KR</v>
      </c>
      <c r="D134" s="14">
        <f>HARMEAN(Todas!D756:D759)</f>
        <v>1992.0000000000002</v>
      </c>
      <c r="E134" s="14">
        <f>HARMEAN(Todas!E756:E759)</f>
        <v>5</v>
      </c>
      <c r="F134" s="14">
        <f>HARMEAN(Todas!F756:F759)</f>
        <v>29</v>
      </c>
      <c r="G134" s="15">
        <f>HARMEAN(Todas!G756:G759)</f>
        <v>150.88</v>
      </c>
      <c r="H134" s="15">
        <f>HARMEAN(Todas!H756:H759)</f>
        <v>12434.881882112966</v>
      </c>
      <c r="I134" s="14" t="e">
        <f>HARMEAN(Todas!I756:I759)</f>
        <v>#N/A</v>
      </c>
      <c r="J134" s="14" t="e">
        <f>HARMEAN(Todas!J756:J759)</f>
        <v>#N/A</v>
      </c>
      <c r="K134" s="14">
        <f>HARMEAN(Todas!K756:K759)</f>
        <v>80.808103988268513</v>
      </c>
      <c r="L134" s="14" t="e">
        <f>HARMEAN(Todas!L756:L759)</f>
        <v>#N/A</v>
      </c>
      <c r="M134" s="14" t="e">
        <f>HARMEAN(Todas!M756:M759)</f>
        <v>#N/A</v>
      </c>
      <c r="N134" s="14" t="e">
        <f>HARMEAN(Todas!N756:N759)</f>
        <v>#N/A</v>
      </c>
      <c r="O134" s="14">
        <f>HARMEAN(Todas!O756:O759)</f>
        <v>4.1161311755754557</v>
      </c>
      <c r="P134" s="14" t="e">
        <f>HARMEAN(Todas!P756:P759)</f>
        <v>#N/A</v>
      </c>
      <c r="Q134" s="14" t="e">
        <f>HARMEAN(Todas!Q756:Q759)</f>
        <v>#N/A</v>
      </c>
      <c r="R134" s="14">
        <f>HARMEAN(Todas!R756:R759)</f>
        <v>1.9367502779609571</v>
      </c>
      <c r="S134" s="14" t="e">
        <f>HARMEAN(Todas!S756:S759)</f>
        <v>#N/A</v>
      </c>
      <c r="T134" s="14" t="e">
        <f>HARMEAN(Todas!T756:T759)</f>
        <v>#N/A</v>
      </c>
      <c r="U134" s="14">
        <f>HARMEAN(Todas!U756:U759)</f>
        <v>4.1161311755754557</v>
      </c>
      <c r="V134" s="14">
        <f>HARMEAN(Todas!V756:V759)</f>
        <v>1.9367502779609571</v>
      </c>
      <c r="W134" s="14">
        <f>HARMEAN(Todas!W756:W759)</f>
        <v>0.72044331837195452</v>
      </c>
    </row>
    <row r="135" spans="1:23">
      <c r="A135" t="s">
        <v>182</v>
      </c>
      <c r="B135" t="s">
        <v>259</v>
      </c>
      <c r="C135" s="21" t="str">
        <f>Todas!C760</f>
        <v>KR</v>
      </c>
      <c r="D135" s="14">
        <f>HARMEAN(Todas!D760:D763)</f>
        <v>1992.0000000000002</v>
      </c>
      <c r="E135" s="14">
        <f>HARMEAN(Todas!E760:E763)</f>
        <v>7</v>
      </c>
      <c r="F135" s="14">
        <f>HARMEAN(Todas!F760:F763)</f>
        <v>16</v>
      </c>
      <c r="G135" s="15">
        <f>HARMEAN(Todas!G760:G763)</f>
        <v>198.81999999999996</v>
      </c>
      <c r="H135" s="15">
        <f>HARMEAN(Todas!H760:H763)</f>
        <v>17974.594486928898</v>
      </c>
      <c r="I135" s="14" t="e">
        <f>HARMEAN(Todas!I760:I763)</f>
        <v>#N/A</v>
      </c>
      <c r="J135" s="14" t="e">
        <f>HARMEAN(Todas!J760:J763)</f>
        <v>#N/A</v>
      </c>
      <c r="K135" s="14">
        <f>HARMEAN(Todas!K760:K763)</f>
        <v>155.47393285386343</v>
      </c>
      <c r="L135" s="14" t="e">
        <f>HARMEAN(Todas!L760:L763)</f>
        <v>#N/A</v>
      </c>
      <c r="M135" s="14" t="e">
        <f>HARMEAN(Todas!M760:M763)</f>
        <v>#N/A</v>
      </c>
      <c r="N135" s="14" t="e">
        <f>HARMEAN(Todas!N760:N763)</f>
        <v>#N/A</v>
      </c>
      <c r="O135" s="14">
        <f>HARMEAN(Todas!O760:O763)</f>
        <v>4.2626651893848262</v>
      </c>
      <c r="P135" s="14" t="e">
        <f>HARMEAN(Todas!P760:P763)</f>
        <v>#N/A</v>
      </c>
      <c r="Q135" s="14" t="e">
        <f>HARMEAN(Todas!Q760:Q763)</f>
        <v>#N/A</v>
      </c>
      <c r="R135" s="14">
        <f>HARMEAN(Todas!R760:R763)</f>
        <v>2.2029417187836695</v>
      </c>
      <c r="S135" s="14" t="e">
        <f>HARMEAN(Todas!S760:S763)</f>
        <v>#N/A</v>
      </c>
      <c r="T135" s="14" t="e">
        <f>HARMEAN(Todas!T760:T763)</f>
        <v>#N/A</v>
      </c>
      <c r="U135" s="14">
        <f>HARMEAN(Todas!U760:U763)</f>
        <v>4.2626651893848262</v>
      </c>
      <c r="V135" s="14">
        <f>HARMEAN(Todas!V760:V763)</f>
        <v>2.2029417187836695</v>
      </c>
      <c r="W135" s="14">
        <f>HARMEAN(Todas!W760:W763)</f>
        <v>0.44916984437089369</v>
      </c>
    </row>
    <row r="136" spans="1:23">
      <c r="A136" t="s">
        <v>182</v>
      </c>
      <c r="B136" t="s">
        <v>259</v>
      </c>
      <c r="C136" s="21" t="str">
        <f>Todas!C764</f>
        <v>KR</v>
      </c>
      <c r="D136" s="14">
        <f>HARMEAN(Todas!D764:D767)</f>
        <v>1992.0000000000002</v>
      </c>
      <c r="E136" s="14">
        <f>HARMEAN(Todas!E764:E767)</f>
        <v>8</v>
      </c>
      <c r="F136" s="14">
        <f>HARMEAN(Todas!F764:F767)</f>
        <v>21</v>
      </c>
      <c r="G136" s="15">
        <f>HARMEAN(Todas!G764:G767)</f>
        <v>234.28999999999996</v>
      </c>
      <c r="H136" s="15">
        <f>HARMEAN(Todas!H764:H767)</f>
        <v>12432.827079185174</v>
      </c>
      <c r="I136" s="14" t="e">
        <f>HARMEAN(Todas!I764:I767)</f>
        <v>#N/A</v>
      </c>
      <c r="J136" s="14" t="e">
        <f>HARMEAN(Todas!J764:J767)</f>
        <v>#N/A</v>
      </c>
      <c r="K136" s="14">
        <f>HARMEAN(Todas!K764:K767)</f>
        <v>110.3286727769123</v>
      </c>
      <c r="L136" s="14" t="e">
        <f>HARMEAN(Todas!L764:L767)</f>
        <v>#N/A</v>
      </c>
      <c r="M136" s="14" t="e">
        <f>HARMEAN(Todas!M764:M767)</f>
        <v>#N/A</v>
      </c>
      <c r="N136" s="14" t="e">
        <f>HARMEAN(Todas!N764:N767)</f>
        <v>#N/A</v>
      </c>
      <c r="O136" s="14">
        <f>HARMEAN(Todas!O764:O767)</f>
        <v>4.1023176006588082</v>
      </c>
      <c r="P136" s="14" t="e">
        <f>HARMEAN(Todas!P764:P767)</f>
        <v>#N/A</v>
      </c>
      <c r="Q136" s="14" t="e">
        <f>HARMEAN(Todas!Q764:Q767)</f>
        <v>#N/A</v>
      </c>
      <c r="R136" s="14">
        <f>HARMEAN(Todas!R764:R767)</f>
        <v>2.0619999701793597</v>
      </c>
      <c r="S136" s="14" t="e">
        <f>HARMEAN(Todas!S764:S767)</f>
        <v>#N/A</v>
      </c>
      <c r="T136" s="14" t="e">
        <f>HARMEAN(Todas!T764:T767)</f>
        <v>#N/A</v>
      </c>
      <c r="U136" s="14">
        <f>HARMEAN(Todas!U764:U767)</f>
        <v>4.1023176006588082</v>
      </c>
      <c r="V136" s="14">
        <f>HARMEAN(Todas!V764:V767)</f>
        <v>2.0619999701793597</v>
      </c>
      <c r="W136" s="14">
        <f>HARMEAN(Todas!W764:W767)</f>
        <v>0.58579080367788183</v>
      </c>
    </row>
    <row r="137" spans="1:23">
      <c r="A137" t="s">
        <v>182</v>
      </c>
      <c r="B137" t="s">
        <v>259</v>
      </c>
      <c r="C137" s="21" t="str">
        <f>Todas!C768</f>
        <v>KR</v>
      </c>
      <c r="D137" s="14">
        <f>HARMEAN(Todas!D768:D771)</f>
        <v>1992.0000000000002</v>
      </c>
      <c r="E137" s="14">
        <f>HARMEAN(Todas!E768:E771)</f>
        <v>10</v>
      </c>
      <c r="F137" s="14">
        <f>HARMEAN(Todas!F768:F771)</f>
        <v>14</v>
      </c>
      <c r="G137" s="15">
        <f>HARMEAN(Todas!G768:G771)</f>
        <v>288.23</v>
      </c>
      <c r="H137" s="15">
        <f>HARMEAN(Todas!H768:H771)</f>
        <v>11598.145929195231</v>
      </c>
      <c r="I137" s="14" t="e">
        <f>HARMEAN(Todas!I768:I771)</f>
        <v>#N/A</v>
      </c>
      <c r="J137" s="14" t="e">
        <f>HARMEAN(Todas!J768:J771)</f>
        <v>#N/A</v>
      </c>
      <c r="K137" s="14">
        <f>HARMEAN(Todas!K768:K771)</f>
        <v>83.489389890570934</v>
      </c>
      <c r="L137" s="14" t="e">
        <f>HARMEAN(Todas!L768:L771)</f>
        <v>#N/A</v>
      </c>
      <c r="M137" s="14" t="e">
        <f>HARMEAN(Todas!M768:M771)</f>
        <v>#N/A</v>
      </c>
      <c r="N137" s="14" t="e">
        <f>HARMEAN(Todas!N768:N771)</f>
        <v>#N/A</v>
      </c>
      <c r="O137" s="14">
        <f>HARMEAN(Todas!O768:O771)</f>
        <v>4.0713968584136166</v>
      </c>
      <c r="P137" s="14" t="e">
        <f>HARMEAN(Todas!P768:P771)</f>
        <v>#N/A</v>
      </c>
      <c r="Q137" s="14" t="e">
        <f>HARMEAN(Todas!Q768:Q771)</f>
        <v>#N/A</v>
      </c>
      <c r="R137" s="14">
        <f>HARMEAN(Todas!R768:R771)</f>
        <v>1.9310337591983582</v>
      </c>
      <c r="S137" s="14" t="e">
        <f>HARMEAN(Todas!S768:S771)</f>
        <v>#N/A</v>
      </c>
      <c r="T137" s="14" t="e">
        <f>HARMEAN(Todas!T768:T771)</f>
        <v>#N/A</v>
      </c>
      <c r="U137" s="14">
        <f>HARMEAN(Todas!U768:U771)</f>
        <v>4.0713968584136166</v>
      </c>
      <c r="V137" s="14">
        <f>HARMEAN(Todas!V768:V771)</f>
        <v>1.9310337591983582</v>
      </c>
      <c r="W137" s="14">
        <f>HARMEAN(Todas!W768:W771)</f>
        <v>0.78789733424688191</v>
      </c>
    </row>
    <row r="138" spans="1:23">
      <c r="A138" t="s">
        <v>182</v>
      </c>
      <c r="B138" t="s">
        <v>259</v>
      </c>
      <c r="C138" s="21" t="str">
        <f>Todas!C772</f>
        <v>KR</v>
      </c>
      <c r="D138" s="14">
        <f>HARMEAN(Todas!D772:D775)</f>
        <v>1992.0000000000002</v>
      </c>
      <c r="E138" s="14">
        <f>HARMEAN(Todas!E772:E775)</f>
        <v>12</v>
      </c>
      <c r="F138" s="14">
        <f>HARMEAN(Todas!F772:F775)</f>
        <v>7</v>
      </c>
      <c r="G138" s="15">
        <f>HARMEAN(Todas!G772:G775)</f>
        <v>342.16999999999996</v>
      </c>
      <c r="H138" s="15">
        <f>HARMEAN(Todas!H772:H775)</f>
        <v>12653.409539295901</v>
      </c>
      <c r="I138" s="14" t="e">
        <f>HARMEAN(Todas!I772:I775)</f>
        <v>#N/A</v>
      </c>
      <c r="J138" s="14" t="e">
        <f>HARMEAN(Todas!J772:J775)</f>
        <v>#N/A</v>
      </c>
      <c r="K138" s="14">
        <f>HARMEAN(Todas!K772:K775)</f>
        <v>71.042251427129074</v>
      </c>
      <c r="L138" s="14" t="e">
        <f>HARMEAN(Todas!L772:L775)</f>
        <v>#N/A</v>
      </c>
      <c r="M138" s="14" t="e">
        <f>HARMEAN(Todas!M772:M775)</f>
        <v>#N/A</v>
      </c>
      <c r="N138" s="14" t="e">
        <f>HARMEAN(Todas!N772:N775)</f>
        <v>#N/A</v>
      </c>
      <c r="O138" s="14">
        <f>HARMEAN(Todas!O772:O775)</f>
        <v>4.1023404372366077</v>
      </c>
      <c r="P138" s="14" t="e">
        <f>HARMEAN(Todas!P772:P775)</f>
        <v>#N/A</v>
      </c>
      <c r="Q138" s="14" t="e">
        <f>HARMEAN(Todas!Q772:Q775)</f>
        <v>#N/A</v>
      </c>
      <c r="R138" s="14">
        <f>HARMEAN(Todas!R772:R775)</f>
        <v>1.8551001460722252</v>
      </c>
      <c r="S138" s="14" t="e">
        <f>HARMEAN(Todas!S772:S775)</f>
        <v>#N/A</v>
      </c>
      <c r="T138" s="14" t="e">
        <f>HARMEAN(Todas!T772:T775)</f>
        <v>#N/A</v>
      </c>
      <c r="U138" s="14">
        <f>HARMEAN(Todas!U772:U775)</f>
        <v>4.1023404372366077</v>
      </c>
      <c r="V138" s="14">
        <f>HARMEAN(Todas!V772:V775)</f>
        <v>1.8551001460722252</v>
      </c>
      <c r="W138" s="14">
        <f>HARMEAN(Todas!W772:W775)</f>
        <v>0.8700464146368776</v>
      </c>
    </row>
    <row r="139" spans="1:23">
      <c r="A139" t="s">
        <v>182</v>
      </c>
      <c r="B139" t="s">
        <v>259</v>
      </c>
      <c r="C139" s="21" t="str">
        <f>Todas!C776</f>
        <v>KR</v>
      </c>
      <c r="D139" s="14">
        <f>HARMEAN(Todas!D776:D779)</f>
        <v>1993.0000000000002</v>
      </c>
      <c r="E139" s="14">
        <f>HARMEAN(Todas!E776:E779)</f>
        <v>2</v>
      </c>
      <c r="F139" s="14">
        <f>HARMEAN(Todas!F776:F779)</f>
        <v>16</v>
      </c>
      <c r="G139" s="15">
        <f>HARMEAN(Todas!G776:G779)</f>
        <v>46.47</v>
      </c>
      <c r="H139" s="15">
        <f>HARMEAN(Todas!H776:H779)</f>
        <v>6312.195723277754</v>
      </c>
      <c r="I139" s="14" t="e">
        <f>HARMEAN(Todas!I776:I779)</f>
        <v>#N/A</v>
      </c>
      <c r="J139" s="14" t="e">
        <f>HARMEAN(Todas!J776:J779)</f>
        <v>#N/A</v>
      </c>
      <c r="K139" s="14">
        <f>HARMEAN(Todas!K776:K779)</f>
        <v>34.121817566501555</v>
      </c>
      <c r="L139" s="14" t="e">
        <f>HARMEAN(Todas!L776:L779)</f>
        <v>#N/A</v>
      </c>
      <c r="M139" s="14" t="e">
        <f>HARMEAN(Todas!M776:M779)</f>
        <v>#N/A</v>
      </c>
      <c r="N139" s="14" t="e">
        <f>HARMEAN(Todas!N776:N779)</f>
        <v>#N/A</v>
      </c>
      <c r="O139" s="14">
        <f>HARMEAN(Todas!O776:O779)</f>
        <v>3.8127405780233077</v>
      </c>
      <c r="P139" s="14" t="e">
        <f>HARMEAN(Todas!P776:P779)</f>
        <v>#N/A</v>
      </c>
      <c r="Q139" s="14" t="e">
        <f>HARMEAN(Todas!Q776:Q779)</f>
        <v>#N/A</v>
      </c>
      <c r="R139" s="14">
        <f>HARMEAN(Todas!R776:R779)</f>
        <v>1.5383044842669575</v>
      </c>
      <c r="S139" s="14" t="e">
        <f>HARMEAN(Todas!S776:S779)</f>
        <v>#N/A</v>
      </c>
      <c r="T139" s="14" t="e">
        <f>HARMEAN(Todas!T776:T779)</f>
        <v>#N/A</v>
      </c>
      <c r="U139" s="14">
        <f>HARMEAN(Todas!U776:U779)</f>
        <v>3.8127405780233077</v>
      </c>
      <c r="V139" s="14">
        <f>HARMEAN(Todas!V776:V779)</f>
        <v>1.5383044842669575</v>
      </c>
      <c r="W139" s="14">
        <f>HARMEAN(Todas!W776:W779)</f>
        <v>1.2467637901675608</v>
      </c>
    </row>
    <row r="140" spans="1:23">
      <c r="A140" t="s">
        <v>182</v>
      </c>
      <c r="B140" t="s">
        <v>259</v>
      </c>
      <c r="C140" s="21" t="str">
        <f>Todas!C780</f>
        <v>KR</v>
      </c>
      <c r="D140" s="14">
        <f>HARMEAN(Todas!D780:D783)</f>
        <v>1993.0000000000002</v>
      </c>
      <c r="E140" s="14">
        <f>HARMEAN(Todas!E780:E783)</f>
        <v>5</v>
      </c>
      <c r="F140" s="14">
        <f>HARMEAN(Todas!F780:F783)</f>
        <v>20</v>
      </c>
      <c r="G140" s="15">
        <f>HARMEAN(Todas!G780:G783)</f>
        <v>141.88</v>
      </c>
      <c r="H140" s="15">
        <f>HARMEAN(Todas!H780:H783)</f>
        <v>8592.3687881429814</v>
      </c>
      <c r="I140" s="14" t="e">
        <f>HARMEAN(Todas!I780:I783)</f>
        <v>#N/A</v>
      </c>
      <c r="J140" s="14" t="e">
        <f>HARMEAN(Todas!J780:J783)</f>
        <v>#N/A</v>
      </c>
      <c r="K140" s="14">
        <f>HARMEAN(Todas!K780:K783)</f>
        <v>75.6444782457488</v>
      </c>
      <c r="L140" s="14" t="e">
        <f>HARMEAN(Todas!L780:L783)</f>
        <v>#N/A</v>
      </c>
      <c r="M140" s="14" t="e">
        <f>HARMEAN(Todas!M780:M783)</f>
        <v>#N/A</v>
      </c>
      <c r="N140" s="14" t="e">
        <f>HARMEAN(Todas!N780:N783)</f>
        <v>#N/A</v>
      </c>
      <c r="O140" s="14">
        <f>HARMEAN(Todas!O780:O783)</f>
        <v>3.9400533894500591</v>
      </c>
      <c r="P140" s="14" t="e">
        <f>HARMEAN(Todas!P780:P783)</f>
        <v>#N/A</v>
      </c>
      <c r="Q140" s="14" t="e">
        <f>HARMEAN(Todas!Q780:Q783)</f>
        <v>#N/A</v>
      </c>
      <c r="R140" s="14">
        <f>HARMEAN(Todas!R780:R783)</f>
        <v>1.8908525906303968</v>
      </c>
      <c r="S140" s="14" t="e">
        <f>HARMEAN(Todas!S780:S783)</f>
        <v>#N/A</v>
      </c>
      <c r="T140" s="14" t="e">
        <f>HARMEAN(Todas!T780:T783)</f>
        <v>#N/A</v>
      </c>
      <c r="U140" s="14">
        <f>HARMEAN(Todas!U780:U783)</f>
        <v>3.9400533894500591</v>
      </c>
      <c r="V140" s="14">
        <f>HARMEAN(Todas!V780:V783)</f>
        <v>1.8908525906303968</v>
      </c>
      <c r="W140" s="14">
        <f>HARMEAN(Todas!W780:W783)</f>
        <v>0.85497610930002932</v>
      </c>
    </row>
    <row r="141" spans="1:23">
      <c r="A141" t="s">
        <v>182</v>
      </c>
      <c r="B141" t="s">
        <v>259</v>
      </c>
      <c r="C141" s="21" t="str">
        <f>Todas!C784</f>
        <v>KR</v>
      </c>
      <c r="D141" s="14">
        <f>HARMEAN(Todas!D784:D787)</f>
        <v>1993.0000000000002</v>
      </c>
      <c r="E141" s="14">
        <f>HARMEAN(Todas!E784:E787)</f>
        <v>8</v>
      </c>
      <c r="F141" s="14">
        <f>HARMEAN(Todas!F784:F787)</f>
        <v>30</v>
      </c>
      <c r="G141" s="15">
        <f>HARMEAN(Todas!G784:G787)</f>
        <v>243.29</v>
      </c>
      <c r="H141" s="15">
        <f>HARMEAN(Todas!H784:H787)</f>
        <v>9909.9214073279472</v>
      </c>
      <c r="I141" s="14" t="e">
        <f>HARMEAN(Todas!I784:I787)</f>
        <v>#N/A</v>
      </c>
      <c r="J141" s="14" t="e">
        <f>HARMEAN(Todas!J784:J787)</f>
        <v>#N/A</v>
      </c>
      <c r="K141" s="14">
        <f>HARMEAN(Todas!K784:K787)</f>
        <v>99.576125551998814</v>
      </c>
      <c r="L141" s="14" t="e">
        <f>HARMEAN(Todas!L784:L787)</f>
        <v>#N/A</v>
      </c>
      <c r="M141" s="14" t="e">
        <f>HARMEAN(Todas!M784:M787)</f>
        <v>#N/A</v>
      </c>
      <c r="N141" s="14" t="e">
        <f>HARMEAN(Todas!N784:N787)</f>
        <v>#N/A</v>
      </c>
      <c r="O141" s="14">
        <f>HARMEAN(Todas!O784:O787)</f>
        <v>4.0035383983777697</v>
      </c>
      <c r="P141" s="14" t="e">
        <f>HARMEAN(Todas!P784:P787)</f>
        <v>#N/A</v>
      </c>
      <c r="Q141" s="14" t="e">
        <f>HARMEAN(Todas!Q784:Q787)</f>
        <v>#N/A</v>
      </c>
      <c r="R141" s="14">
        <f>HARMEAN(Todas!R784:R787)</f>
        <v>2.014413982977429</v>
      </c>
      <c r="S141" s="14" t="e">
        <f>HARMEAN(Todas!S784:S787)</f>
        <v>#N/A</v>
      </c>
      <c r="T141" s="14" t="e">
        <f>HARMEAN(Todas!T784:T787)</f>
        <v>#N/A</v>
      </c>
      <c r="U141" s="14">
        <f>HARMEAN(Todas!U784:U787)</f>
        <v>4.0035383983777697</v>
      </c>
      <c r="V141" s="14">
        <f>HARMEAN(Todas!V784:V787)</f>
        <v>2.014413982977429</v>
      </c>
      <c r="W141" s="14">
        <f>HARMEAN(Todas!W784:W787)</f>
        <v>0.7057944662389265</v>
      </c>
    </row>
    <row r="142" spans="1:23">
      <c r="A142" t="s">
        <v>182</v>
      </c>
      <c r="B142" t="s">
        <v>259</v>
      </c>
      <c r="C142" s="21" t="str">
        <f>Todas!C788</f>
        <v>KR</v>
      </c>
      <c r="D142" s="14">
        <f>HARMEAN(Todas!D788:D791)</f>
        <v>1993.0000000000002</v>
      </c>
      <c r="E142" s="14">
        <f>HARMEAN(Todas!E788:E791)</f>
        <v>12</v>
      </c>
      <c r="F142" s="14">
        <f>HARMEAN(Todas!F788:F791)</f>
        <v>8</v>
      </c>
      <c r="G142" s="15">
        <f>HARMEAN(Todas!G788:G791)</f>
        <v>343.16999999999996</v>
      </c>
      <c r="H142" s="15">
        <f>HARMEAN(Todas!H788:H791)</f>
        <v>7575.2615307029328</v>
      </c>
      <c r="I142" s="14" t="e">
        <f>HARMEAN(Todas!I788:I791)</f>
        <v>#N/A</v>
      </c>
      <c r="J142" s="14" t="e">
        <f>HARMEAN(Todas!J788:J791)</f>
        <v>#N/A</v>
      </c>
      <c r="K142" s="14">
        <f>HARMEAN(Todas!K788:K791)</f>
        <v>41.996299159158589</v>
      </c>
      <c r="L142" s="14" t="e">
        <f>HARMEAN(Todas!L788:L791)</f>
        <v>#N/A</v>
      </c>
      <c r="M142" s="14" t="e">
        <f>HARMEAN(Todas!M788:M791)</f>
        <v>#N/A</v>
      </c>
      <c r="N142" s="14" t="e">
        <f>HARMEAN(Todas!N788:N791)</f>
        <v>#N/A</v>
      </c>
      <c r="O142" s="14">
        <f>HARMEAN(Todas!O788:O791)</f>
        <v>3.8843947777964956</v>
      </c>
      <c r="P142" s="14" t="e">
        <f>HARMEAN(Todas!P788:P791)</f>
        <v>#N/A</v>
      </c>
      <c r="Q142" s="14" t="e">
        <f>HARMEAN(Todas!Q788:Q791)</f>
        <v>#N/A</v>
      </c>
      <c r="R142" s="14">
        <f>HARMEAN(Todas!R788:R791)</f>
        <v>1.6290963302339476</v>
      </c>
      <c r="S142" s="14" t="e">
        <f>HARMEAN(Todas!S788:S791)</f>
        <v>#N/A</v>
      </c>
      <c r="T142" s="14" t="e">
        <f>HARMEAN(Todas!T788:T791)</f>
        <v>#N/A</v>
      </c>
      <c r="U142" s="14">
        <f>HARMEAN(Todas!U788:U791)</f>
        <v>3.8843947777964956</v>
      </c>
      <c r="V142" s="14">
        <f>HARMEAN(Todas!V788:V791)</f>
        <v>1.6290963302339476</v>
      </c>
      <c r="W142" s="14">
        <f>HARMEAN(Todas!W788:W791)</f>
        <v>1.1406061615413137</v>
      </c>
    </row>
    <row r="143" spans="1:23">
      <c r="A143" t="s">
        <v>182</v>
      </c>
      <c r="B143" t="s">
        <v>259</v>
      </c>
      <c r="C143" s="21" t="str">
        <f>Todas!C792</f>
        <v>KR</v>
      </c>
      <c r="D143" s="14">
        <f>HARMEAN(Todas!D792:D795)</f>
        <v>1994</v>
      </c>
      <c r="E143" s="14">
        <f>HARMEAN(Todas!E792:E795)</f>
        <v>3</v>
      </c>
      <c r="F143" s="14">
        <f>HARMEAN(Todas!F792:F795)</f>
        <v>8</v>
      </c>
      <c r="G143" s="15">
        <f>HARMEAN(Todas!G792:G795)</f>
        <v>68.94</v>
      </c>
      <c r="H143" s="15">
        <f>HARMEAN(Todas!H792:H795)</f>
        <v>6358.9664765341859</v>
      </c>
      <c r="I143" s="14" t="e">
        <f>HARMEAN(Todas!I792:I795)</f>
        <v>#N/A</v>
      </c>
      <c r="J143" s="14" t="e">
        <f>HARMEAN(Todas!J792:J795)</f>
        <v>#N/A</v>
      </c>
      <c r="K143" s="14">
        <f>HARMEAN(Todas!K792:K795)</f>
        <v>33.470917850039406</v>
      </c>
      <c r="L143" s="14" t="e">
        <f>HARMEAN(Todas!L792:L795)</f>
        <v>#N/A</v>
      </c>
      <c r="M143" s="14" t="e">
        <f>HARMEAN(Todas!M792:M795)</f>
        <v>#N/A</v>
      </c>
      <c r="N143" s="14" t="e">
        <f>HARMEAN(Todas!N792:N795)</f>
        <v>#N/A</v>
      </c>
      <c r="O143" s="14">
        <f>HARMEAN(Todas!O792:O795)</f>
        <v>3.8096969201143973</v>
      </c>
      <c r="P143" s="14" t="e">
        <f>HARMEAN(Todas!P792:P795)</f>
        <v>#N/A</v>
      </c>
      <c r="Q143" s="14" t="e">
        <f>HARMEAN(Todas!Q792:Q795)</f>
        <v>#N/A</v>
      </c>
      <c r="R143" s="14">
        <f>HARMEAN(Todas!R792:R795)</f>
        <v>1.5265518842698034</v>
      </c>
      <c r="S143" s="14" t="e">
        <f>HARMEAN(Todas!S792:S795)</f>
        <v>#N/A</v>
      </c>
      <c r="T143" s="14" t="e">
        <f>HARMEAN(Todas!T792:T795)</f>
        <v>#N/A</v>
      </c>
      <c r="U143" s="14">
        <f>HARMEAN(Todas!U792:U795)</f>
        <v>3.8096969201143973</v>
      </c>
      <c r="V143" s="14">
        <f>HARMEAN(Todas!V792:V795)</f>
        <v>1.5265518842698034</v>
      </c>
      <c r="W143" s="14">
        <f>HARMEAN(Todas!W792:W795)</f>
        <v>1.2712461024462891</v>
      </c>
    </row>
    <row r="144" spans="1:23">
      <c r="A144" t="s">
        <v>182</v>
      </c>
      <c r="B144" t="s">
        <v>259</v>
      </c>
      <c r="C144" s="21" t="str">
        <f>Todas!C796</f>
        <v>KR</v>
      </c>
      <c r="D144" s="14">
        <f>HARMEAN(Todas!D796:D799)</f>
        <v>1994</v>
      </c>
      <c r="E144" s="14">
        <f>HARMEAN(Todas!E796:E799)</f>
        <v>6</v>
      </c>
      <c r="F144" s="14">
        <f>HARMEAN(Todas!F796:F799)</f>
        <v>3</v>
      </c>
      <c r="G144" s="15">
        <f>HARMEAN(Todas!G796:G799)</f>
        <v>155.35</v>
      </c>
      <c r="H144" s="15">
        <f>HARMEAN(Todas!H796:H799)</f>
        <v>5360.105539056799</v>
      </c>
      <c r="I144" s="14" t="e">
        <f>HARMEAN(Todas!I796:I799)</f>
        <v>#N/A</v>
      </c>
      <c r="J144" s="14" t="e">
        <f>HARMEAN(Todas!J796:J799)</f>
        <v>#N/A</v>
      </c>
      <c r="K144" s="14">
        <f>HARMEAN(Todas!K796:K799)</f>
        <v>34.692720250105047</v>
      </c>
      <c r="L144" s="14" t="e">
        <f>HARMEAN(Todas!L796:L799)</f>
        <v>#N/A</v>
      </c>
      <c r="M144" s="14" t="e">
        <f>HARMEAN(Todas!M796:M799)</f>
        <v>#N/A</v>
      </c>
      <c r="N144" s="14" t="e">
        <f>HARMEAN(Todas!N796:N799)</f>
        <v>#N/A</v>
      </c>
      <c r="O144" s="14">
        <f>HARMEAN(Todas!O796:O799)</f>
        <v>3.804273574370729</v>
      </c>
      <c r="P144" s="14" t="e">
        <f>HARMEAN(Todas!P796:P799)</f>
        <v>#N/A</v>
      </c>
      <c r="Q144" s="14" t="e">
        <f>HARMEAN(Todas!Q796:Q799)</f>
        <v>#N/A</v>
      </c>
      <c r="R144" s="14">
        <f>HARMEAN(Todas!R796:R799)</f>
        <v>1.5631247961455481</v>
      </c>
      <c r="S144" s="14" t="e">
        <f>HARMEAN(Todas!S796:S799)</f>
        <v>#N/A</v>
      </c>
      <c r="T144" s="14" t="e">
        <f>HARMEAN(Todas!T796:T799)</f>
        <v>#N/A</v>
      </c>
      <c r="U144" s="14">
        <f>HARMEAN(Todas!U796:U799)</f>
        <v>3.804273574370729</v>
      </c>
      <c r="V144" s="14">
        <f>HARMEAN(Todas!V796:V799)</f>
        <v>1.5631247961455481</v>
      </c>
      <c r="W144" s="14">
        <f>HARMEAN(Todas!W796:W799)</f>
        <v>1.1575723770227098</v>
      </c>
    </row>
    <row r="145" spans="1:23">
      <c r="A145" t="s">
        <v>182</v>
      </c>
      <c r="B145" t="s">
        <v>259</v>
      </c>
      <c r="C145" s="21" t="str">
        <f>Todas!C800</f>
        <v>KR</v>
      </c>
      <c r="D145" s="14">
        <f>HARMEAN(Todas!D800:D803)</f>
        <v>1994</v>
      </c>
      <c r="E145" s="14">
        <f>HARMEAN(Todas!E800:E803)</f>
        <v>9</v>
      </c>
      <c r="F145" s="14">
        <f>HARMEAN(Todas!F800:F803)</f>
        <v>12</v>
      </c>
      <c r="G145" s="15">
        <f>HARMEAN(Todas!G800:G803)</f>
        <v>255.76</v>
      </c>
      <c r="H145" s="15">
        <f>HARMEAN(Todas!H800:H803)</f>
        <v>6616.1467361540499</v>
      </c>
      <c r="I145" s="14" t="e">
        <f>HARMEAN(Todas!I800:I803)</f>
        <v>#N/A</v>
      </c>
      <c r="J145" s="14" t="e">
        <f>HARMEAN(Todas!J800:J803)</f>
        <v>#N/A</v>
      </c>
      <c r="K145" s="14">
        <f>HARMEAN(Todas!K800:K803)</f>
        <v>125.05420163691289</v>
      </c>
      <c r="L145" s="14" t="e">
        <f>HARMEAN(Todas!L800:L803)</f>
        <v>#N/A</v>
      </c>
      <c r="M145" s="14" t="e">
        <f>HARMEAN(Todas!M800:M803)</f>
        <v>#N/A</v>
      </c>
      <c r="N145" s="14" t="e">
        <f>HARMEAN(Todas!N800:N803)</f>
        <v>#N/A</v>
      </c>
      <c r="O145" s="14">
        <f>HARMEAN(Todas!O800:O803)</f>
        <v>3.8359796609709993</v>
      </c>
      <c r="P145" s="14" t="e">
        <f>HARMEAN(Todas!P800:P803)</f>
        <v>#N/A</v>
      </c>
      <c r="Q145" s="14" t="e">
        <f>HARMEAN(Todas!Q800:Q803)</f>
        <v>#N/A</v>
      </c>
      <c r="R145" s="14">
        <f>HARMEAN(Todas!R800:R803)</f>
        <v>2.1163749895566895</v>
      </c>
      <c r="S145" s="14" t="e">
        <f>HARMEAN(Todas!S800:S803)</f>
        <v>#N/A</v>
      </c>
      <c r="T145" s="14" t="e">
        <f>HARMEAN(Todas!T800:T803)</f>
        <v>#N/A</v>
      </c>
      <c r="U145" s="14">
        <f>HARMEAN(Todas!U800:U803)</f>
        <v>3.8359796609709993</v>
      </c>
      <c r="V145" s="14">
        <f>HARMEAN(Todas!V800:V803)</f>
        <v>2.1163749895566895</v>
      </c>
      <c r="W145" s="14">
        <f>HARMEAN(Todas!W800:W803)</f>
        <v>0.65426664183144057</v>
      </c>
    </row>
    <row r="146" spans="1:23">
      <c r="A146" t="s">
        <v>182</v>
      </c>
      <c r="B146" t="s">
        <v>259</v>
      </c>
      <c r="C146" s="21" t="str">
        <f>Todas!C804</f>
        <v>KR</v>
      </c>
      <c r="D146" s="14">
        <f>HARMEAN(Todas!D804:D807)</f>
        <v>1994</v>
      </c>
      <c r="E146" s="14">
        <f>HARMEAN(Todas!E804:E807)</f>
        <v>12</v>
      </c>
      <c r="F146" s="14">
        <f>HARMEAN(Todas!F804:F807)</f>
        <v>6</v>
      </c>
      <c r="G146" s="15">
        <f>HARMEAN(Todas!G804:G807)</f>
        <v>341.16999999999996</v>
      </c>
      <c r="H146" s="15">
        <f>HARMEAN(Todas!H804:H807)</f>
        <v>4209.174384236454</v>
      </c>
      <c r="I146" s="14" t="e">
        <f>HARMEAN(Todas!I804:I807)</f>
        <v>#N/A</v>
      </c>
      <c r="J146" s="14" t="e">
        <f>HARMEAN(Todas!J804:J807)</f>
        <v>#N/A</v>
      </c>
      <c r="K146" s="14">
        <f>HARMEAN(Todas!K804:K807)</f>
        <v>35.04303290324453</v>
      </c>
      <c r="L146" s="14" t="e">
        <f>HARMEAN(Todas!L804:L807)</f>
        <v>#N/A</v>
      </c>
      <c r="M146" s="14" t="e">
        <f>HARMEAN(Todas!M804:M807)</f>
        <v>#N/A</v>
      </c>
      <c r="N146" s="14" t="e">
        <f>HARMEAN(Todas!N804:N807)</f>
        <v>#N/A</v>
      </c>
      <c r="O146" s="14">
        <f>HARMEAN(Todas!O804:O807)</f>
        <v>3.6273025034287589</v>
      </c>
      <c r="P146" s="14" t="e">
        <f>HARMEAN(Todas!P804:P807)</f>
        <v>#N/A</v>
      </c>
      <c r="Q146" s="14" t="e">
        <f>HARMEAN(Todas!Q804:Q807)</f>
        <v>#N/A</v>
      </c>
      <c r="R146" s="14">
        <f>HARMEAN(Todas!R804:R807)</f>
        <v>1.5511511383466015</v>
      </c>
      <c r="S146" s="14" t="e">
        <f>HARMEAN(Todas!S804:S807)</f>
        <v>#N/A</v>
      </c>
      <c r="T146" s="14" t="e">
        <f>HARMEAN(Todas!T804:T807)</f>
        <v>#N/A</v>
      </c>
      <c r="U146" s="14">
        <f>HARMEAN(Todas!U804:U807)</f>
        <v>3.6273025034287589</v>
      </c>
      <c r="V146" s="14">
        <f>HARMEAN(Todas!V804:V807)</f>
        <v>1.5511511383466015</v>
      </c>
      <c r="W146" s="14">
        <f>HARMEAN(Todas!W804:W807)</f>
        <v>1.2897540170259301</v>
      </c>
    </row>
    <row r="147" spans="1:23">
      <c r="A147" t="s">
        <v>182</v>
      </c>
      <c r="B147" t="s">
        <v>259</v>
      </c>
      <c r="C147" s="21" t="str">
        <f>Todas!C808</f>
        <v>KR</v>
      </c>
      <c r="D147" s="14">
        <f>HARMEAN(Todas!D808:D811)</f>
        <v>1995</v>
      </c>
      <c r="E147" s="14">
        <f>HARMEAN(Todas!E808:E811)</f>
        <v>3</v>
      </c>
      <c r="F147" s="14">
        <f>HARMEAN(Todas!F808:F811)</f>
        <v>16</v>
      </c>
      <c r="G147" s="15">
        <f>HARMEAN(Todas!G808:G811)</f>
        <v>76.94</v>
      </c>
      <c r="H147" s="15">
        <f>HARMEAN(Todas!H808:H811)</f>
        <v>7893.5411029065208</v>
      </c>
      <c r="I147" s="14" t="e">
        <f>HARMEAN(Todas!I808:I811)</f>
        <v>#N/A</v>
      </c>
      <c r="J147" s="14" t="e">
        <f>HARMEAN(Todas!J808:J811)</f>
        <v>#N/A</v>
      </c>
      <c r="K147" s="14">
        <f>HARMEAN(Todas!K808:K811)</f>
        <v>56.194846285842686</v>
      </c>
      <c r="L147" s="14" t="e">
        <f>HARMEAN(Todas!L808:L811)</f>
        <v>#N/A</v>
      </c>
      <c r="M147" s="14" t="e">
        <f>HARMEAN(Todas!M808:M811)</f>
        <v>#N/A</v>
      </c>
      <c r="N147" s="14" t="e">
        <f>HARMEAN(Todas!N808:N811)</f>
        <v>#N/A</v>
      </c>
      <c r="O147" s="14">
        <f>HARMEAN(Todas!O808:O811)</f>
        <v>3.9090939501350608</v>
      </c>
      <c r="P147" s="14" t="e">
        <f>HARMEAN(Todas!P808:P811)</f>
        <v>#N/A</v>
      </c>
      <c r="Q147" s="14" t="e">
        <f>HARMEAN(Todas!Q808:Q811)</f>
        <v>#N/A</v>
      </c>
      <c r="R147" s="14">
        <f>HARMEAN(Todas!R808:R811)</f>
        <v>1.7567586383250768</v>
      </c>
      <c r="S147" s="14" t="e">
        <f>HARMEAN(Todas!S808:S811)</f>
        <v>#N/A</v>
      </c>
      <c r="T147" s="14" t="e">
        <f>HARMEAN(Todas!T808:T811)</f>
        <v>#N/A</v>
      </c>
      <c r="U147" s="14">
        <f>HARMEAN(Todas!U808:U811)</f>
        <v>3.9090939501350608</v>
      </c>
      <c r="V147" s="14">
        <f>HARMEAN(Todas!V808:V811)</f>
        <v>1.7567586383250768</v>
      </c>
      <c r="W147" s="14">
        <f>HARMEAN(Todas!W808:W811)</f>
        <v>0.99943582059063474</v>
      </c>
    </row>
    <row r="148" spans="1:23">
      <c r="A148" t="s">
        <v>182</v>
      </c>
      <c r="B148" t="s">
        <v>259</v>
      </c>
      <c r="C148" s="21" t="str">
        <f>Todas!C812</f>
        <v>KR</v>
      </c>
      <c r="D148" s="14">
        <f>HARMEAN(Todas!D812:D815)</f>
        <v>1995</v>
      </c>
      <c r="E148" s="14">
        <f>HARMEAN(Todas!E812:E815)</f>
        <v>6</v>
      </c>
      <c r="F148" s="14">
        <f>HARMEAN(Todas!F812:F815)</f>
        <v>15</v>
      </c>
      <c r="G148" s="15">
        <f>HARMEAN(Todas!G812:G815)</f>
        <v>167.35</v>
      </c>
      <c r="H148" s="15">
        <f>HARMEAN(Todas!H812:H815)</f>
        <v>7113.19475878499</v>
      </c>
      <c r="I148" s="14" t="e">
        <f>HARMEAN(Todas!I812:I815)</f>
        <v>#N/A</v>
      </c>
      <c r="J148" s="14" t="e">
        <f>HARMEAN(Todas!J812:J815)</f>
        <v>#N/A</v>
      </c>
      <c r="K148" s="14">
        <f>HARMEAN(Todas!K812:K815)</f>
        <v>74.95296482461012</v>
      </c>
      <c r="L148" s="14" t="e">
        <f>HARMEAN(Todas!L812:L815)</f>
        <v>#N/A</v>
      </c>
      <c r="M148" s="14" t="e">
        <f>HARMEAN(Todas!M812:M815)</f>
        <v>#N/A</v>
      </c>
      <c r="N148" s="14" t="e">
        <f>HARMEAN(Todas!N812:N815)</f>
        <v>#N/A</v>
      </c>
      <c r="O148" s="14">
        <f>HARMEAN(Todas!O812:O815)</f>
        <v>3.8531703168275633</v>
      </c>
      <c r="P148" s="14" t="e">
        <f>HARMEAN(Todas!P812:P815)</f>
        <v>#N/A</v>
      </c>
      <c r="Q148" s="14" t="e">
        <f>HARMEAN(Todas!Q812:Q815)</f>
        <v>#N/A</v>
      </c>
      <c r="R148" s="14">
        <f>HARMEAN(Todas!R812:R815)</f>
        <v>1.8779794427776177</v>
      </c>
      <c r="S148" s="14" t="e">
        <f>HARMEAN(Todas!S812:S815)</f>
        <v>#N/A</v>
      </c>
      <c r="T148" s="14" t="e">
        <f>HARMEAN(Todas!T812:T815)</f>
        <v>#N/A</v>
      </c>
      <c r="U148" s="14">
        <f>HARMEAN(Todas!U812:U815)</f>
        <v>3.8531703168275633</v>
      </c>
      <c r="V148" s="14">
        <f>HARMEAN(Todas!V812:V815)</f>
        <v>1.8779794427776177</v>
      </c>
      <c r="W148" s="14">
        <f>HARMEAN(Todas!W812:W815)</f>
        <v>0.9222852374538959</v>
      </c>
    </row>
    <row r="149" spans="1:23">
      <c r="A149" t="s">
        <v>182</v>
      </c>
      <c r="B149" t="s">
        <v>259</v>
      </c>
      <c r="C149" s="21" t="str">
        <f>Todas!C816</f>
        <v>KR</v>
      </c>
      <c r="D149" s="14">
        <f>HARMEAN(Todas!D816:D819)</f>
        <v>1995</v>
      </c>
      <c r="E149" s="14">
        <f>HARMEAN(Todas!E816:E819)</f>
        <v>9</v>
      </c>
      <c r="F149" s="14">
        <f>HARMEAN(Todas!F816:F819)</f>
        <v>7</v>
      </c>
      <c r="G149" s="15">
        <f>HARMEAN(Todas!G816:G819)</f>
        <v>250.76</v>
      </c>
      <c r="H149" s="15">
        <f>HARMEAN(Todas!H816:H819)</f>
        <v>6462.3175240116298</v>
      </c>
      <c r="I149" s="14" t="e">
        <f>HARMEAN(Todas!I816:I819)</f>
        <v>#N/A</v>
      </c>
      <c r="J149" s="14" t="e">
        <f>HARMEAN(Todas!J816:J819)</f>
        <v>#N/A</v>
      </c>
      <c r="K149" s="14">
        <f>HARMEAN(Todas!K816:K819)</f>
        <v>93.817078083602226</v>
      </c>
      <c r="L149" s="14" t="e">
        <f>HARMEAN(Todas!L816:L819)</f>
        <v>#N/A</v>
      </c>
      <c r="M149" s="14" t="e">
        <f>HARMEAN(Todas!M816:M819)</f>
        <v>#N/A</v>
      </c>
      <c r="N149" s="14" t="e">
        <f>HARMEAN(Todas!N816:N819)</f>
        <v>#N/A</v>
      </c>
      <c r="O149" s="14">
        <f>HARMEAN(Todas!O816:O819)</f>
        <v>3.8212437170502138</v>
      </c>
      <c r="P149" s="14" t="e">
        <f>HARMEAN(Todas!P816:P819)</f>
        <v>#N/A</v>
      </c>
      <c r="Q149" s="14" t="e">
        <f>HARMEAN(Todas!Q816:Q819)</f>
        <v>#N/A</v>
      </c>
      <c r="R149" s="14">
        <f>HARMEAN(Todas!R816:R819)</f>
        <v>1.9766468346252499</v>
      </c>
      <c r="S149" s="14" t="e">
        <f>HARMEAN(Todas!S816:S819)</f>
        <v>#N/A</v>
      </c>
      <c r="T149" s="14" t="e">
        <f>HARMEAN(Todas!T816:T819)</f>
        <v>#N/A</v>
      </c>
      <c r="U149" s="14">
        <f>HARMEAN(Todas!U816:U819)</f>
        <v>3.8212437170502138</v>
      </c>
      <c r="V149" s="14">
        <f>HARMEAN(Todas!V816:V819)</f>
        <v>1.9766468346252499</v>
      </c>
      <c r="W149" s="14">
        <f>HARMEAN(Todas!W816:W819)</f>
        <v>0.82397450697282271</v>
      </c>
    </row>
    <row r="150" spans="1:23">
      <c r="A150" t="s">
        <v>182</v>
      </c>
      <c r="B150" t="s">
        <v>259</v>
      </c>
      <c r="C150" s="21" t="str">
        <f>Todas!C820</f>
        <v>KR</v>
      </c>
      <c r="D150" s="14">
        <f>HARMEAN(Todas!D820:D823)</f>
        <v>1995</v>
      </c>
      <c r="E150" s="14">
        <f>HARMEAN(Todas!E820:E823)</f>
        <v>12</v>
      </c>
      <c r="F150" s="14">
        <f>HARMEAN(Todas!F820:F823)</f>
        <v>7</v>
      </c>
      <c r="G150" s="15">
        <f>HARMEAN(Todas!G820:G823)</f>
        <v>342.16999999999996</v>
      </c>
      <c r="H150" s="15">
        <f>HARMEAN(Todas!H820:H823)</f>
        <v>3778.7048658434087</v>
      </c>
      <c r="I150" s="14" t="e">
        <f>HARMEAN(Todas!I820:I823)</f>
        <v>#N/A</v>
      </c>
      <c r="J150" s="14" t="e">
        <f>HARMEAN(Todas!J820:J823)</f>
        <v>#N/A</v>
      </c>
      <c r="K150" s="14">
        <f>HARMEAN(Todas!K820:K823)</f>
        <v>36.013499955230728</v>
      </c>
      <c r="L150" s="14" t="e">
        <f>HARMEAN(Todas!L820:L823)</f>
        <v>#N/A</v>
      </c>
      <c r="M150" s="14" t="e">
        <f>HARMEAN(Todas!M820:M823)</f>
        <v>#N/A</v>
      </c>
      <c r="N150" s="14" t="e">
        <f>HARMEAN(Todas!N820:N823)</f>
        <v>#N/A</v>
      </c>
      <c r="O150" s="14">
        <f>HARMEAN(Todas!O820:O823)</f>
        <v>3.5933066055637397</v>
      </c>
      <c r="P150" s="14" t="e">
        <f>HARMEAN(Todas!P820:P823)</f>
        <v>#N/A</v>
      </c>
      <c r="Q150" s="14" t="e">
        <f>HARMEAN(Todas!Q820:Q823)</f>
        <v>#N/A</v>
      </c>
      <c r="R150" s="14">
        <f>HARMEAN(Todas!R820:R823)</f>
        <v>1.5635688590277921</v>
      </c>
      <c r="S150" s="14" t="e">
        <f>HARMEAN(Todas!S820:S823)</f>
        <v>#N/A</v>
      </c>
      <c r="T150" s="14" t="e">
        <f>HARMEAN(Todas!T820:T823)</f>
        <v>#N/A</v>
      </c>
      <c r="U150" s="14">
        <f>HARMEAN(Todas!U820:U823)</f>
        <v>3.5933066055637397</v>
      </c>
      <c r="V150" s="14">
        <f>HARMEAN(Todas!V820:V823)</f>
        <v>1.5635688590277921</v>
      </c>
      <c r="W150" s="14">
        <f>HARMEAN(Todas!W820:W823)</f>
        <v>1.28172549413222</v>
      </c>
    </row>
    <row r="151" spans="1:23">
      <c r="A151" t="s">
        <v>182</v>
      </c>
      <c r="B151" t="s">
        <v>259</v>
      </c>
      <c r="C151" s="21" t="str">
        <f>Todas!C824</f>
        <v>Laguna Madre (LM151)</v>
      </c>
      <c r="D151" s="14">
        <f>HARMEAN(Todas!D824:D827)</f>
        <v>1989.0000000000002</v>
      </c>
      <c r="E151" s="14">
        <f>HARMEAN(Todas!E824:E827)</f>
        <v>3</v>
      </c>
      <c r="F151" s="14">
        <f>HARMEAN(Todas!F824:F827)</f>
        <v>23</v>
      </c>
      <c r="G151" s="15">
        <f>HARMEAN(Todas!G824:G827)</f>
        <v>83.94</v>
      </c>
      <c r="H151" s="15">
        <f>HARMEAN(Todas!H824:H827)</f>
        <v>7435.9584623179953</v>
      </c>
      <c r="I151" s="14" t="e">
        <f>HARMEAN(Todas!I824:I827)</f>
        <v>#N/A</v>
      </c>
      <c r="J151" s="14" t="e">
        <f>HARMEAN(Todas!J824:J827)</f>
        <v>#N/A</v>
      </c>
      <c r="K151" s="14">
        <f>HARMEAN(Todas!K824:K827)</f>
        <v>19.607231150812577</v>
      </c>
      <c r="L151" s="14" t="e">
        <f>HARMEAN(Todas!L824:L827)</f>
        <v>#N/A</v>
      </c>
      <c r="M151" s="14" t="e">
        <f>HARMEAN(Todas!M824:M827)</f>
        <v>#N/A</v>
      </c>
      <c r="N151" s="14" t="e">
        <f>HARMEAN(Todas!N824:N827)</f>
        <v>#N/A</v>
      </c>
      <c r="O151" s="14">
        <f>HARMEAN(Todas!O824:O827)</f>
        <v>3.8776450965687643</v>
      </c>
      <c r="P151" s="14" t="e">
        <f>HARMEAN(Todas!P824:P827)</f>
        <v>#N/A</v>
      </c>
      <c r="Q151" s="14" t="e">
        <f>HARMEAN(Todas!Q824:Q827)</f>
        <v>#N/A</v>
      </c>
      <c r="R151" s="14">
        <f>HARMEAN(Todas!R824:R827)</f>
        <v>1.3041316685589117</v>
      </c>
      <c r="S151" s="14" t="e">
        <f>HARMEAN(Todas!S824:S827)</f>
        <v>#N/A</v>
      </c>
      <c r="T151" s="14" t="e">
        <f>HARMEAN(Todas!T824:T827)</f>
        <v>#N/A</v>
      </c>
      <c r="U151" s="14">
        <f>HARMEAN(Todas!U824:U827)</f>
        <v>3.8776450965687643</v>
      </c>
      <c r="V151" s="14">
        <f>HARMEAN(Todas!V824:V827)</f>
        <v>1.3041316685589117</v>
      </c>
      <c r="W151" s="14">
        <f>HARMEAN(Todas!W824:W827)</f>
        <v>1.4232491769715898</v>
      </c>
    </row>
    <row r="152" spans="1:23">
      <c r="A152" t="s">
        <v>182</v>
      </c>
      <c r="B152" t="s">
        <v>259</v>
      </c>
      <c r="C152" s="21" t="str">
        <f>Todas!C828</f>
        <v>Laguna Madre (LM151)</v>
      </c>
      <c r="D152" s="14">
        <f>HARMEAN(Todas!D828:D831)</f>
        <v>1989.0000000000002</v>
      </c>
      <c r="E152" s="14">
        <f>HARMEAN(Todas!E828:E831)</f>
        <v>7</v>
      </c>
      <c r="F152" s="14">
        <f>HARMEAN(Todas!F828:F831)</f>
        <v>12</v>
      </c>
      <c r="G152" s="15">
        <f>HARMEAN(Todas!G828:G831)</f>
        <v>194.82</v>
      </c>
      <c r="H152" s="15">
        <f>HARMEAN(Todas!H828:H831)</f>
        <v>8054.866561573871</v>
      </c>
      <c r="I152" s="14" t="e">
        <f>HARMEAN(Todas!I828:I831)</f>
        <v>#N/A</v>
      </c>
      <c r="J152" s="14" t="e">
        <f>HARMEAN(Todas!J828:J831)</f>
        <v>#N/A</v>
      </c>
      <c r="K152" s="14">
        <f>HARMEAN(Todas!K828:K831)</f>
        <v>92.170407912837632</v>
      </c>
      <c r="L152" s="14" t="e">
        <f>HARMEAN(Todas!L828:L831)</f>
        <v>#N/A</v>
      </c>
      <c r="M152" s="14" t="e">
        <f>HARMEAN(Todas!M828:M831)</f>
        <v>#N/A</v>
      </c>
      <c r="N152" s="14" t="e">
        <f>HARMEAN(Todas!N828:N831)</f>
        <v>#N/A</v>
      </c>
      <c r="O152" s="14">
        <f>HARMEAN(Todas!O828:O831)</f>
        <v>3.90845408337516</v>
      </c>
      <c r="P152" s="14" t="e">
        <f>HARMEAN(Todas!P828:P831)</f>
        <v>#N/A</v>
      </c>
      <c r="Q152" s="14" t="e">
        <f>HARMEAN(Todas!Q828:Q831)</f>
        <v>#N/A</v>
      </c>
      <c r="R152" s="14">
        <f>HARMEAN(Todas!R828:R831)</f>
        <v>1.9700910784599006</v>
      </c>
      <c r="S152" s="14" t="e">
        <f>HARMEAN(Todas!S828:S831)</f>
        <v>#N/A</v>
      </c>
      <c r="T152" s="14" t="e">
        <f>HARMEAN(Todas!T828:T831)</f>
        <v>#N/A</v>
      </c>
      <c r="U152" s="14">
        <f>HARMEAN(Todas!U828:U831)</f>
        <v>3.90845408337516</v>
      </c>
      <c r="V152" s="14">
        <f>HARMEAN(Todas!V828:V831)</f>
        <v>1.9700910784599006</v>
      </c>
      <c r="W152" s="14">
        <f>HARMEAN(Todas!W828:W831)</f>
        <v>0.81014227777934411</v>
      </c>
    </row>
    <row r="153" spans="1:23">
      <c r="A153" t="s">
        <v>182</v>
      </c>
      <c r="B153" t="s">
        <v>259</v>
      </c>
      <c r="C153" s="21" t="str">
        <f>Todas!C832</f>
        <v>Laguna Madre (LM151)</v>
      </c>
      <c r="D153" s="14">
        <f>HARMEAN(Todas!D832:D835)</f>
        <v>1989.0000000000002</v>
      </c>
      <c r="E153" s="14">
        <f>HARMEAN(Todas!E832:E835)</f>
        <v>9</v>
      </c>
      <c r="F153" s="14">
        <f>HARMEAN(Todas!F832:F835)</f>
        <v>12</v>
      </c>
      <c r="G153" s="15">
        <f>HARMEAN(Todas!G832:G835)</f>
        <v>255.76</v>
      </c>
      <c r="H153" s="15">
        <f>HARMEAN(Todas!H832:H835)</f>
        <v>5961.8846974465632</v>
      </c>
      <c r="I153" s="14" t="e">
        <f>HARMEAN(Todas!I832:I835)</f>
        <v>#N/A</v>
      </c>
      <c r="J153" s="14" t="e">
        <f>HARMEAN(Todas!J832:J835)</f>
        <v>#N/A</v>
      </c>
      <c r="K153" s="14">
        <f>HARMEAN(Todas!K832:K835)</f>
        <v>39.444307298739197</v>
      </c>
      <c r="L153" s="14" t="e">
        <f>HARMEAN(Todas!L832:L835)</f>
        <v>#N/A</v>
      </c>
      <c r="M153" s="14" t="e">
        <f>HARMEAN(Todas!M832:M835)</f>
        <v>#N/A</v>
      </c>
      <c r="N153" s="14" t="e">
        <f>HARMEAN(Todas!N832:N835)</f>
        <v>#N/A</v>
      </c>
      <c r="O153" s="14">
        <f>HARMEAN(Todas!O832:O835)</f>
        <v>3.7831153203049985</v>
      </c>
      <c r="P153" s="14" t="e">
        <f>HARMEAN(Todas!P832:P835)</f>
        <v>#N/A</v>
      </c>
      <c r="Q153" s="14" t="e">
        <f>HARMEAN(Todas!Q832:Q835)</f>
        <v>#N/A</v>
      </c>
      <c r="R153" s="14">
        <f>HARMEAN(Todas!R832:R835)</f>
        <v>1.620283850703705</v>
      </c>
      <c r="S153" s="14" t="e">
        <f>HARMEAN(Todas!S832:S835)</f>
        <v>#N/A</v>
      </c>
      <c r="T153" s="14" t="e">
        <f>HARMEAN(Todas!T832:T835)</f>
        <v>#N/A</v>
      </c>
      <c r="U153" s="14">
        <f>HARMEAN(Todas!U832:U835)</f>
        <v>3.7831153203049985</v>
      </c>
      <c r="V153" s="14">
        <f>HARMEAN(Todas!V832:V835)</f>
        <v>1.620283850703705</v>
      </c>
      <c r="W153" s="14">
        <f>HARMEAN(Todas!W832:W835)</f>
        <v>1.1218492796753878</v>
      </c>
    </row>
    <row r="154" spans="1:23">
      <c r="A154" t="s">
        <v>182</v>
      </c>
      <c r="B154" t="s">
        <v>259</v>
      </c>
      <c r="C154" s="21" t="str">
        <f>Todas!C836</f>
        <v>Laguna Madre (LM151)</v>
      </c>
      <c r="D154" s="14">
        <f>HARMEAN(Todas!D836:D839)</f>
        <v>1999.0000000000002</v>
      </c>
      <c r="E154" s="14">
        <f>HARMEAN(Todas!E836:E839)</f>
        <v>11</v>
      </c>
      <c r="F154" s="14">
        <f>HARMEAN(Todas!F836:F839)</f>
        <v>8</v>
      </c>
      <c r="G154" s="15">
        <f>HARMEAN(Todas!G836:G839)</f>
        <v>312.7</v>
      </c>
      <c r="H154" s="15">
        <f>HARMEAN(Todas!H836:H839)</f>
        <v>7832.106262505853</v>
      </c>
      <c r="I154" s="14" t="e">
        <f>HARMEAN(Todas!I836:I839)</f>
        <v>#N/A</v>
      </c>
      <c r="J154" s="14" t="e">
        <f>HARMEAN(Todas!J836:J839)</f>
        <v>#N/A</v>
      </c>
      <c r="K154" s="14">
        <f>HARMEAN(Todas!K836:K839)</f>
        <v>68.724371979665378</v>
      </c>
      <c r="L154" s="14" t="e">
        <f>HARMEAN(Todas!L836:L839)</f>
        <v>#N/A</v>
      </c>
      <c r="M154" s="14" t="e">
        <f>HARMEAN(Todas!M836:M839)</f>
        <v>#N/A</v>
      </c>
      <c r="N154" s="14" t="e">
        <f>HARMEAN(Todas!N836:N839)</f>
        <v>#N/A</v>
      </c>
      <c r="O154" s="14">
        <f>HARMEAN(Todas!O836:O839)</f>
        <v>3.8968720210420256</v>
      </c>
      <c r="P154" s="14" t="e">
        <f>HARMEAN(Todas!P836:P839)</f>
        <v>#N/A</v>
      </c>
      <c r="Q154" s="14" t="e">
        <f>HARMEAN(Todas!Q836:Q839)</f>
        <v>#N/A</v>
      </c>
      <c r="R154" s="14">
        <f>HARMEAN(Todas!R836:R839)</f>
        <v>1.8404897240683453</v>
      </c>
      <c r="S154" s="14" t="e">
        <f>HARMEAN(Todas!S836:S839)</f>
        <v>#N/A</v>
      </c>
      <c r="T154" s="14" t="e">
        <f>HARMEAN(Todas!T836:T839)</f>
        <v>#N/A</v>
      </c>
      <c r="U154" s="14">
        <f>HARMEAN(Todas!U836:U839)</f>
        <v>3.8968720210420256</v>
      </c>
      <c r="V154" s="14">
        <f>HARMEAN(Todas!V836:V839)</f>
        <v>1.8404897240683453</v>
      </c>
      <c r="W154" s="14">
        <f>HARMEAN(Todas!W836:W839)</f>
        <v>0.94365385759484388</v>
      </c>
    </row>
    <row r="155" spans="1:23">
      <c r="A155" t="s">
        <v>182</v>
      </c>
      <c r="B155" t="s">
        <v>259</v>
      </c>
      <c r="C155" s="21" t="str">
        <f>Todas!C840</f>
        <v>Laguna Madre (LM151)</v>
      </c>
      <c r="D155" s="14">
        <f>HARMEAN(Todas!D840:D843)</f>
        <v>1989.9999999999998</v>
      </c>
      <c r="E155" s="14">
        <f>HARMEAN(Todas!E840:E843)</f>
        <v>1</v>
      </c>
      <c r="F155" s="14">
        <f>HARMEAN(Todas!F840:F843)</f>
        <v>9</v>
      </c>
      <c r="G155" s="15">
        <f>HARMEAN(Todas!G840:G843)</f>
        <v>9</v>
      </c>
      <c r="H155" s="15">
        <f>HARMEAN(Todas!H840:H843)</f>
        <v>6307.4425016549794</v>
      </c>
      <c r="I155" s="14" t="e">
        <f>HARMEAN(Todas!I840:I843)</f>
        <v>#N/A</v>
      </c>
      <c r="J155" s="14" t="e">
        <f>HARMEAN(Todas!J840:J843)</f>
        <v>#N/A</v>
      </c>
      <c r="K155" s="14">
        <f>HARMEAN(Todas!K840:K843)</f>
        <v>53.096660141397045</v>
      </c>
      <c r="L155" s="14" t="e">
        <f>HARMEAN(Todas!L840:L843)</f>
        <v>#N/A</v>
      </c>
      <c r="M155" s="14" t="e">
        <f>HARMEAN(Todas!M840:M843)</f>
        <v>#N/A</v>
      </c>
      <c r="N155" s="14" t="e">
        <f>HARMEAN(Todas!N840:N843)</f>
        <v>#N/A</v>
      </c>
      <c r="O155" s="14">
        <f>HARMEAN(Todas!O840:O843)</f>
        <v>3.8101361545422647</v>
      </c>
      <c r="P155" s="14" t="e">
        <f>HARMEAN(Todas!P840:P843)</f>
        <v>#N/A</v>
      </c>
      <c r="Q155" s="14" t="e">
        <f>HARMEAN(Todas!Q840:Q843)</f>
        <v>#N/A</v>
      </c>
      <c r="R155" s="14">
        <f>HARMEAN(Todas!R840:R843)</f>
        <v>1.7284144139328246</v>
      </c>
      <c r="S155" s="14" t="e">
        <f>HARMEAN(Todas!S840:S843)</f>
        <v>#N/A</v>
      </c>
      <c r="T155" s="14" t="e">
        <f>HARMEAN(Todas!T840:T843)</f>
        <v>#N/A</v>
      </c>
      <c r="U155" s="14">
        <f>HARMEAN(Todas!U840:U843)</f>
        <v>3.8101361545422647</v>
      </c>
      <c r="V155" s="14">
        <f>HARMEAN(Todas!V840:V843)</f>
        <v>1.7284144139328246</v>
      </c>
      <c r="W155" s="14">
        <f>HARMEAN(Todas!W840:W843)</f>
        <v>1.0744056368063657</v>
      </c>
    </row>
    <row r="156" spans="1:23">
      <c r="A156" t="s">
        <v>182</v>
      </c>
      <c r="B156" t="s">
        <v>259</v>
      </c>
      <c r="C156" s="21" t="str">
        <f>Todas!C844</f>
        <v>Laguna Madre (LM151)</v>
      </c>
      <c r="D156" s="14">
        <f>HARMEAN(Todas!D844:D847)</f>
        <v>1989.9999999999998</v>
      </c>
      <c r="E156" s="14">
        <f>HARMEAN(Todas!E844:E847)</f>
        <v>2</v>
      </c>
      <c r="F156" s="14">
        <f>HARMEAN(Todas!F844:F847)</f>
        <v>25</v>
      </c>
      <c r="G156" s="15">
        <f>HARMEAN(Todas!G844:G847)</f>
        <v>55.47</v>
      </c>
      <c r="H156" s="15">
        <f>HARMEAN(Todas!H844:H847)</f>
        <v>4865.1014437741478</v>
      </c>
      <c r="I156" s="14" t="e">
        <f>HARMEAN(Todas!I844:I847)</f>
        <v>#N/A</v>
      </c>
      <c r="J156" s="14" t="e">
        <f>HARMEAN(Todas!J844:J847)</f>
        <v>#N/A</v>
      </c>
      <c r="K156" s="14">
        <f>HARMEAN(Todas!K844:K847)</f>
        <v>39.341533336623613</v>
      </c>
      <c r="L156" s="14" t="e">
        <f>HARMEAN(Todas!L844:L847)</f>
        <v>#N/A</v>
      </c>
      <c r="M156" s="14" t="e">
        <f>HARMEAN(Todas!M844:M847)</f>
        <v>#N/A</v>
      </c>
      <c r="N156" s="14" t="e">
        <f>HARMEAN(Todas!N844:N847)</f>
        <v>#N/A</v>
      </c>
      <c r="O156" s="14">
        <f>HARMEAN(Todas!O844:O847)</f>
        <v>3.6940165720112987</v>
      </c>
      <c r="P156" s="14" t="e">
        <f>HARMEAN(Todas!P844:P847)</f>
        <v>#N/A</v>
      </c>
      <c r="Q156" s="14" t="e">
        <f>HARMEAN(Todas!Q844:Q847)</f>
        <v>#N/A</v>
      </c>
      <c r="R156" s="14">
        <f>HARMEAN(Todas!R844:R847)</f>
        <v>1.5973787836803517</v>
      </c>
      <c r="S156" s="14" t="e">
        <f>HARMEAN(Todas!S844:S847)</f>
        <v>#N/A</v>
      </c>
      <c r="T156" s="14" t="e">
        <f>HARMEAN(Todas!T844:T847)</f>
        <v>#N/A</v>
      </c>
      <c r="U156" s="14">
        <f>HARMEAN(Todas!U844:U847)</f>
        <v>3.6940165720112987</v>
      </c>
      <c r="V156" s="14">
        <f>HARMEAN(Todas!V844:V847)</f>
        <v>1.5973787836803517</v>
      </c>
      <c r="W156" s="14">
        <f>HARMEAN(Todas!W844:W847)</f>
        <v>1.236859970549691</v>
      </c>
    </row>
    <row r="157" spans="1:23">
      <c r="A157" t="s">
        <v>182</v>
      </c>
      <c r="B157" t="s">
        <v>259</v>
      </c>
      <c r="C157" s="21" t="str">
        <f>Todas!C848</f>
        <v>Laguna Madre (LM151)</v>
      </c>
      <c r="D157" s="14">
        <f>HARMEAN(Todas!D848:D851)</f>
        <v>1989.9999999999998</v>
      </c>
      <c r="E157" s="14">
        <f>HARMEAN(Todas!E848:E851)</f>
        <v>5</v>
      </c>
      <c r="F157" s="14">
        <f>HARMEAN(Todas!F848:F851)</f>
        <v>8</v>
      </c>
      <c r="G157" s="15">
        <f>HARMEAN(Todas!G848:G851)</f>
        <v>129.88</v>
      </c>
      <c r="H157" s="15">
        <f>HARMEAN(Todas!H848:H851)</f>
        <v>6681.7774298933682</v>
      </c>
      <c r="I157" s="14" t="e">
        <f>HARMEAN(Todas!I848:I851)</f>
        <v>#N/A</v>
      </c>
      <c r="J157" s="14" t="e">
        <f>HARMEAN(Todas!J848:J851)</f>
        <v>#N/A</v>
      </c>
      <c r="K157" s="14">
        <f>HARMEAN(Todas!K848:K851)</f>
        <v>101.96007121896048</v>
      </c>
      <c r="L157" s="14" t="e">
        <f>HARMEAN(Todas!L848:L851)</f>
        <v>#N/A</v>
      </c>
      <c r="M157" s="14" t="e">
        <f>HARMEAN(Todas!M848:M851)</f>
        <v>#N/A</v>
      </c>
      <c r="N157" s="14" t="e">
        <f>HARMEAN(Todas!N848:N851)</f>
        <v>#N/A</v>
      </c>
      <c r="O157" s="14">
        <f>HARMEAN(Todas!O848:O851)</f>
        <v>3.8461058038132174</v>
      </c>
      <c r="P157" s="14" t="e">
        <f>HARMEAN(Todas!P848:P851)</f>
        <v>#N/A</v>
      </c>
      <c r="Q157" s="14" t="e">
        <f>HARMEAN(Todas!Q848:Q851)</f>
        <v>#N/A</v>
      </c>
      <c r="R157" s="14">
        <f>HARMEAN(Todas!R848:R851)</f>
        <v>2.0254083464216315</v>
      </c>
      <c r="S157" s="14" t="e">
        <f>HARMEAN(Todas!S848:S851)</f>
        <v>#N/A</v>
      </c>
      <c r="T157" s="14" t="e">
        <f>HARMEAN(Todas!T848:T851)</f>
        <v>#N/A</v>
      </c>
      <c r="U157" s="14">
        <f>HARMEAN(Todas!U848:U851)</f>
        <v>3.8461058038132174</v>
      </c>
      <c r="V157" s="14">
        <f>HARMEAN(Todas!V848:V851)</f>
        <v>2.0254083464216315</v>
      </c>
      <c r="W157" s="14">
        <f>HARMEAN(Todas!W848:W851)</f>
        <v>0.74252591803414802</v>
      </c>
    </row>
    <row r="158" spans="1:23">
      <c r="A158" t="s">
        <v>182</v>
      </c>
      <c r="B158" t="s">
        <v>259</v>
      </c>
      <c r="C158" s="21" t="str">
        <f>Todas!C852</f>
        <v>Laguna Madre (LM151)</v>
      </c>
      <c r="D158" s="14">
        <f>HARMEAN(Todas!D852:D855)</f>
        <v>1989.9999999999998</v>
      </c>
      <c r="E158" s="14">
        <f>HARMEAN(Todas!E852:E855)</f>
        <v>7</v>
      </c>
      <c r="F158" s="14">
        <f>HARMEAN(Todas!F852:F855)</f>
        <v>5</v>
      </c>
      <c r="G158" s="15">
        <f>HARMEAN(Todas!G852:G855)</f>
        <v>187.82</v>
      </c>
      <c r="H158" s="15">
        <f>HARMEAN(Todas!H852:H855)</f>
        <v>4592.1957188791921</v>
      </c>
      <c r="I158" s="14" t="e">
        <f>HARMEAN(Todas!I852:I855)</f>
        <v>#N/A</v>
      </c>
      <c r="J158" s="14" t="e">
        <f>HARMEAN(Todas!J852:J855)</f>
        <v>#N/A</v>
      </c>
      <c r="K158" s="14">
        <f>HARMEAN(Todas!K852:K855)</f>
        <v>151.62505773770869</v>
      </c>
      <c r="L158" s="14" t="e">
        <f>HARMEAN(Todas!L852:L855)</f>
        <v>#N/A</v>
      </c>
      <c r="M158" s="14" t="e">
        <f>HARMEAN(Todas!M852:M855)</f>
        <v>#N/A</v>
      </c>
      <c r="N158" s="14" t="e">
        <f>HARMEAN(Todas!N852:N855)</f>
        <v>#N/A</v>
      </c>
      <c r="O158" s="14">
        <f>HARMEAN(Todas!O852:O855)</f>
        <v>3.683005234908912</v>
      </c>
      <c r="P158" s="14" t="e">
        <f>HARMEAN(Todas!P852:P855)</f>
        <v>#N/A</v>
      </c>
      <c r="Q158" s="14" t="e">
        <f>HARMEAN(Todas!Q852:Q855)</f>
        <v>#N/A</v>
      </c>
      <c r="R158" s="14">
        <f>HARMEAN(Todas!R852:R855)</f>
        <v>2.1921059512726737</v>
      </c>
      <c r="S158" s="14" t="e">
        <f>HARMEAN(Todas!S852:S855)</f>
        <v>#N/A</v>
      </c>
      <c r="T158" s="14" t="e">
        <f>HARMEAN(Todas!T852:T855)</f>
        <v>#N/A</v>
      </c>
      <c r="U158" s="14">
        <f>HARMEAN(Todas!U852:U855)</f>
        <v>3.683005234908912</v>
      </c>
      <c r="V158" s="14">
        <f>HARMEAN(Todas!V852:V855)</f>
        <v>2.1921059512726737</v>
      </c>
      <c r="W158" s="14">
        <f>HARMEAN(Todas!W852:W855)</f>
        <v>0.62612842459890827</v>
      </c>
    </row>
    <row r="159" spans="1:23">
      <c r="A159" t="s">
        <v>182</v>
      </c>
      <c r="B159" t="s">
        <v>259</v>
      </c>
      <c r="C159" s="21" t="str">
        <f>Todas!C856</f>
        <v>Laguna Madre (LM151)</v>
      </c>
      <c r="D159" s="14">
        <f>HARMEAN(Todas!D856:D859)</f>
        <v>1989.9999999999998</v>
      </c>
      <c r="E159" s="14">
        <f>HARMEAN(Todas!E856:E859)</f>
        <v>9</v>
      </c>
      <c r="F159" s="14">
        <f>HARMEAN(Todas!F856:F859)</f>
        <v>6</v>
      </c>
      <c r="G159" s="15">
        <f>HARMEAN(Todas!G856:G859)</f>
        <v>249.76000000000002</v>
      </c>
      <c r="H159" s="15">
        <f>HARMEAN(Todas!H856:H859)</f>
        <v>10472.355780295295</v>
      </c>
      <c r="I159" s="14" t="e">
        <f>HARMEAN(Todas!I856:I859)</f>
        <v>#N/A</v>
      </c>
      <c r="J159" s="14" t="e">
        <f>HARMEAN(Todas!J856:J859)</f>
        <v>#N/A</v>
      </c>
      <c r="K159" s="14">
        <f>HARMEAN(Todas!K856:K859)</f>
        <v>205.0382765275684</v>
      </c>
      <c r="L159" s="14" t="e">
        <f>HARMEAN(Todas!L856:L859)</f>
        <v>#N/A</v>
      </c>
      <c r="M159" s="14" t="e">
        <f>HARMEAN(Todas!M856:M859)</f>
        <v>#N/A</v>
      </c>
      <c r="N159" s="14" t="e">
        <f>HARMEAN(Todas!N856:N859)</f>
        <v>#N/A</v>
      </c>
      <c r="O159" s="14">
        <f>HARMEAN(Todas!O856:O859)</f>
        <v>4.0221126113100931</v>
      </c>
      <c r="P159" s="14" t="e">
        <f>HARMEAN(Todas!P856:P859)</f>
        <v>#N/A</v>
      </c>
      <c r="Q159" s="14" t="e">
        <f>HARMEAN(Todas!Q856:Q859)</f>
        <v>#N/A</v>
      </c>
      <c r="R159" s="14">
        <f>HARMEAN(Todas!R856:R859)</f>
        <v>2.3142317922018822</v>
      </c>
      <c r="S159" s="14" t="e">
        <f>HARMEAN(Todas!S856:S859)</f>
        <v>#N/A</v>
      </c>
      <c r="T159" s="14" t="e">
        <f>HARMEAN(Todas!T856:T859)</f>
        <v>#N/A</v>
      </c>
      <c r="U159" s="14">
        <f>HARMEAN(Todas!U856:U859)</f>
        <v>4.0221126113100931</v>
      </c>
      <c r="V159" s="14">
        <f>HARMEAN(Todas!V856:V859)</f>
        <v>2.3142317922018822</v>
      </c>
      <c r="W159" s="14">
        <f>HARMEAN(Todas!W856:W859)</f>
        <v>0.45863740145182375</v>
      </c>
    </row>
    <row r="160" spans="1:23">
      <c r="A160" t="s">
        <v>182</v>
      </c>
      <c r="B160" t="s">
        <v>259</v>
      </c>
      <c r="C160" s="21" t="str">
        <f>Todas!C860</f>
        <v>Laguna Madre (LM151)</v>
      </c>
      <c r="D160" s="14">
        <f>HARMEAN(Todas!D860:D863)</f>
        <v>1989.9999999999998</v>
      </c>
      <c r="E160" s="14">
        <f>HARMEAN(Todas!E860:E863)</f>
        <v>11</v>
      </c>
      <c r="F160" s="14">
        <f>HARMEAN(Todas!F860:F863)</f>
        <v>15</v>
      </c>
      <c r="G160" s="15">
        <f>HARMEAN(Todas!G860:G863)</f>
        <v>319.7</v>
      </c>
      <c r="H160" s="15">
        <f>HARMEAN(Todas!H860:H863)</f>
        <v>3693.7980419580422</v>
      </c>
      <c r="I160" s="14" t="e">
        <f>HARMEAN(Todas!I860:I863)</f>
        <v>#N/A</v>
      </c>
      <c r="J160" s="14" t="e">
        <f>HARMEAN(Todas!J860:J863)</f>
        <v>#N/A</v>
      </c>
      <c r="K160" s="14">
        <f>HARMEAN(Todas!K860:K863)</f>
        <v>51.257216615806222</v>
      </c>
      <c r="L160" s="14" t="e">
        <f>HARMEAN(Todas!L860:L863)</f>
        <v>#N/A</v>
      </c>
      <c r="M160" s="14" t="e">
        <f>HARMEAN(Todas!M860:M863)</f>
        <v>#N/A</v>
      </c>
      <c r="N160" s="14" t="e">
        <f>HARMEAN(Todas!N860:N863)</f>
        <v>#N/A</v>
      </c>
      <c r="O160" s="14">
        <f>HARMEAN(Todas!O860:O863)</f>
        <v>3.5809772237983473</v>
      </c>
      <c r="P160" s="14" t="e">
        <f>HARMEAN(Todas!P860:P863)</f>
        <v>#N/A</v>
      </c>
      <c r="Q160" s="14" t="e">
        <f>HARMEAN(Todas!Q860:Q863)</f>
        <v>#N/A</v>
      </c>
      <c r="R160" s="14">
        <f>HARMEAN(Todas!R860:R863)</f>
        <v>1.7129537582333396</v>
      </c>
      <c r="S160" s="14" t="e">
        <f>HARMEAN(Todas!S860:S863)</f>
        <v>#N/A</v>
      </c>
      <c r="T160" s="14" t="e">
        <f>HARMEAN(Todas!T860:T863)</f>
        <v>#N/A</v>
      </c>
      <c r="U160" s="14">
        <f>HARMEAN(Todas!U860:U863)</f>
        <v>3.5809772237983473</v>
      </c>
      <c r="V160" s="14">
        <f>HARMEAN(Todas!V860:V863)</f>
        <v>1.7129537582333396</v>
      </c>
      <c r="W160" s="14">
        <f>HARMEAN(Todas!W860:W863)</f>
        <v>1.1569491989129606</v>
      </c>
    </row>
    <row r="161" spans="1:23">
      <c r="A161" t="s">
        <v>182</v>
      </c>
      <c r="B161" t="s">
        <v>259</v>
      </c>
      <c r="C161" s="21" t="str">
        <f>Todas!C864</f>
        <v>Laguna Madre (LM151)</v>
      </c>
      <c r="D161" s="14">
        <f>HARMEAN(Todas!D864:D867)</f>
        <v>1990.9999999999998</v>
      </c>
      <c r="E161" s="14">
        <f>HARMEAN(Todas!E864:E867)</f>
        <v>1</v>
      </c>
      <c r="F161" s="14">
        <f>HARMEAN(Todas!F864:F867)</f>
        <v>25</v>
      </c>
      <c r="G161" s="15">
        <f>HARMEAN(Todas!G864:G867)</f>
        <v>25</v>
      </c>
      <c r="H161" s="15">
        <f>HARMEAN(Todas!H864:H867)</f>
        <v>4472.8176173285192</v>
      </c>
      <c r="I161" s="14" t="e">
        <f>HARMEAN(Todas!I864:I867)</f>
        <v>#N/A</v>
      </c>
      <c r="J161" s="14" t="e">
        <f>HARMEAN(Todas!J864:J867)</f>
        <v>#N/A</v>
      </c>
      <c r="K161" s="14">
        <f>HARMEAN(Todas!K864:K867)</f>
        <v>43.55458558638145</v>
      </c>
      <c r="L161" s="14" t="e">
        <f>HARMEAN(Todas!L864:L867)</f>
        <v>#N/A</v>
      </c>
      <c r="M161" s="14" t="e">
        <f>HARMEAN(Todas!M864:M867)</f>
        <v>#N/A</v>
      </c>
      <c r="N161" s="14" t="e">
        <f>HARMEAN(Todas!N864:N867)</f>
        <v>#N/A</v>
      </c>
      <c r="O161" s="14">
        <f>HARMEAN(Todas!O864:O867)</f>
        <v>3.6543478504251583</v>
      </c>
      <c r="P161" s="14" t="e">
        <f>HARMEAN(Todas!P864:P867)</f>
        <v>#N/A</v>
      </c>
      <c r="Q161" s="14" t="e">
        <f>HARMEAN(Todas!Q864:Q867)</f>
        <v>#N/A</v>
      </c>
      <c r="R161" s="14">
        <f>HARMEAN(Todas!R864:R867)</f>
        <v>1.6474788602055406</v>
      </c>
      <c r="S161" s="14" t="e">
        <f>HARMEAN(Todas!S864:S867)</f>
        <v>#N/A</v>
      </c>
      <c r="T161" s="14" t="e">
        <f>HARMEAN(Todas!T864:T867)</f>
        <v>#N/A</v>
      </c>
      <c r="U161" s="14">
        <f>HARMEAN(Todas!U864:U867)</f>
        <v>3.6543478504251583</v>
      </c>
      <c r="V161" s="14">
        <f>HARMEAN(Todas!V864:V867)</f>
        <v>1.6474788602055406</v>
      </c>
      <c r="W161" s="14">
        <f>HARMEAN(Todas!W864:W867)</f>
        <v>1.1922058017762056</v>
      </c>
    </row>
    <row r="162" spans="1:23">
      <c r="A162" t="s">
        <v>182</v>
      </c>
      <c r="B162" t="s">
        <v>259</v>
      </c>
      <c r="C162" s="21" t="str">
        <f>Todas!C868</f>
        <v>Laguna Madre (LM151)</v>
      </c>
      <c r="D162" s="14">
        <f>HARMEAN(Todas!D868:D871)</f>
        <v>1990.9999999999998</v>
      </c>
      <c r="E162" s="14">
        <f>HARMEAN(Todas!E868:E871)</f>
        <v>3</v>
      </c>
      <c r="F162" s="14">
        <f>HARMEAN(Todas!F868:F871)</f>
        <v>27</v>
      </c>
      <c r="G162" s="15">
        <f>HARMEAN(Todas!G868:G871)</f>
        <v>87.94</v>
      </c>
      <c r="H162" s="15">
        <f>HARMEAN(Todas!H868:H871)</f>
        <v>8968.8782418265127</v>
      </c>
      <c r="I162" s="14" t="e">
        <f>HARMEAN(Todas!I868:I871)</f>
        <v>#N/A</v>
      </c>
      <c r="J162" s="14" t="e">
        <f>HARMEAN(Todas!J868:J871)</f>
        <v>#N/A</v>
      </c>
      <c r="K162" s="14">
        <f>HARMEAN(Todas!K868:K871)</f>
        <v>129.8389907116337</v>
      </c>
      <c r="L162" s="14" t="e">
        <f>HARMEAN(Todas!L868:L871)</f>
        <v>#N/A</v>
      </c>
      <c r="M162" s="14" t="e">
        <f>HARMEAN(Todas!M868:M871)</f>
        <v>#N/A</v>
      </c>
      <c r="N162" s="14" t="e">
        <f>HARMEAN(Todas!N868:N871)</f>
        <v>#N/A</v>
      </c>
      <c r="O162" s="14">
        <f>HARMEAN(Todas!O868:O871)</f>
        <v>3.9545185085758998</v>
      </c>
      <c r="P162" s="14" t="e">
        <f>HARMEAN(Todas!P868:P871)</f>
        <v>#N/A</v>
      </c>
      <c r="Q162" s="14" t="e">
        <f>HARMEAN(Todas!Q868:Q871)</f>
        <v>#N/A</v>
      </c>
      <c r="R162" s="14">
        <f>HARMEAN(Todas!R868:R871)</f>
        <v>2.1140353325003796</v>
      </c>
      <c r="S162" s="14" t="e">
        <f>HARMEAN(Todas!S868:S871)</f>
        <v>#N/A</v>
      </c>
      <c r="T162" s="14" t="e">
        <f>HARMEAN(Todas!T868:T871)</f>
        <v>#N/A</v>
      </c>
      <c r="U162" s="14">
        <f>HARMEAN(Todas!U868:U871)</f>
        <v>3.9545185085758998</v>
      </c>
      <c r="V162" s="14">
        <f>HARMEAN(Todas!V868:V871)</f>
        <v>2.1140353325003796</v>
      </c>
      <c r="W162" s="14">
        <f>HARMEAN(Todas!W868:W871)</f>
        <v>0.67369772610874801</v>
      </c>
    </row>
    <row r="163" spans="1:23">
      <c r="A163" t="s">
        <v>182</v>
      </c>
      <c r="B163" t="s">
        <v>259</v>
      </c>
      <c r="C163" s="21" t="str">
        <f>Todas!C872</f>
        <v>Laguna Madre (LM151)</v>
      </c>
      <c r="D163" s="14">
        <f>HARMEAN(Todas!D872:D875)</f>
        <v>1990.9999999999998</v>
      </c>
      <c r="E163" s="14">
        <f>HARMEAN(Todas!E872:E875)</f>
        <v>5</v>
      </c>
      <c r="F163" s="14">
        <f>HARMEAN(Todas!F872:F875)</f>
        <v>15</v>
      </c>
      <c r="G163" s="15">
        <f>HARMEAN(Todas!G872:G875)</f>
        <v>136.88</v>
      </c>
      <c r="H163" s="15">
        <f>HARMEAN(Todas!H872:H875)</f>
        <v>7188.5434576271182</v>
      </c>
      <c r="I163" s="14" t="e">
        <f>HARMEAN(Todas!I872:I875)</f>
        <v>#N/A</v>
      </c>
      <c r="J163" s="14" t="e">
        <f>HARMEAN(Todas!J872:J875)</f>
        <v>#N/A</v>
      </c>
      <c r="K163" s="14">
        <f>HARMEAN(Todas!K872:K875)</f>
        <v>204.04464267838665</v>
      </c>
      <c r="L163" s="14" t="e">
        <f>HARMEAN(Todas!L872:L875)</f>
        <v>#N/A</v>
      </c>
      <c r="M163" s="14" t="e">
        <f>HARMEAN(Todas!M872:M875)</f>
        <v>#N/A</v>
      </c>
      <c r="N163" s="14" t="e">
        <f>HARMEAN(Todas!N872:N875)</f>
        <v>#N/A</v>
      </c>
      <c r="O163" s="14">
        <f>HARMEAN(Todas!O872:O875)</f>
        <v>3.8607648798549126</v>
      </c>
      <c r="P163" s="14" t="e">
        <f>HARMEAN(Todas!P872:P875)</f>
        <v>#N/A</v>
      </c>
      <c r="Q163" s="14" t="e">
        <f>HARMEAN(Todas!Q872:Q875)</f>
        <v>#N/A</v>
      </c>
      <c r="R163" s="14">
        <f>HARMEAN(Todas!R872:R875)</f>
        <v>2.3135087612961072</v>
      </c>
      <c r="S163" s="14" t="e">
        <f>HARMEAN(Todas!S872:S875)</f>
        <v>#N/A</v>
      </c>
      <c r="T163" s="14" t="e">
        <f>HARMEAN(Todas!T872:T875)</f>
        <v>#N/A</v>
      </c>
      <c r="U163" s="14">
        <f>HARMEAN(Todas!U872:U875)</f>
        <v>3.8607648798549126</v>
      </c>
      <c r="V163" s="14">
        <f>HARMEAN(Todas!V872:V875)</f>
        <v>2.3135087612961072</v>
      </c>
      <c r="W163" s="14">
        <f>HARMEAN(Todas!W872:W875)</f>
        <v>0.50080760851288886</v>
      </c>
    </row>
    <row r="164" spans="1:23">
      <c r="A164" t="s">
        <v>182</v>
      </c>
      <c r="B164" t="s">
        <v>259</v>
      </c>
      <c r="C164" s="21" t="str">
        <f>Todas!C876</f>
        <v>Laguna Madre (LM151)</v>
      </c>
      <c r="D164" s="14">
        <f>HARMEAN(Todas!D876:D879)</f>
        <v>1990.9999999999998</v>
      </c>
      <c r="E164" s="14">
        <f>HARMEAN(Todas!E876:E879)</f>
        <v>7</v>
      </c>
      <c r="F164" s="14">
        <f>HARMEAN(Todas!F876:F879)</f>
        <v>18</v>
      </c>
      <c r="G164" s="15">
        <f>HARMEAN(Todas!G876:G879)</f>
        <v>200.82</v>
      </c>
      <c r="H164" s="15">
        <f>HARMEAN(Todas!H876:H879)</f>
        <v>3103.402583358366</v>
      </c>
      <c r="I164" s="14" t="e">
        <f>HARMEAN(Todas!I876:I879)</f>
        <v>#N/A</v>
      </c>
      <c r="J164" s="14" t="e">
        <f>HARMEAN(Todas!J876:J879)</f>
        <v>#N/A</v>
      </c>
      <c r="K164" s="14">
        <f>HARMEAN(Todas!K876:K879)</f>
        <v>64.509803297866767</v>
      </c>
      <c r="L164" s="14" t="e">
        <f>HARMEAN(Todas!L876:L879)</f>
        <v>#N/A</v>
      </c>
      <c r="M164" s="14" t="e">
        <f>HARMEAN(Todas!M876:M879)</f>
        <v>#N/A</v>
      </c>
      <c r="N164" s="14" t="e">
        <f>HARMEAN(Todas!N876:N879)</f>
        <v>#N/A</v>
      </c>
      <c r="O164" s="14">
        <f>HARMEAN(Todas!O876:O879)</f>
        <v>3.4967717442624746</v>
      </c>
      <c r="P164" s="14" t="e">
        <f>HARMEAN(Todas!P876:P879)</f>
        <v>#N/A</v>
      </c>
      <c r="Q164" s="14" t="e">
        <f>HARMEAN(Todas!Q876:Q879)</f>
        <v>#N/A</v>
      </c>
      <c r="R164" s="14">
        <f>HARMEAN(Todas!R876:R879)</f>
        <v>1.8309537297091865</v>
      </c>
      <c r="S164" s="14" t="e">
        <f>HARMEAN(Todas!S876:S879)</f>
        <v>#N/A</v>
      </c>
      <c r="T164" s="14" t="e">
        <f>HARMEAN(Todas!T876:T879)</f>
        <v>#N/A</v>
      </c>
      <c r="U164" s="14">
        <f>HARMEAN(Todas!U876:U879)</f>
        <v>3.4967717442624746</v>
      </c>
      <c r="V164" s="14">
        <f>HARMEAN(Todas!V876:V879)</f>
        <v>1.8309537297091865</v>
      </c>
      <c r="W164" s="14">
        <f>HARMEAN(Todas!W876:W879)</f>
        <v>1.0240868527032976</v>
      </c>
    </row>
    <row r="165" spans="1:23">
      <c r="A165" t="s">
        <v>182</v>
      </c>
      <c r="B165" t="s">
        <v>259</v>
      </c>
      <c r="C165" s="21" t="str">
        <f>Todas!C880</f>
        <v>Laguna Madre (LM151)</v>
      </c>
      <c r="D165" s="14">
        <f>HARMEAN(Todas!D880:D883)</f>
        <v>1990.9999999999998</v>
      </c>
      <c r="E165" s="14">
        <f>HARMEAN(Todas!E880:E883)</f>
        <v>9</v>
      </c>
      <c r="F165" s="14">
        <f>HARMEAN(Todas!F880:F883)</f>
        <v>25</v>
      </c>
      <c r="G165" s="15">
        <f>HARMEAN(Todas!G880:G883)</f>
        <v>268.76</v>
      </c>
      <c r="H165" s="15">
        <f>HARMEAN(Todas!H880:H883)</f>
        <v>7652.821487257459</v>
      </c>
      <c r="I165" s="14" t="e">
        <f>HARMEAN(Todas!I880:I883)</f>
        <v>#N/A</v>
      </c>
      <c r="J165" s="14" t="e">
        <f>HARMEAN(Todas!J880:J883)</f>
        <v>#N/A</v>
      </c>
      <c r="K165" s="14">
        <f>HARMEAN(Todas!K880:K883)</f>
        <v>201.94213248513583</v>
      </c>
      <c r="L165" s="14" t="e">
        <f>HARMEAN(Todas!L880:L883)</f>
        <v>#N/A</v>
      </c>
      <c r="M165" s="14" t="e">
        <f>HARMEAN(Todas!M880:M883)</f>
        <v>#N/A</v>
      </c>
      <c r="N165" s="14" t="e">
        <f>HARMEAN(Todas!N880:N883)</f>
        <v>#N/A</v>
      </c>
      <c r="O165" s="14">
        <f>HARMEAN(Todas!O880:O883)</f>
        <v>3.9196341380175137</v>
      </c>
      <c r="P165" s="14" t="e">
        <f>HARMEAN(Todas!P880:P883)</f>
        <v>#N/A</v>
      </c>
      <c r="Q165" s="14" t="e">
        <f>HARMEAN(Todas!Q880:Q883)</f>
        <v>#N/A</v>
      </c>
      <c r="R165" s="14">
        <f>HARMEAN(Todas!R880:R883)</f>
        <v>2.3222238083450502</v>
      </c>
      <c r="S165" s="14" t="e">
        <f>HARMEAN(Todas!S880:S883)</f>
        <v>#N/A</v>
      </c>
      <c r="T165" s="14" t="e">
        <f>HARMEAN(Todas!T880:T883)</f>
        <v>#N/A</v>
      </c>
      <c r="U165" s="14">
        <f>HARMEAN(Todas!U880:U883)</f>
        <v>3.9196341380175137</v>
      </c>
      <c r="V165" s="14">
        <f>HARMEAN(Todas!V880:V883)</f>
        <v>2.3222238083450502</v>
      </c>
      <c r="W165" s="14">
        <f>HARMEAN(Todas!W880:W883)</f>
        <v>0.38157321776401193</v>
      </c>
    </row>
    <row r="166" spans="1:23">
      <c r="A166" t="s">
        <v>182</v>
      </c>
      <c r="B166" t="s">
        <v>259</v>
      </c>
      <c r="C166" s="21" t="str">
        <f>Todas!C884</f>
        <v>Laguna Madre (LM151)</v>
      </c>
      <c r="D166" s="14">
        <f>HARMEAN(Todas!D884:D887)</f>
        <v>1990.9999999999998</v>
      </c>
      <c r="E166" s="14">
        <f>HARMEAN(Todas!E884:E887)</f>
        <v>11</v>
      </c>
      <c r="F166" s="14">
        <f>HARMEAN(Todas!F884:F887)</f>
        <v>27</v>
      </c>
      <c r="G166" s="15">
        <f>HARMEAN(Todas!G884:G887)</f>
        <v>331.7</v>
      </c>
      <c r="H166" s="15">
        <f>HARMEAN(Todas!H884:H887)</f>
        <v>3857.736269662922</v>
      </c>
      <c r="I166" s="14" t="e">
        <f>HARMEAN(Todas!I884:I887)</f>
        <v>#N/A</v>
      </c>
      <c r="J166" s="14" t="e">
        <f>HARMEAN(Todas!J884:J887)</f>
        <v>#N/A</v>
      </c>
      <c r="K166" s="14">
        <f>HARMEAN(Todas!K884:K887)</f>
        <v>46.717933479361214</v>
      </c>
      <c r="L166" s="14" t="e">
        <f>HARMEAN(Todas!L884:L887)</f>
        <v>#N/A</v>
      </c>
      <c r="M166" s="14" t="e">
        <f>HARMEAN(Todas!M884:M887)</f>
        <v>#N/A</v>
      </c>
      <c r="N166" s="14" t="e">
        <f>HARMEAN(Todas!N884:N887)</f>
        <v>#N/A</v>
      </c>
      <c r="O166" s="14">
        <f>HARMEAN(Todas!O884:O887)</f>
        <v>3.6000200582007893</v>
      </c>
      <c r="P166" s="14" t="e">
        <f>HARMEAN(Todas!P884:P887)</f>
        <v>#N/A</v>
      </c>
      <c r="Q166" s="14" t="e">
        <f>HARMEAN(Todas!Q884:Q887)</f>
        <v>#N/A</v>
      </c>
      <c r="R166" s="14">
        <f>HARMEAN(Todas!R884:R887)</f>
        <v>1.6866449295311563</v>
      </c>
      <c r="S166" s="14" t="e">
        <f>HARMEAN(Todas!S884:S887)</f>
        <v>#N/A</v>
      </c>
      <c r="T166" s="14" t="e">
        <f>HARMEAN(Todas!T884:T887)</f>
        <v>#N/A</v>
      </c>
      <c r="U166" s="14">
        <f>HARMEAN(Todas!U884:U887)</f>
        <v>3.6000200582007893</v>
      </c>
      <c r="V166" s="14">
        <f>HARMEAN(Todas!V884:V887)</f>
        <v>1.6866449295311563</v>
      </c>
      <c r="W166" s="14">
        <f>HARMEAN(Todas!W884:W887)</f>
        <v>1.1214015929490295</v>
      </c>
    </row>
    <row r="167" spans="1:23">
      <c r="A167" t="s">
        <v>182</v>
      </c>
      <c r="B167" t="s">
        <v>259</v>
      </c>
      <c r="C167" s="21" t="str">
        <f>Todas!C888</f>
        <v>Laguna Madre (LM151)</v>
      </c>
      <c r="D167" s="14">
        <f>HARMEAN(Todas!D888:D891)</f>
        <v>1992.0000000000002</v>
      </c>
      <c r="E167" s="14">
        <f>HARMEAN(Todas!E888:E891)</f>
        <v>1</v>
      </c>
      <c r="F167" s="14">
        <f>HARMEAN(Todas!F888:F891)</f>
        <v>21</v>
      </c>
      <c r="G167" s="15">
        <f>HARMEAN(Todas!G888:G891)</f>
        <v>21</v>
      </c>
      <c r="H167" s="15">
        <f>HARMEAN(Todas!H888:H891)</f>
        <v>6065.3395964346737</v>
      </c>
      <c r="I167" s="14" t="e">
        <f>HARMEAN(Todas!I888:I891)</f>
        <v>#N/A</v>
      </c>
      <c r="J167" s="14" t="e">
        <f>HARMEAN(Todas!J888:J891)</f>
        <v>#N/A</v>
      </c>
      <c r="K167" s="14">
        <f>HARMEAN(Todas!K888:K891)</f>
        <v>63.809656087889671</v>
      </c>
      <c r="L167" s="14" t="e">
        <f>HARMEAN(Todas!L888:L891)</f>
        <v>#N/A</v>
      </c>
      <c r="M167" s="14" t="e">
        <f>HARMEAN(Todas!M888:M891)</f>
        <v>#N/A</v>
      </c>
      <c r="N167" s="14" t="e">
        <f>HARMEAN(Todas!N888:N891)</f>
        <v>#N/A</v>
      </c>
      <c r="O167" s="14">
        <f>HARMEAN(Todas!O888:O891)</f>
        <v>3.7890868310257275</v>
      </c>
      <c r="P167" s="14" t="e">
        <f>HARMEAN(Todas!P888:P891)</f>
        <v>#N/A</v>
      </c>
      <c r="Q167" s="14" t="e">
        <f>HARMEAN(Todas!Q888:Q891)</f>
        <v>#N/A</v>
      </c>
      <c r="R167" s="14">
        <f>HARMEAN(Todas!R888:R891)</f>
        <v>1.8122728536902089</v>
      </c>
      <c r="S167" s="14" t="e">
        <f>HARMEAN(Todas!S888:S891)</f>
        <v>#N/A</v>
      </c>
      <c r="T167" s="14" t="e">
        <f>HARMEAN(Todas!T888:T891)</f>
        <v>#N/A</v>
      </c>
      <c r="U167" s="14">
        <f>HARMEAN(Todas!U888:U891)</f>
        <v>3.7890868310257275</v>
      </c>
      <c r="V167" s="14">
        <f>HARMEAN(Todas!V888:V891)</f>
        <v>1.8122728536902089</v>
      </c>
      <c r="W167" s="14">
        <f>HARMEAN(Todas!W888:W891)</f>
        <v>0.98650466586083885</v>
      </c>
    </row>
    <row r="168" spans="1:23">
      <c r="A168" t="s">
        <v>182</v>
      </c>
      <c r="B168" t="s">
        <v>259</v>
      </c>
      <c r="C168" s="21" t="str">
        <f>Todas!C892</f>
        <v>Laguna Madre (LM151)</v>
      </c>
      <c r="D168" s="14">
        <f>HARMEAN(Todas!D892:D895)</f>
        <v>1992.0000000000002</v>
      </c>
      <c r="E168" s="14">
        <f>HARMEAN(Todas!E892:E895)</f>
        <v>3</v>
      </c>
      <c r="F168" s="14">
        <f>HARMEAN(Todas!F892:F895)</f>
        <v>26</v>
      </c>
      <c r="G168" s="15">
        <f>HARMEAN(Todas!G892:G895)</f>
        <v>86.94</v>
      </c>
      <c r="H168" s="15">
        <f>HARMEAN(Todas!H892:H895)</f>
        <v>8167.3002609919931</v>
      </c>
      <c r="I168" s="14" t="e">
        <f>HARMEAN(Todas!I892:I895)</f>
        <v>#N/A</v>
      </c>
      <c r="J168" s="14" t="e">
        <f>HARMEAN(Todas!J892:J895)</f>
        <v>#N/A</v>
      </c>
      <c r="K168" s="14">
        <f>HARMEAN(Todas!K892:K895)</f>
        <v>97.670922154648125</v>
      </c>
      <c r="L168" s="14" t="e">
        <f>HARMEAN(Todas!L892:L895)</f>
        <v>#N/A</v>
      </c>
      <c r="M168" s="14" t="e">
        <f>HARMEAN(Todas!M892:M895)</f>
        <v>#N/A</v>
      </c>
      <c r="N168" s="14" t="e">
        <f>HARMEAN(Todas!N892:N895)</f>
        <v>#N/A</v>
      </c>
      <c r="O168" s="14">
        <f>HARMEAN(Todas!O892:O895)</f>
        <v>3.9160288061025268</v>
      </c>
      <c r="P168" s="14" t="e">
        <f>HARMEAN(Todas!P892:P895)</f>
        <v>#N/A</v>
      </c>
      <c r="Q168" s="14" t="e">
        <f>HARMEAN(Todas!Q892:Q895)</f>
        <v>#N/A</v>
      </c>
      <c r="R168" s="14">
        <f>HARMEAN(Todas!R892:R895)</f>
        <v>1.9897875235345863</v>
      </c>
      <c r="S168" s="14" t="e">
        <f>HARMEAN(Todas!S892:S895)</f>
        <v>#N/A</v>
      </c>
      <c r="T168" s="14" t="e">
        <f>HARMEAN(Todas!T892:T895)</f>
        <v>#N/A</v>
      </c>
      <c r="U168" s="14">
        <f>HARMEAN(Todas!U892:U895)</f>
        <v>3.9160288061025268</v>
      </c>
      <c r="V168" s="14">
        <f>HARMEAN(Todas!V892:V895)</f>
        <v>1.9897875235345863</v>
      </c>
      <c r="W168" s="14">
        <f>HARMEAN(Todas!W892:W895)</f>
        <v>0.80483775113335021</v>
      </c>
    </row>
    <row r="169" spans="1:23">
      <c r="A169" t="s">
        <v>182</v>
      </c>
      <c r="B169" t="s">
        <v>259</v>
      </c>
      <c r="C169" s="21" t="str">
        <f>Todas!C896</f>
        <v>Laguna Madre (LM151)</v>
      </c>
      <c r="D169" s="14">
        <f>HARMEAN(Todas!D896:D899)</f>
        <v>1992.0000000000002</v>
      </c>
      <c r="E169" s="14">
        <f>HARMEAN(Todas!E896:E899)</f>
        <v>5</v>
      </c>
      <c r="F169" s="14">
        <f>HARMEAN(Todas!F896:F899)</f>
        <v>29</v>
      </c>
      <c r="G169" s="15">
        <f>HARMEAN(Todas!G896:G899)</f>
        <v>150.88</v>
      </c>
      <c r="H169" s="15">
        <f>HARMEAN(Todas!H896:H899)</f>
        <v>7902.8991000999895</v>
      </c>
      <c r="I169" s="14" t="e">
        <f>HARMEAN(Todas!I896:I899)</f>
        <v>#N/A</v>
      </c>
      <c r="J169" s="14" t="e">
        <f>HARMEAN(Todas!J896:J899)</f>
        <v>#N/A</v>
      </c>
      <c r="K169" s="14">
        <f>HARMEAN(Todas!K896:K899)</f>
        <v>95.07939297352695</v>
      </c>
      <c r="L169" s="14" t="e">
        <f>HARMEAN(Todas!L896:L899)</f>
        <v>#N/A</v>
      </c>
      <c r="M169" s="14" t="e">
        <f>HARMEAN(Todas!M896:M899)</f>
        <v>#N/A</v>
      </c>
      <c r="N169" s="14" t="e">
        <f>HARMEAN(Todas!N896:N899)</f>
        <v>#N/A</v>
      </c>
      <c r="O169" s="14">
        <f>HARMEAN(Todas!O896:O899)</f>
        <v>3.9154107546374566</v>
      </c>
      <c r="P169" s="14" t="e">
        <f>HARMEAN(Todas!P896:P899)</f>
        <v>#N/A</v>
      </c>
      <c r="Q169" s="14" t="e">
        <f>HARMEAN(Todas!Q896:Q899)</f>
        <v>#N/A</v>
      </c>
      <c r="R169" s="14">
        <f>HARMEAN(Todas!R896:R899)</f>
        <v>2.0095517562264091</v>
      </c>
      <c r="S169" s="14" t="e">
        <f>HARMEAN(Todas!S896:S899)</f>
        <v>#N/A</v>
      </c>
      <c r="T169" s="14" t="e">
        <f>HARMEAN(Todas!T896:T899)</f>
        <v>#N/A</v>
      </c>
      <c r="U169" s="14">
        <f>HARMEAN(Todas!U896:U899)</f>
        <v>3.9154107546374566</v>
      </c>
      <c r="V169" s="14">
        <f>HARMEAN(Todas!V896:V899)</f>
        <v>2.0095517562264091</v>
      </c>
      <c r="W169" s="14">
        <f>HARMEAN(Todas!W896:W899)</f>
        <v>0.67040881557408449</v>
      </c>
    </row>
    <row r="170" spans="1:23">
      <c r="A170" t="s">
        <v>182</v>
      </c>
      <c r="B170" t="s">
        <v>259</v>
      </c>
      <c r="C170" s="21" t="str">
        <f>Todas!C900</f>
        <v>Laguna Madre (LM151)</v>
      </c>
      <c r="D170" s="14">
        <f>HARMEAN(Todas!D900:D903)</f>
        <v>1992.0000000000002</v>
      </c>
      <c r="E170" s="14">
        <f>HARMEAN(Todas!E900:E903)</f>
        <v>7</v>
      </c>
      <c r="F170" s="14">
        <f>HARMEAN(Todas!F900:F903)</f>
        <v>16</v>
      </c>
      <c r="G170" s="15">
        <f>HARMEAN(Todas!G900:G903)</f>
        <v>198.81999999999996</v>
      </c>
      <c r="H170" s="15">
        <f>HARMEAN(Todas!H900:H903)</f>
        <v>10210.081044491781</v>
      </c>
      <c r="I170" s="14" t="e">
        <f>HARMEAN(Todas!I900:I903)</f>
        <v>#N/A</v>
      </c>
      <c r="J170" s="14" t="e">
        <f>HARMEAN(Todas!J900:J903)</f>
        <v>#N/A</v>
      </c>
      <c r="K170" s="14">
        <f>HARMEAN(Todas!K900:K903)</f>
        <v>118.80320296700603</v>
      </c>
      <c r="L170" s="14" t="e">
        <f>HARMEAN(Todas!L900:L903)</f>
        <v>#N/A</v>
      </c>
      <c r="M170" s="14" t="e">
        <f>HARMEAN(Todas!M900:M903)</f>
        <v>#N/A</v>
      </c>
      <c r="N170" s="14" t="e">
        <f>HARMEAN(Todas!N900:N903)</f>
        <v>#N/A</v>
      </c>
      <c r="O170" s="14">
        <f>HARMEAN(Todas!O900:O903)</f>
        <v>4.0141325667261327</v>
      </c>
      <c r="P170" s="14" t="e">
        <f>HARMEAN(Todas!P900:P903)</f>
        <v>#N/A</v>
      </c>
      <c r="Q170" s="14" t="e">
        <f>HARMEAN(Todas!Q900:Q903)</f>
        <v>#N/A</v>
      </c>
      <c r="R170" s="14">
        <f>HARMEAN(Todas!R900:R903)</f>
        <v>2.076586925186549</v>
      </c>
      <c r="S170" s="14" t="e">
        <f>HARMEAN(Todas!S900:S903)</f>
        <v>#N/A</v>
      </c>
      <c r="T170" s="14" t="e">
        <f>HARMEAN(Todas!T900:T903)</f>
        <v>#N/A</v>
      </c>
      <c r="U170" s="14">
        <f>HARMEAN(Todas!U900:U903)</f>
        <v>4.0141325667261327</v>
      </c>
      <c r="V170" s="14">
        <f>HARMEAN(Todas!V900:V903)</f>
        <v>2.076586925186549</v>
      </c>
      <c r="W170" s="14">
        <f>HARMEAN(Todas!W900:W903)</f>
        <v>0.68711748054793265</v>
      </c>
    </row>
    <row r="171" spans="1:23">
      <c r="A171" t="s">
        <v>182</v>
      </c>
      <c r="B171" t="s">
        <v>259</v>
      </c>
      <c r="C171" s="21" t="str">
        <f>Todas!C904</f>
        <v>Laguna Madre (LM151)</v>
      </c>
      <c r="D171" s="14">
        <f>HARMEAN(Todas!D904:D907)</f>
        <v>1992.0000000000002</v>
      </c>
      <c r="E171" s="14">
        <f>HARMEAN(Todas!E904:E907)</f>
        <v>8</v>
      </c>
      <c r="F171" s="14">
        <f>HARMEAN(Todas!F904:F907)</f>
        <v>21</v>
      </c>
      <c r="G171" s="15">
        <f>HARMEAN(Todas!G904:G907)</f>
        <v>234.28999999999996</v>
      </c>
      <c r="H171" s="15">
        <f>HARMEAN(Todas!H904:H907)</f>
        <v>7819.7987959866214</v>
      </c>
      <c r="I171" s="14" t="e">
        <f>HARMEAN(Todas!I904:I907)</f>
        <v>#N/A</v>
      </c>
      <c r="J171" s="14" t="e">
        <f>HARMEAN(Todas!J904:J907)</f>
        <v>#N/A</v>
      </c>
      <c r="K171" s="14">
        <f>HARMEAN(Todas!K904:K907)</f>
        <v>90.096536905967056</v>
      </c>
      <c r="L171" s="14" t="e">
        <f>HARMEAN(Todas!L904:L907)</f>
        <v>#N/A</v>
      </c>
      <c r="M171" s="14" t="e">
        <f>HARMEAN(Todas!M904:M907)</f>
        <v>#N/A</v>
      </c>
      <c r="N171" s="14" t="e">
        <f>HARMEAN(Todas!N904:N907)</f>
        <v>#N/A</v>
      </c>
      <c r="O171" s="14">
        <f>HARMEAN(Todas!O904:O907)</f>
        <v>3.9045595827990609</v>
      </c>
      <c r="P171" s="14" t="e">
        <f>HARMEAN(Todas!P904:P907)</f>
        <v>#N/A</v>
      </c>
      <c r="Q171" s="14" t="e">
        <f>HARMEAN(Todas!Q904:Q907)</f>
        <v>#N/A</v>
      </c>
      <c r="R171" s="14">
        <f>HARMEAN(Todas!R904:R907)</f>
        <v>1.9715931651543421</v>
      </c>
      <c r="S171" s="14" t="e">
        <f>HARMEAN(Todas!S904:S907)</f>
        <v>#N/A</v>
      </c>
      <c r="T171" s="14" t="e">
        <f>HARMEAN(Todas!T904:T907)</f>
        <v>#N/A</v>
      </c>
      <c r="U171" s="14">
        <f>HARMEAN(Todas!U904:U907)</f>
        <v>3.9045595827990609</v>
      </c>
      <c r="V171" s="14">
        <f>HARMEAN(Todas!V904:V907)</f>
        <v>1.9715931651543421</v>
      </c>
      <c r="W171" s="14">
        <f>HARMEAN(Todas!W904:W907)</f>
        <v>0.75647246855055084</v>
      </c>
    </row>
    <row r="172" spans="1:23">
      <c r="A172" t="s">
        <v>182</v>
      </c>
      <c r="B172" t="s">
        <v>259</v>
      </c>
      <c r="C172" s="21" t="str">
        <f>Todas!C908</f>
        <v>Laguna Madre (LM151)</v>
      </c>
      <c r="D172" s="14">
        <f>HARMEAN(Todas!D908:D911)</f>
        <v>1992.0000000000002</v>
      </c>
      <c r="E172" s="14">
        <f>HARMEAN(Todas!E908:E911)</f>
        <v>10</v>
      </c>
      <c r="F172" s="14">
        <f>HARMEAN(Todas!F908:F911)</f>
        <v>14</v>
      </c>
      <c r="G172" s="15">
        <f>HARMEAN(Todas!G908:G911)</f>
        <v>288.23</v>
      </c>
      <c r="H172" s="15">
        <f>HARMEAN(Todas!H908:H911)</f>
        <v>4964.6402509897662</v>
      </c>
      <c r="I172" s="14" t="e">
        <f>HARMEAN(Todas!I908:I911)</f>
        <v>#N/A</v>
      </c>
      <c r="J172" s="14" t="e">
        <f>HARMEAN(Todas!J908:J911)</f>
        <v>#N/A</v>
      </c>
      <c r="K172" s="14">
        <f>HARMEAN(Todas!K908:K911)</f>
        <v>59.180069704016041</v>
      </c>
      <c r="L172" s="14" t="e">
        <f>HARMEAN(Todas!L908:L911)</f>
        <v>#N/A</v>
      </c>
      <c r="M172" s="14" t="e">
        <f>HARMEAN(Todas!M908:M911)</f>
        <v>#N/A</v>
      </c>
      <c r="N172" s="14" t="e">
        <f>HARMEAN(Todas!N908:N911)</f>
        <v>#N/A</v>
      </c>
      <c r="O172" s="14">
        <f>HARMEAN(Todas!O908:O911)</f>
        <v>3.7236259221085168</v>
      </c>
      <c r="P172" s="14" t="e">
        <f>HARMEAN(Todas!P908:P911)</f>
        <v>#N/A</v>
      </c>
      <c r="Q172" s="14" t="e">
        <f>HARMEAN(Todas!Q908:Q911)</f>
        <v>#N/A</v>
      </c>
      <c r="R172" s="14">
        <f>HARMEAN(Todas!R908:R911)</f>
        <v>1.7910253857410232</v>
      </c>
      <c r="S172" s="14" t="e">
        <f>HARMEAN(Todas!S908:S911)</f>
        <v>#N/A</v>
      </c>
      <c r="T172" s="14" t="e">
        <f>HARMEAN(Todas!T908:T911)</f>
        <v>#N/A</v>
      </c>
      <c r="U172" s="14">
        <f>HARMEAN(Todas!U908:U911)</f>
        <v>3.7236259221085168</v>
      </c>
      <c r="V172" s="14">
        <f>HARMEAN(Todas!V908:V911)</f>
        <v>1.7910253857410232</v>
      </c>
      <c r="W172" s="14">
        <f>HARMEAN(Todas!W908:W911)</f>
        <v>0.98691882292120814</v>
      </c>
    </row>
    <row r="173" spans="1:23">
      <c r="A173" t="s">
        <v>182</v>
      </c>
      <c r="B173" t="s">
        <v>259</v>
      </c>
      <c r="C173" s="21" t="str">
        <f>Todas!C912</f>
        <v>Laguna Madre (LM151)</v>
      </c>
      <c r="D173" s="14">
        <f>HARMEAN(Todas!D912:D915)</f>
        <v>1992.0000000000002</v>
      </c>
      <c r="E173" s="14">
        <f>HARMEAN(Todas!E912:E915)</f>
        <v>12</v>
      </c>
      <c r="F173" s="14">
        <f>HARMEAN(Todas!F912:F915)</f>
        <v>7</v>
      </c>
      <c r="G173" s="15">
        <f>HARMEAN(Todas!G912:G915)</f>
        <v>342.16999999999996</v>
      </c>
      <c r="H173" s="15">
        <f>HARMEAN(Todas!H912:H915)</f>
        <v>7443.9358213059395</v>
      </c>
      <c r="I173" s="14" t="e">
        <f>HARMEAN(Todas!I912:I915)</f>
        <v>#N/A</v>
      </c>
      <c r="J173" s="14" t="e">
        <f>HARMEAN(Todas!J912:J915)</f>
        <v>#N/A</v>
      </c>
      <c r="K173" s="14">
        <f>HARMEAN(Todas!K912:K915)</f>
        <v>63.9858596244731</v>
      </c>
      <c r="L173" s="14" t="e">
        <f>HARMEAN(Todas!L912:L915)</f>
        <v>#N/A</v>
      </c>
      <c r="M173" s="14" t="e">
        <f>HARMEAN(Todas!M912:M915)</f>
        <v>#N/A</v>
      </c>
      <c r="N173" s="14" t="e">
        <f>HARMEAN(Todas!N912:N915)</f>
        <v>#N/A</v>
      </c>
      <c r="O173" s="14">
        <f>HARMEAN(Todas!O912:O915)</f>
        <v>3.87917562229118</v>
      </c>
      <c r="P173" s="14" t="e">
        <f>HARMEAN(Todas!P912:P915)</f>
        <v>#N/A</v>
      </c>
      <c r="Q173" s="14" t="e">
        <f>HARMEAN(Todas!Q912:Q915)</f>
        <v>#N/A</v>
      </c>
      <c r="R173" s="14">
        <f>HARMEAN(Todas!R912:R915)</f>
        <v>1.814533421097392</v>
      </c>
      <c r="S173" s="14" t="e">
        <f>HARMEAN(Todas!S912:S915)</f>
        <v>#N/A</v>
      </c>
      <c r="T173" s="14" t="e">
        <f>HARMEAN(Todas!T912:T915)</f>
        <v>#N/A</v>
      </c>
      <c r="U173" s="14">
        <f>HARMEAN(Todas!U912:U915)</f>
        <v>3.87917562229118</v>
      </c>
      <c r="V173" s="14">
        <f>HARMEAN(Todas!V912:V915)</f>
        <v>1.814533421097392</v>
      </c>
      <c r="W173" s="14">
        <f>HARMEAN(Todas!W912:W915)</f>
        <v>0.95681636352227073</v>
      </c>
    </row>
    <row r="174" spans="1:23">
      <c r="A174" t="s">
        <v>182</v>
      </c>
      <c r="B174" t="s">
        <v>259</v>
      </c>
      <c r="C174" s="21" t="str">
        <f>Todas!C916</f>
        <v>Laguna Madre (LM151)</v>
      </c>
      <c r="D174" s="14">
        <f>HARMEAN(Todas!D916:D919)</f>
        <v>1993.0000000000002</v>
      </c>
      <c r="E174" s="14">
        <f>HARMEAN(Todas!E916:E919)</f>
        <v>2</v>
      </c>
      <c r="F174" s="14">
        <f>HARMEAN(Todas!F916:F919)</f>
        <v>16</v>
      </c>
      <c r="G174" s="15">
        <f>HARMEAN(Todas!G916:G919)</f>
        <v>46.47</v>
      </c>
      <c r="H174" s="15">
        <f>HARMEAN(Todas!H916:H919)</f>
        <v>5370.7463926541323</v>
      </c>
      <c r="I174" s="14" t="e">
        <f>HARMEAN(Todas!I916:I919)</f>
        <v>#N/A</v>
      </c>
      <c r="J174" s="14" t="e">
        <f>HARMEAN(Todas!J916:J919)</f>
        <v>#N/A</v>
      </c>
      <c r="K174" s="14">
        <f>HARMEAN(Todas!K916:K919)</f>
        <v>54.974998990786602</v>
      </c>
      <c r="L174" s="14" t="e">
        <f>HARMEAN(Todas!L916:L919)</f>
        <v>#N/A</v>
      </c>
      <c r="M174" s="14" t="e">
        <f>HARMEAN(Todas!M916:M919)</f>
        <v>#N/A</v>
      </c>
      <c r="N174" s="14" t="e">
        <f>HARMEAN(Todas!N916:N919)</f>
        <v>#N/A</v>
      </c>
      <c r="O174" s="14">
        <f>HARMEAN(Todas!O916:O919)</f>
        <v>3.7487712684650014</v>
      </c>
      <c r="P174" s="14" t="e">
        <f>HARMEAN(Todas!P916:P919)</f>
        <v>#N/A</v>
      </c>
      <c r="Q174" s="14" t="e">
        <f>HARMEAN(Todas!Q916:Q919)</f>
        <v>#N/A</v>
      </c>
      <c r="R174" s="14">
        <f>HARMEAN(Todas!R916:R919)</f>
        <v>1.7470169579826325</v>
      </c>
      <c r="S174" s="14" t="e">
        <f>HARMEAN(Todas!S916:S919)</f>
        <v>#N/A</v>
      </c>
      <c r="T174" s="14" t="e">
        <f>HARMEAN(Todas!T916:T919)</f>
        <v>#N/A</v>
      </c>
      <c r="U174" s="14">
        <f>HARMEAN(Todas!U916:U919)</f>
        <v>3.7487712684650014</v>
      </c>
      <c r="V174" s="14">
        <f>HARMEAN(Todas!V916:V919)</f>
        <v>1.7470169579826325</v>
      </c>
      <c r="W174" s="14">
        <f>HARMEAN(Todas!W916:W919)</f>
        <v>1.0656043459593614</v>
      </c>
    </row>
    <row r="175" spans="1:23">
      <c r="A175" t="s">
        <v>182</v>
      </c>
      <c r="B175" t="s">
        <v>259</v>
      </c>
      <c r="C175" s="21" t="str">
        <f>Todas!C920</f>
        <v>Laguna Madre (LM151)</v>
      </c>
      <c r="D175" s="14">
        <f>HARMEAN(Todas!D920:D923)</f>
        <v>1993.0000000000002</v>
      </c>
      <c r="E175" s="14">
        <f>HARMEAN(Todas!E920:E923)</f>
        <v>5</v>
      </c>
      <c r="F175" s="14">
        <f>HARMEAN(Todas!F920:F923)</f>
        <v>20</v>
      </c>
      <c r="G175" s="15">
        <f>HARMEAN(Todas!G920:G923)</f>
        <v>141.88</v>
      </c>
      <c r="H175" s="15">
        <f>HARMEAN(Todas!H920:H923)</f>
        <v>6105.2258284131949</v>
      </c>
      <c r="I175" s="14" t="e">
        <f>HARMEAN(Todas!I920:I923)</f>
        <v>#N/A</v>
      </c>
      <c r="J175" s="14" t="e">
        <f>HARMEAN(Todas!J920:J923)</f>
        <v>#N/A</v>
      </c>
      <c r="K175" s="14">
        <f>HARMEAN(Todas!K920:K923)</f>
        <v>75.908720238115123</v>
      </c>
      <c r="L175" s="14" t="e">
        <f>HARMEAN(Todas!L920:L923)</f>
        <v>#N/A</v>
      </c>
      <c r="M175" s="14" t="e">
        <f>HARMEAN(Todas!M920:M923)</f>
        <v>#N/A</v>
      </c>
      <c r="N175" s="14" t="e">
        <f>HARMEAN(Todas!N920:N923)</f>
        <v>#N/A</v>
      </c>
      <c r="O175" s="14">
        <f>HARMEAN(Todas!O920:O923)</f>
        <v>3.7902668968709317</v>
      </c>
      <c r="P175" s="14" t="e">
        <f>HARMEAN(Todas!P920:P923)</f>
        <v>#N/A</v>
      </c>
      <c r="Q175" s="14" t="e">
        <f>HARMEAN(Todas!Q920:Q923)</f>
        <v>#N/A</v>
      </c>
      <c r="R175" s="14">
        <f>HARMEAN(Todas!R920:R923)</f>
        <v>1.8872205212271089</v>
      </c>
      <c r="S175" s="14" t="e">
        <f>HARMEAN(Todas!S920:S923)</f>
        <v>#N/A</v>
      </c>
      <c r="T175" s="14" t="e">
        <f>HARMEAN(Todas!T920:T923)</f>
        <v>#N/A</v>
      </c>
      <c r="U175" s="14">
        <f>HARMEAN(Todas!U920:U923)</f>
        <v>3.7902668968709317</v>
      </c>
      <c r="V175" s="14">
        <f>HARMEAN(Todas!V920:V923)</f>
        <v>1.8872205212271089</v>
      </c>
      <c r="W175" s="14">
        <f>HARMEAN(Todas!W920:W923)</f>
        <v>0.91700593275876841</v>
      </c>
    </row>
    <row r="176" spans="1:23">
      <c r="A176" t="s">
        <v>182</v>
      </c>
      <c r="B176" t="s">
        <v>259</v>
      </c>
      <c r="C176" s="21" t="str">
        <f>Todas!C924</f>
        <v>Laguna Madre (LM151)</v>
      </c>
      <c r="D176" s="14">
        <f>HARMEAN(Todas!D924:D927)</f>
        <v>1993.0000000000002</v>
      </c>
      <c r="E176" s="14">
        <f>HARMEAN(Todas!E924:E927)</f>
        <v>8</v>
      </c>
      <c r="F176" s="14">
        <f>HARMEAN(Todas!F924:F927)</f>
        <v>30</v>
      </c>
      <c r="G176" s="15">
        <f>HARMEAN(Todas!G924:G927)</f>
        <v>243.29</v>
      </c>
      <c r="H176" s="15">
        <f>HARMEAN(Todas!H924:H927)</f>
        <v>5273.4258620689652</v>
      </c>
      <c r="I176" s="14" t="e">
        <f>HARMEAN(Todas!I924:I927)</f>
        <v>#N/A</v>
      </c>
      <c r="J176" s="14" t="e">
        <f>HARMEAN(Todas!J924:J927)</f>
        <v>#N/A</v>
      </c>
      <c r="K176" s="14">
        <f>HARMEAN(Todas!K924:K927)</f>
        <v>91.928542236543265</v>
      </c>
      <c r="L176" s="14" t="e">
        <f>HARMEAN(Todas!L924:L927)</f>
        <v>#N/A</v>
      </c>
      <c r="M176" s="14" t="e">
        <f>HARMEAN(Todas!M924:M927)</f>
        <v>#N/A</v>
      </c>
      <c r="N176" s="14" t="e">
        <f>HARMEAN(Todas!N924:N927)</f>
        <v>#N/A</v>
      </c>
      <c r="O176" s="14">
        <f>HARMEAN(Todas!O924:O927)</f>
        <v>3.7289297652218538</v>
      </c>
      <c r="P176" s="14" t="e">
        <f>HARMEAN(Todas!P924:P927)</f>
        <v>#N/A</v>
      </c>
      <c r="Q176" s="14" t="e">
        <f>HARMEAN(Todas!Q924:Q927)</f>
        <v>#N/A</v>
      </c>
      <c r="R176" s="14">
        <f>HARMEAN(Todas!R924:R927)</f>
        <v>1.9661798153835293</v>
      </c>
      <c r="S176" s="14" t="e">
        <f>HARMEAN(Todas!S924:S927)</f>
        <v>#N/A</v>
      </c>
      <c r="T176" s="14" t="e">
        <f>HARMEAN(Todas!T924:T927)</f>
        <v>#N/A</v>
      </c>
      <c r="U176" s="14">
        <f>HARMEAN(Todas!U924:U927)</f>
        <v>3.7289297652218538</v>
      </c>
      <c r="V176" s="14">
        <f>HARMEAN(Todas!V924:V927)</f>
        <v>1.9661798153835293</v>
      </c>
      <c r="W176" s="14">
        <f>HARMEAN(Todas!W924:W927)</f>
        <v>0.87243642959305057</v>
      </c>
    </row>
    <row r="177" spans="1:23">
      <c r="A177" t="s">
        <v>182</v>
      </c>
      <c r="B177" t="s">
        <v>259</v>
      </c>
      <c r="C177" s="21" t="str">
        <f>Todas!C928</f>
        <v>Laguna Madre (LM151)</v>
      </c>
      <c r="D177" s="14">
        <f>HARMEAN(Todas!D928:D931)</f>
        <v>1993.0000000000002</v>
      </c>
      <c r="E177" s="14">
        <f>HARMEAN(Todas!E928:E931)</f>
        <v>12</v>
      </c>
      <c r="F177" s="14">
        <f>HARMEAN(Todas!F928:F931)</f>
        <v>8</v>
      </c>
      <c r="G177" s="15">
        <f>HARMEAN(Todas!G928:G931)</f>
        <v>343.16999999999996</v>
      </c>
      <c r="H177" s="15">
        <f>HARMEAN(Todas!H928:H931)</f>
        <v>2620.0714378378379</v>
      </c>
      <c r="I177" s="14" t="e">
        <f>HARMEAN(Todas!I928:I931)</f>
        <v>#N/A</v>
      </c>
      <c r="J177" s="14" t="e">
        <f>HARMEAN(Todas!J928:J931)</f>
        <v>#N/A</v>
      </c>
      <c r="K177" s="14">
        <f>HARMEAN(Todas!K928:K931)</f>
        <v>34.458189234965772</v>
      </c>
      <c r="L177" s="14" t="e">
        <f>HARMEAN(Todas!L928:L931)</f>
        <v>#N/A</v>
      </c>
      <c r="M177" s="14" t="e">
        <f>HARMEAN(Todas!M928:M931)</f>
        <v>#N/A</v>
      </c>
      <c r="N177" s="14" t="e">
        <f>HARMEAN(Todas!N928:N931)</f>
        <v>#N/A</v>
      </c>
      <c r="O177" s="14">
        <f>HARMEAN(Todas!O928:O931)</f>
        <v>3.4726045608853164</v>
      </c>
      <c r="P177" s="14" t="e">
        <f>HARMEAN(Todas!P928:P931)</f>
        <v>#N/A</v>
      </c>
      <c r="Q177" s="14" t="e">
        <f>HARMEAN(Todas!Q928:Q931)</f>
        <v>#N/A</v>
      </c>
      <c r="R177" s="14">
        <f>HARMEAN(Todas!R928:R931)</f>
        <v>1.5444394731478677</v>
      </c>
      <c r="S177" s="14" t="e">
        <f>HARMEAN(Todas!S928:S931)</f>
        <v>#N/A</v>
      </c>
      <c r="T177" s="14" t="e">
        <f>HARMEAN(Todas!T928:T931)</f>
        <v>#N/A</v>
      </c>
      <c r="U177" s="14">
        <f>HARMEAN(Todas!U928:U931)</f>
        <v>3.4726045608853164</v>
      </c>
      <c r="V177" s="14">
        <f>HARMEAN(Todas!V928:V931)</f>
        <v>1.5444394731478677</v>
      </c>
      <c r="W177" s="14">
        <f>HARMEAN(Todas!W928:W931)</f>
        <v>1.3233808788600294</v>
      </c>
    </row>
    <row r="178" spans="1:23">
      <c r="A178" t="s">
        <v>182</v>
      </c>
      <c r="B178" t="s">
        <v>259</v>
      </c>
      <c r="C178" s="21" t="str">
        <f>Todas!C932</f>
        <v>Laguna Madre (LM151)</v>
      </c>
      <c r="D178" s="14">
        <f>HARMEAN(Todas!D932:D935)</f>
        <v>1994</v>
      </c>
      <c r="E178" s="14">
        <f>HARMEAN(Todas!E932:E935)</f>
        <v>3</v>
      </c>
      <c r="F178" s="14">
        <f>HARMEAN(Todas!F932:F935)</f>
        <v>8</v>
      </c>
      <c r="G178" s="15">
        <f>HARMEAN(Todas!G932:G935)</f>
        <v>68.94</v>
      </c>
      <c r="H178" s="15">
        <f>HARMEAN(Todas!H932:H935)</f>
        <v>4178.7867722403353</v>
      </c>
      <c r="I178" s="14" t="e">
        <f>HARMEAN(Todas!I932:I935)</f>
        <v>#N/A</v>
      </c>
      <c r="J178" s="14" t="e">
        <f>HARMEAN(Todas!J932:J935)</f>
        <v>#N/A</v>
      </c>
      <c r="K178" s="14">
        <f>HARMEAN(Todas!K932:K935)</f>
        <v>35.639334805381843</v>
      </c>
      <c r="L178" s="14" t="e">
        <f>HARMEAN(Todas!L932:L935)</f>
        <v>#N/A</v>
      </c>
      <c r="M178" s="14" t="e">
        <f>HARMEAN(Todas!M932:M935)</f>
        <v>#N/A</v>
      </c>
      <c r="N178" s="14" t="e">
        <f>HARMEAN(Todas!N932:N935)</f>
        <v>#N/A</v>
      </c>
      <c r="O178" s="14">
        <f>HARMEAN(Todas!O932:O935)</f>
        <v>3.6306954109951128</v>
      </c>
      <c r="P178" s="14" t="e">
        <f>HARMEAN(Todas!P932:P935)</f>
        <v>#N/A</v>
      </c>
      <c r="Q178" s="14" t="e">
        <f>HARMEAN(Todas!Q932:Q935)</f>
        <v>#N/A</v>
      </c>
      <c r="R178" s="14">
        <f>HARMEAN(Todas!R932:R935)</f>
        <v>1.5544796416976723</v>
      </c>
      <c r="S178" s="14" t="e">
        <f>HARMEAN(Todas!S932:S935)</f>
        <v>#N/A</v>
      </c>
      <c r="T178" s="14" t="e">
        <f>HARMEAN(Todas!T932:T935)</f>
        <v>#N/A</v>
      </c>
      <c r="U178" s="14">
        <f>HARMEAN(Todas!U932:U935)</f>
        <v>3.6306954109951128</v>
      </c>
      <c r="V178" s="14">
        <f>HARMEAN(Todas!V932:V935)</f>
        <v>1.5544796416976723</v>
      </c>
      <c r="W178" s="14">
        <f>HARMEAN(Todas!W932:W935)</f>
        <v>1.2958955902588865</v>
      </c>
    </row>
    <row r="179" spans="1:23">
      <c r="A179" t="s">
        <v>182</v>
      </c>
      <c r="B179" t="s">
        <v>259</v>
      </c>
      <c r="C179" s="21" t="str">
        <f>Todas!C936</f>
        <v>Laguna Madre (LM151)</v>
      </c>
      <c r="D179" s="14">
        <f>HARMEAN(Todas!D936:D939)</f>
        <v>1994</v>
      </c>
      <c r="E179" s="14">
        <f>HARMEAN(Todas!E936:E939)</f>
        <v>6</v>
      </c>
      <c r="F179" s="14">
        <f>HARMEAN(Todas!F936:F939)</f>
        <v>3</v>
      </c>
      <c r="G179" s="15">
        <f>HARMEAN(Todas!G936:G939)</f>
        <v>155.35</v>
      </c>
      <c r="H179" s="15">
        <f>HARMEAN(Todas!H936:H939)</f>
        <v>1487.2153166421208</v>
      </c>
      <c r="I179" s="14" t="e">
        <f>HARMEAN(Todas!I936:I939)</f>
        <v>#N/A</v>
      </c>
      <c r="J179" s="14" t="e">
        <f>HARMEAN(Todas!J936:J939)</f>
        <v>#N/A</v>
      </c>
      <c r="K179" s="14">
        <f>HARMEAN(Todas!K936:K939)</f>
        <v>6.6563077238253747</v>
      </c>
      <c r="L179" s="14" t="e">
        <f>HARMEAN(Todas!L936:L939)</f>
        <v>#N/A</v>
      </c>
      <c r="M179" s="14" t="e">
        <f>HARMEAN(Todas!M936:M939)</f>
        <v>#N/A</v>
      </c>
      <c r="N179" s="14" t="e">
        <f>HARMEAN(Todas!N936:N939)</f>
        <v>#N/A</v>
      </c>
      <c r="O179" s="14">
        <f>HARMEAN(Todas!O936:O939)</f>
        <v>3.2502384890397296</v>
      </c>
      <c r="P179" s="14" t="e">
        <f>HARMEAN(Todas!P936:P939)</f>
        <v>#N/A</v>
      </c>
      <c r="Q179" s="14" t="e">
        <f>HARMEAN(Todas!Q936:Q939)</f>
        <v>#N/A</v>
      </c>
      <c r="R179" s="14">
        <f>HARMEAN(Todas!R936:R939)</f>
        <v>0.79608361430299235</v>
      </c>
      <c r="S179" s="14" t="e">
        <f>HARMEAN(Todas!S936:S939)</f>
        <v>#N/A</v>
      </c>
      <c r="T179" s="14" t="e">
        <f>HARMEAN(Todas!T936:T939)</f>
        <v>#N/A</v>
      </c>
      <c r="U179" s="14">
        <f>HARMEAN(Todas!U936:U939)</f>
        <v>3.2502384890397296</v>
      </c>
      <c r="V179" s="14">
        <f>HARMEAN(Todas!V936:V939)</f>
        <v>0.79608361430299235</v>
      </c>
      <c r="W179" s="14">
        <f>HARMEAN(Todas!W936:W939)</f>
        <v>1.9223905247133535</v>
      </c>
    </row>
    <row r="180" spans="1:23">
      <c r="A180" t="s">
        <v>182</v>
      </c>
      <c r="B180" t="s">
        <v>259</v>
      </c>
      <c r="C180" s="21" t="str">
        <f>Todas!C940</f>
        <v>Laguna Madre (LM151)</v>
      </c>
      <c r="D180" s="14">
        <f>HARMEAN(Todas!D940:D943)</f>
        <v>1994</v>
      </c>
      <c r="E180" s="14">
        <f>HARMEAN(Todas!E940:E943)</f>
        <v>9</v>
      </c>
      <c r="F180" s="14">
        <f>HARMEAN(Todas!F940:F943)</f>
        <v>12</v>
      </c>
      <c r="G180" s="15">
        <f>HARMEAN(Todas!G940:G943)</f>
        <v>255.76</v>
      </c>
      <c r="H180" s="15">
        <f>HARMEAN(Todas!H940:H943)</f>
        <v>3181.2862817551959</v>
      </c>
      <c r="I180" s="14" t="e">
        <f>HARMEAN(Todas!I940:I943)</f>
        <v>#N/A</v>
      </c>
      <c r="J180" s="14" t="e">
        <f>HARMEAN(Todas!J940:J943)</f>
        <v>#N/A</v>
      </c>
      <c r="K180" s="14">
        <f>HARMEAN(Todas!K940:K943)</f>
        <v>73.703844281895542</v>
      </c>
      <c r="L180" s="14" t="e">
        <f>HARMEAN(Todas!L940:L943)</f>
        <v>#N/A</v>
      </c>
      <c r="M180" s="14" t="e">
        <f>HARMEAN(Todas!M940:M943)</f>
        <v>#N/A</v>
      </c>
      <c r="N180" s="14" t="e">
        <f>HARMEAN(Todas!N940:N943)</f>
        <v>#N/A</v>
      </c>
      <c r="O180" s="14">
        <f>HARMEAN(Todas!O940:O943)</f>
        <v>3.5090365512634727</v>
      </c>
      <c r="P180" s="14" t="e">
        <f>HARMEAN(Todas!P940:P943)</f>
        <v>#N/A</v>
      </c>
      <c r="Q180" s="14" t="e">
        <f>HARMEAN(Todas!Q940:Q943)</f>
        <v>#N/A</v>
      </c>
      <c r="R180" s="14">
        <f>HARMEAN(Todas!R940:R943)</f>
        <v>1.8747947869453161</v>
      </c>
      <c r="S180" s="14" t="e">
        <f>HARMEAN(Todas!S940:S943)</f>
        <v>#N/A</v>
      </c>
      <c r="T180" s="14" t="e">
        <f>HARMEAN(Todas!T940:T943)</f>
        <v>#N/A</v>
      </c>
      <c r="U180" s="14">
        <f>HARMEAN(Todas!U940:U943)</f>
        <v>3.5090365512634727</v>
      </c>
      <c r="V180" s="14">
        <f>HARMEAN(Todas!V940:V943)</f>
        <v>1.8747947869453161</v>
      </c>
      <c r="W180" s="14">
        <f>HARMEAN(Todas!W940:W943)</f>
        <v>1.016899272255553</v>
      </c>
    </row>
    <row r="181" spans="1:23">
      <c r="A181" t="s">
        <v>182</v>
      </c>
      <c r="B181" t="s">
        <v>259</v>
      </c>
      <c r="C181" s="21" t="str">
        <f>Todas!C944</f>
        <v>Laguna Madre (LM151)</v>
      </c>
      <c r="D181" s="14">
        <f>HARMEAN(Todas!D944:D947)</f>
        <v>1994</v>
      </c>
      <c r="E181" s="14">
        <f>HARMEAN(Todas!E944:E947)</f>
        <v>12</v>
      </c>
      <c r="F181" s="14">
        <f>HARMEAN(Todas!F944:F947)</f>
        <v>6</v>
      </c>
      <c r="G181" s="15">
        <f>HARMEAN(Todas!G944:G947)</f>
        <v>341.16999999999996</v>
      </c>
      <c r="H181" s="15">
        <f>HARMEAN(Todas!H944:H947)</f>
        <v>917.78990332975297</v>
      </c>
      <c r="I181" s="14" t="e">
        <f>HARMEAN(Todas!I944:I947)</f>
        <v>#N/A</v>
      </c>
      <c r="J181" s="14" t="e">
        <f>HARMEAN(Todas!J944:J947)</f>
        <v>#N/A</v>
      </c>
      <c r="K181" s="14">
        <f>HARMEAN(Todas!K944:K947)</f>
        <v>7.9078625849788988</v>
      </c>
      <c r="L181" s="14" t="e">
        <f>HARMEAN(Todas!L944:L947)</f>
        <v>#N/A</v>
      </c>
      <c r="M181" s="14" t="e">
        <f>HARMEAN(Todas!M944:M947)</f>
        <v>#N/A</v>
      </c>
      <c r="N181" s="14" t="e">
        <f>HARMEAN(Todas!N944:N947)</f>
        <v>#N/A</v>
      </c>
      <c r="O181" s="14">
        <f>HARMEAN(Todas!O944:O947)</f>
        <v>3.1424856025877443</v>
      </c>
      <c r="P181" s="14" t="e">
        <f>HARMEAN(Todas!P944:P947)</f>
        <v>#N/A</v>
      </c>
      <c r="Q181" s="14" t="e">
        <f>HARMEAN(Todas!Q944:Q947)</f>
        <v>#N/A</v>
      </c>
      <c r="R181" s="14">
        <f>HARMEAN(Todas!R944:R947)</f>
        <v>0.87657268298224722</v>
      </c>
      <c r="S181" s="14" t="e">
        <f>HARMEAN(Todas!S944:S947)</f>
        <v>#N/A</v>
      </c>
      <c r="T181" s="14" t="e">
        <f>HARMEAN(Todas!T944:T947)</f>
        <v>#N/A</v>
      </c>
      <c r="U181" s="14">
        <f>HARMEAN(Todas!U944:U947)</f>
        <v>3.1424856025877443</v>
      </c>
      <c r="V181" s="14">
        <f>HARMEAN(Todas!V944:V947)</f>
        <v>0.87657268298224722</v>
      </c>
      <c r="W181" s="14">
        <f>HARMEAN(Todas!W944:W947)</f>
        <v>1.5919655351287374</v>
      </c>
    </row>
    <row r="182" spans="1:23">
      <c r="A182" t="s">
        <v>182</v>
      </c>
      <c r="B182" t="s">
        <v>259</v>
      </c>
      <c r="C182" s="21" t="str">
        <f>Todas!C948</f>
        <v>Laguna Madre (LM151)</v>
      </c>
      <c r="D182" s="14">
        <f>HARMEAN(Todas!D948:D951)</f>
        <v>1995</v>
      </c>
      <c r="E182" s="14">
        <f>HARMEAN(Todas!E948:E951)</f>
        <v>3</v>
      </c>
      <c r="F182" s="14">
        <f>HARMEAN(Todas!F948:F951)</f>
        <v>16</v>
      </c>
      <c r="G182" s="15">
        <f>HARMEAN(Todas!G948:G951)</f>
        <v>76.94</v>
      </c>
      <c r="H182" s="15">
        <f>HARMEAN(Todas!H948:H951)</f>
        <v>2055.2629579375848</v>
      </c>
      <c r="I182" s="14" t="e">
        <f>HARMEAN(Todas!I948:I951)</f>
        <v>#N/A</v>
      </c>
      <c r="J182" s="14" t="e">
        <f>HARMEAN(Todas!J948:J951)</f>
        <v>#N/A</v>
      </c>
      <c r="K182" s="14">
        <f>HARMEAN(Todas!K948:K951)</f>
        <v>14.726634648820601</v>
      </c>
      <c r="L182" s="14" t="e">
        <f>HARMEAN(Todas!L948:L951)</f>
        <v>#N/A</v>
      </c>
      <c r="M182" s="14" t="e">
        <f>HARMEAN(Todas!M948:M951)</f>
        <v>#N/A</v>
      </c>
      <c r="N182" s="14" t="e">
        <f>HARMEAN(Todas!N948:N951)</f>
        <v>#N/A</v>
      </c>
      <c r="O182" s="14">
        <f>HARMEAN(Todas!O948:O951)</f>
        <v>3.3253419236864867</v>
      </c>
      <c r="P182" s="14" t="e">
        <f>HARMEAN(Todas!P948:P951)</f>
        <v>#N/A</v>
      </c>
      <c r="Q182" s="14" t="e">
        <f>HARMEAN(Todas!Q948:Q951)</f>
        <v>#N/A</v>
      </c>
      <c r="R182" s="14">
        <f>HARMEAN(Todas!R948:R951)</f>
        <v>1.176786389359231</v>
      </c>
      <c r="S182" s="14" t="e">
        <f>HARMEAN(Todas!S948:S951)</f>
        <v>#N/A</v>
      </c>
      <c r="T182" s="14" t="e">
        <f>HARMEAN(Todas!T948:T951)</f>
        <v>#N/A</v>
      </c>
      <c r="U182" s="14">
        <f>HARMEAN(Todas!U948:U951)</f>
        <v>3.3253419236864867</v>
      </c>
      <c r="V182" s="14">
        <f>HARMEAN(Todas!V948:V951)</f>
        <v>1.176786389359231</v>
      </c>
      <c r="W182" s="14">
        <f>HARMEAN(Todas!W948:W951)</f>
        <v>1.7069450646063999</v>
      </c>
    </row>
    <row r="183" spans="1:23">
      <c r="A183" t="s">
        <v>182</v>
      </c>
      <c r="B183" t="s">
        <v>259</v>
      </c>
      <c r="C183" s="21" t="str">
        <f>Todas!C952</f>
        <v>Laguna Madre (LM151)</v>
      </c>
      <c r="D183" s="14">
        <f>HARMEAN(Todas!D952:D955)</f>
        <v>1995</v>
      </c>
      <c r="E183" s="14">
        <f>HARMEAN(Todas!E952:E955)</f>
        <v>6</v>
      </c>
      <c r="F183" s="14">
        <f>HARMEAN(Todas!F952:F955)</f>
        <v>15</v>
      </c>
      <c r="G183" s="15">
        <f>HARMEAN(Todas!G952:G955)</f>
        <v>167.35</v>
      </c>
      <c r="H183" s="15">
        <f>HARMEAN(Todas!H952:H955)</f>
        <v>1711.3696137339057</v>
      </c>
      <c r="I183" s="14" t="e">
        <f>HARMEAN(Todas!I952:I955)</f>
        <v>#N/A</v>
      </c>
      <c r="J183" s="14" t="e">
        <f>HARMEAN(Todas!J952:J955)</f>
        <v>#N/A</v>
      </c>
      <c r="K183" s="14">
        <f>HARMEAN(Todas!K952:K955)</f>
        <v>28.240592141556149</v>
      </c>
      <c r="L183" s="14" t="e">
        <f>HARMEAN(Todas!L952:L955)</f>
        <v>#N/A</v>
      </c>
      <c r="M183" s="14" t="e">
        <f>HARMEAN(Todas!M952:M955)</f>
        <v>#N/A</v>
      </c>
      <c r="N183" s="14" t="e">
        <f>HARMEAN(Todas!N952:N955)</f>
        <v>#N/A</v>
      </c>
      <c r="O183" s="14">
        <f>HARMEAN(Todas!O952:O955)</f>
        <v>3.2397414068144395</v>
      </c>
      <c r="P183" s="14" t="e">
        <f>HARMEAN(Todas!P952:P955)</f>
        <v>#N/A</v>
      </c>
      <c r="Q183" s="14" t="e">
        <f>HARMEAN(Todas!Q952:Q955)</f>
        <v>#N/A</v>
      </c>
      <c r="R183" s="14">
        <f>HARMEAN(Todas!R952:R955)</f>
        <v>1.4888898248059297</v>
      </c>
      <c r="S183" s="14" t="e">
        <f>HARMEAN(Todas!S952:S955)</f>
        <v>#N/A</v>
      </c>
      <c r="T183" s="14" t="e">
        <f>HARMEAN(Todas!T952:T955)</f>
        <v>#N/A</v>
      </c>
      <c r="U183" s="14">
        <f>HARMEAN(Todas!U952:U955)</f>
        <v>3.2397414068144395</v>
      </c>
      <c r="V183" s="14">
        <f>HARMEAN(Todas!V952:V955)</f>
        <v>1.4888898248059297</v>
      </c>
      <c r="W183" s="14">
        <f>HARMEAN(Todas!W952:W955)</f>
        <v>1.3786873828956159</v>
      </c>
    </row>
    <row r="184" spans="1:23">
      <c r="A184" t="s">
        <v>182</v>
      </c>
      <c r="B184" t="s">
        <v>259</v>
      </c>
      <c r="C184" s="21" t="str">
        <f>Todas!C956</f>
        <v>Laguna Madre (LM151)</v>
      </c>
      <c r="D184" s="14">
        <f>HARMEAN(Todas!D956:D959)</f>
        <v>1995</v>
      </c>
      <c r="E184" s="14">
        <f>HARMEAN(Todas!E956:E959)</f>
        <v>9</v>
      </c>
      <c r="F184" s="14">
        <f>HARMEAN(Todas!F956:F959)</f>
        <v>7</v>
      </c>
      <c r="G184" s="15">
        <f>HARMEAN(Todas!G956:G959)</f>
        <v>250.76</v>
      </c>
      <c r="H184" s="15">
        <f>HARMEAN(Todas!H956:H959)</f>
        <v>4062.740757314974</v>
      </c>
      <c r="I184" s="14" t="e">
        <f>HARMEAN(Todas!I956:I959)</f>
        <v>#N/A</v>
      </c>
      <c r="J184" s="14" t="e">
        <f>HARMEAN(Todas!J956:J959)</f>
        <v>#N/A</v>
      </c>
      <c r="K184" s="14">
        <f>HARMEAN(Todas!K956:K959)</f>
        <v>60.67156583771763</v>
      </c>
      <c r="L184" s="14" t="e">
        <f>HARMEAN(Todas!L956:L959)</f>
        <v>#N/A</v>
      </c>
      <c r="M184" s="14" t="e">
        <f>HARMEAN(Todas!M956:M959)</f>
        <v>#N/A</v>
      </c>
      <c r="N184" s="14" t="e">
        <f>HARMEAN(Todas!N956:N959)</f>
        <v>#N/A</v>
      </c>
      <c r="O184" s="14">
        <f>HARMEAN(Todas!O956:O959)</f>
        <v>3.6271229287334923</v>
      </c>
      <c r="P184" s="14" t="e">
        <f>HARMEAN(Todas!P956:P959)</f>
        <v>#N/A</v>
      </c>
      <c r="Q184" s="14" t="e">
        <f>HARMEAN(Todas!Q956:Q959)</f>
        <v>#N/A</v>
      </c>
      <c r="R184" s="14">
        <f>HARMEAN(Todas!R956:R959)</f>
        <v>1.8072951976590328</v>
      </c>
      <c r="S184" s="14" t="e">
        <f>HARMEAN(Todas!S956:S959)</f>
        <v>#N/A</v>
      </c>
      <c r="T184" s="14" t="e">
        <f>HARMEAN(Todas!T956:T959)</f>
        <v>#N/A</v>
      </c>
      <c r="U184" s="14">
        <f>HARMEAN(Todas!U956:U959)</f>
        <v>3.6271229287334923</v>
      </c>
      <c r="V184" s="14">
        <f>HARMEAN(Todas!V956:V959)</f>
        <v>1.8072951976590328</v>
      </c>
      <c r="W184" s="14">
        <f>HARMEAN(Todas!W956:W959)</f>
        <v>0.98044580054601371</v>
      </c>
    </row>
    <row r="185" spans="1:23">
      <c r="A185" t="s">
        <v>182</v>
      </c>
      <c r="B185" t="s">
        <v>259</v>
      </c>
      <c r="C185" s="21" t="str">
        <f>Todas!C960</f>
        <v>Laguna Madre (LM151)</v>
      </c>
      <c r="D185" s="14">
        <f>HARMEAN(Todas!D960:D963)</f>
        <v>1995</v>
      </c>
      <c r="E185" s="14">
        <f>HARMEAN(Todas!E960:E963)</f>
        <v>12</v>
      </c>
      <c r="F185" s="14">
        <f>HARMEAN(Todas!F960:F963)</f>
        <v>7</v>
      </c>
      <c r="G185" s="15">
        <f>HARMEAN(Todas!G960:G963)</f>
        <v>342.16999999999996</v>
      </c>
      <c r="H185" s="15">
        <f>HARMEAN(Todas!H960:H963)</f>
        <v>4383.1314247626824</v>
      </c>
      <c r="I185" s="14" t="e">
        <f>HARMEAN(Todas!I960:I963)</f>
        <v>#N/A</v>
      </c>
      <c r="J185" s="14" t="e">
        <f>HARMEAN(Todas!J960:J963)</f>
        <v>#N/A</v>
      </c>
      <c r="K185" s="14">
        <f>HARMEAN(Todas!K960:K963)</f>
        <v>28.349853178744628</v>
      </c>
      <c r="L185" s="14" t="e">
        <f>HARMEAN(Todas!L960:L963)</f>
        <v>#N/A</v>
      </c>
      <c r="M185" s="14" t="e">
        <f>HARMEAN(Todas!M960:M963)</f>
        <v>#N/A</v>
      </c>
      <c r="N185" s="14" t="e">
        <f>HARMEAN(Todas!N960:N963)</f>
        <v>#N/A</v>
      </c>
      <c r="O185" s="14">
        <f>HARMEAN(Todas!O960:O963)</f>
        <v>3.6548305539253438</v>
      </c>
      <c r="P185" s="14" t="e">
        <f>HARMEAN(Todas!P960:P963)</f>
        <v>#N/A</v>
      </c>
      <c r="Q185" s="14" t="e">
        <f>HARMEAN(Todas!Q960:Q963)</f>
        <v>#N/A</v>
      </c>
      <c r="R185" s="14">
        <f>HARMEAN(Todas!R960:R963)</f>
        <v>1.457826817429976</v>
      </c>
      <c r="S185" s="14" t="e">
        <f>HARMEAN(Todas!S960:S963)</f>
        <v>#N/A</v>
      </c>
      <c r="T185" s="14" t="e">
        <f>HARMEAN(Todas!T960:T963)</f>
        <v>#N/A</v>
      </c>
      <c r="U185" s="14">
        <f>HARMEAN(Todas!U960:U963)</f>
        <v>3.6548305539253438</v>
      </c>
      <c r="V185" s="14">
        <f>HARMEAN(Todas!V960:V963)</f>
        <v>1.457826817429976</v>
      </c>
      <c r="W185" s="14">
        <f>HARMEAN(Todas!W960:W963)</f>
        <v>1.3693435228702555</v>
      </c>
    </row>
    <row r="186" spans="1:23">
      <c r="A186" t="s">
        <v>182</v>
      </c>
      <c r="B186" t="s">
        <v>259</v>
      </c>
      <c r="C186" s="21" t="str">
        <f>Todas!C964</f>
        <v>Abrolhos</v>
      </c>
      <c r="D186" s="14">
        <f>HARMEAN(Todas!D964:D1007)</f>
        <v>1995.0000000000009</v>
      </c>
      <c r="E186" s="14">
        <f>HARMEAN(Todas!E964:E1007)</f>
        <v>8</v>
      </c>
      <c r="F186" s="14">
        <f>HARMEAN(Todas!F964:F1007)</f>
        <v>14.999999999999988</v>
      </c>
      <c r="G186" s="15">
        <f>HARMEAN(Todas!G964:G1007)</f>
        <v>228.29000000000011</v>
      </c>
      <c r="H186" s="15">
        <f>HARMEAN(Todas!H964:H1007)</f>
        <v>927.00312664145258</v>
      </c>
      <c r="I186" s="14" t="e">
        <f>HARMEAN(Todas!I964:I1007)</f>
        <v>#N/A</v>
      </c>
      <c r="J186" s="14" t="e">
        <f>HARMEAN(Todas!J964:J1007)</f>
        <v>#N/A</v>
      </c>
      <c r="K186" s="14">
        <f>HARMEAN(Todas!K964:K1007)</f>
        <v>2.052682217767051</v>
      </c>
      <c r="L186" s="14" t="e">
        <f>HARMEAN(Todas!L964:L1007)</f>
        <v>#N/A</v>
      </c>
      <c r="M186" s="14" t="e">
        <f>HARMEAN(Todas!M964:M1007)</f>
        <v>#N/A</v>
      </c>
      <c r="N186" s="14" t="e">
        <f>HARMEAN(Todas!N964:N1007)</f>
        <v>#N/A</v>
      </c>
      <c r="O186" s="14">
        <f>HARMEAN(Todas!O964:O1007)</f>
        <v>3.0442297454885616</v>
      </c>
      <c r="P186" s="14" t="e">
        <f>HARMEAN(Todas!P964:P1007)</f>
        <v>#N/A</v>
      </c>
      <c r="Q186" s="14" t="e">
        <f>HARMEAN(Todas!Q964:Q1007)</f>
        <v>#N/A</v>
      </c>
      <c r="R186" s="14" t="e">
        <f>HARMEAN(Todas!R964:R1007)</f>
        <v>#NUM!</v>
      </c>
      <c r="S186" s="14" t="e">
        <f>HARMEAN(Todas!S964:S1007)</f>
        <v>#N/A</v>
      </c>
      <c r="T186" s="14" t="e">
        <f>HARMEAN(Todas!T964:T1007)</f>
        <v>#N/A</v>
      </c>
      <c r="U186" s="14">
        <f>HARMEAN(Todas!U964:U1007)</f>
        <v>3.0442297454885616</v>
      </c>
      <c r="V186" s="14" t="e">
        <f>HARMEAN(Todas!V964:V1007)</f>
        <v>#NUM!</v>
      </c>
      <c r="W186" s="14">
        <f>HARMEAN(Todas!W964:W1007)</f>
        <v>2.5377800177209568</v>
      </c>
    </row>
    <row r="187" spans="1:23">
      <c r="A187" t="s">
        <v>182</v>
      </c>
      <c r="B187" t="s">
        <v>259</v>
      </c>
      <c r="C187" s="21" t="str">
        <f>Todas!C1000</f>
        <v>Abrolhos</v>
      </c>
      <c r="D187" s="14">
        <f>HARMEAN(Todas!D1008:D1052)</f>
        <v>1995.0000000000009</v>
      </c>
      <c r="E187" s="14">
        <f>HARMEAN(Todas!E1008:E1052)</f>
        <v>11.999999999999993</v>
      </c>
      <c r="F187" s="14">
        <f>HARMEAN(Todas!F1008:F1052)</f>
        <v>14.999999999999988</v>
      </c>
      <c r="G187" s="15">
        <f>HARMEAN(Todas!G1008:G1052)</f>
        <v>350.17000000000041</v>
      </c>
      <c r="H187" s="15">
        <f>HARMEAN(Todas!H1008:H1052)</f>
        <v>1106.6889537444811</v>
      </c>
      <c r="I187" s="14" t="e">
        <f>HARMEAN(Todas!I1008:I1052)</f>
        <v>#N/A</v>
      </c>
      <c r="J187" s="14" t="e">
        <f>HARMEAN(Todas!J1008:J1052)</f>
        <v>#N/A</v>
      </c>
      <c r="K187" s="14">
        <f>HARMEAN(Todas!K1008:K1052)</f>
        <v>3.0198987587866721</v>
      </c>
      <c r="L187" s="14" t="e">
        <f>HARMEAN(Todas!L1008:L1052)</f>
        <v>#N/A</v>
      </c>
      <c r="M187" s="14" t="e">
        <f>HARMEAN(Todas!M1008:M1052)</f>
        <v>#N/A</v>
      </c>
      <c r="N187" s="14" t="e">
        <f>HARMEAN(Todas!N1008:N1052)</f>
        <v>#N/A</v>
      </c>
      <c r="O187" s="14">
        <f>HARMEAN(Todas!O1008:O1052)</f>
        <v>3.0848963933202049</v>
      </c>
      <c r="P187" s="14" t="e">
        <f>HARMEAN(Todas!P1008:P1052)</f>
        <v>#N/A</v>
      </c>
      <c r="Q187" s="14" t="e">
        <f>HARMEAN(Todas!Q1008:Q1052)</f>
        <v>#N/A</v>
      </c>
      <c r="R187" s="14">
        <f>HARMEAN(Todas!R1008:R1052)</f>
        <v>0.45810186018963001</v>
      </c>
      <c r="S187" s="14" t="e">
        <f>HARMEAN(Todas!S1008:S1052)</f>
        <v>#N/A</v>
      </c>
      <c r="T187" s="14" t="e">
        <f>HARMEAN(Todas!T1008:T1052)</f>
        <v>#N/A</v>
      </c>
      <c r="U187" s="14">
        <f>HARMEAN(Todas!U1008:U1052)</f>
        <v>3.0848963933202049</v>
      </c>
      <c r="V187" s="14">
        <f>HARMEAN(Todas!V1008:V1052)</f>
        <v>0.45810186018963001</v>
      </c>
      <c r="W187" s="14">
        <f>HARMEAN(Todas!W1008:W1052)</f>
        <v>2.4606960552172312</v>
      </c>
    </row>
    <row r="188" spans="1:23">
      <c r="A188" t="s">
        <v>182</v>
      </c>
      <c r="B188" t="s">
        <v>259</v>
      </c>
      <c r="C188" s="21" t="str">
        <f>Todas!C1053</f>
        <v>Abrolhos</v>
      </c>
      <c r="D188" s="14">
        <f>HARMEAN(Todas!D1053:D1099)</f>
        <v>1995.9999999999989</v>
      </c>
      <c r="E188" s="14">
        <f>HARMEAN(Todas!E1053:E1099)</f>
        <v>4</v>
      </c>
      <c r="F188" s="14">
        <f>HARMEAN(Todas!F1053:F1099)</f>
        <v>14.999999999999984</v>
      </c>
      <c r="G188" s="15">
        <f>HARMEAN(Todas!G1053:G1099)</f>
        <v>106.41000000000008</v>
      </c>
      <c r="H188" s="15">
        <f>HARMEAN(Todas!H1053:H1099)</f>
        <v>1183.4702493432053</v>
      </c>
      <c r="I188" s="14" t="e">
        <f>HARMEAN(Todas!I1053:I1099)</f>
        <v>#N/A</v>
      </c>
      <c r="J188" s="14" t="e">
        <f>HARMEAN(Todas!J1053:J1099)</f>
        <v>#N/A</v>
      </c>
      <c r="K188" s="14">
        <f>HARMEAN(Todas!K1053:K1099)</f>
        <v>1.8029474809005093</v>
      </c>
      <c r="L188" s="14" t="e">
        <f>HARMEAN(Todas!L1053:L1099)</f>
        <v>#N/A</v>
      </c>
      <c r="M188" s="14" t="e">
        <f>HARMEAN(Todas!M1053:M1099)</f>
        <v>#N/A</v>
      </c>
      <c r="N188" s="14" t="e">
        <f>HARMEAN(Todas!N1053:N1099)</f>
        <v>#N/A</v>
      </c>
      <c r="O188" s="14">
        <f>HARMEAN(Todas!O1053:O1099)</f>
        <v>3.1532539133415423</v>
      </c>
      <c r="P188" s="14" t="e">
        <f>HARMEAN(Todas!P1053:P1099)</f>
        <v>#N/A</v>
      </c>
      <c r="Q188" s="14" t="e">
        <f>HARMEAN(Todas!Q1053:Q1099)</f>
        <v>#N/A</v>
      </c>
      <c r="R188" s="14" t="e">
        <f>HARMEAN(Todas!R1053:R1099)</f>
        <v>#NUM!</v>
      </c>
      <c r="S188" s="14" t="e">
        <f>HARMEAN(Todas!S1053:S1099)</f>
        <v>#N/A</v>
      </c>
      <c r="T188" s="14" t="e">
        <f>HARMEAN(Todas!T1053:T1099)</f>
        <v>#N/A</v>
      </c>
      <c r="U188" s="14">
        <f>HARMEAN(Todas!U1053:U1099)</f>
        <v>3.1532539133415423</v>
      </c>
      <c r="V188" s="14" t="e">
        <f>HARMEAN(Todas!V1053:V1099)</f>
        <v>#NUM!</v>
      </c>
      <c r="W188" s="14">
        <f>HARMEAN(Todas!W1053:W1099)</f>
        <v>2.4876722820813364</v>
      </c>
    </row>
    <row r="189" spans="1:23">
      <c r="A189" t="s">
        <v>182</v>
      </c>
      <c r="B189" t="s">
        <v>259</v>
      </c>
      <c r="C189" s="21" t="str">
        <f>Todas!C1100</f>
        <v>IDJ</v>
      </c>
      <c r="D189" s="14">
        <f>HARMEAN(Todas!D1100:D1103)</f>
        <v>1997.0000000000002</v>
      </c>
      <c r="E189" s="14">
        <f>HARMEAN(Todas!E1100:E1103)</f>
        <v>6</v>
      </c>
      <c r="F189" s="14">
        <f>HARMEAN(Todas!F1100:F1103)</f>
        <v>16</v>
      </c>
      <c r="G189" s="15">
        <f>HARMEAN(Todas!G1100:G1103)</f>
        <v>168.35</v>
      </c>
      <c r="H189" s="15">
        <f>HARMEAN(Todas!H1100:H1103)</f>
        <v>4057.4283932899789</v>
      </c>
      <c r="I189" s="14" t="e">
        <f>HARMEAN(Todas!I1100:I1103)</f>
        <v>#N/A</v>
      </c>
      <c r="J189" s="14" t="e">
        <f>HARMEAN(Todas!J1100:J1103)</f>
        <v>#N/A</v>
      </c>
      <c r="K189" s="14">
        <f>HARMEAN(Todas!K1100:K1103)</f>
        <v>6.5335519346439961</v>
      </c>
      <c r="L189" s="14" t="e">
        <f>HARMEAN(Todas!L1100:L1103)</f>
        <v>#N/A</v>
      </c>
      <c r="M189" s="14" t="e">
        <f>HARMEAN(Todas!M1100:M1103)</f>
        <v>#N/A</v>
      </c>
      <c r="N189" s="14" t="e">
        <f>HARMEAN(Todas!N1100:N1103)</f>
        <v>#N/A</v>
      </c>
      <c r="O189" s="14">
        <f>HARMEAN(Todas!O1100:O1103)</f>
        <v>3.6093082575497153</v>
      </c>
      <c r="P189" s="14" t="e">
        <f>HARMEAN(Todas!P1100:P1103)</f>
        <v>#N/A</v>
      </c>
      <c r="Q189" s="14" t="e">
        <f>HARMEAN(Todas!Q1100:Q1103)</f>
        <v>#N/A</v>
      </c>
      <c r="R189" s="14">
        <f>HARMEAN(Todas!R1100:R1103)</f>
        <v>0.81458727759911242</v>
      </c>
      <c r="S189" s="14" t="e">
        <f>HARMEAN(Todas!S1100:S1103)</f>
        <v>#N/A</v>
      </c>
      <c r="T189" s="14" t="e">
        <f>HARMEAN(Todas!T1100:T1103)</f>
        <v>#N/A</v>
      </c>
      <c r="U189" s="14">
        <f>HARMEAN(Todas!U1100:U1103)</f>
        <v>3.6093082575497153</v>
      </c>
      <c r="V189" s="14">
        <f>HARMEAN(Todas!V1100:V1103)</f>
        <v>0.81458727759911242</v>
      </c>
      <c r="W189" s="14">
        <f>HARMEAN(Todas!W1100:W1103)</f>
        <v>2.0059110663669335</v>
      </c>
    </row>
    <row r="190" spans="1:23">
      <c r="A190" t="s">
        <v>182</v>
      </c>
      <c r="B190" t="s">
        <v>259</v>
      </c>
      <c r="C190" s="21" t="str">
        <f>Todas!C1104</f>
        <v>IDJ</v>
      </c>
      <c r="D190" s="14">
        <f>HARMEAN(Todas!D1104:D1107)</f>
        <v>1997.0000000000002</v>
      </c>
      <c r="E190" s="14">
        <f>HARMEAN(Todas!E1104:E1107)</f>
        <v>8</v>
      </c>
      <c r="F190" s="14">
        <f>HARMEAN(Todas!F1104:F1107)</f>
        <v>2</v>
      </c>
      <c r="G190" s="15">
        <f>HARMEAN(Todas!G1104:G1107)</f>
        <v>215.29</v>
      </c>
      <c r="H190" s="15">
        <f>HARMEAN(Todas!H1104:H1107)</f>
        <v>2277.2270497396876</v>
      </c>
      <c r="I190" s="14" t="e">
        <f>HARMEAN(Todas!I1104:I1107)</f>
        <v>#N/A</v>
      </c>
      <c r="J190" s="14" t="e">
        <f>HARMEAN(Todas!J1104:J1107)</f>
        <v>#N/A</v>
      </c>
      <c r="K190" s="14">
        <f>HARMEAN(Todas!K1104:K1107)</f>
        <v>8.3263722583038628</v>
      </c>
      <c r="L190" s="14" t="e">
        <f>HARMEAN(Todas!L1104:L1107)</f>
        <v>#N/A</v>
      </c>
      <c r="M190" s="14" t="e">
        <f>HARMEAN(Todas!M1104:M1107)</f>
        <v>#N/A</v>
      </c>
      <c r="N190" s="14" t="e">
        <f>HARMEAN(Todas!N1104:N1107)</f>
        <v>#N/A</v>
      </c>
      <c r="O190" s="14">
        <f>HARMEAN(Todas!O1104:O1107)</f>
        <v>3.3589492850335083</v>
      </c>
      <c r="P190" s="14" t="e">
        <f>HARMEAN(Todas!P1104:P1107)</f>
        <v>#N/A</v>
      </c>
      <c r="Q190" s="14" t="e">
        <f>HARMEAN(Todas!Q1104:Q1107)</f>
        <v>#N/A</v>
      </c>
      <c r="R190" s="14">
        <f>HARMEAN(Todas!R1104:R1107)</f>
        <v>0.92049904940925698</v>
      </c>
      <c r="S190" s="14" t="e">
        <f>HARMEAN(Todas!S1104:S1107)</f>
        <v>#N/A</v>
      </c>
      <c r="T190" s="14" t="e">
        <f>HARMEAN(Todas!T1104:T1107)</f>
        <v>#N/A</v>
      </c>
      <c r="U190" s="14">
        <f>HARMEAN(Todas!U1104:U1107)</f>
        <v>3.3589492850335083</v>
      </c>
      <c r="V190" s="14">
        <f>HARMEAN(Todas!V1104:V1107)</f>
        <v>0.92049904940925698</v>
      </c>
      <c r="W190" s="14">
        <f>HARMEAN(Todas!W1104:W1107)</f>
        <v>1.9912500326666358</v>
      </c>
    </row>
    <row r="191" spans="1:23">
      <c r="A191" t="s">
        <v>182</v>
      </c>
      <c r="B191" t="s">
        <v>259</v>
      </c>
      <c r="C191" s="21" t="str">
        <f>Todas!C1108</f>
        <v>IDJ</v>
      </c>
      <c r="D191" s="14">
        <f>HARMEAN(Todas!D1108:D1112)</f>
        <v>1997.0000000000002</v>
      </c>
      <c r="E191" s="14">
        <f>HARMEAN(Todas!E1108:E1112)</f>
        <v>11</v>
      </c>
      <c r="F191" s="14">
        <f>HARMEAN(Todas!F1108:F1112)</f>
        <v>19</v>
      </c>
      <c r="G191" s="15">
        <f>HARMEAN(Todas!G1108:G1112)</f>
        <v>323.7</v>
      </c>
      <c r="H191" s="15">
        <f>HARMEAN(Todas!H1108:H1112)</f>
        <v>4376.0088988723446</v>
      </c>
      <c r="I191" s="14" t="e">
        <f>HARMEAN(Todas!I1108:I1112)</f>
        <v>#N/A</v>
      </c>
      <c r="J191" s="14" t="e">
        <f>HARMEAN(Todas!J1108:J1112)</f>
        <v>#N/A</v>
      </c>
      <c r="K191" s="14">
        <f>HARMEAN(Todas!K1108:K1112)</f>
        <v>13.540485704354756</v>
      </c>
      <c r="L191" s="14" t="e">
        <f>HARMEAN(Todas!L1108:L1112)</f>
        <v>#N/A</v>
      </c>
      <c r="M191" s="14" t="e">
        <f>HARMEAN(Todas!M1108:M1112)</f>
        <v>#N/A</v>
      </c>
      <c r="N191" s="14" t="e">
        <f>HARMEAN(Todas!N1108:N1112)</f>
        <v>#N/A</v>
      </c>
      <c r="O191" s="14">
        <f>HARMEAN(Todas!O1108:O1112)</f>
        <v>3.6412814485767404</v>
      </c>
      <c r="P191" s="14" t="e">
        <f>HARMEAN(Todas!P1108:P1112)</f>
        <v>#N/A</v>
      </c>
      <c r="Q191" s="14" t="e">
        <f>HARMEAN(Todas!Q1108:Q1112)</f>
        <v>#N/A</v>
      </c>
      <c r="R191" s="14">
        <f>HARMEAN(Todas!R1108:R1112)</f>
        <v>1.134397777432107</v>
      </c>
      <c r="S191" s="14" t="e">
        <f>HARMEAN(Todas!S1108:S1112)</f>
        <v>#N/A</v>
      </c>
      <c r="T191" s="14" t="e">
        <f>HARMEAN(Todas!T1108:T1112)</f>
        <v>#N/A</v>
      </c>
      <c r="U191" s="14">
        <f>HARMEAN(Todas!U1108:U1112)</f>
        <v>3.6412814485767404</v>
      </c>
      <c r="V191" s="14">
        <f>HARMEAN(Todas!V1108:V1112)</f>
        <v>1.134397777432107</v>
      </c>
      <c r="W191" s="14">
        <f>HARMEAN(Todas!W1108:W1112)</f>
        <v>1.6895228212171431</v>
      </c>
    </row>
    <row r="192" spans="1:23">
      <c r="A192" t="s">
        <v>182</v>
      </c>
      <c r="B192" t="s">
        <v>259</v>
      </c>
      <c r="C192" s="21" t="str">
        <f>Todas!C1113</f>
        <v>IDJ</v>
      </c>
      <c r="D192" s="14">
        <f>HARMEAN(Todas!D1113:D1117)</f>
        <v>1998</v>
      </c>
      <c r="E192" s="14">
        <f>HARMEAN(Todas!E1113:E1117)</f>
        <v>1</v>
      </c>
      <c r="F192" s="14">
        <f>HARMEAN(Todas!F1113:F1117)</f>
        <v>21</v>
      </c>
      <c r="G192" s="15">
        <f>HARMEAN(Todas!G1113:G1117)</f>
        <v>21</v>
      </c>
      <c r="H192" s="15">
        <f>HARMEAN(Todas!H1113:H1117)</f>
        <v>5472.2157834633272</v>
      </c>
      <c r="I192" s="14" t="e">
        <f>HARMEAN(Todas!I1113:I1117)</f>
        <v>#N/A</v>
      </c>
      <c r="J192" s="14" t="e">
        <f>HARMEAN(Todas!J1113:J1117)</f>
        <v>#N/A</v>
      </c>
      <c r="K192" s="14">
        <f>HARMEAN(Todas!K1113:K1117)</f>
        <v>12.038033766281918</v>
      </c>
      <c r="L192" s="14" t="e">
        <f>HARMEAN(Todas!L1113:L1117)</f>
        <v>#N/A</v>
      </c>
      <c r="M192" s="14" t="e">
        <f>HARMEAN(Todas!M1113:M1117)</f>
        <v>#N/A</v>
      </c>
      <c r="N192" s="14" t="e">
        <f>HARMEAN(Todas!N1113:N1117)</f>
        <v>#N/A</v>
      </c>
      <c r="O192" s="14">
        <f>HARMEAN(Todas!O1113:O1117)</f>
        <v>3.7435422473190028</v>
      </c>
      <c r="P192" s="14" t="e">
        <f>HARMEAN(Todas!P1113:P1117)</f>
        <v>#N/A</v>
      </c>
      <c r="Q192" s="14" t="e">
        <f>HARMEAN(Todas!Q1113:Q1117)</f>
        <v>#N/A</v>
      </c>
      <c r="R192" s="14">
        <f>HARMEAN(Todas!R1113:R1117)</f>
        <v>1.0814607320842569</v>
      </c>
      <c r="S192" s="14" t="e">
        <f>HARMEAN(Todas!S1113:S1117)</f>
        <v>#N/A</v>
      </c>
      <c r="T192" s="14" t="e">
        <f>HARMEAN(Todas!T1113:T1117)</f>
        <v>#N/A</v>
      </c>
      <c r="U192" s="14">
        <f>HARMEAN(Todas!U1113:U1117)</f>
        <v>3.7435422473190028</v>
      </c>
      <c r="V192" s="14">
        <f>HARMEAN(Todas!V1113:V1117)</f>
        <v>1.0814607320842569</v>
      </c>
      <c r="W192" s="14">
        <f>HARMEAN(Todas!W1113:W1117)</f>
        <v>1.7169152729266106</v>
      </c>
    </row>
    <row r="193" spans="1:23">
      <c r="A193" t="s">
        <v>182</v>
      </c>
      <c r="B193" t="s">
        <v>259</v>
      </c>
      <c r="C193" s="21" t="str">
        <f>Todas!C1118</f>
        <v>IDJ</v>
      </c>
      <c r="D193" s="14">
        <f>HARMEAN(Todas!D1118:D1122)</f>
        <v>1998</v>
      </c>
      <c r="E193" s="14">
        <f>HARMEAN(Todas!E1118:E1122)</f>
        <v>3</v>
      </c>
      <c r="F193" s="14">
        <f>HARMEAN(Todas!F1118:F1122)</f>
        <v>8</v>
      </c>
      <c r="G193" s="15">
        <f>HARMEAN(Todas!G1118:G1122)</f>
        <v>68.94</v>
      </c>
      <c r="H193" s="15">
        <f>HARMEAN(Todas!H1118:H1122)</f>
        <v>2822.0218717064054</v>
      </c>
      <c r="I193" s="14" t="e">
        <f>HARMEAN(Todas!I1118:I1122)</f>
        <v>#N/A</v>
      </c>
      <c r="J193" s="14" t="e">
        <f>HARMEAN(Todas!J1118:J1122)</f>
        <v>#N/A</v>
      </c>
      <c r="K193" s="14">
        <f>HARMEAN(Todas!K1118:K1122)</f>
        <v>8.6397564437657941</v>
      </c>
      <c r="L193" s="14" t="e">
        <f>HARMEAN(Todas!L1118:L1122)</f>
        <v>#N/A</v>
      </c>
      <c r="M193" s="14" t="e">
        <f>HARMEAN(Todas!M1118:M1122)</f>
        <v>#N/A</v>
      </c>
      <c r="N193" s="14" t="e">
        <f>HARMEAN(Todas!N1118:N1122)</f>
        <v>#N/A</v>
      </c>
      <c r="O193" s="14">
        <f>HARMEAN(Todas!O1118:O1122)</f>
        <v>3.452889767672759</v>
      </c>
      <c r="P193" s="14" t="e">
        <f>HARMEAN(Todas!P1118:P1122)</f>
        <v>#N/A</v>
      </c>
      <c r="Q193" s="14" t="e">
        <f>HARMEAN(Todas!Q1118:Q1122)</f>
        <v>#N/A</v>
      </c>
      <c r="R193" s="14">
        <f>HARMEAN(Todas!R1118:R1122)</f>
        <v>0.93663651504760082</v>
      </c>
      <c r="S193" s="14" t="e">
        <f>HARMEAN(Todas!S1118:S1122)</f>
        <v>#N/A</v>
      </c>
      <c r="T193" s="14" t="e">
        <f>HARMEAN(Todas!T1118:T1122)</f>
        <v>#N/A</v>
      </c>
      <c r="U193" s="14">
        <f>HARMEAN(Todas!U1118:U1122)</f>
        <v>3.452889767672759</v>
      </c>
      <c r="V193" s="14">
        <f>HARMEAN(Todas!V1118:V1122)</f>
        <v>0.93663651504760082</v>
      </c>
      <c r="W193" s="14">
        <f>HARMEAN(Todas!W1118:W1122)</f>
        <v>1.9451008847828624</v>
      </c>
    </row>
    <row r="194" spans="1:23">
      <c r="A194" t="s">
        <v>182</v>
      </c>
      <c r="B194" t="s">
        <v>259</v>
      </c>
      <c r="C194" s="21" t="str">
        <f>Todas!C1123</f>
        <v>IDJ</v>
      </c>
      <c r="D194" s="14">
        <f>HARMEAN(Todas!D1123:D1127)</f>
        <v>1995</v>
      </c>
      <c r="E194" s="14">
        <f>HARMEAN(Todas!E1123:E1127)</f>
        <v>10</v>
      </c>
      <c r="F194" s="14">
        <f>HARMEAN(Todas!F1123:F1127)</f>
        <v>27</v>
      </c>
      <c r="G194" s="15">
        <f>HARMEAN(Todas!G1123:G1127)</f>
        <v>301.23</v>
      </c>
      <c r="H194" s="15">
        <f>HARMEAN(Todas!H1123:H1127)</f>
        <v>5777.8130461088149</v>
      </c>
      <c r="I194" s="14" t="e">
        <f>HARMEAN(Todas!I1123:I1127)</f>
        <v>#N/A</v>
      </c>
      <c r="J194" s="14" t="e">
        <f>HARMEAN(Todas!J1123:J1127)</f>
        <v>#N/A</v>
      </c>
      <c r="K194" s="14">
        <f>HARMEAN(Todas!K1123:K1127)</f>
        <v>12.0569451521358</v>
      </c>
      <c r="L194" s="14" t="e">
        <f>HARMEAN(Todas!L1123:L1127)</f>
        <v>#N/A</v>
      </c>
      <c r="M194" s="14" t="e">
        <f>HARMEAN(Todas!M1123:M1127)</f>
        <v>#N/A</v>
      </c>
      <c r="N194" s="14" t="e">
        <f>HARMEAN(Todas!N1123:N1127)</f>
        <v>#N/A</v>
      </c>
      <c r="O194" s="14">
        <f>HARMEAN(Todas!O1123:O1127)</f>
        <v>3.7648740670165632</v>
      </c>
      <c r="P194" s="14" t="e">
        <f>HARMEAN(Todas!P1123:P1127)</f>
        <v>#N/A</v>
      </c>
      <c r="Q194" s="14" t="e">
        <f>HARMEAN(Todas!Q1123:Q1127)</f>
        <v>#N/A</v>
      </c>
      <c r="R194" s="14">
        <f>HARMEAN(Todas!R1123:R1127)</f>
        <v>1.0825957997550704</v>
      </c>
      <c r="S194" s="14" t="e">
        <f>HARMEAN(Todas!S1123:S1127)</f>
        <v>#N/A</v>
      </c>
      <c r="T194" s="14" t="e">
        <f>HARMEAN(Todas!T1123:T1127)</f>
        <v>#N/A</v>
      </c>
      <c r="U194" s="14">
        <f>HARMEAN(Todas!U1123:U1127)</f>
        <v>3.7648740670165632</v>
      </c>
      <c r="V194" s="14">
        <f>HARMEAN(Todas!V1123:V1127)</f>
        <v>1.0825957997550704</v>
      </c>
      <c r="W194" s="14">
        <f>HARMEAN(Todas!W1123:W1127)</f>
        <v>1.7057166961664347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Cabaço1</vt:lpstr>
      <vt:lpstr>Cabaço2</vt:lpstr>
      <vt:lpstr>Todas</vt:lpstr>
      <vt:lpstr>SL_IL</vt:lpstr>
      <vt:lpstr>Halodule mean</vt:lpstr>
    </vt:vector>
  </TitlesOfParts>
  <Company>ualg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Vasco Vieira</dc:creator>
  <cp:lastModifiedBy>Vasco Vieira</cp:lastModifiedBy>
  <dcterms:created xsi:type="dcterms:W3CDTF">2014-02-05T16:24:07Z</dcterms:created>
  <dcterms:modified xsi:type="dcterms:W3CDTF">2017-11-04T16:43:43Z</dcterms:modified>
</cp:coreProperties>
</file>