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dpeic\OneDrive\Desktop\"/>
    </mc:Choice>
  </mc:AlternateContent>
  <xr:revisionPtr revIDLastSave="0" documentId="8_{68EF0DEA-BFB6-41A6-B0A3-7B8CFF733D07}" xr6:coauthVersionLast="47" xr6:coauthVersionMax="47" xr10:uidLastSave="{00000000-0000-0000-0000-000000000000}"/>
  <bookViews>
    <workbookView xWindow="-108" yWindow="-108" windowWidth="23256" windowHeight="13176" firstSheet="2" activeTab="5" xr2:uid="{00000000-000D-0000-FFFF-FFFF00000000}"/>
  </bookViews>
  <sheets>
    <sheet name="Title" sheetId="19" r:id="rId1"/>
    <sheet name="Table 1 Menopause status" sheetId="14" r:id="rId2"/>
    <sheet name="Table 2.1, 2.2 Menopause status" sheetId="17" r:id="rId3"/>
    <sheet name="Table 3 Descriptive statistics" sheetId="2" r:id="rId4"/>
    <sheet name="Table 4 Pooled models" sheetId="16" r:id="rId5"/>
    <sheet name="Tables 5 Study specific" sheetId="18" r:id="rId6"/>
    <sheet name="Tables 6 Study specific" sheetId="8" r:id="rId7"/>
  </sheets>
  <definedNames>
    <definedName name="_ftn1" localSheetId="1">'Table 1 Menopause status'!$B$147</definedName>
    <definedName name="_ftnref1" localSheetId="1">'Table 1 Menopause status'!$D$141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4" i="2" l="1"/>
  <c r="H94" i="2"/>
  <c r="I93" i="2"/>
  <c r="H93" i="2"/>
  <c r="I92" i="2"/>
  <c r="H92" i="2"/>
  <c r="E100" i="2"/>
  <c r="D100" i="2"/>
  <c r="E99" i="2"/>
  <c r="D99" i="2"/>
  <c r="E98" i="2"/>
  <c r="D98" i="2"/>
  <c r="I127" i="2"/>
  <c r="H127" i="2"/>
  <c r="I126" i="2"/>
  <c r="H126" i="2"/>
  <c r="I125" i="2"/>
  <c r="H125" i="2"/>
  <c r="I121" i="2"/>
  <c r="H121" i="2"/>
  <c r="I120" i="2"/>
  <c r="H120" i="2"/>
  <c r="I116" i="2"/>
  <c r="H116" i="2"/>
  <c r="I115" i="2"/>
  <c r="H115" i="2"/>
  <c r="I111" i="2"/>
  <c r="H111" i="2"/>
  <c r="I110" i="2"/>
  <c r="H110" i="2"/>
  <c r="I106" i="2"/>
  <c r="H106" i="2"/>
  <c r="I105" i="2"/>
  <c r="H105" i="2"/>
  <c r="I100" i="2"/>
  <c r="H100" i="2"/>
  <c r="I99" i="2"/>
  <c r="H99" i="2"/>
  <c r="I98" i="2"/>
  <c r="H98" i="2"/>
  <c r="I88" i="2"/>
  <c r="H88" i="2"/>
  <c r="I87" i="2"/>
  <c r="H87" i="2"/>
  <c r="I86" i="2"/>
  <c r="H86" i="2"/>
  <c r="E127" i="2"/>
  <c r="D127" i="2"/>
  <c r="E126" i="2"/>
  <c r="D126" i="2"/>
  <c r="E125" i="2"/>
  <c r="D125" i="2"/>
  <c r="E121" i="2"/>
  <c r="D121" i="2"/>
  <c r="E120" i="2"/>
  <c r="D120" i="2"/>
  <c r="E116" i="2"/>
  <c r="D116" i="2"/>
  <c r="E115" i="2"/>
  <c r="D115" i="2"/>
  <c r="E111" i="2"/>
  <c r="D111" i="2"/>
  <c r="E110" i="2"/>
  <c r="D110" i="2"/>
  <c r="E106" i="2"/>
  <c r="D106" i="2"/>
  <c r="E105" i="2"/>
  <c r="D105" i="2"/>
  <c r="E94" i="2"/>
  <c r="D94" i="2"/>
  <c r="E93" i="2"/>
  <c r="D93" i="2"/>
  <c r="E92" i="2"/>
  <c r="D92" i="2"/>
  <c r="E88" i="2"/>
  <c r="D88" i="2"/>
  <c r="E87" i="2"/>
  <c r="D87" i="2"/>
  <c r="E86" i="2"/>
  <c r="D86" i="2"/>
  <c r="I70" i="2"/>
  <c r="H70" i="2"/>
  <c r="I69" i="2"/>
  <c r="H69" i="2"/>
  <c r="E70" i="2"/>
  <c r="D70" i="2"/>
  <c r="E69" i="2"/>
  <c r="D69" i="2"/>
  <c r="I65" i="2"/>
  <c r="H65" i="2"/>
  <c r="I64" i="2"/>
  <c r="H64" i="2"/>
  <c r="E65" i="2"/>
  <c r="D65" i="2"/>
  <c r="E64" i="2"/>
  <c r="D64" i="2"/>
  <c r="I60" i="2"/>
  <c r="H60" i="2"/>
  <c r="I59" i="2"/>
  <c r="H59" i="2"/>
  <c r="E60" i="2"/>
  <c r="E59" i="2"/>
  <c r="D60" i="2"/>
  <c r="D59" i="2"/>
  <c r="I38" i="2"/>
  <c r="H38" i="2"/>
  <c r="I37" i="2"/>
  <c r="H37" i="2"/>
  <c r="E38" i="2"/>
  <c r="D38" i="2"/>
  <c r="E37" i="2"/>
  <c r="D37" i="2"/>
  <c r="I33" i="2"/>
  <c r="H33" i="2"/>
  <c r="I32" i="2"/>
  <c r="H32" i="2"/>
  <c r="I31" i="2"/>
  <c r="H31" i="2"/>
  <c r="E33" i="2"/>
  <c r="D33" i="2"/>
  <c r="E32" i="2"/>
  <c r="D32" i="2"/>
  <c r="E31" i="2"/>
  <c r="D31" i="2"/>
  <c r="I27" i="2"/>
  <c r="H27" i="2"/>
  <c r="I26" i="2"/>
  <c r="H26" i="2"/>
  <c r="I25" i="2"/>
  <c r="H25" i="2"/>
  <c r="I21" i="2"/>
  <c r="H21" i="2"/>
  <c r="H20" i="2"/>
  <c r="I20" i="2"/>
  <c r="I19" i="2"/>
  <c r="H19" i="2"/>
  <c r="E27" i="2"/>
  <c r="D27" i="2"/>
  <c r="E26" i="2"/>
  <c r="D26" i="2"/>
  <c r="E25" i="2"/>
  <c r="D25" i="2"/>
  <c r="E21" i="2"/>
  <c r="D21" i="2"/>
  <c r="E20" i="2"/>
  <c r="D20" i="2"/>
  <c r="E19" i="2"/>
  <c r="D19" i="2"/>
  <c r="I15" i="2"/>
  <c r="H15" i="2"/>
  <c r="I14" i="2"/>
  <c r="H14" i="2"/>
  <c r="I13" i="2"/>
  <c r="H13" i="2"/>
  <c r="I12" i="2"/>
  <c r="H12" i="2"/>
  <c r="E15" i="2"/>
  <c r="D15" i="2"/>
  <c r="E14" i="2"/>
  <c r="D14" i="2"/>
  <c r="E13" i="2"/>
  <c r="D13" i="2"/>
  <c r="E12" i="2"/>
  <c r="D12" i="2"/>
</calcChain>
</file>

<file path=xl/sharedStrings.xml><?xml version="1.0" encoding="utf-8"?>
<sst xmlns="http://schemas.openxmlformats.org/spreadsheetml/2006/main" count="811" uniqueCount="397">
  <si>
    <t>(95% CI)</t>
  </si>
  <si>
    <t>No</t>
  </si>
  <si>
    <t>Yes</t>
  </si>
  <si>
    <t>Never</t>
  </si>
  <si>
    <t>Ex-smoker</t>
  </si>
  <si>
    <t>Smoker</t>
  </si>
  <si>
    <t>Mother smoked during pregnancy</t>
  </si>
  <si>
    <t>Breastfed (5)</t>
  </si>
  <si>
    <t xml:space="preserve">missing </t>
  </si>
  <si>
    <t>missing</t>
  </si>
  <si>
    <t>n</t>
  </si>
  <si>
    <t>%</t>
  </si>
  <si>
    <t>Childhood</t>
  </si>
  <si>
    <t>Adulthood</t>
  </si>
  <si>
    <t>Never (reference)</t>
  </si>
  <si>
    <t>No (reference)</t>
  </si>
  <si>
    <t>OR</t>
  </si>
  <si>
    <t>95% CI</t>
  </si>
  <si>
    <t>1.39*</t>
  </si>
  <si>
    <t>Less often or never (reference)</t>
  </si>
  <si>
    <t>BMI at 16</t>
  </si>
  <si>
    <t>1.59*</t>
  </si>
  <si>
    <t>1.86*</t>
  </si>
  <si>
    <t>1.62*</t>
  </si>
  <si>
    <t>1.98**</t>
  </si>
  <si>
    <t>2.42***</t>
  </si>
  <si>
    <t>1.63*</t>
  </si>
  <si>
    <t>0.66***</t>
  </si>
  <si>
    <t>2nd quarter</t>
  </si>
  <si>
    <t>3rd quarter</t>
  </si>
  <si>
    <t>19 or less years</t>
  </si>
  <si>
    <t>20-34 years</t>
  </si>
  <si>
    <t>35 or more years</t>
  </si>
  <si>
    <t>1st quarter (lowest)</t>
  </si>
  <si>
    <t>4th quarter (highest)</t>
  </si>
  <si>
    <t>Manual</t>
  </si>
  <si>
    <t>Non-manual</t>
  </si>
  <si>
    <t>Breastfed (7)</t>
  </si>
  <si>
    <t>Smoking at 16</t>
  </si>
  <si>
    <t>Had a drink of alcohol 
in week prior Age 16 interview</t>
  </si>
  <si>
    <t>Alcohol consumption at 33</t>
  </si>
  <si>
    <t>Smoking at 33</t>
  </si>
  <si>
    <t xml:space="preserve">Pre-, peri- or postmenopausal 45 or more years </t>
  </si>
  <si>
    <t>No father in household/Other</t>
  </si>
  <si>
    <t>Father's social class</t>
  </si>
  <si>
    <t>1.59**</t>
  </si>
  <si>
    <t>2.66***</t>
  </si>
  <si>
    <t>1.30*</t>
  </si>
  <si>
    <t>2.46**</t>
  </si>
  <si>
    <t>2.43***</t>
  </si>
  <si>
    <t>mean (s.d.)</t>
  </si>
  <si>
    <t>median (range)</t>
  </si>
  <si>
    <t>0.2 (0.9)</t>
  </si>
  <si>
    <t>0.2 (-2.2,  2.6)</t>
  </si>
  <si>
    <t>Age at menarche (mother's report at 16)</t>
  </si>
  <si>
    <t>12.8 (1.3)</t>
  </si>
  <si>
    <t>21.1 (3.0)</t>
  </si>
  <si>
    <t>20.7 (14.5,40.4)</t>
  </si>
  <si>
    <t>1.1 (1.2)</t>
  </si>
  <si>
    <t>1 (0,6)</t>
  </si>
  <si>
    <t>1.65***</t>
  </si>
  <si>
    <t>24.4 (4.8)</t>
  </si>
  <si>
    <t>23.3 (11.3,50.2)</t>
  </si>
  <si>
    <t>0.70**</t>
  </si>
  <si>
    <t>2.29***</t>
  </si>
  <si>
    <t>1.90**</t>
  </si>
  <si>
    <t>1.78***</t>
  </si>
  <si>
    <t>0.2 (-3.1, 2.2)</t>
  </si>
  <si>
    <t>12.7 (1.3)</t>
  </si>
  <si>
    <t>21.3 (3.1)</t>
  </si>
  <si>
    <t>20.8 (9.9,47.7)</t>
  </si>
  <si>
    <t>1.73*</t>
  </si>
  <si>
    <t>0.52***</t>
  </si>
  <si>
    <t>1.08**</t>
  </si>
  <si>
    <t>24.0 (4.5)</t>
  </si>
  <si>
    <t>23.05 (14.9,58.2)</t>
  </si>
  <si>
    <t>1.03*</t>
  </si>
  <si>
    <t>2.23***</t>
  </si>
  <si>
    <t>0.57*</t>
  </si>
  <si>
    <t>0.65*</t>
  </si>
  <si>
    <t>1.78**</t>
  </si>
  <si>
    <t>Smoking at 30</t>
  </si>
  <si>
    <t>Alcohol consumption at 30</t>
  </si>
  <si>
    <t xml:space="preserve">Birth </t>
  </si>
  <si>
    <t>Emotional/neurotic subscore at 16 (Rutter)</t>
  </si>
  <si>
    <t>BMI at 30/33</t>
  </si>
  <si>
    <t>3rd quarter (reference)</t>
  </si>
  <si>
    <t xml:space="preserve">Maternal age </t>
  </si>
  <si>
    <t xml:space="preserve">Birthweight standardized for gestation </t>
  </si>
  <si>
    <t>20-34 years (reference)</t>
  </si>
  <si>
    <t>Non-manual (reference)</t>
  </si>
  <si>
    <t xml:space="preserve">Breastfed </t>
  </si>
  <si>
    <t>1.21*</t>
  </si>
  <si>
    <t>0.65***</t>
  </si>
  <si>
    <t>Drinking the week prior age 16 interview</t>
  </si>
  <si>
    <t>Exercise at 16</t>
  </si>
  <si>
    <t>0.69***</t>
  </si>
  <si>
    <t>Smoking at 30/33</t>
  </si>
  <si>
    <t>Alcohol consumption at 30/33</t>
  </si>
  <si>
    <t>0.69*</t>
  </si>
  <si>
    <t>Less often or never</t>
  </si>
  <si>
    <t>Use oral contraceptives by 30/42</t>
  </si>
  <si>
    <t>Monthly or less often (reference)</t>
  </si>
  <si>
    <t>Cohort year</t>
  </si>
  <si>
    <t>1970 (reference)</t>
  </si>
  <si>
    <t>1.75***</t>
  </si>
  <si>
    <t>1.90***</t>
  </si>
  <si>
    <t>1.09**</t>
  </si>
  <si>
    <t>2.2***</t>
  </si>
  <si>
    <t>0.60*</t>
  </si>
  <si>
    <t>1.86**</t>
  </si>
  <si>
    <r>
      <t>1.03</t>
    </r>
    <r>
      <rPr>
        <vertAlign val="superscript"/>
        <sz val="11"/>
        <color theme="1"/>
        <rFont val="Calibri"/>
        <family val="2"/>
        <scheme val="minor"/>
      </rPr>
      <t>+</t>
    </r>
  </si>
  <si>
    <t>2.41***</t>
  </si>
  <si>
    <t>1.60***</t>
  </si>
  <si>
    <t>0.68**</t>
  </si>
  <si>
    <t>1.91***</t>
  </si>
  <si>
    <t>1.77***</t>
  </si>
  <si>
    <t>0.56***</t>
  </si>
  <si>
    <t>2.35***</t>
  </si>
  <si>
    <t>1.93*</t>
  </si>
  <si>
    <t>1.37*</t>
  </si>
  <si>
    <t>1.93***</t>
  </si>
  <si>
    <t>0.78**</t>
  </si>
  <si>
    <t>1.14+</t>
  </si>
  <si>
    <t>Weekly/Often</t>
  </si>
  <si>
    <t>Less often</t>
  </si>
  <si>
    <t>0.56**</t>
  </si>
  <si>
    <t>Stopped prior or during the pregnancy</t>
  </si>
  <si>
    <t>Smoked during pregnancy</t>
  </si>
  <si>
    <t>1.84*</t>
  </si>
  <si>
    <t>1.57*</t>
  </si>
  <si>
    <t>2.40***</t>
  </si>
  <si>
    <t>13 (10,16)</t>
  </si>
  <si>
    <t>2.10**</t>
  </si>
  <si>
    <t>0.51***</t>
  </si>
  <si>
    <t>1.61*</t>
  </si>
  <si>
    <t>2.52**</t>
  </si>
  <si>
    <t>2.39**</t>
  </si>
  <si>
    <t>0.72***</t>
  </si>
  <si>
    <t>2.46***</t>
  </si>
  <si>
    <t>0.70*</t>
  </si>
  <si>
    <t>2.27***</t>
  </si>
  <si>
    <t>1.94*</t>
  </si>
  <si>
    <r>
      <t>0.90</t>
    </r>
    <r>
      <rPr>
        <vertAlign val="superscript"/>
        <sz val="11"/>
        <rFont val="Calibri"/>
        <family val="2"/>
        <scheme val="minor"/>
      </rPr>
      <t>+</t>
    </r>
  </si>
  <si>
    <t>2.07***</t>
  </si>
  <si>
    <t>1.41*</t>
  </si>
  <si>
    <t xml:space="preserve">Crude/Unadjusted </t>
  </si>
  <si>
    <t>2.16**</t>
  </si>
  <si>
    <t>0.55***</t>
  </si>
  <si>
    <t>1.06*</t>
  </si>
  <si>
    <t>2.21**</t>
  </si>
  <si>
    <t>0.57***</t>
  </si>
  <si>
    <r>
      <t>1.08</t>
    </r>
    <r>
      <rPr>
        <vertAlign val="superscript"/>
        <sz val="11"/>
        <rFont val="Calibri"/>
        <family val="2"/>
        <scheme val="minor"/>
      </rPr>
      <t>+</t>
    </r>
  </si>
  <si>
    <t>0.64*</t>
  </si>
  <si>
    <t>1970 BCS cohort</t>
  </si>
  <si>
    <t>1958 NCDS cohort</t>
  </si>
  <si>
    <t>1.95***</t>
  </si>
  <si>
    <t>1.48*</t>
  </si>
  <si>
    <t>1.45***</t>
  </si>
  <si>
    <t>1.51***</t>
  </si>
  <si>
    <t>1.50*</t>
  </si>
  <si>
    <t>1.44***</t>
  </si>
  <si>
    <t>1.69***</t>
  </si>
  <si>
    <t>0.76**</t>
  </si>
  <si>
    <t>0.75***</t>
  </si>
  <si>
    <t>1.68***</t>
  </si>
  <si>
    <t>1.43***</t>
  </si>
  <si>
    <t>1.62***</t>
  </si>
  <si>
    <t>1.81***</t>
  </si>
  <si>
    <t>Question</t>
  </si>
  <si>
    <t>Variable</t>
  </si>
  <si>
    <t>Categories</t>
  </si>
  <si>
    <t>Frequency of alcohol consumption at 30/33</t>
  </si>
  <si>
    <t>Less than  1 month or never</t>
  </si>
  <si>
    <t>1 or more months</t>
  </si>
  <si>
    <t>Breastfed (5/7)</t>
  </si>
  <si>
    <t>Weekly (once to most days a week)</t>
  </si>
  <si>
    <t>Monthly (one to three times a month)</t>
  </si>
  <si>
    <t>Weekly (once to most days per week)</t>
  </si>
  <si>
    <t>Monthly (two to three times a month)</t>
  </si>
  <si>
    <t>Experienced depression symptoms (Malaise) at 30/33</t>
  </si>
  <si>
    <t>Weekly (or often))</t>
  </si>
  <si>
    <t xml:space="preserve">Emotional/Neurotic score at 16 (Rutter) </t>
  </si>
  <si>
    <t>Exercise at 30/33</t>
  </si>
  <si>
    <t>Depressive symptoms at 30/33 (Malaise)</t>
  </si>
  <si>
    <t>Less than 1 month or never</t>
  </si>
  <si>
    <t>Weekly (or often)</t>
  </si>
  <si>
    <t>Emotional/neurotic score 
(Rutter) at 16</t>
  </si>
  <si>
    <t>Exercise at 30</t>
  </si>
  <si>
    <t xml:space="preserve">Depressive symptoms (Malaise) at 30 </t>
  </si>
  <si>
    <t>Characteristic</t>
  </si>
  <si>
    <t>2.20***</t>
  </si>
  <si>
    <t>2.02***</t>
  </si>
  <si>
    <t>1.32**</t>
  </si>
  <si>
    <t>2.12***</t>
  </si>
  <si>
    <t>1.24*</t>
  </si>
  <si>
    <t>Breastfed</t>
  </si>
  <si>
    <t>2.05***</t>
  </si>
  <si>
    <t xml:space="preserve">Maternal age /
Birthweight standardized for gestation </t>
  </si>
  <si>
    <t>Adjusted</t>
  </si>
  <si>
    <t>Mother smoked 
during pregnancy</t>
  </si>
  <si>
    <t>Cognitive ability score
 (maths &amp; reading) at 10/11</t>
  </si>
  <si>
    <t>0.64***</t>
  </si>
  <si>
    <t>1.48**</t>
  </si>
  <si>
    <t>1.55*</t>
  </si>
  <si>
    <t>1.96***</t>
  </si>
  <si>
    <t>1.05***</t>
  </si>
  <si>
    <t>1.76***</t>
  </si>
  <si>
    <t>Crude/Unadjusted</t>
  </si>
  <si>
    <r>
      <t>1.02</t>
    </r>
    <r>
      <rPr>
        <vertAlign val="superscript"/>
        <sz val="11"/>
        <color theme="1"/>
        <rFont val="Calibri"/>
        <family val="2"/>
        <scheme val="minor"/>
      </rPr>
      <t>+</t>
    </r>
  </si>
  <si>
    <t>2.36***</t>
  </si>
  <si>
    <t>0.67***</t>
  </si>
  <si>
    <t>0.68***</t>
  </si>
  <si>
    <t>0.63***</t>
  </si>
  <si>
    <r>
      <t>0.77</t>
    </r>
    <r>
      <rPr>
        <vertAlign val="superscript"/>
        <sz val="11"/>
        <color theme="1"/>
        <rFont val="Calibri"/>
        <family val="2"/>
        <scheme val="minor"/>
      </rPr>
      <t>+</t>
    </r>
  </si>
  <si>
    <t>1.82***</t>
  </si>
  <si>
    <t>1.32*</t>
  </si>
  <si>
    <t>BMI / Smoking / 
Drinking / Exercise / Emotional distress / Gynaecological problems / Contraceptives / Live birth / Social class</t>
  </si>
  <si>
    <t>BIRTH</t>
  </si>
  <si>
    <t>CHILDHOOD</t>
  </si>
  <si>
    <t>ADULTHOOD</t>
  </si>
  <si>
    <t>1.72***</t>
  </si>
  <si>
    <t>All univariate models
account for cohort year</t>
  </si>
  <si>
    <t>1.49*</t>
  </si>
  <si>
    <t>0.53***</t>
  </si>
  <si>
    <t>0.71***</t>
  </si>
  <si>
    <t>1.97*</t>
  </si>
  <si>
    <t>1.92***</t>
  </si>
  <si>
    <r>
      <t>0.73</t>
    </r>
    <r>
      <rPr>
        <b/>
        <vertAlign val="superscript"/>
        <sz val="11"/>
        <rFont val="Calibri"/>
        <family val="2"/>
        <scheme val="minor"/>
      </rPr>
      <t>+</t>
    </r>
  </si>
  <si>
    <r>
      <t>0.74</t>
    </r>
    <r>
      <rPr>
        <b/>
        <vertAlign val="superscript"/>
        <sz val="11"/>
        <rFont val="Calibri"/>
        <family val="2"/>
        <scheme val="minor"/>
      </rPr>
      <t>+</t>
    </r>
  </si>
  <si>
    <t>RISK FACTORS</t>
  </si>
  <si>
    <r>
      <t>1.46</t>
    </r>
    <r>
      <rPr>
        <b/>
        <vertAlign val="superscript"/>
        <sz val="11"/>
        <rFont val="Calibri"/>
        <family val="2"/>
        <scheme val="minor"/>
      </rPr>
      <t>+</t>
    </r>
  </si>
  <si>
    <t>Imputed  (MI)</t>
  </si>
  <si>
    <r>
      <rPr>
        <b/>
        <sz val="11"/>
        <color theme="1"/>
        <rFont val="Calibri"/>
        <family val="2"/>
        <scheme val="minor"/>
      </rPr>
      <t xml:space="preserve">Complete case </t>
    </r>
    <r>
      <rPr>
        <sz val="11"/>
        <color theme="1"/>
        <rFont val="Calibri"/>
        <family val="2"/>
        <scheme val="minor"/>
      </rPr>
      <t xml:space="preserve"> </t>
    </r>
  </si>
  <si>
    <r>
      <rPr>
        <b/>
        <sz val="11"/>
        <color theme="1"/>
        <rFont val="Calibri"/>
        <family val="2"/>
        <scheme val="minor"/>
      </rPr>
      <t>Complete case</t>
    </r>
    <r>
      <rPr>
        <sz val="11"/>
        <color theme="1"/>
        <rFont val="Calibri"/>
        <family val="2"/>
        <scheme val="minor"/>
      </rPr>
      <t xml:space="preserve"> </t>
    </r>
  </si>
  <si>
    <r>
      <rPr>
        <b/>
        <sz val="11"/>
        <color theme="1"/>
        <rFont val="Calibri"/>
        <family val="2"/>
        <scheme val="minor"/>
      </rPr>
      <t>Imputed</t>
    </r>
    <r>
      <rPr>
        <sz val="11"/>
        <color theme="1"/>
        <rFont val="Calibri"/>
        <family val="2"/>
        <scheme val="minor"/>
      </rPr>
      <t xml:space="preserve"> </t>
    </r>
    <r>
      <rPr>
        <b/>
        <sz val="11"/>
        <color theme="1"/>
        <rFont val="Calibri"/>
        <family val="2"/>
        <scheme val="minor"/>
      </rPr>
      <t>(MI)</t>
    </r>
    <r>
      <rPr>
        <sz val="11"/>
        <color theme="1"/>
        <rFont val="Calibri"/>
        <family val="2"/>
        <scheme val="minor"/>
      </rPr>
      <t xml:space="preserve"> 
univariate analysis</t>
    </r>
  </si>
  <si>
    <t>Total</t>
  </si>
  <si>
    <t>Menopause status</t>
  </si>
  <si>
    <t>44/45</t>
  </si>
  <si>
    <t>n.a.</t>
  </si>
  <si>
    <t>Peri-menopause</t>
  </si>
  <si>
    <t>Pre-menopause</t>
  </si>
  <si>
    <t>No periods (other reasons)</t>
  </si>
  <si>
    <t>Never had a period</t>
  </si>
  <si>
    <t>Insufficient information</t>
  </si>
  <si>
    <t>[1] Due to an error, women at age 46 in the 1970 cohort who at age 42 reported no periods in the past 12 months for reasons different from natural menopause, including pregnancy and contraceptive use, were not asked whether they had periods in the past 12 months, resulting in insufficient information to determine their menopause status at age 46 survey.</t>
  </si>
  <si>
    <t>-</t>
  </si>
  <si>
    <t>Menopause &lt;40 years 
(premature menopause)</t>
  </si>
  <si>
    <t>Menopause 40-44 years
(early menopause)</t>
  </si>
  <si>
    <t>Menopause 45 or more years</t>
  </si>
  <si>
    <t>Hysterectomy/Bilateral oophorectomy 
(before FMP)</t>
  </si>
  <si>
    <r>
      <t xml:space="preserve">384 </t>
    </r>
    <r>
      <rPr>
        <vertAlign val="superscript"/>
        <sz val="11"/>
        <color theme="1"/>
        <rFont val="Calibri"/>
        <family val="2"/>
        <scheme val="minor"/>
      </rPr>
      <t>[1]</t>
    </r>
  </si>
  <si>
    <t xml:space="preserve">n </t>
  </si>
  <si>
    <t xml:space="preserve">Age 42 </t>
  </si>
  <si>
    <t>Age 46</t>
  </si>
  <si>
    <t>Age 44/45</t>
  </si>
  <si>
    <t>Age 50</t>
  </si>
  <si>
    <t>1.97***</t>
  </si>
  <si>
    <r>
      <t>1.20</t>
    </r>
    <r>
      <rPr>
        <vertAlign val="superscript"/>
        <sz val="11"/>
        <color theme="1"/>
        <rFont val="Calibri"/>
        <family val="2"/>
        <scheme val="minor"/>
      </rPr>
      <t>+</t>
    </r>
  </si>
  <si>
    <t>1.52*</t>
  </si>
  <si>
    <r>
      <t>1.30</t>
    </r>
    <r>
      <rPr>
        <b/>
        <vertAlign val="superscript"/>
        <sz val="11"/>
        <color theme="1"/>
        <rFont val="Calibri"/>
        <family val="2"/>
        <scheme val="minor"/>
      </rPr>
      <t>+</t>
    </r>
  </si>
  <si>
    <r>
      <t>1.75</t>
    </r>
    <r>
      <rPr>
        <vertAlign val="superscript"/>
        <sz val="11"/>
        <color theme="1"/>
        <rFont val="Calibri"/>
        <family val="2"/>
        <scheme val="minor"/>
      </rPr>
      <t>+</t>
    </r>
  </si>
  <si>
    <t>Menopause before 45 years (Early menopause)</t>
  </si>
  <si>
    <t xml:space="preserve">Cognitive ability score at 10/11  (maths, reading) </t>
  </si>
  <si>
    <t>Cognitive ability score (maths &amp; reading) at 10/11 (per SD)</t>
  </si>
  <si>
    <t>Age at menarche (per year)</t>
  </si>
  <si>
    <t>BMI at 16 (per kg/m2)</t>
  </si>
  <si>
    <t>BMI at 30/33 (per kg/m2)</t>
  </si>
  <si>
    <t>Age at menarche (mother's report at 16) (per year)</t>
  </si>
  <si>
    <t>Age at menarche (mother's report at 16)v(per year)</t>
  </si>
  <si>
    <t>BMI at 30 (per kg/m2)</t>
  </si>
  <si>
    <t>BMI at 33 (per kg/m2)</t>
  </si>
  <si>
    <t xml:space="preserve">Maternal age at birth </t>
  </si>
  <si>
    <t>Yes/No
Month/Year/Age</t>
  </si>
  <si>
    <t>In the last 12 months have you had a period or menstrual bleeding?</t>
  </si>
  <si>
    <t>Yes/No</t>
  </si>
  <si>
    <t>On what date did your last period start? 
(Include current period if bleeding now)</t>
  </si>
  <si>
    <t>Day/Month/Year/Age</t>
  </si>
  <si>
    <t xml:space="preserve">In the last few years (in the years before your last period) did your periods… </t>
  </si>
  <si>
    <t>… Surgery? 
… Chemotherapy or radiation therapy?
… Pregnancy or breastfeeding? 
… No obvious reason / menopause? 
… Other reason, please specify</t>
  </si>
  <si>
    <t>{If 'No periods last 12 months'} Were your periods stopped by…</t>
  </si>
  <si>
    <t>Have you ever had hormone replacement therapy (HRT)?</t>
  </si>
  <si>
    <t>{If 'ever had' HRT} When did you first start HRT?</t>
  </si>
  <si>
    <t>Month/Year/Age</t>
  </si>
  <si>
    <t>{If 'ever had' HRT} Before you started HRT had your menstrual periods stopped?</t>
  </si>
  <si>
    <t xml:space="preserve">Categories or scale </t>
  </si>
  <si>
    <t>Since [date of biomedical interview] have you / Have you ever] had an operation to remove one or both of your ovaries?</t>
  </si>
  <si>
    <t xml:space="preserve">Removal of one ovary (oophorectomy) 
Removal of both ovaries (bilateral oophorectomy) 
None of these </t>
  </si>
  <si>
    <t xml:space="preserve">[Since [date of biomedical interview] have you / Have you ever] had an operation to remove your uterus (womb)? </t>
  </si>
  <si>
    <t>Age</t>
  </si>
  <si>
    <t>Month</t>
  </si>
  <si>
    <t xml:space="preserve">{If 'Had periods last 12 months} In the last 3 months have you had a period or menstrual bleeding? </t>
  </si>
  <si>
    <t xml:space="preserve">{If 'No periods last 12 months'} What was the main reason your periods stopped? </t>
  </si>
  <si>
    <t>What age were you when you started your last period[(however long ago this was)]?</t>
  </si>
  <si>
    <t xml:space="preserve">Age </t>
  </si>
  <si>
    <t xml:space="preserve">And what was the month of your last period? </t>
  </si>
  <si>
    <t>Please tell us about the [most recent changes to your menstrual periods. In the last few years have your periods…/ changes before your last period. In the years before your last period did your periods...]</t>
  </si>
  <si>
    <t>...become more regular? 
...become less regular? 
...remain about the same (i.e. as regular/irregular as before)?</t>
  </si>
  <si>
    <t>Are you currently on hormone replacement therapy (HRT)?</t>
  </si>
  <si>
    <t>{If 'Not currently on HRT'} Have you ever had HRT?</t>
  </si>
  <si>
    <t>{If currently or ever on HRT'} What age were you when you first started HRT?</t>
  </si>
  <si>
    <t>{If currently or ever on HRT'} In what month did you first start HRT?</t>
  </si>
  <si>
    <t>{If 'periods stopped before HRT start'} What age were you when you had your last period before starting HRT?</t>
  </si>
  <si>
    <t xml:space="preserve">{If 'periods stopped before HRT start'} In what month was your last period before starting HRT? </t>
  </si>
  <si>
    <t xml:space="preserve">{If 'ever had' HRT} Are you currently taking HRT? </t>
  </si>
  <si>
    <t xml:space="preserve">
</t>
  </si>
  <si>
    <t>Removal of one ovary (oophorectomy)
Removal of both ovaries (bilateral oophorectomy)
None of these</t>
  </si>
  <si>
    <t xml:space="preserve">Have you ever had an operation to remove your uterus (womb)? </t>
  </si>
  <si>
    <t>{If 'Had an operation'} In what month was this operation?</t>
  </si>
  <si>
    <t xml:space="preserve">{If 'Had an operation'} In what month was this operation? </t>
  </si>
  <si>
    <t xml:space="preserve">In the last 12 months have you had a period or menstrual bleeding? </t>
  </si>
  <si>
    <t>In the last 3 months have you had a period or menstrual bleeding?</t>
  </si>
  <si>
    <t>Become more regular 
Become less regular 
Remain about the same (i.e. as regular/irregular as before)</t>
  </si>
  <si>
    <t xml:space="preserve">{If 'Not currently on HRT'} Have you ever had HRT? </t>
  </si>
  <si>
    <t xml:space="preserve">{If currently or ever on HRT'} In what month did you first start HRT? </t>
  </si>
  <si>
    <t xml:space="preserve">{If currently or ever on HRT'} Before you started HRT had your menstrual periods stopped? </t>
  </si>
  <si>
    <t>{Since {date last interview} have you/Have you ever} had an operation to remove one or both of your ovaries?</t>
  </si>
  <si>
    <t>Removal of one ovary (oophorectomy)
Removal of both ovaries (bilateral oophorectomy)
Neither of these</t>
  </si>
  <si>
    <t>In {date last interview} you told us that you had had one of your ovaries removed. Since then have you had a further operation to remove your remaining ovary?</t>
  </si>
  <si>
    <t xml:space="preserve">{Since {date last interview} have you / Have you ever} had an operation to remove your uterus (womb)? </t>
  </si>
  <si>
    <t>{If 'Had an operation'} How old were you when you had the operation for the removal of {uterus (womb)/ovary/ovaries}?</t>
  </si>
  <si>
    <t xml:space="preserve">{If 'No periods last 12 months'} How old were you when you had your
last period? </t>
  </si>
  <si>
    <t>{If 'No periods last 12 months'} And what was the month of your last 
period?</t>
  </si>
  <si>
    <t>Become more regular
Become less regular
Remain about the same (i.e. as regular/irregular as before)</t>
  </si>
  <si>
    <t>{If currently or ever on HRT'} How old were you when you first started HRT?</t>
  </si>
  <si>
    <t>{If currently or ever on HRT'} Before you started HRT had your menstrual periods stopped?</t>
  </si>
  <si>
    <t>{If 'periods stopped before HRT start'} How old were you when you had your last period before starting HRT</t>
  </si>
  <si>
    <t xml:space="preserve">Note: Missing values excluded from analysis </t>
  </si>
  <si>
    <t>Have you ever had any of the following operations? IF YES, give dates of all operations. If you cannot remember the month and year, give your age at the time of the operation.
Removal of uterus (womb) and both ovaries (hysterectomy and bilateral oophorectomy) 
Removal of uterus (womb) only (hysterectomy)
Removal or uterus (womb) and one ovary (hysterectomy and oophorectomy) 
Removal of both ovaries only (bilateral oophorectomy)</t>
  </si>
  <si>
    <t>… become more regular? 
… become less regular? 
… remain about the same i.e. as regular/irregular as before)?</t>
  </si>
  <si>
    <t>No obvious reason /menopause
Pregnancy or breastfeeding
Surgery
Chemotherapy or radiation therapy
Other</t>
  </si>
  <si>
    <t>No obvious reason /menopause 
Pregnancy or breastfeeding 
Surgery 
Chemotherapy or radiation therapy 
Other</t>
  </si>
  <si>
    <t>Age at menarche /
 BMI / Smoking / Drinking / Exercise / Emotional distress at 16</t>
  </si>
  <si>
    <t>Cognitive ability scoreat 11 (maths, reading) (per SD)</t>
  </si>
  <si>
    <t>Cognitive ability score at 10 (maths, reading) (per SD)</t>
  </si>
  <si>
    <t>Darina Peycheva, Alice Sullivan, Rebecca Hardy, Alex Bryson, Gabriella Conti, and George Ploubidis</t>
  </si>
  <si>
    <t>Corresponding Author: d.peycheva@ucl.ac.uk</t>
  </si>
  <si>
    <t>Supplementary material</t>
  </si>
  <si>
    <t>Menopausal status*</t>
  </si>
  <si>
    <r>
      <t>Periods or other gynaecological problems</t>
    </r>
    <r>
      <rPr>
        <sz val="11"/>
        <color theme="1"/>
        <rFont val="Calibri"/>
        <family val="2"/>
        <scheme val="minor"/>
      </rPr>
      <t xml:space="preserve"> (by age 30)</t>
    </r>
  </si>
  <si>
    <r>
      <t>Periods or other gynaecological problems</t>
    </r>
    <r>
      <rPr>
        <sz val="11"/>
        <color theme="1"/>
        <rFont val="Calibri"/>
        <family val="2"/>
        <scheme val="minor"/>
      </rPr>
      <t xml:space="preserve"> (by age 33)</t>
    </r>
  </si>
  <si>
    <t>Women who have undergone hysterectomy or bilateral oophorectomy prior to their FMP or whose periods stopped for other obvious reasons (e.g. pregnancy, contraceptives, chemotherapy or radiotherapy), as well as women who started HT prior to the FMP, were excluded from this analysis.</t>
  </si>
  <si>
    <t>Not in employment</t>
  </si>
  <si>
    <t>Analytical sample further excludes twins and triplets and women with missing multiple birth information (n=182), retaining only singletons.</t>
  </si>
  <si>
    <t>RISK FACTORS FOR NATURAL MENOPAUSE BEFORE THE AGE OF 45: EVIDENCE FROM TWO BRITISH POPULATION-BASED BIRTH COHORT STUIDES</t>
  </si>
  <si>
    <t>Harmonised measures</t>
  </si>
  <si>
    <t xml:space="preserve">Have you ever had an operation to remove one or both of your ovaries? </t>
  </si>
  <si>
    <t>(Age 42 participants) Not in age 46 survey</t>
  </si>
  <si>
    <t>(Age 44 participants) Not in age 50 survey</t>
  </si>
  <si>
    <t>Overall number of women (and denominator) excludes cases non-participating in subsequent sweep (i.e. 878 women who took part at age 42 but not age 46).</t>
  </si>
  <si>
    <t>Overall number of women (and denominator) excludes cases non-participating in subsequent sweep (i.e. 411 women who took part at age 44/45 but not age 50).</t>
  </si>
  <si>
    <t xml:space="preserve">Notes: 
If a woman had gone through natural menopause or a surgery (hysterectomy/bilateral oophorectomy) or had initiated HT prior to the FMP, their menopausal status remained unchanged for the subsequent survey (i.e. figures at age 50 include women with permanent menopause status at age 44/45).
</t>
  </si>
  <si>
    <t>Notes: 
If a woman had gone through natural menopause or a surgery (hysterectomy/bilateral oophorectomy) or had initiated HT prior to the FMP, their menopausal status remained unchanged for the subsequent survey (i.e. figures at age 46 include women with permanent menopause status at age 42).</t>
  </si>
  <si>
    <r>
      <t>Periods or other gynaecological problems</t>
    </r>
    <r>
      <rPr>
        <sz val="11"/>
        <color theme="1"/>
        <rFont val="Calibri"/>
        <family val="2"/>
        <scheme val="minor"/>
      </rPr>
      <t xml:space="preserve"> </t>
    </r>
    <r>
      <rPr>
        <b/>
        <sz val="11"/>
        <color theme="1"/>
        <rFont val="Calibri"/>
        <family val="2"/>
        <scheme val="minor"/>
      </rPr>
      <t>(by age 30/33)</t>
    </r>
  </si>
  <si>
    <r>
      <t>Use of contraceptives</t>
    </r>
    <r>
      <rPr>
        <sz val="11"/>
        <color theme="1"/>
        <rFont val="Calibri"/>
        <family val="2"/>
        <scheme val="minor"/>
      </rPr>
      <t xml:space="preserve"> (by age 30/42)</t>
    </r>
  </si>
  <si>
    <t>Nulliparous (no live births) (by age 38/42)</t>
  </si>
  <si>
    <t>*Menopause status is determined using information collected at age 42 and 46 in BCS70 and age 44/45 and 50 in NCDS.</t>
  </si>
  <si>
    <t>Use of contraceptives (by age 30)</t>
  </si>
  <si>
    <t>Nulliparous (no live births) (by age 38)</t>
  </si>
  <si>
    <t>Periods or other
gynaecological problems by 30/33</t>
  </si>
  <si>
    <t>CONTENTS:</t>
  </si>
  <si>
    <t>Not in paid employment</t>
  </si>
  <si>
    <t>1 or more months (reference)</t>
  </si>
  <si>
    <t>Social class at age 38/42</t>
  </si>
  <si>
    <t>Social class (age 38)</t>
  </si>
  <si>
    <t>Social class (age 38/42)</t>
  </si>
  <si>
    <r>
      <t xml:space="preserve">Note: An asterisk indicates significance levels, *** p&lt;0.001, ** p&lt;0.01, * p&lt;0.05, </t>
    </r>
    <r>
      <rPr>
        <vertAlign val="superscript"/>
        <sz val="11"/>
        <color theme="1"/>
        <rFont val="Calibri"/>
        <family val="2"/>
        <scheme val="minor"/>
      </rPr>
      <t>+</t>
    </r>
    <r>
      <rPr>
        <sz val="11"/>
        <color theme="1"/>
        <rFont val="Calibri"/>
        <family val="2"/>
        <scheme val="minor"/>
      </rPr>
      <t>p&lt;0.1</t>
    </r>
  </si>
  <si>
    <t>Note: An asterisk indicates significance levels, *** p&lt;0.001, ** p&lt;0.01, * p&lt;0.05, p&lt;0.1</t>
  </si>
  <si>
    <t>Nulliparous (no live births) by 38/42</t>
  </si>
  <si>
    <t>Nulliparous (no live births) (by age 42)</t>
  </si>
  <si>
    <t>Use of contraceptives (by age 42)</t>
  </si>
  <si>
    <t>Social class (age 42)</t>
  </si>
  <si>
    <t>{If 'Had an operation'} How old were you when you had the operation for the removal of {uterus (womb)/ ovary/ovaries}?</t>
  </si>
  <si>
    <t>{If 'No periods last 12 months'} How old were you when you had your last period [(however long ago this was)]?</t>
  </si>
  <si>
    <t>{If 'No periods last 12 months'} And what was the month of your last period?</t>
  </si>
  <si>
    <t>Please tell us about [any recent changes to your menstrual periods. In the last few years have your periods… / the changes before your last period. In the years before your last period did your periods...]</t>
  </si>
  <si>
    <t xml:space="preserve">{If currently or ever on HRT'} How old were you when you first started  HRT? </t>
  </si>
  <si>
    <t>{If 'periods stopped before HRT start'} How old were you when you had your last period before starting HRT?</t>
  </si>
  <si>
    <t>{If 'periods stopped before HRT start'} In what month was your last period before starting HRT?</t>
  </si>
  <si>
    <t>Please tell us about {any recent changes to your menstrual periods. In the last few years have your periods…/ the changes before your last period. In the years before your last period did your periods...}</t>
  </si>
  <si>
    <t xml:space="preserve">{If 'Had periods last 12 months'} In the last 3 months have you had a period or menstrual bleeding? </t>
  </si>
  <si>
    <t>{IF 'periods stopped before HRT start'} What was the date of your last period before starting HRT?</t>
  </si>
  <si>
    <t xml:space="preserve">In [Year of biomedical interview], you told us that you had [an ovary removed (oophorectomy) / your uterus (womb) and one ovary removed (hysterectomy and oophorectomy)]. [Since [date of biomedical interview] have you / Have you ever] had a further operation to remove your remaining ovary (oophorectomy)? </t>
  </si>
  <si>
    <t>Pre-menopausal
Peri-menopausal
Menopause &lt;40 years
Menopause 40-44 years
Menopause 45 or more years
No periods (other reasons)
Hormone therapy (HT)
Surgery (hysterectomy/bilateral oophorectomy)
Never had a period
Insufficient information
Did not participate in follow-up sweep</t>
  </si>
  <si>
    <t>Hormone therapy (before FMP)</t>
  </si>
  <si>
    <t>Due to an error, women in the 1958 cohort who reported natural menopause in the age 44/45 survey were not asked about their age at their FMP; they were asked about this subsequently at the age 50 follow-up.</t>
  </si>
  <si>
    <t>Analytical sample further excludes twins and triplets and women with missing multiple birth information (n=135), retaining only singletons (3,614).</t>
  </si>
  <si>
    <t xml:space="preserve">Table 1. Questions and response options in 1970 BCS and 1958 NCDS cohorts and new variables created following data harmonisation: menopause status </t>
  </si>
  <si>
    <t>Table 2.1 Classification of women into menopause status in 1970 BCS cohort</t>
  </si>
  <si>
    <t>Table 2.2 Classification of women into menopause status in 1958 NCDS cohort</t>
  </si>
  <si>
    <t xml:space="preserve">Table 3. Birth, childhood, and early adulthood characteristics of pre-, peri- and post-menopausal women in 1970 BCS and 1958 NCDS cohorts </t>
  </si>
  <si>
    <t>Table 4. Odds Ratios (OR) and 95% confidence intervals (CI) for being early menopausal on birth, childhood and adult characteristics (imputed, n=6,805)</t>
  </si>
  <si>
    <t>Table 5. Odds Ratios (OR) and 95% confidence intervals (CI) for being early menopausal on birth, childhood and adult characteristics in 1970 BCS cohort (n=3,191)</t>
  </si>
  <si>
    <t>Table 6. Odds Ratios (OR) and 95% confidence intervals (CI) for being early menopausal on birth, childhood and adult characteristics in 1958 NCDS cohort (n=3,614)</t>
  </si>
  <si>
    <t xml:space="preserve">All authors are affiliated to University College London (UCL) Social Research Institute. </t>
  </si>
  <si>
    <t>Darina Peycheva is also affiliated to UCL's Great Ormond Street Institute of Child Health. Rebecca Hardy is also affiliated to Loughborough's University School of Sport, Exercise and Health Sciences. Gabriella Conti is also affiliated to UCL’s Department of Economics.</t>
  </si>
  <si>
    <t xml:space="preserve">
Yes/No/Never had a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</si>
</sst>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17" x14ac:knownFonts="1">
    <font>
      <sz val="11"/>
      <color theme="1"/>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i/>
      <sz val="11"/>
      <color rgb="FFFF0000"/>
      <name val="Calibri"/>
      <family val="2"/>
      <scheme val="minor"/>
    </font>
    <font>
      <sz val="11"/>
      <name val="Calibri"/>
      <family val="2"/>
      <scheme val="minor"/>
    </font>
    <font>
      <b/>
      <i/>
      <sz val="11"/>
      <color theme="1"/>
      <name val="Calibri"/>
      <family val="2"/>
      <scheme val="minor"/>
    </font>
    <font>
      <sz val="8"/>
      <name val="Calibri"/>
      <family val="2"/>
      <scheme val="minor"/>
    </font>
    <font>
      <vertAlign val="superscript"/>
      <sz val="11"/>
      <color theme="1"/>
      <name val="Calibri"/>
      <family val="2"/>
      <scheme val="minor"/>
    </font>
    <font>
      <b/>
      <sz val="11"/>
      <color rgb="FFFF0000"/>
      <name val="Calibri"/>
      <family val="2"/>
      <scheme val="minor"/>
    </font>
    <font>
      <b/>
      <sz val="11"/>
      <name val="Calibri"/>
      <family val="2"/>
      <scheme val="minor"/>
    </font>
    <font>
      <i/>
      <sz val="11"/>
      <name val="Calibri"/>
      <family val="2"/>
      <scheme val="minor"/>
    </font>
    <font>
      <vertAlign val="superscript"/>
      <sz val="11"/>
      <name val="Calibri"/>
      <family val="2"/>
      <scheme val="minor"/>
    </font>
    <font>
      <sz val="11"/>
      <color rgb="FF323130"/>
      <name val="Calibri"/>
      <family val="2"/>
      <scheme val="minor"/>
    </font>
    <font>
      <b/>
      <vertAlign val="superscript"/>
      <sz val="11"/>
      <name val="Calibri"/>
      <family val="2"/>
      <scheme val="minor"/>
    </font>
    <font>
      <b/>
      <vertAlign val="superscript"/>
      <sz val="11"/>
      <color theme="1"/>
      <name val="Calibri"/>
      <family val="2"/>
      <scheme val="minor"/>
    </font>
    <font>
      <b/>
      <sz val="12"/>
      <color theme="1"/>
      <name val="Times New Roman"/>
      <family val="1"/>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38">
    <xf numFmtId="0" fontId="0" fillId="0" borderId="0" xfId="0"/>
    <xf numFmtId="164" fontId="0" fillId="0" borderId="0" xfId="0" applyNumberFormat="1"/>
    <xf numFmtId="0" fontId="1" fillId="0" borderId="0" xfId="0" applyFont="1"/>
    <xf numFmtId="164" fontId="0" fillId="0" borderId="0" xfId="0" applyNumberFormat="1" applyFont="1"/>
    <xf numFmtId="0" fontId="0" fillId="0" borderId="0" xfId="0" applyFont="1" applyAlignment="1">
      <alignment horizontal="right"/>
    </xf>
    <xf numFmtId="164" fontId="2" fillId="0" borderId="0" xfId="0" applyNumberFormat="1" applyFont="1"/>
    <xf numFmtId="0" fontId="0" fillId="0" borderId="0" xfId="0" applyFill="1"/>
    <xf numFmtId="164" fontId="0" fillId="0" borderId="0" xfId="0" applyNumberFormat="1" applyFill="1"/>
    <xf numFmtId="0" fontId="0" fillId="0" borderId="0" xfId="0" applyFont="1"/>
    <xf numFmtId="164" fontId="0" fillId="0" borderId="0" xfId="0" applyNumberFormat="1" applyFill="1" applyAlignment="1">
      <alignment horizontal="right"/>
    </xf>
    <xf numFmtId="2" fontId="0" fillId="0" borderId="0" xfId="0" applyNumberFormat="1" applyFill="1"/>
    <xf numFmtId="2" fontId="0" fillId="0" borderId="0" xfId="0" applyNumberFormat="1" applyFill="1" applyAlignment="1">
      <alignment horizontal="right"/>
    </xf>
    <xf numFmtId="2" fontId="2" fillId="0" borderId="0" xfId="0" applyNumberFormat="1" applyFont="1" applyFill="1"/>
    <xf numFmtId="2" fontId="0" fillId="0" borderId="0" xfId="0" applyNumberFormat="1" applyFont="1" applyFill="1"/>
    <xf numFmtId="2" fontId="0" fillId="0" borderId="0" xfId="0" applyNumberFormat="1" applyFont="1" applyFill="1" applyAlignment="1">
      <alignment horizontal="left"/>
    </xf>
    <xf numFmtId="2" fontId="5" fillId="0" borderId="0" xfId="0" applyNumberFormat="1" applyFont="1" applyFill="1"/>
    <xf numFmtId="2" fontId="0" fillId="0" borderId="0" xfId="0" applyNumberFormat="1" applyFont="1" applyFill="1" applyAlignment="1">
      <alignment horizontal="right"/>
    </xf>
    <xf numFmtId="0" fontId="0" fillId="0" borderId="0" xfId="0" applyFill="1" applyBorder="1"/>
    <xf numFmtId="0" fontId="1" fillId="0" borderId="0" xfId="0" applyFont="1" applyFill="1" applyBorder="1"/>
    <xf numFmtId="0" fontId="0" fillId="0" borderId="0" xfId="0" applyFill="1" applyBorder="1" applyAlignment="1">
      <alignment horizontal="right"/>
    </xf>
    <xf numFmtId="0" fontId="0" fillId="0" borderId="0" xfId="0" applyFont="1" applyFill="1" applyBorder="1" applyAlignment="1">
      <alignment horizontal="right"/>
    </xf>
    <xf numFmtId="0" fontId="1" fillId="0" borderId="0" xfId="0" applyFont="1" applyFill="1" applyBorder="1" applyAlignment="1">
      <alignment horizontal="left"/>
    </xf>
    <xf numFmtId="0" fontId="0" fillId="0" borderId="0" xfId="0" applyFont="1" applyFill="1"/>
    <xf numFmtId="0" fontId="1" fillId="0" borderId="1" xfId="0" applyFont="1" applyBorder="1"/>
    <xf numFmtId="3" fontId="1" fillId="0" borderId="1" xfId="0" applyNumberFormat="1" applyFont="1" applyBorder="1"/>
    <xf numFmtId="164" fontId="3" fillId="0" borderId="1" xfId="0" applyNumberFormat="1" applyFont="1" applyBorder="1"/>
    <xf numFmtId="0" fontId="1" fillId="0" borderId="1" xfId="0" applyFont="1" applyBorder="1" applyAlignment="1">
      <alignment horizontal="left"/>
    </xf>
    <xf numFmtId="164" fontId="1" fillId="0" borderId="1" xfId="0" applyNumberFormat="1" applyFont="1" applyBorder="1"/>
    <xf numFmtId="3" fontId="1" fillId="0" borderId="1" xfId="0" applyNumberFormat="1" applyFont="1" applyBorder="1" applyAlignment="1">
      <alignment horizontal="right"/>
    </xf>
    <xf numFmtId="0" fontId="0" fillId="0" borderId="1" xfId="0" applyFont="1" applyBorder="1" applyAlignment="1">
      <alignment horizontal="right"/>
    </xf>
    <xf numFmtId="164" fontId="0" fillId="0" borderId="1" xfId="0" applyNumberFormat="1" applyFont="1" applyBorder="1"/>
    <xf numFmtId="3" fontId="0" fillId="0" borderId="1" xfId="0" applyNumberFormat="1" applyFont="1" applyBorder="1" applyAlignment="1">
      <alignment horizontal="right"/>
    </xf>
    <xf numFmtId="0" fontId="3" fillId="0" borderId="1" xfId="0" applyFont="1" applyBorder="1" applyAlignment="1">
      <alignment horizontal="right"/>
    </xf>
    <xf numFmtId="164" fontId="0" fillId="0" borderId="1" xfId="0" applyNumberFormat="1" applyFont="1" applyBorder="1" applyAlignment="1">
      <alignment horizontal="right"/>
    </xf>
    <xf numFmtId="3" fontId="0" fillId="0" borderId="1" xfId="0" applyNumberFormat="1" applyFont="1" applyBorder="1"/>
    <xf numFmtId="0" fontId="1" fillId="0" borderId="1" xfId="0" applyFont="1" applyBorder="1" applyAlignment="1">
      <alignment wrapText="1"/>
    </xf>
    <xf numFmtId="0" fontId="1" fillId="0" borderId="1" xfId="0" applyFont="1" applyFill="1" applyBorder="1" applyAlignment="1">
      <alignment horizontal="left"/>
    </xf>
    <xf numFmtId="3" fontId="1" fillId="0" borderId="1" xfId="0" applyNumberFormat="1" applyFont="1" applyBorder="1" applyAlignment="1">
      <alignment wrapText="1"/>
    </xf>
    <xf numFmtId="164" fontId="0" fillId="0" borderId="1" xfId="0" applyNumberFormat="1" applyFont="1" applyBorder="1" applyAlignment="1">
      <alignment horizontal="left"/>
    </xf>
    <xf numFmtId="3" fontId="1" fillId="0" borderId="1" xfId="0" applyNumberFormat="1" applyFont="1" applyBorder="1" applyAlignment="1">
      <alignment horizontal="left"/>
    </xf>
    <xf numFmtId="3" fontId="1" fillId="0" borderId="1" xfId="0" applyNumberFormat="1" applyFont="1" applyBorder="1" applyAlignment="1"/>
    <xf numFmtId="0" fontId="0" fillId="0" borderId="1" xfId="0" applyFont="1" applyBorder="1" applyAlignment="1"/>
    <xf numFmtId="0" fontId="0" fillId="0" borderId="1" xfId="0" applyNumberFormat="1" applyFont="1" applyBorder="1"/>
    <xf numFmtId="0" fontId="1" fillId="0" borderId="1" xfId="0" applyFont="1" applyFill="1" applyBorder="1"/>
    <xf numFmtId="3" fontId="1" fillId="0" borderId="1" xfId="0" applyNumberFormat="1" applyFont="1" applyFill="1" applyBorder="1"/>
    <xf numFmtId="164" fontId="1" fillId="0" borderId="1" xfId="0" applyNumberFormat="1" applyFont="1" applyFill="1" applyBorder="1"/>
    <xf numFmtId="164" fontId="6" fillId="0" borderId="1" xfId="0" applyNumberFormat="1" applyFont="1" applyBorder="1"/>
    <xf numFmtId="164" fontId="1" fillId="0" borderId="1" xfId="0" applyNumberFormat="1" applyFont="1" applyBorder="1" applyAlignment="1">
      <alignment horizontal="left"/>
    </xf>
    <xf numFmtId="3" fontId="1" fillId="0" borderId="1" xfId="0" applyNumberFormat="1" applyFont="1" applyBorder="1" applyAlignment="1">
      <alignment horizontal="left" wrapText="1"/>
    </xf>
    <xf numFmtId="0" fontId="1" fillId="0" borderId="1" xfId="0" applyFont="1" applyBorder="1" applyAlignment="1">
      <alignment horizontal="left" wrapText="1"/>
    </xf>
    <xf numFmtId="164" fontId="0" fillId="0" borderId="1" xfId="0" applyNumberFormat="1" applyFont="1" applyBorder="1" applyAlignment="1">
      <alignment horizontal="left" wrapText="1"/>
    </xf>
    <xf numFmtId="3" fontId="0" fillId="0" borderId="1" xfId="0" applyNumberFormat="1" applyFont="1" applyFill="1" applyBorder="1" applyAlignment="1">
      <alignment horizontal="right"/>
    </xf>
    <xf numFmtId="0" fontId="0" fillId="0" borderId="1" xfId="0" applyFont="1" applyFill="1" applyBorder="1" applyAlignment="1">
      <alignment horizontal="right"/>
    </xf>
    <xf numFmtId="0" fontId="1" fillId="0" borderId="2" xfId="0" applyFont="1" applyBorder="1" applyAlignment="1"/>
    <xf numFmtId="0" fontId="1" fillId="0" borderId="3" xfId="0" applyFont="1" applyBorder="1" applyAlignment="1"/>
    <xf numFmtId="0" fontId="0" fillId="0" borderId="4" xfId="0" applyBorder="1"/>
    <xf numFmtId="0" fontId="0" fillId="0" borderId="1" xfId="0" applyFont="1" applyBorder="1"/>
    <xf numFmtId="164" fontId="0" fillId="0" borderId="1" xfId="0" applyNumberFormat="1" applyFont="1" applyFill="1" applyBorder="1"/>
    <xf numFmtId="165" fontId="0" fillId="0" borderId="1" xfId="0" applyNumberFormat="1" applyFont="1" applyBorder="1" applyAlignment="1">
      <alignment horizontal="right"/>
    </xf>
    <xf numFmtId="0" fontId="3" fillId="0" borderId="1" xfId="0" applyFont="1" applyBorder="1" applyAlignment="1">
      <alignment horizontal="right" wrapText="1"/>
    </xf>
    <xf numFmtId="3" fontId="3" fillId="0" borderId="1" xfId="0" applyNumberFormat="1" applyFont="1" applyBorder="1" applyAlignment="1">
      <alignment horizontal="right"/>
    </xf>
    <xf numFmtId="0" fontId="0" fillId="0" borderId="1" xfId="0" applyFont="1" applyFill="1" applyBorder="1"/>
    <xf numFmtId="3" fontId="0" fillId="0" borderId="1" xfId="0" applyNumberFormat="1" applyFont="1" applyBorder="1" applyAlignment="1"/>
    <xf numFmtId="3" fontId="0" fillId="0" borderId="1" xfId="0" applyNumberFormat="1" applyFont="1" applyFill="1" applyBorder="1"/>
    <xf numFmtId="0" fontId="3" fillId="0" borderId="1" xfId="0" applyFont="1" applyBorder="1"/>
    <xf numFmtId="0" fontId="3" fillId="0" borderId="1" xfId="0" applyFont="1" applyFill="1" applyBorder="1" applyAlignment="1">
      <alignment horizontal="right"/>
    </xf>
    <xf numFmtId="164" fontId="3" fillId="0" borderId="1" xfId="0" applyNumberFormat="1" applyFont="1" applyFill="1" applyBorder="1"/>
    <xf numFmtId="0" fontId="3" fillId="0" borderId="0" xfId="0" applyFont="1" applyAlignment="1">
      <alignment horizontal="left"/>
    </xf>
    <xf numFmtId="164" fontId="1" fillId="0" borderId="1" xfId="0" applyNumberFormat="1" applyFont="1" applyFill="1" applyBorder="1" applyAlignment="1">
      <alignment horizontal="center" wrapText="1"/>
    </xf>
    <xf numFmtId="0" fontId="0" fillId="0" borderId="1" xfId="0" applyBorder="1"/>
    <xf numFmtId="164" fontId="4" fillId="0" borderId="1" xfId="0" applyNumberFormat="1" applyFont="1" applyBorder="1"/>
    <xf numFmtId="164" fontId="0" fillId="0" borderId="1" xfId="0" applyNumberFormat="1" applyBorder="1"/>
    <xf numFmtId="0" fontId="0" fillId="0" borderId="0" xfId="0" applyAlignment="1">
      <alignment wrapText="1"/>
    </xf>
    <xf numFmtId="164" fontId="2" fillId="0" borderId="1" xfId="0" applyNumberFormat="1" applyFont="1" applyBorder="1"/>
    <xf numFmtId="0" fontId="10" fillId="0" borderId="1" xfId="0" applyFont="1" applyBorder="1" applyAlignment="1">
      <alignment wrapText="1"/>
    </xf>
    <xf numFmtId="0" fontId="10" fillId="0" borderId="1" xfId="0" applyFont="1" applyBorder="1" applyAlignment="1">
      <alignment horizontal="left"/>
    </xf>
    <xf numFmtId="0" fontId="5" fillId="0" borderId="1" xfId="0" applyFont="1" applyBorder="1" applyAlignment="1">
      <alignment horizontal="right"/>
    </xf>
    <xf numFmtId="0" fontId="11" fillId="0" borderId="1" xfId="0" applyFont="1" applyBorder="1" applyAlignment="1">
      <alignment horizontal="right"/>
    </xf>
    <xf numFmtId="0" fontId="10" fillId="0" borderId="1" xfId="0" applyFont="1" applyBorder="1"/>
    <xf numFmtId="164" fontId="9" fillId="0" borderId="1" xfId="0" applyNumberFormat="1" applyFont="1" applyBorder="1"/>
    <xf numFmtId="0" fontId="2" fillId="0" borderId="0" xfId="0" applyFont="1"/>
    <xf numFmtId="3" fontId="9" fillId="0" borderId="1" xfId="0" applyNumberFormat="1" applyFont="1" applyBorder="1"/>
    <xf numFmtId="165" fontId="1" fillId="0" borderId="1" xfId="0" applyNumberFormat="1" applyFont="1" applyBorder="1"/>
    <xf numFmtId="165" fontId="1" fillId="0" borderId="1" xfId="0" applyNumberFormat="1" applyFont="1" applyFill="1" applyBorder="1"/>
    <xf numFmtId="2" fontId="0" fillId="0" borderId="1" xfId="0" applyNumberFormat="1" applyFont="1" applyBorder="1"/>
    <xf numFmtId="0" fontId="2" fillId="0" borderId="0" xfId="0" applyFont="1" applyFill="1"/>
    <xf numFmtId="0" fontId="1" fillId="0" borderId="3" xfId="0" applyFont="1" applyFill="1" applyBorder="1" applyAlignment="1">
      <alignment horizontal="center" wrapText="1"/>
    </xf>
    <xf numFmtId="3" fontId="1" fillId="0" borderId="1" xfId="0" applyNumberFormat="1" applyFont="1" applyFill="1" applyBorder="1" applyAlignment="1">
      <alignment horizontal="center" wrapText="1"/>
    </xf>
    <xf numFmtId="2" fontId="2" fillId="0" borderId="0" xfId="0" applyNumberFormat="1" applyFont="1" applyFill="1" applyAlignment="1">
      <alignment horizontal="right"/>
    </xf>
    <xf numFmtId="164" fontId="5" fillId="0" borderId="1" xfId="0" applyNumberFormat="1" applyFont="1" applyBorder="1"/>
    <xf numFmtId="3" fontId="5" fillId="0" borderId="1" xfId="0" applyNumberFormat="1" applyFont="1" applyBorder="1" applyAlignment="1">
      <alignment horizontal="right"/>
    </xf>
    <xf numFmtId="2" fontId="0" fillId="0" borderId="1" xfId="0" applyNumberFormat="1" applyBorder="1"/>
    <xf numFmtId="2" fontId="5" fillId="0" borderId="0" xfId="0" applyNumberFormat="1" applyFont="1" applyFill="1" applyAlignment="1">
      <alignment wrapText="1"/>
    </xf>
    <xf numFmtId="166" fontId="0" fillId="0" borderId="0" xfId="0" applyNumberFormat="1"/>
    <xf numFmtId="164" fontId="2" fillId="0" borderId="0" xfId="0" applyNumberFormat="1" applyFont="1" applyFill="1"/>
    <xf numFmtId="0" fontId="0" fillId="0" borderId="1" xfId="0" applyBorder="1" applyAlignment="1">
      <alignment wrapText="1"/>
    </xf>
    <xf numFmtId="0" fontId="0" fillId="0" borderId="1" xfId="0" applyFill="1" applyBorder="1" applyAlignment="1">
      <alignment wrapText="1"/>
    </xf>
    <xf numFmtId="0" fontId="1" fillId="2" borderId="1" xfId="0" applyFont="1" applyFill="1" applyBorder="1"/>
    <xf numFmtId="0" fontId="0" fillId="2" borderId="1" xfId="0" applyFont="1" applyFill="1" applyBorder="1"/>
    <xf numFmtId="164" fontId="0" fillId="2" borderId="1" xfId="0" applyNumberFormat="1" applyFont="1" applyFill="1" applyBorder="1"/>
    <xf numFmtId="0" fontId="1" fillId="2" borderId="1" xfId="0" applyFont="1" applyFill="1" applyBorder="1" applyAlignment="1">
      <alignment horizontal="left"/>
    </xf>
    <xf numFmtId="0" fontId="0" fillId="2" borderId="1" xfId="0" applyFill="1" applyBorder="1"/>
    <xf numFmtId="0" fontId="0" fillId="2" borderId="0" xfId="0" applyFont="1" applyFill="1"/>
    <xf numFmtId="0" fontId="0" fillId="2" borderId="0" xfId="0" applyFill="1"/>
    <xf numFmtId="0" fontId="13" fillId="0" borderId="0" xfId="0" applyFont="1" applyAlignment="1">
      <alignment horizontal="left" vertical="center"/>
    </xf>
    <xf numFmtId="0" fontId="0" fillId="0" borderId="0" xfId="0" applyFont="1" applyFill="1" applyBorder="1" applyAlignment="1">
      <alignment horizontal="left"/>
    </xf>
    <xf numFmtId="0" fontId="0" fillId="0" borderId="0" xfId="0" applyAlignment="1"/>
    <xf numFmtId="0" fontId="1" fillId="0" borderId="0" xfId="0" applyFont="1" applyAlignment="1">
      <alignment horizontal="center"/>
    </xf>
    <xf numFmtId="2" fontId="1" fillId="0" borderId="0" xfId="0" applyNumberFormat="1" applyFont="1" applyFill="1"/>
    <xf numFmtId="2" fontId="0" fillId="0" borderId="0" xfId="0" applyNumberFormat="1" applyFill="1" applyAlignment="1">
      <alignment horizontal="center"/>
    </xf>
    <xf numFmtId="2" fontId="10" fillId="0" borderId="0" xfId="0" applyNumberFormat="1" applyFont="1" applyFill="1"/>
    <xf numFmtId="0" fontId="1" fillId="0" borderId="0" xfId="0" applyFont="1" applyFill="1"/>
    <xf numFmtId="2" fontId="1" fillId="0" borderId="0" xfId="0" applyNumberFormat="1" applyFont="1" applyFill="1" applyAlignment="1"/>
    <xf numFmtId="2" fontId="1" fillId="0" borderId="0" xfId="0" applyNumberFormat="1" applyFont="1" applyFill="1" applyAlignment="1">
      <alignment horizontal="center"/>
    </xf>
    <xf numFmtId="0" fontId="0" fillId="0" borderId="0" xfId="0" applyFill="1" applyAlignment="1">
      <alignment horizontal="center"/>
    </xf>
    <xf numFmtId="2" fontId="1" fillId="0" borderId="0" xfId="0" applyNumberFormat="1" applyFont="1" applyFill="1" applyBorder="1"/>
    <xf numFmtId="0" fontId="1" fillId="0" borderId="0" xfId="0" applyFont="1" applyFill="1" applyBorder="1" applyAlignment="1">
      <alignment wrapText="1"/>
    </xf>
    <xf numFmtId="0" fontId="5" fillId="0" borderId="0" xfId="0" applyFont="1" applyFill="1" applyBorder="1" applyAlignment="1">
      <alignment horizontal="right"/>
    </xf>
    <xf numFmtId="0" fontId="0" fillId="0" borderId="0" xfId="0" applyNumberFormat="1" applyFill="1"/>
    <xf numFmtId="0" fontId="2" fillId="0" borderId="0" xfId="0" applyNumberFormat="1" applyFont="1" applyFill="1"/>
    <xf numFmtId="2" fontId="0" fillId="0" borderId="0" xfId="0" applyNumberFormat="1" applyFill="1" applyAlignment="1">
      <alignment horizontal="left" wrapText="1"/>
    </xf>
    <xf numFmtId="2" fontId="0" fillId="0" borderId="0" xfId="0" applyNumberFormat="1" applyFill="1" applyAlignment="1">
      <alignment horizontal="center" wrapText="1"/>
    </xf>
    <xf numFmtId="0" fontId="0" fillId="0" borderId="0" xfId="0" applyFont="1" applyFill="1" applyAlignment="1">
      <alignment horizontal="center"/>
    </xf>
    <xf numFmtId="0" fontId="2" fillId="0" borderId="0" xfId="0" applyFont="1" applyFill="1" applyAlignment="1">
      <alignment horizontal="center"/>
    </xf>
    <xf numFmtId="0" fontId="5" fillId="0" borderId="0" xfId="0" applyFont="1" applyFill="1"/>
    <xf numFmtId="4" fontId="1" fillId="0" borderId="0" xfId="0" applyNumberFormat="1" applyFont="1" applyFill="1"/>
    <xf numFmtId="4" fontId="0" fillId="0" borderId="0" xfId="0" applyNumberFormat="1" applyFill="1"/>
    <xf numFmtId="2" fontId="0" fillId="0" borderId="0" xfId="0" applyNumberFormat="1" applyFill="1" applyBorder="1" applyAlignment="1">
      <alignment horizontal="right"/>
    </xf>
    <xf numFmtId="2" fontId="0" fillId="0" borderId="0" xfId="0" applyNumberFormat="1" applyFont="1" applyFill="1" applyBorder="1" applyAlignment="1">
      <alignment horizontal="right"/>
    </xf>
    <xf numFmtId="0" fontId="1" fillId="0" borderId="0" xfId="0" applyFont="1" applyFill="1" applyBorder="1" applyAlignment="1">
      <alignment horizontal="left" wrapText="1"/>
    </xf>
    <xf numFmtId="2" fontId="0" fillId="0" borderId="0" xfId="0" applyNumberFormat="1" applyFill="1" applyAlignment="1">
      <alignment horizontal="left"/>
    </xf>
    <xf numFmtId="165" fontId="0" fillId="0" borderId="0" xfId="0" applyNumberFormat="1" applyFill="1"/>
    <xf numFmtId="3" fontId="0" fillId="0" borderId="0" xfId="0" applyNumberFormat="1"/>
    <xf numFmtId="3" fontId="0" fillId="0" borderId="0" xfId="0" applyNumberFormat="1" applyAlignment="1"/>
    <xf numFmtId="164" fontId="0" fillId="0" borderId="0" xfId="0" applyNumberFormat="1" applyAlignment="1"/>
    <xf numFmtId="0" fontId="1" fillId="0" borderId="0" xfId="0" applyFont="1" applyFill="1" applyAlignment="1">
      <alignment horizontal="center"/>
    </xf>
    <xf numFmtId="2" fontId="1" fillId="0" borderId="0" xfId="0" applyNumberFormat="1" applyFont="1" applyFill="1" applyAlignment="1">
      <alignment horizontal="center"/>
    </xf>
    <xf numFmtId="2" fontId="0" fillId="0" borderId="0" xfId="0" applyNumberFormat="1" applyFont="1" applyFill="1" applyBorder="1"/>
    <xf numFmtId="2" fontId="0" fillId="0" borderId="0" xfId="0" applyNumberFormat="1" applyFill="1" applyAlignment="1">
      <alignment horizontal="center"/>
    </xf>
    <xf numFmtId="0" fontId="0" fillId="0" borderId="0" xfId="0" applyFont="1" applyFill="1" applyAlignment="1">
      <alignment horizontal="center"/>
    </xf>
    <xf numFmtId="0" fontId="0" fillId="0" borderId="0" xfId="0" applyFill="1" applyAlignment="1">
      <alignment horizontal="center"/>
    </xf>
    <xf numFmtId="164" fontId="0" fillId="0" borderId="0" xfId="0" applyNumberFormat="1" applyFill="1" applyAlignment="1">
      <alignment horizontal="center"/>
    </xf>
    <xf numFmtId="0" fontId="1" fillId="0" borderId="0" xfId="0" applyFont="1" applyAlignment="1"/>
    <xf numFmtId="165" fontId="0" fillId="0" borderId="1" xfId="0" applyNumberFormat="1" applyFont="1" applyBorder="1" applyAlignment="1">
      <alignment horizontal="left"/>
    </xf>
    <xf numFmtId="0" fontId="3" fillId="0" borderId="1" xfId="0" applyFont="1" applyBorder="1" applyAlignment="1">
      <alignment horizontal="left"/>
    </xf>
    <xf numFmtId="165" fontId="3" fillId="0" borderId="1" xfId="0" applyNumberFormat="1" applyFont="1" applyBorder="1" applyAlignment="1">
      <alignment horizontal="left"/>
    </xf>
    <xf numFmtId="164" fontId="3" fillId="0" borderId="1" xfId="0" applyNumberFormat="1" applyFont="1" applyBorder="1" applyAlignment="1">
      <alignment horizontal="left"/>
    </xf>
    <xf numFmtId="0" fontId="0" fillId="0" borderId="1" xfId="0" applyFont="1" applyBorder="1" applyAlignment="1">
      <alignment horizontal="left"/>
    </xf>
    <xf numFmtId="3" fontId="3" fillId="0" borderId="1" xfId="0" applyNumberFormat="1" applyFont="1" applyBorder="1" applyAlignment="1">
      <alignment horizontal="left"/>
    </xf>
    <xf numFmtId="3" fontId="0" fillId="0" borderId="1" xfId="0" applyNumberFormat="1" applyFont="1" applyBorder="1" applyAlignment="1">
      <alignment horizontal="left"/>
    </xf>
    <xf numFmtId="3" fontId="0" fillId="0" borderId="1" xfId="0" applyNumberFormat="1" applyFont="1" applyBorder="1" applyAlignment="1">
      <alignment horizontal="left" wrapText="1"/>
    </xf>
    <xf numFmtId="164" fontId="2" fillId="0" borderId="1" xfId="0" applyNumberFormat="1" applyFont="1" applyBorder="1" applyAlignment="1">
      <alignment horizontal="left"/>
    </xf>
    <xf numFmtId="0" fontId="0" fillId="0" borderId="0" xfId="0" applyFont="1" applyAlignment="1">
      <alignment horizontal="left"/>
    </xf>
    <xf numFmtId="0" fontId="0" fillId="0" borderId="1" xfId="0" applyFont="1" applyBorder="1" applyAlignment="1">
      <alignment wrapText="1"/>
    </xf>
    <xf numFmtId="0" fontId="0" fillId="0" borderId="0" xfId="0" applyFont="1" applyFill="1" applyAlignment="1">
      <alignment horizontal="right"/>
    </xf>
    <xf numFmtId="164" fontId="0" fillId="0" borderId="0" xfId="0" applyNumberFormat="1" applyFont="1" applyFill="1"/>
    <xf numFmtId="2" fontId="1" fillId="2" borderId="0" xfId="0" applyNumberFormat="1" applyFont="1" applyFill="1" applyAlignment="1">
      <alignment horizontal="center"/>
    </xf>
    <xf numFmtId="2" fontId="0" fillId="2" borderId="0" xfId="0" applyNumberFormat="1" applyFont="1" applyFill="1"/>
    <xf numFmtId="2" fontId="1" fillId="2" borderId="0" xfId="0" applyNumberFormat="1" applyFont="1" applyFill="1" applyAlignment="1">
      <alignment horizontal="center" wrapText="1"/>
    </xf>
    <xf numFmtId="0" fontId="1" fillId="2" borderId="0" xfId="0" applyFont="1" applyFill="1" applyAlignment="1">
      <alignment horizontal="center" wrapText="1"/>
    </xf>
    <xf numFmtId="0" fontId="1" fillId="2" borderId="0" xfId="0" applyFont="1" applyFill="1" applyAlignment="1">
      <alignment horizontal="center"/>
    </xf>
    <xf numFmtId="0" fontId="1" fillId="2" borderId="0" xfId="0" applyFont="1" applyFill="1"/>
    <xf numFmtId="0" fontId="1" fillId="2" borderId="0" xfId="0" applyFont="1" applyFill="1" applyBorder="1" applyAlignment="1">
      <alignment horizontal="left"/>
    </xf>
    <xf numFmtId="0" fontId="0" fillId="2" borderId="0" xfId="0" applyFont="1" applyFill="1" applyBorder="1" applyAlignment="1">
      <alignment horizontal="right"/>
    </xf>
    <xf numFmtId="0" fontId="1" fillId="2" borderId="0" xfId="0" applyFont="1" applyFill="1" applyBorder="1"/>
    <xf numFmtId="164" fontId="0" fillId="2" borderId="0" xfId="0" applyNumberFormat="1" applyFill="1"/>
    <xf numFmtId="164" fontId="0" fillId="2" borderId="0" xfId="0" applyNumberFormat="1" applyFill="1" applyAlignment="1">
      <alignment horizontal="center"/>
    </xf>
    <xf numFmtId="2" fontId="0" fillId="2" borderId="0" xfId="0" applyNumberFormat="1" applyFill="1"/>
    <xf numFmtId="0" fontId="0" fillId="2" borderId="0" xfId="0" applyFill="1" applyAlignment="1">
      <alignment horizontal="center"/>
    </xf>
    <xf numFmtId="0" fontId="2" fillId="2" borderId="0" xfId="0" applyFont="1" applyFill="1" applyAlignment="1">
      <alignment horizontal="center"/>
    </xf>
    <xf numFmtId="2" fontId="0" fillId="2" borderId="0" xfId="0" applyNumberFormat="1" applyFill="1" applyAlignment="1">
      <alignment horizontal="center"/>
    </xf>
    <xf numFmtId="2" fontId="2" fillId="2" borderId="0" xfId="0" applyNumberFormat="1" applyFont="1" applyFill="1"/>
    <xf numFmtId="0" fontId="2" fillId="2" borderId="0" xfId="0" applyFont="1" applyFill="1"/>
    <xf numFmtId="0" fontId="1" fillId="2" borderId="0" xfId="0" applyFont="1" applyFill="1" applyBorder="1" applyAlignment="1">
      <alignment horizontal="left" wrapText="1"/>
    </xf>
    <xf numFmtId="2" fontId="5" fillId="2" borderId="0" xfId="0" applyNumberFormat="1" applyFont="1" applyFill="1"/>
    <xf numFmtId="0" fontId="0" fillId="0" borderId="0" xfId="0" applyFont="1" applyFill="1" applyBorder="1"/>
    <xf numFmtId="0" fontId="2" fillId="0" borderId="0" xfId="0" applyFont="1" applyFill="1" applyBorder="1"/>
    <xf numFmtId="0" fontId="4" fillId="0" borderId="0" xfId="0" applyFont="1" applyFill="1" applyBorder="1" applyAlignment="1">
      <alignment horizontal="right"/>
    </xf>
    <xf numFmtId="2" fontId="0" fillId="0" borderId="0" xfId="0" applyNumberFormat="1" applyFill="1" applyBorder="1"/>
    <xf numFmtId="2" fontId="2" fillId="0" borderId="0" xfId="0" applyNumberFormat="1" applyFont="1" applyFill="1" applyBorder="1"/>
    <xf numFmtId="0" fontId="16" fillId="0" borderId="0" xfId="0" applyFont="1" applyAlignment="1">
      <alignment vertical="center"/>
    </xf>
    <xf numFmtId="0" fontId="0" fillId="3" borderId="1" xfId="0" applyFont="1" applyFill="1" applyBorder="1"/>
    <xf numFmtId="164" fontId="0" fillId="3" borderId="1" xfId="0" applyNumberFormat="1" applyFont="1" applyFill="1" applyBorder="1"/>
    <xf numFmtId="0" fontId="0" fillId="0" borderId="3" xfId="0" applyFont="1" applyFill="1" applyBorder="1" applyAlignment="1">
      <alignment horizontal="center" wrapText="1"/>
    </xf>
    <xf numFmtId="0" fontId="0" fillId="0" borderId="0" xfId="0" applyFont="1" applyBorder="1" applyAlignment="1">
      <alignment horizontal="left" wrapText="1"/>
    </xf>
    <xf numFmtId="0" fontId="0" fillId="0" borderId="0" xfId="0" applyFont="1" applyBorder="1" applyAlignment="1">
      <alignment horizontal="left"/>
    </xf>
    <xf numFmtId="0" fontId="1" fillId="0" borderId="0" xfId="0" applyFont="1" applyFill="1" applyAlignment="1">
      <alignment wrapText="1"/>
    </xf>
    <xf numFmtId="0" fontId="5" fillId="0" borderId="0" xfId="0" applyFont="1"/>
    <xf numFmtId="3" fontId="5" fillId="0" borderId="0" xfId="0" applyNumberFormat="1" applyFont="1"/>
    <xf numFmtId="164" fontId="5" fillId="0" borderId="0" xfId="0" applyNumberFormat="1" applyFont="1"/>
    <xf numFmtId="3" fontId="5" fillId="0" borderId="0" xfId="0" applyNumberFormat="1" applyFont="1" applyAlignment="1"/>
    <xf numFmtId="0" fontId="16" fillId="0" borderId="0" xfId="0" applyFont="1" applyFill="1" applyAlignment="1">
      <alignment vertical="center"/>
    </xf>
    <xf numFmtId="0" fontId="1" fillId="0" borderId="0" xfId="0" applyFont="1" applyBorder="1" applyAlignment="1">
      <alignment wrapText="1"/>
    </xf>
    <xf numFmtId="0" fontId="1" fillId="0" borderId="1" xfId="0" applyFont="1" applyFill="1" applyBorder="1" applyAlignment="1">
      <alignment horizontal="center" wrapText="1"/>
    </xf>
    <xf numFmtId="0" fontId="1" fillId="0" borderId="1" xfId="0" applyFont="1" applyBorder="1" applyAlignment="1">
      <alignment horizontal="center"/>
    </xf>
    <xf numFmtId="164" fontId="1" fillId="0" borderId="2" xfId="0" applyNumberFormat="1" applyFont="1" applyFill="1" applyBorder="1" applyAlignment="1">
      <alignment horizontal="center" wrapText="1"/>
    </xf>
    <xf numFmtId="164" fontId="1" fillId="0" borderId="5" xfId="0" applyNumberFormat="1" applyFont="1" applyFill="1" applyBorder="1" applyAlignment="1">
      <alignment horizontal="center" wrapText="1"/>
    </xf>
    <xf numFmtId="164" fontId="1" fillId="0" borderId="3" xfId="0" applyNumberFormat="1" applyFont="1" applyFill="1" applyBorder="1" applyAlignment="1">
      <alignment horizontal="center" wrapText="1"/>
    </xf>
    <xf numFmtId="0" fontId="0" fillId="0" borderId="7" xfId="0" applyFont="1" applyBorder="1" applyAlignment="1">
      <alignment vertical="top" wrapText="1"/>
    </xf>
    <xf numFmtId="0" fontId="0" fillId="0" borderId="9" xfId="0" applyFont="1" applyBorder="1" applyAlignment="1">
      <alignment vertical="top" wrapText="1"/>
    </xf>
    <xf numFmtId="0" fontId="0" fillId="0" borderId="8" xfId="0" applyFont="1" applyBorder="1" applyAlignment="1">
      <alignment vertical="top" wrapText="1"/>
    </xf>
    <xf numFmtId="0" fontId="0" fillId="0" borderId="7" xfId="0" applyBorder="1" applyAlignment="1">
      <alignment vertical="top" wrapText="1"/>
    </xf>
    <xf numFmtId="0" fontId="0" fillId="0" borderId="9" xfId="0" applyBorder="1" applyAlignment="1">
      <alignment vertical="top" wrapText="1"/>
    </xf>
    <xf numFmtId="0" fontId="0" fillId="0" borderId="8" xfId="0" applyBorder="1" applyAlignment="1">
      <alignment vertical="top" wrapText="1"/>
    </xf>
    <xf numFmtId="0" fontId="0" fillId="0" borderId="7" xfId="0" applyFont="1" applyBorder="1" applyAlignment="1">
      <alignment vertical="top"/>
    </xf>
    <xf numFmtId="0" fontId="0" fillId="0" borderId="9" xfId="0" applyFont="1" applyBorder="1" applyAlignment="1">
      <alignment vertical="top"/>
    </xf>
    <xf numFmtId="0" fontId="0" fillId="0" borderId="8" xfId="0" applyFont="1" applyBorder="1" applyAlignment="1">
      <alignment vertical="top"/>
    </xf>
    <xf numFmtId="0" fontId="3" fillId="0" borderId="0" xfId="0" applyFont="1" applyAlignment="1">
      <alignment wrapText="1"/>
    </xf>
    <xf numFmtId="0" fontId="3" fillId="0" borderId="0" xfId="0" applyFont="1"/>
    <xf numFmtId="0" fontId="3" fillId="0" borderId="6" xfId="0" applyFont="1" applyBorder="1" applyAlignment="1">
      <alignment wrapText="1"/>
    </xf>
    <xf numFmtId="0" fontId="11" fillId="0" borderId="6" xfId="0" applyFont="1" applyBorder="1" applyAlignment="1">
      <alignment wrapText="1"/>
    </xf>
    <xf numFmtId="0" fontId="1" fillId="0" borderId="0" xfId="0" applyFont="1" applyAlignment="1">
      <alignment horizontal="center"/>
    </xf>
    <xf numFmtId="0" fontId="3" fillId="0" borderId="0" xfId="0" applyFont="1" applyBorder="1" applyAlignment="1">
      <alignment wrapText="1"/>
    </xf>
    <xf numFmtId="0" fontId="11" fillId="0" borderId="0" xfId="0" applyFont="1" applyBorder="1" applyAlignment="1">
      <alignment wrapText="1"/>
    </xf>
    <xf numFmtId="0" fontId="0" fillId="0" borderId="6" xfId="0" applyFont="1" applyBorder="1" applyAlignment="1">
      <alignment horizontal="left" wrapText="1"/>
    </xf>
    <xf numFmtId="0" fontId="0" fillId="0" borderId="6" xfId="0" applyFont="1" applyBorder="1" applyAlignment="1">
      <alignment horizontal="left"/>
    </xf>
    <xf numFmtId="164" fontId="0" fillId="3" borderId="2" xfId="0" applyNumberFormat="1" applyFont="1" applyFill="1" applyBorder="1" applyAlignment="1">
      <alignment horizontal="center"/>
    </xf>
    <xf numFmtId="164" fontId="0" fillId="3" borderId="3" xfId="0" applyNumberFormat="1" applyFont="1" applyFill="1" applyBorder="1" applyAlignment="1">
      <alignment horizontal="center"/>
    </xf>
    <xf numFmtId="0" fontId="1" fillId="0" borderId="2" xfId="0" applyFont="1" applyFill="1" applyBorder="1" applyAlignment="1">
      <alignment horizontal="center" wrapText="1"/>
    </xf>
    <xf numFmtId="0" fontId="1" fillId="0" borderId="5" xfId="0" applyFont="1" applyFill="1" applyBorder="1" applyAlignment="1">
      <alignment horizontal="center" wrapText="1"/>
    </xf>
    <xf numFmtId="0" fontId="1" fillId="0" borderId="3" xfId="0" applyFont="1" applyFill="1" applyBorder="1" applyAlignment="1">
      <alignment horizontal="center" wrapText="1"/>
    </xf>
    <xf numFmtId="164" fontId="0" fillId="2" borderId="2" xfId="0" applyNumberFormat="1" applyFont="1" applyFill="1" applyBorder="1" applyAlignment="1">
      <alignment horizontal="center"/>
    </xf>
    <xf numFmtId="164" fontId="0" fillId="2" borderId="3" xfId="0" applyNumberFormat="1" applyFont="1" applyFill="1" applyBorder="1" applyAlignment="1">
      <alignment horizontal="center"/>
    </xf>
    <xf numFmtId="2" fontId="1" fillId="0" borderId="0" xfId="0" applyNumberFormat="1" applyFont="1" applyFill="1" applyAlignment="1">
      <alignment horizontal="center"/>
    </xf>
    <xf numFmtId="0" fontId="0" fillId="0" borderId="0" xfId="0" applyFont="1" applyFill="1" applyAlignment="1">
      <alignment horizontal="center"/>
    </xf>
    <xf numFmtId="2" fontId="0" fillId="0" borderId="0" xfId="0" applyNumberFormat="1" applyFont="1" applyFill="1" applyBorder="1" applyAlignment="1">
      <alignment horizontal="center"/>
    </xf>
    <xf numFmtId="2" fontId="1" fillId="0" borderId="0" xfId="0" applyNumberFormat="1" applyFont="1" applyFill="1" applyAlignment="1">
      <alignment horizontal="center" wrapText="1"/>
    </xf>
    <xf numFmtId="0" fontId="0" fillId="0" borderId="0" xfId="0" applyFont="1" applyFill="1" applyAlignment="1">
      <alignment horizontal="left" wrapText="1"/>
    </xf>
    <xf numFmtId="0" fontId="0" fillId="0" borderId="0" xfId="0" applyFont="1" applyFill="1" applyAlignment="1">
      <alignment horizontal="left"/>
    </xf>
    <xf numFmtId="0" fontId="1" fillId="0" borderId="0" xfId="0" applyFont="1" applyFill="1" applyAlignment="1">
      <alignment horizontal="center" wrapText="1"/>
    </xf>
    <xf numFmtId="0" fontId="1" fillId="0" borderId="0" xfId="0" applyFont="1" applyFill="1" applyAlignment="1">
      <alignment horizontal="center"/>
    </xf>
    <xf numFmtId="0" fontId="5" fillId="0" borderId="0" xfId="0" applyFont="1" applyFill="1" applyAlignment="1">
      <alignment horizontal="center"/>
    </xf>
    <xf numFmtId="164" fontId="0" fillId="0" borderId="0" xfId="0" applyNumberFormat="1" applyFill="1"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2" fontId="0" fillId="0" borderId="0" xfId="0" applyNumberFormat="1" applyFont="1" applyFill="1" applyAlignment="1">
      <alignment horizontal="center"/>
    </xf>
    <xf numFmtId="0" fontId="0" fillId="0" borderId="0" xfId="0" applyFill="1" applyAlignment="1">
      <alignment horizontal="center" wrapText="1"/>
    </xf>
    <xf numFmtId="2" fontId="0" fillId="0" borderId="0" xfId="0" applyNumberForma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9951E-262D-4C5F-B89E-E76D2AB3871A}">
  <dimension ref="A1:R21"/>
  <sheetViews>
    <sheetView zoomScaleNormal="100" workbookViewId="0">
      <selection activeCell="D13" sqref="D13"/>
    </sheetView>
  </sheetViews>
  <sheetFormatPr defaultRowHeight="14.4" x14ac:dyDescent="0.3"/>
  <sheetData>
    <row r="1" spans="1:18" ht="15.6" x14ac:dyDescent="0.3">
      <c r="A1" s="180" t="s">
        <v>337</v>
      </c>
    </row>
    <row r="3" spans="1:18" ht="15.6" x14ac:dyDescent="0.3">
      <c r="A3" s="191" t="s">
        <v>344</v>
      </c>
      <c r="B3" s="6"/>
      <c r="C3" s="6"/>
      <c r="D3" s="6"/>
      <c r="E3" s="6"/>
      <c r="F3" s="6"/>
      <c r="G3" s="6"/>
      <c r="H3" s="6"/>
      <c r="I3" s="6"/>
      <c r="J3" s="6"/>
      <c r="K3" s="6"/>
      <c r="L3" s="6"/>
      <c r="M3" s="6"/>
      <c r="N3" s="6"/>
      <c r="O3" s="6"/>
      <c r="P3" s="6"/>
      <c r="Q3" s="6"/>
      <c r="R3" s="6"/>
    </row>
    <row r="4" spans="1:18" ht="15.6" x14ac:dyDescent="0.3">
      <c r="A4" s="180"/>
    </row>
    <row r="5" spans="1:18" ht="15.6" x14ac:dyDescent="0.3">
      <c r="A5" s="180" t="s">
        <v>335</v>
      </c>
    </row>
    <row r="6" spans="1:18" ht="15.6" x14ac:dyDescent="0.3">
      <c r="A6" s="180"/>
    </row>
    <row r="7" spans="1:18" ht="15.6" x14ac:dyDescent="0.3">
      <c r="A7" s="180" t="s">
        <v>394</v>
      </c>
    </row>
    <row r="8" spans="1:18" ht="15.6" x14ac:dyDescent="0.3">
      <c r="A8" s="180" t="s">
        <v>395</v>
      </c>
    </row>
    <row r="9" spans="1:18" ht="15.6" x14ac:dyDescent="0.3">
      <c r="A9" s="180" t="s">
        <v>336</v>
      </c>
    </row>
    <row r="14" spans="1:18" x14ac:dyDescent="0.3">
      <c r="A14" s="2" t="s">
        <v>360</v>
      </c>
    </row>
    <row r="15" spans="1:18" x14ac:dyDescent="0.3">
      <c r="A15" s="2" t="s">
        <v>387</v>
      </c>
    </row>
    <row r="16" spans="1:18" x14ac:dyDescent="0.3">
      <c r="A16" s="142" t="s">
        <v>388</v>
      </c>
    </row>
    <row r="17" spans="1:9" x14ac:dyDescent="0.3">
      <c r="A17" s="142" t="s">
        <v>389</v>
      </c>
    </row>
    <row r="18" spans="1:9" ht="30" customHeight="1" x14ac:dyDescent="0.3">
      <c r="A18" s="192" t="s">
        <v>390</v>
      </c>
      <c r="B18" s="192"/>
      <c r="C18" s="192"/>
      <c r="D18" s="192"/>
      <c r="E18" s="192"/>
      <c r="F18" s="192"/>
      <c r="G18" s="192"/>
      <c r="H18" s="192"/>
      <c r="I18" s="192"/>
    </row>
    <row r="19" spans="1:9" x14ac:dyDescent="0.3">
      <c r="A19" s="111" t="s">
        <v>391</v>
      </c>
    </row>
    <row r="20" spans="1:9" x14ac:dyDescent="0.3">
      <c r="A20" s="111" t="s">
        <v>392</v>
      </c>
    </row>
    <row r="21" spans="1:9" x14ac:dyDescent="0.3">
      <c r="A21" s="111" t="s">
        <v>393</v>
      </c>
    </row>
  </sheetData>
  <mergeCells count="1">
    <mergeCell ref="A18:I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D0065-E74F-447F-8489-D82116568772}">
  <sheetPr>
    <pageSetUpPr fitToPage="1"/>
  </sheetPr>
  <dimension ref="A1:J100"/>
  <sheetViews>
    <sheetView topLeftCell="A23" zoomScale="60" zoomScaleNormal="60" workbookViewId="0">
      <selection activeCell="C24" sqref="C24"/>
    </sheetView>
  </sheetViews>
  <sheetFormatPr defaultRowHeight="14.4" x14ac:dyDescent="0.3"/>
  <cols>
    <col min="1" max="1" width="5" customWidth="1"/>
    <col min="2" max="2" width="59.5546875" customWidth="1"/>
    <col min="3" max="3" width="40.5546875" customWidth="1"/>
    <col min="4" max="4" width="6.33203125" customWidth="1"/>
    <col min="5" max="5" width="64.88671875" customWidth="1"/>
    <col min="6" max="6" width="45.6640625" customWidth="1"/>
    <col min="7" max="7" width="13.88671875" customWidth="1"/>
    <col min="8" max="8" width="33.6640625" customWidth="1"/>
    <col min="9" max="9" width="9.88671875" customWidth="1"/>
    <col min="11" max="11" width="14.33203125" customWidth="1"/>
  </cols>
  <sheetData>
    <row r="1" spans="1:8" x14ac:dyDescent="0.3">
      <c r="A1" s="2" t="s">
        <v>387</v>
      </c>
    </row>
    <row r="3" spans="1:8" x14ac:dyDescent="0.3">
      <c r="A3" s="193" t="s">
        <v>154</v>
      </c>
      <c r="B3" s="193"/>
      <c r="C3" s="193"/>
      <c r="D3" s="195" t="s">
        <v>155</v>
      </c>
      <c r="E3" s="196"/>
      <c r="F3" s="197"/>
      <c r="G3" s="194" t="s">
        <v>345</v>
      </c>
      <c r="H3" s="194"/>
    </row>
    <row r="4" spans="1:8" ht="30.6" customHeight="1" x14ac:dyDescent="0.3">
      <c r="A4" s="35" t="s">
        <v>294</v>
      </c>
      <c r="B4" s="23" t="s">
        <v>169</v>
      </c>
      <c r="C4" s="23" t="s">
        <v>285</v>
      </c>
      <c r="D4" s="23" t="s">
        <v>289</v>
      </c>
      <c r="E4" s="23" t="s">
        <v>169</v>
      </c>
      <c r="F4" s="23" t="s">
        <v>285</v>
      </c>
      <c r="G4" s="23" t="s">
        <v>170</v>
      </c>
      <c r="H4" s="23" t="s">
        <v>171</v>
      </c>
    </row>
    <row r="5" spans="1:8" ht="153" customHeight="1" x14ac:dyDescent="0.3">
      <c r="A5" s="198">
        <v>42</v>
      </c>
      <c r="B5" s="56" t="s">
        <v>346</v>
      </c>
      <c r="C5" s="153" t="s">
        <v>306</v>
      </c>
      <c r="D5" s="204" t="s">
        <v>238</v>
      </c>
      <c r="E5" s="153" t="s">
        <v>328</v>
      </c>
      <c r="F5" s="153" t="s">
        <v>273</v>
      </c>
      <c r="G5" s="201" t="s">
        <v>237</v>
      </c>
      <c r="H5" s="201" t="s">
        <v>383</v>
      </c>
    </row>
    <row r="6" spans="1:8" ht="29.25" customHeight="1" x14ac:dyDescent="0.3">
      <c r="A6" s="199"/>
      <c r="B6" s="56" t="s">
        <v>307</v>
      </c>
      <c r="C6" s="56" t="s">
        <v>275</v>
      </c>
      <c r="D6" s="205"/>
      <c r="E6" s="153" t="s">
        <v>274</v>
      </c>
      <c r="F6" s="153" t="s">
        <v>275</v>
      </c>
      <c r="G6" s="202"/>
      <c r="H6" s="202"/>
    </row>
    <row r="7" spans="1:8" ht="71.400000000000006" customHeight="1" x14ac:dyDescent="0.3">
      <c r="A7" s="199"/>
      <c r="B7" s="153" t="s">
        <v>372</v>
      </c>
      <c r="C7" s="56" t="s">
        <v>289</v>
      </c>
      <c r="D7" s="205"/>
      <c r="E7" s="153" t="s">
        <v>280</v>
      </c>
      <c r="F7" s="153" t="s">
        <v>279</v>
      </c>
      <c r="G7" s="202"/>
      <c r="H7" s="202"/>
    </row>
    <row r="8" spans="1:8" ht="37.950000000000003" customHeight="1" x14ac:dyDescent="0.3">
      <c r="A8" s="199"/>
      <c r="B8" s="56" t="s">
        <v>309</v>
      </c>
      <c r="C8" s="56" t="s">
        <v>290</v>
      </c>
      <c r="D8" s="205"/>
      <c r="E8" s="153" t="s">
        <v>380</v>
      </c>
      <c r="F8" s="153" t="s">
        <v>275</v>
      </c>
      <c r="G8" s="202"/>
      <c r="H8" s="202"/>
    </row>
    <row r="9" spans="1:8" ht="46.95" customHeight="1" x14ac:dyDescent="0.3">
      <c r="A9" s="199"/>
      <c r="B9" s="153" t="s">
        <v>310</v>
      </c>
      <c r="C9" s="153" t="s">
        <v>396</v>
      </c>
      <c r="D9" s="205"/>
      <c r="E9" s="153" t="s">
        <v>276</v>
      </c>
      <c r="F9" s="153" t="s">
        <v>277</v>
      </c>
      <c r="G9" s="202"/>
      <c r="H9" s="202"/>
    </row>
    <row r="10" spans="1:8" ht="76.2" customHeight="1" x14ac:dyDescent="0.3">
      <c r="A10" s="199"/>
      <c r="B10" s="153" t="s">
        <v>292</v>
      </c>
      <c r="C10" s="153" t="s">
        <v>330</v>
      </c>
      <c r="D10" s="205"/>
      <c r="E10" s="153" t="s">
        <v>278</v>
      </c>
      <c r="F10" s="153" t="s">
        <v>329</v>
      </c>
      <c r="G10" s="202"/>
      <c r="H10" s="202"/>
    </row>
    <row r="11" spans="1:8" ht="29.4" customHeight="1" x14ac:dyDescent="0.3">
      <c r="A11" s="199"/>
      <c r="B11" s="56" t="s">
        <v>311</v>
      </c>
      <c r="C11" s="153" t="s">
        <v>275</v>
      </c>
      <c r="D11" s="205"/>
      <c r="E11" s="153" t="s">
        <v>281</v>
      </c>
      <c r="F11" s="153" t="s">
        <v>275</v>
      </c>
      <c r="G11" s="202"/>
      <c r="H11" s="202"/>
    </row>
    <row r="12" spans="1:8" ht="30.6" customHeight="1" x14ac:dyDescent="0.3">
      <c r="A12" s="199"/>
      <c r="B12" s="153" t="s">
        <v>373</v>
      </c>
      <c r="C12" s="56" t="s">
        <v>289</v>
      </c>
      <c r="D12" s="205"/>
      <c r="E12" s="153" t="s">
        <v>282</v>
      </c>
      <c r="F12" s="153" t="s">
        <v>283</v>
      </c>
      <c r="G12" s="202"/>
      <c r="H12" s="202"/>
    </row>
    <row r="13" spans="1:8" ht="33" customHeight="1" x14ac:dyDescent="0.3">
      <c r="A13" s="199"/>
      <c r="B13" s="153" t="s">
        <v>374</v>
      </c>
      <c r="C13" s="56" t="s">
        <v>290</v>
      </c>
      <c r="D13" s="205"/>
      <c r="E13" s="153" t="s">
        <v>284</v>
      </c>
      <c r="F13" s="153" t="s">
        <v>275</v>
      </c>
      <c r="G13" s="202"/>
      <c r="H13" s="202"/>
    </row>
    <row r="14" spans="1:8" ht="60.75" customHeight="1" x14ac:dyDescent="0.3">
      <c r="A14" s="199"/>
      <c r="B14" s="153" t="s">
        <v>375</v>
      </c>
      <c r="C14" s="153" t="s">
        <v>312</v>
      </c>
      <c r="D14" s="205"/>
      <c r="E14" s="153" t="s">
        <v>381</v>
      </c>
      <c r="F14" s="153" t="s">
        <v>283</v>
      </c>
      <c r="G14" s="202"/>
      <c r="H14" s="202"/>
    </row>
    <row r="15" spans="1:8" ht="27.6" customHeight="1" x14ac:dyDescent="0.3">
      <c r="A15" s="199"/>
      <c r="B15" s="56" t="s">
        <v>298</v>
      </c>
      <c r="C15" s="153" t="s">
        <v>275</v>
      </c>
      <c r="D15" s="206"/>
      <c r="E15" s="153" t="s">
        <v>304</v>
      </c>
      <c r="F15" s="153" t="s">
        <v>275</v>
      </c>
      <c r="G15" s="202"/>
      <c r="H15" s="202"/>
    </row>
    <row r="16" spans="1:8" ht="46.95" customHeight="1" x14ac:dyDescent="0.3">
      <c r="A16" s="199"/>
      <c r="B16" s="56" t="s">
        <v>313</v>
      </c>
      <c r="C16" s="153" t="s">
        <v>275</v>
      </c>
      <c r="D16" s="204">
        <v>50</v>
      </c>
      <c r="E16" s="153" t="s">
        <v>286</v>
      </c>
      <c r="F16" s="153" t="s">
        <v>287</v>
      </c>
      <c r="G16" s="202"/>
      <c r="H16" s="202"/>
    </row>
    <row r="17" spans="1:8" ht="60.6" customHeight="1" x14ac:dyDescent="0.3">
      <c r="A17" s="199"/>
      <c r="B17" s="153" t="s">
        <v>376</v>
      </c>
      <c r="C17" s="56" t="s">
        <v>289</v>
      </c>
      <c r="D17" s="205"/>
      <c r="E17" s="153" t="s">
        <v>382</v>
      </c>
      <c r="F17" s="153" t="s">
        <v>275</v>
      </c>
      <c r="G17" s="202"/>
      <c r="H17" s="202"/>
    </row>
    <row r="18" spans="1:8" ht="38.4" customHeight="1" x14ac:dyDescent="0.3">
      <c r="A18" s="199"/>
      <c r="B18" s="56" t="s">
        <v>314</v>
      </c>
      <c r="C18" s="56" t="s">
        <v>290</v>
      </c>
      <c r="D18" s="205"/>
      <c r="E18" s="153" t="s">
        <v>288</v>
      </c>
      <c r="F18" s="153" t="s">
        <v>275</v>
      </c>
      <c r="G18" s="202"/>
      <c r="H18" s="202"/>
    </row>
    <row r="19" spans="1:8" ht="35.4" customHeight="1" x14ac:dyDescent="0.3">
      <c r="A19" s="199"/>
      <c r="B19" s="153" t="s">
        <v>315</v>
      </c>
      <c r="C19" s="153" t="s">
        <v>275</v>
      </c>
      <c r="D19" s="205"/>
      <c r="E19" s="153" t="s">
        <v>320</v>
      </c>
      <c r="F19" s="153" t="s">
        <v>294</v>
      </c>
      <c r="G19" s="202"/>
      <c r="H19" s="202"/>
    </row>
    <row r="20" spans="1:8" ht="30" customHeight="1" x14ac:dyDescent="0.3">
      <c r="A20" s="199"/>
      <c r="B20" s="153" t="s">
        <v>377</v>
      </c>
      <c r="C20" s="56" t="s">
        <v>289</v>
      </c>
      <c r="D20" s="205"/>
      <c r="E20" s="153" t="s">
        <v>308</v>
      </c>
      <c r="F20" s="153" t="s">
        <v>290</v>
      </c>
      <c r="G20" s="202"/>
      <c r="H20" s="202"/>
    </row>
    <row r="21" spans="1:8" ht="30.6" customHeight="1" x14ac:dyDescent="0.3">
      <c r="A21" s="200"/>
      <c r="B21" s="153" t="s">
        <v>378</v>
      </c>
      <c r="C21" s="56" t="s">
        <v>290</v>
      </c>
      <c r="D21" s="205"/>
      <c r="E21" s="153" t="s">
        <v>274</v>
      </c>
      <c r="F21" s="153" t="s">
        <v>275</v>
      </c>
      <c r="G21" s="202"/>
      <c r="H21" s="202"/>
    </row>
    <row r="22" spans="1:8" ht="70.2" customHeight="1" x14ac:dyDescent="0.3">
      <c r="A22" s="198">
        <v>46</v>
      </c>
      <c r="B22" s="153" t="s">
        <v>316</v>
      </c>
      <c r="C22" s="153" t="s">
        <v>317</v>
      </c>
      <c r="D22" s="205"/>
      <c r="E22" s="153" t="s">
        <v>292</v>
      </c>
      <c r="F22" s="153" t="s">
        <v>331</v>
      </c>
      <c r="G22" s="202"/>
      <c r="H22" s="202"/>
    </row>
    <row r="23" spans="1:8" ht="45" customHeight="1" x14ac:dyDescent="0.3">
      <c r="A23" s="199"/>
      <c r="B23" s="153" t="s">
        <v>318</v>
      </c>
      <c r="C23" s="153" t="s">
        <v>275</v>
      </c>
      <c r="D23" s="205"/>
      <c r="E23" s="153" t="s">
        <v>291</v>
      </c>
      <c r="F23" s="153" t="s">
        <v>275</v>
      </c>
      <c r="G23" s="202"/>
      <c r="H23" s="202"/>
    </row>
    <row r="24" spans="1:8" ht="28.2" customHeight="1" x14ac:dyDescent="0.3">
      <c r="A24" s="199"/>
      <c r="B24" s="153" t="s">
        <v>319</v>
      </c>
      <c r="C24" s="153" t="s">
        <v>275</v>
      </c>
      <c r="D24" s="205"/>
      <c r="E24" s="153" t="s">
        <v>293</v>
      </c>
      <c r="F24" s="153" t="s">
        <v>294</v>
      </c>
      <c r="G24" s="202"/>
      <c r="H24" s="202"/>
    </row>
    <row r="25" spans="1:8" ht="28.2" customHeight="1" x14ac:dyDescent="0.3">
      <c r="A25" s="199"/>
      <c r="B25" s="153" t="s">
        <v>320</v>
      </c>
      <c r="C25" s="153" t="s">
        <v>294</v>
      </c>
      <c r="D25" s="205"/>
      <c r="E25" s="153" t="s">
        <v>295</v>
      </c>
      <c r="F25" s="153" t="s">
        <v>290</v>
      </c>
      <c r="G25" s="202"/>
      <c r="H25" s="202"/>
    </row>
    <row r="26" spans="1:8" ht="59.4" customHeight="1" x14ac:dyDescent="0.3">
      <c r="A26" s="199"/>
      <c r="B26" s="153" t="s">
        <v>308</v>
      </c>
      <c r="C26" s="153" t="s">
        <v>290</v>
      </c>
      <c r="D26" s="205"/>
      <c r="E26" s="153" t="s">
        <v>296</v>
      </c>
      <c r="F26" s="153" t="s">
        <v>297</v>
      </c>
      <c r="G26" s="202"/>
      <c r="H26" s="202"/>
    </row>
    <row r="27" spans="1:8" ht="26.4" customHeight="1" x14ac:dyDescent="0.3">
      <c r="A27" s="199"/>
      <c r="B27" s="153" t="s">
        <v>274</v>
      </c>
      <c r="C27" s="153" t="s">
        <v>275</v>
      </c>
      <c r="D27" s="205"/>
      <c r="E27" s="153" t="s">
        <v>298</v>
      </c>
      <c r="F27" s="153" t="s">
        <v>275</v>
      </c>
      <c r="G27" s="202"/>
      <c r="H27" s="202"/>
    </row>
    <row r="28" spans="1:8" ht="79.95" customHeight="1" x14ac:dyDescent="0.3">
      <c r="A28" s="199"/>
      <c r="B28" s="153" t="s">
        <v>292</v>
      </c>
      <c r="C28" s="153" t="s">
        <v>331</v>
      </c>
      <c r="D28" s="205"/>
      <c r="E28" s="153" t="s">
        <v>299</v>
      </c>
      <c r="F28" s="153" t="s">
        <v>275</v>
      </c>
      <c r="G28" s="202"/>
      <c r="H28" s="202"/>
    </row>
    <row r="29" spans="1:8" ht="26.4" customHeight="1" x14ac:dyDescent="0.3">
      <c r="A29" s="199"/>
      <c r="B29" s="153" t="s">
        <v>291</v>
      </c>
      <c r="C29" s="153" t="s">
        <v>275</v>
      </c>
      <c r="D29" s="205"/>
      <c r="E29" s="153" t="s">
        <v>300</v>
      </c>
      <c r="F29" s="153" t="s">
        <v>294</v>
      </c>
      <c r="G29" s="202"/>
      <c r="H29" s="202"/>
    </row>
    <row r="30" spans="1:8" ht="26.4" customHeight="1" x14ac:dyDescent="0.3">
      <c r="A30" s="199"/>
      <c r="B30" s="153" t="s">
        <v>321</v>
      </c>
      <c r="C30" s="56" t="s">
        <v>289</v>
      </c>
      <c r="D30" s="205"/>
      <c r="E30" s="153" t="s">
        <v>301</v>
      </c>
      <c r="F30" s="153" t="s">
        <v>290</v>
      </c>
      <c r="G30" s="202"/>
      <c r="H30" s="202"/>
    </row>
    <row r="31" spans="1:8" ht="26.4" customHeight="1" x14ac:dyDescent="0.3">
      <c r="A31" s="199"/>
      <c r="B31" s="153" t="s">
        <v>322</v>
      </c>
      <c r="C31" s="56" t="s">
        <v>290</v>
      </c>
      <c r="D31" s="205"/>
      <c r="E31" s="153" t="s">
        <v>315</v>
      </c>
      <c r="F31" s="153" t="s">
        <v>275</v>
      </c>
      <c r="G31" s="202"/>
      <c r="H31" s="202"/>
    </row>
    <row r="32" spans="1:8" ht="61.95" customHeight="1" x14ac:dyDescent="0.3">
      <c r="A32" s="199"/>
      <c r="B32" s="153" t="s">
        <v>379</v>
      </c>
      <c r="C32" s="153" t="s">
        <v>323</v>
      </c>
      <c r="D32" s="205"/>
      <c r="E32" s="153" t="s">
        <v>302</v>
      </c>
      <c r="F32" s="153" t="s">
        <v>294</v>
      </c>
      <c r="G32" s="202"/>
      <c r="H32" s="202"/>
    </row>
    <row r="33" spans="1:8" ht="26.4" customHeight="1" x14ac:dyDescent="0.3">
      <c r="A33" s="199"/>
      <c r="B33" s="56" t="s">
        <v>298</v>
      </c>
      <c r="C33" s="153" t="s">
        <v>275</v>
      </c>
      <c r="D33" s="206"/>
      <c r="E33" s="153" t="s">
        <v>303</v>
      </c>
      <c r="F33" s="153" t="s">
        <v>290</v>
      </c>
      <c r="G33" s="202"/>
      <c r="H33" s="202"/>
    </row>
    <row r="34" spans="1:8" ht="39.6" customHeight="1" x14ac:dyDescent="0.3">
      <c r="A34" s="199"/>
      <c r="B34" s="95" t="s">
        <v>299</v>
      </c>
      <c r="C34" s="153" t="s">
        <v>275</v>
      </c>
      <c r="D34" s="56"/>
      <c r="E34" s="95" t="s">
        <v>305</v>
      </c>
      <c r="F34" s="95"/>
      <c r="G34" s="202"/>
      <c r="H34" s="202"/>
    </row>
    <row r="35" spans="1:8" ht="28.8" x14ac:dyDescent="0.3">
      <c r="A35" s="199"/>
      <c r="B35" s="95" t="s">
        <v>324</v>
      </c>
      <c r="C35" s="95" t="s">
        <v>289</v>
      </c>
      <c r="D35" s="69"/>
      <c r="E35" s="95"/>
      <c r="F35" s="69"/>
      <c r="G35" s="202"/>
      <c r="H35" s="202"/>
    </row>
    <row r="36" spans="1:8" x14ac:dyDescent="0.3">
      <c r="A36" s="199"/>
      <c r="B36" s="96" t="s">
        <v>301</v>
      </c>
      <c r="C36" s="96" t="s">
        <v>290</v>
      </c>
      <c r="D36" s="69"/>
      <c r="E36" s="69"/>
      <c r="F36" s="69"/>
      <c r="G36" s="202"/>
      <c r="H36" s="202"/>
    </row>
    <row r="37" spans="1:8" ht="28.8" x14ac:dyDescent="0.3">
      <c r="A37" s="199"/>
      <c r="B37" s="96" t="s">
        <v>325</v>
      </c>
      <c r="C37" s="153" t="s">
        <v>275</v>
      </c>
      <c r="D37" s="69"/>
      <c r="E37" s="69"/>
      <c r="F37" s="69"/>
      <c r="G37" s="202"/>
      <c r="H37" s="202"/>
    </row>
    <row r="38" spans="1:8" ht="28.8" x14ac:dyDescent="0.3">
      <c r="A38" s="199"/>
      <c r="B38" s="96" t="s">
        <v>326</v>
      </c>
      <c r="C38" s="153" t="s">
        <v>294</v>
      </c>
      <c r="D38" s="69"/>
      <c r="E38" s="69"/>
      <c r="F38" s="69"/>
      <c r="G38" s="202"/>
      <c r="H38" s="202"/>
    </row>
    <row r="39" spans="1:8" ht="28.8" x14ac:dyDescent="0.3">
      <c r="A39" s="200"/>
      <c r="B39" s="96" t="s">
        <v>303</v>
      </c>
      <c r="C39" s="153" t="s">
        <v>290</v>
      </c>
      <c r="D39" s="69"/>
      <c r="E39" s="69"/>
      <c r="F39" s="69"/>
      <c r="G39" s="203"/>
      <c r="H39" s="203"/>
    </row>
    <row r="60" spans="5:5" x14ac:dyDescent="0.3">
      <c r="E60" s="132"/>
    </row>
    <row r="61" spans="5:5" x14ac:dyDescent="0.3">
      <c r="E61" s="132"/>
    </row>
    <row r="76" spans="5:5" x14ac:dyDescent="0.3">
      <c r="E76" s="132"/>
    </row>
    <row r="82" spans="5:10" x14ac:dyDescent="0.3">
      <c r="E82" s="104"/>
    </row>
    <row r="83" spans="5:10" x14ac:dyDescent="0.3">
      <c r="E83" s="104"/>
    </row>
    <row r="86" spans="5:10" x14ac:dyDescent="0.3">
      <c r="J86" s="132"/>
    </row>
    <row r="100" spans="10:10" x14ac:dyDescent="0.3">
      <c r="J100" s="132"/>
    </row>
  </sheetData>
  <mergeCells count="9">
    <mergeCell ref="A3:C3"/>
    <mergeCell ref="G3:H3"/>
    <mergeCell ref="D3:F3"/>
    <mergeCell ref="A5:A21"/>
    <mergeCell ref="G5:G39"/>
    <mergeCell ref="H5:H39"/>
    <mergeCell ref="A22:A39"/>
    <mergeCell ref="D5:D15"/>
    <mergeCell ref="D16:D33"/>
  </mergeCells>
  <phoneticPr fontId="7" type="noConversion"/>
  <pageMargins left="0.7" right="0.7" top="0.75" bottom="0.75" header="0.3" footer="0.3"/>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7F80F-473C-450C-B8C6-B2D1EA860098}">
  <sheetPr>
    <pageSetUpPr fitToPage="1"/>
  </sheetPr>
  <dimension ref="B1:N23"/>
  <sheetViews>
    <sheetView topLeftCell="A18" zoomScaleNormal="100" workbookViewId="0">
      <selection activeCell="H1" sqref="H1"/>
    </sheetView>
  </sheetViews>
  <sheetFormatPr defaultRowHeight="14.4" x14ac:dyDescent="0.3"/>
  <cols>
    <col min="2" max="2" width="35" customWidth="1"/>
    <col min="3" max="3" width="6.5546875" customWidth="1"/>
    <col min="4" max="4" width="6.109375" customWidth="1"/>
    <col min="5" max="6" width="6.6640625" customWidth="1"/>
    <col min="8" max="8" width="39.109375" customWidth="1"/>
    <col min="9" max="9" width="7.33203125" customWidth="1"/>
    <col min="10" max="10" width="6.33203125" customWidth="1"/>
    <col min="11" max="11" width="5.6640625" customWidth="1"/>
    <col min="12" max="12" width="6" customWidth="1"/>
  </cols>
  <sheetData>
    <row r="1" spans="2:14" x14ac:dyDescent="0.3">
      <c r="B1" s="142" t="s">
        <v>388</v>
      </c>
      <c r="C1" s="142"/>
      <c r="D1" s="142"/>
      <c r="E1" s="142"/>
      <c r="F1" s="142"/>
      <c r="G1" s="142"/>
      <c r="H1" s="142" t="s">
        <v>389</v>
      </c>
      <c r="I1" s="142"/>
      <c r="J1" s="142"/>
      <c r="K1" s="142"/>
      <c r="L1" s="142"/>
    </row>
    <row r="3" spans="2:14" ht="16.2" customHeight="1" x14ac:dyDescent="0.3">
      <c r="B3" s="211" t="s">
        <v>154</v>
      </c>
      <c r="C3" s="211"/>
      <c r="D3" s="211"/>
      <c r="E3" s="211"/>
      <c r="F3" s="107"/>
      <c r="H3" s="211" t="s">
        <v>155</v>
      </c>
      <c r="I3" s="211"/>
      <c r="J3" s="211"/>
      <c r="K3" s="211"/>
    </row>
    <row r="4" spans="2:14" x14ac:dyDescent="0.3">
      <c r="B4" s="2" t="s">
        <v>237</v>
      </c>
      <c r="C4" s="211" t="s">
        <v>253</v>
      </c>
      <c r="D4" s="211"/>
      <c r="E4" s="211" t="s">
        <v>254</v>
      </c>
      <c r="F4" s="211"/>
      <c r="G4" s="2"/>
      <c r="H4" s="2" t="s">
        <v>237</v>
      </c>
      <c r="I4" s="211" t="s">
        <v>255</v>
      </c>
      <c r="J4" s="211"/>
      <c r="K4" s="211" t="s">
        <v>256</v>
      </c>
      <c r="L4" s="211"/>
    </row>
    <row r="5" spans="2:14" x14ac:dyDescent="0.3">
      <c r="C5" t="s">
        <v>10</v>
      </c>
      <c r="D5" t="s">
        <v>11</v>
      </c>
      <c r="E5" t="s">
        <v>10</v>
      </c>
      <c r="F5" t="s">
        <v>11</v>
      </c>
      <c r="I5" t="s">
        <v>10</v>
      </c>
      <c r="J5" t="s">
        <v>11</v>
      </c>
      <c r="K5" t="s">
        <v>252</v>
      </c>
      <c r="L5" t="s">
        <v>11</v>
      </c>
    </row>
    <row r="6" spans="2:14" ht="28.8" x14ac:dyDescent="0.3">
      <c r="B6" s="72" t="s">
        <v>247</v>
      </c>
      <c r="C6">
        <v>44</v>
      </c>
      <c r="D6" s="1">
        <v>0.85987883525503217</v>
      </c>
      <c r="E6">
        <v>53</v>
      </c>
      <c r="F6" s="1">
        <v>1.1684303350970018</v>
      </c>
      <c r="H6" s="72" t="s">
        <v>247</v>
      </c>
      <c r="I6">
        <v>131</v>
      </c>
      <c r="J6" s="1">
        <v>2.7801358234295415</v>
      </c>
      <c r="K6" s="187">
        <v>176</v>
      </c>
      <c r="L6" s="189">
        <v>3.45233424872499</v>
      </c>
    </row>
    <row r="7" spans="2:14" ht="28.8" x14ac:dyDescent="0.3">
      <c r="B7" s="72" t="s">
        <v>248</v>
      </c>
      <c r="C7">
        <v>86</v>
      </c>
      <c r="D7" s="1">
        <v>1.680672268907563</v>
      </c>
      <c r="E7">
        <v>169</v>
      </c>
      <c r="F7" s="1">
        <v>3.7257495590828924</v>
      </c>
      <c r="H7" s="72" t="s">
        <v>248</v>
      </c>
      <c r="I7">
        <v>106</v>
      </c>
      <c r="J7" s="1">
        <v>2.2495755517826828</v>
      </c>
      <c r="K7" s="187">
        <v>207</v>
      </c>
      <c r="L7" s="189">
        <v>4.0604158493526876</v>
      </c>
    </row>
    <row r="8" spans="2:14" x14ac:dyDescent="0.3">
      <c r="B8" t="s">
        <v>249</v>
      </c>
      <c r="C8" t="s">
        <v>239</v>
      </c>
      <c r="D8" s="1"/>
      <c r="E8">
        <v>123</v>
      </c>
      <c r="F8" s="1">
        <v>2.7116402116402116</v>
      </c>
      <c r="H8" t="s">
        <v>249</v>
      </c>
      <c r="I8">
        <v>23</v>
      </c>
      <c r="J8" s="1">
        <v>0.48811544991511036</v>
      </c>
      <c r="K8" s="187">
        <v>797</v>
      </c>
      <c r="L8" s="189">
        <v>15.633581796783053</v>
      </c>
      <c r="N8" s="132"/>
    </row>
    <row r="9" spans="2:14" x14ac:dyDescent="0.3">
      <c r="B9" t="s">
        <v>240</v>
      </c>
      <c r="C9">
        <v>812</v>
      </c>
      <c r="D9" s="1">
        <v>15.868673050615595</v>
      </c>
      <c r="E9" s="132">
        <v>1090</v>
      </c>
      <c r="F9" s="1">
        <v>24.029982363315696</v>
      </c>
      <c r="H9" t="s">
        <v>240</v>
      </c>
      <c r="I9">
        <v>841</v>
      </c>
      <c r="J9" s="1">
        <v>17.848047538200341</v>
      </c>
      <c r="K9" s="188">
        <v>1440</v>
      </c>
      <c r="L9" s="189">
        <v>28.246371125931741</v>
      </c>
      <c r="N9" s="132"/>
    </row>
    <row r="10" spans="2:14" x14ac:dyDescent="0.3">
      <c r="B10" t="s">
        <v>241</v>
      </c>
      <c r="C10" s="132">
        <v>3390</v>
      </c>
      <c r="D10" s="1">
        <v>66.249755716239989</v>
      </c>
      <c r="E10" s="132">
        <v>1938</v>
      </c>
      <c r="F10" s="1">
        <v>42.724867724867728</v>
      </c>
      <c r="H10" t="s">
        <v>241</v>
      </c>
      <c r="I10" s="132">
        <v>2833</v>
      </c>
      <c r="J10" s="1">
        <v>60.123089983022069</v>
      </c>
      <c r="K10" s="188">
        <v>1129</v>
      </c>
      <c r="L10" s="189">
        <v>22.145939584150646</v>
      </c>
    </row>
    <row r="11" spans="2:14" x14ac:dyDescent="0.3">
      <c r="B11" t="s">
        <v>384</v>
      </c>
      <c r="C11">
        <v>72</v>
      </c>
      <c r="D11" s="1">
        <v>1.4070744576900527</v>
      </c>
      <c r="E11">
        <v>176</v>
      </c>
      <c r="F11" s="1">
        <v>3.8800705467372132</v>
      </c>
      <c r="H11" t="s">
        <v>384</v>
      </c>
      <c r="I11">
        <v>268</v>
      </c>
      <c r="J11" s="1">
        <v>5.68760611205433</v>
      </c>
      <c r="K11" s="187">
        <v>542</v>
      </c>
      <c r="L11" s="189">
        <v>10.631620243232641</v>
      </c>
    </row>
    <row r="12" spans="2:14" ht="28.8" x14ac:dyDescent="0.3">
      <c r="B12" s="72" t="s">
        <v>250</v>
      </c>
      <c r="C12">
        <v>182</v>
      </c>
      <c r="D12" s="1">
        <v>3.5567715458276332</v>
      </c>
      <c r="E12">
        <v>331</v>
      </c>
      <c r="F12" s="1">
        <v>7.2971781305114645</v>
      </c>
      <c r="H12" s="72" t="s">
        <v>250</v>
      </c>
      <c r="I12">
        <v>294</v>
      </c>
      <c r="J12" s="1">
        <v>6.2393887945670627</v>
      </c>
      <c r="K12" s="187">
        <v>535</v>
      </c>
      <c r="L12" s="189">
        <v>10.494311494703805</v>
      </c>
    </row>
    <row r="13" spans="2:14" x14ac:dyDescent="0.3">
      <c r="B13" t="s">
        <v>242</v>
      </c>
      <c r="C13">
        <v>414</v>
      </c>
      <c r="D13" s="1">
        <v>8.0906781317178034</v>
      </c>
      <c r="E13">
        <v>241</v>
      </c>
      <c r="F13" s="1">
        <v>5.3130511463844794</v>
      </c>
      <c r="H13" t="s">
        <v>242</v>
      </c>
      <c r="I13">
        <v>108</v>
      </c>
      <c r="J13" s="1">
        <v>2.2920203735144313</v>
      </c>
      <c r="K13" s="187">
        <v>197</v>
      </c>
      <c r="L13" s="189">
        <v>3.8642604943114947</v>
      </c>
    </row>
    <row r="14" spans="2:14" x14ac:dyDescent="0.3">
      <c r="B14" t="s">
        <v>243</v>
      </c>
      <c r="C14">
        <v>31</v>
      </c>
      <c r="D14" s="1">
        <v>0.60582372483877267</v>
      </c>
      <c r="E14">
        <v>31</v>
      </c>
      <c r="F14" s="1">
        <v>0.68342151675485008</v>
      </c>
      <c r="H14" t="s">
        <v>243</v>
      </c>
      <c r="I14" t="s">
        <v>246</v>
      </c>
      <c r="K14" s="187" t="s">
        <v>246</v>
      </c>
      <c r="L14" s="187"/>
    </row>
    <row r="15" spans="2:14" ht="16.2" x14ac:dyDescent="0.3">
      <c r="B15" t="s">
        <v>244</v>
      </c>
      <c r="C15">
        <v>86</v>
      </c>
      <c r="D15" s="1">
        <v>1.680672268907563</v>
      </c>
      <c r="E15" t="s">
        <v>251</v>
      </c>
      <c r="F15" s="1">
        <v>8.4656084656084651</v>
      </c>
      <c r="H15" t="s">
        <v>244</v>
      </c>
      <c r="I15">
        <v>108</v>
      </c>
      <c r="J15" s="1">
        <v>2.2920203735144313</v>
      </c>
      <c r="K15" s="187">
        <v>75</v>
      </c>
      <c r="L15" s="189">
        <v>1.4711651628089448</v>
      </c>
    </row>
    <row r="16" spans="2:14" x14ac:dyDescent="0.3">
      <c r="B16" t="s">
        <v>347</v>
      </c>
      <c r="E16">
        <v>878</v>
      </c>
      <c r="H16" t="s">
        <v>348</v>
      </c>
      <c r="K16" s="187">
        <v>411</v>
      </c>
      <c r="L16" s="187"/>
    </row>
    <row r="17" spans="2:12" x14ac:dyDescent="0.3">
      <c r="B17" s="106" t="s">
        <v>236</v>
      </c>
      <c r="C17" s="133">
        <v>5117</v>
      </c>
      <c r="D17" s="134">
        <v>100</v>
      </c>
      <c r="E17" s="133">
        <v>4536</v>
      </c>
      <c r="F17" s="134">
        <v>100.00000000000001</v>
      </c>
      <c r="H17" s="106" t="s">
        <v>236</v>
      </c>
      <c r="I17" s="133">
        <v>4712</v>
      </c>
      <c r="J17" s="134">
        <v>100</v>
      </c>
      <c r="K17" s="190">
        <v>5098</v>
      </c>
      <c r="L17" s="189">
        <v>100</v>
      </c>
    </row>
    <row r="18" spans="2:12" x14ac:dyDescent="0.3">
      <c r="B18" s="55"/>
      <c r="C18" s="55"/>
      <c r="D18" s="55"/>
      <c r="E18" s="55"/>
      <c r="F18" s="55"/>
      <c r="G18" s="55"/>
      <c r="H18" s="55"/>
      <c r="I18" s="55"/>
      <c r="J18" s="55"/>
      <c r="K18" s="55"/>
      <c r="L18" s="55"/>
    </row>
    <row r="19" spans="2:12" ht="72" customHeight="1" x14ac:dyDescent="0.3">
      <c r="B19" s="209" t="s">
        <v>352</v>
      </c>
      <c r="C19" s="209"/>
      <c r="D19" s="209"/>
      <c r="E19" s="209"/>
      <c r="F19" s="209"/>
      <c r="H19" s="210" t="s">
        <v>351</v>
      </c>
      <c r="I19" s="210"/>
      <c r="J19" s="210"/>
      <c r="K19" s="210"/>
      <c r="L19" s="210"/>
    </row>
    <row r="20" spans="2:12" ht="47.1" customHeight="1" x14ac:dyDescent="0.3">
      <c r="B20" s="212" t="s">
        <v>349</v>
      </c>
      <c r="C20" s="212"/>
      <c r="D20" s="212"/>
      <c r="E20" s="212"/>
      <c r="F20" s="212"/>
      <c r="H20" s="213" t="s">
        <v>350</v>
      </c>
      <c r="I20" s="213"/>
      <c r="J20" s="213"/>
      <c r="K20" s="213"/>
      <c r="L20" s="213"/>
    </row>
    <row r="21" spans="2:12" ht="78" customHeight="1" x14ac:dyDescent="0.3">
      <c r="B21" s="212" t="s">
        <v>341</v>
      </c>
      <c r="C21" s="212"/>
      <c r="D21" s="212"/>
      <c r="E21" s="212"/>
      <c r="F21" s="212"/>
      <c r="H21" s="212" t="s">
        <v>341</v>
      </c>
      <c r="I21" s="212"/>
      <c r="J21" s="212"/>
      <c r="K21" s="212"/>
      <c r="L21" s="212"/>
    </row>
    <row r="22" spans="2:12" ht="45.75" customHeight="1" x14ac:dyDescent="0.3">
      <c r="B22" s="207" t="s">
        <v>343</v>
      </c>
      <c r="C22" s="208"/>
      <c r="D22" s="208"/>
      <c r="E22" s="208"/>
      <c r="F22" s="208"/>
      <c r="H22" s="207" t="s">
        <v>386</v>
      </c>
      <c r="I22" s="208"/>
      <c r="J22" s="208"/>
      <c r="K22" s="208"/>
      <c r="L22" s="208"/>
    </row>
    <row r="23" spans="2:12" ht="90" customHeight="1" x14ac:dyDescent="0.3">
      <c r="B23" s="207" t="s">
        <v>245</v>
      </c>
      <c r="C23" s="208"/>
      <c r="D23" s="208"/>
      <c r="E23" s="208"/>
      <c r="F23" s="208"/>
      <c r="H23" s="207" t="s">
        <v>385</v>
      </c>
      <c r="I23" s="207"/>
      <c r="J23" s="207"/>
      <c r="K23" s="207"/>
      <c r="L23" s="207"/>
    </row>
  </sheetData>
  <mergeCells count="16">
    <mergeCell ref="B23:F23"/>
    <mergeCell ref="B19:F19"/>
    <mergeCell ref="H19:L19"/>
    <mergeCell ref="K4:L4"/>
    <mergeCell ref="B3:E3"/>
    <mergeCell ref="H3:K3"/>
    <mergeCell ref="C4:D4"/>
    <mergeCell ref="I4:J4"/>
    <mergeCell ref="E4:F4"/>
    <mergeCell ref="B20:F20"/>
    <mergeCell ref="H20:L20"/>
    <mergeCell ref="B22:F22"/>
    <mergeCell ref="H22:L22"/>
    <mergeCell ref="B21:F21"/>
    <mergeCell ref="H21:L21"/>
    <mergeCell ref="H23:L23"/>
  </mergeCells>
  <hyperlinks>
    <hyperlink ref="E15" location="_ftn1" display="_ftn1" xr:uid="{7F348100-71DA-4C73-A6C9-70216EEB8BCD}"/>
    <hyperlink ref="B23" location="_ftnref1" display="_ftnref1" xr:uid="{4C88C7BA-6C22-40AE-A05C-EFE074697C10}"/>
  </hyperlinks>
  <pageMargins left="0.7" right="0.7" top="0.75" bottom="0.75" header="0.3" footer="0.3"/>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33"/>
  <sheetViews>
    <sheetView zoomScale="90" zoomScaleNormal="90" workbookViewId="0">
      <selection sqref="A1:I1"/>
    </sheetView>
  </sheetViews>
  <sheetFormatPr defaultColWidth="8.88671875" defaultRowHeight="14.4" x14ac:dyDescent="0.3"/>
  <cols>
    <col min="1" max="1" width="56.6640625" style="8" customWidth="1"/>
    <col min="2" max="2" width="10.33203125" style="8" customWidth="1"/>
    <col min="3" max="7" width="8.88671875" style="8"/>
    <col min="8" max="10" width="9.109375" customWidth="1"/>
    <col min="11" max="16384" width="8.88671875" style="8"/>
  </cols>
  <sheetData>
    <row r="1" spans="1:10" x14ac:dyDescent="0.3">
      <c r="A1" s="192" t="s">
        <v>390</v>
      </c>
      <c r="B1" s="192"/>
      <c r="C1" s="192"/>
      <c r="D1" s="192"/>
      <c r="E1" s="192"/>
      <c r="F1" s="192"/>
      <c r="G1" s="192"/>
      <c r="H1" s="192"/>
      <c r="I1" s="192"/>
    </row>
    <row r="2" spans="1:10" ht="25.2" customHeight="1" x14ac:dyDescent="0.3"/>
    <row r="3" spans="1:10" ht="25.2" customHeight="1" x14ac:dyDescent="0.3">
      <c r="A3" s="23" t="s">
        <v>190</v>
      </c>
      <c r="B3" s="218" t="s">
        <v>154</v>
      </c>
      <c r="C3" s="219"/>
      <c r="D3" s="219"/>
      <c r="E3" s="220"/>
      <c r="F3" s="195" t="s">
        <v>155</v>
      </c>
      <c r="G3" s="196"/>
      <c r="H3" s="196"/>
      <c r="I3" s="197"/>
    </row>
    <row r="4" spans="1:10" x14ac:dyDescent="0.3">
      <c r="A4" s="181"/>
      <c r="B4" s="181" t="s">
        <v>10</v>
      </c>
      <c r="C4" s="182" t="s">
        <v>11</v>
      </c>
      <c r="D4" s="216" t="s">
        <v>17</v>
      </c>
      <c r="E4" s="217"/>
      <c r="F4" s="181" t="s">
        <v>10</v>
      </c>
      <c r="G4" s="182" t="s">
        <v>11</v>
      </c>
      <c r="H4" s="216" t="s">
        <v>17</v>
      </c>
      <c r="I4" s="217"/>
    </row>
    <row r="5" spans="1:10" ht="16.95" customHeight="1" x14ac:dyDescent="0.3">
      <c r="A5" s="23" t="s">
        <v>338</v>
      </c>
      <c r="B5" s="87">
        <v>3191</v>
      </c>
      <c r="C5" s="68">
        <v>100</v>
      </c>
      <c r="D5" s="86"/>
      <c r="E5" s="86"/>
      <c r="F5" s="87">
        <v>3614</v>
      </c>
      <c r="G5" s="68">
        <v>100</v>
      </c>
      <c r="H5" s="69"/>
      <c r="I5" s="69"/>
    </row>
    <row r="6" spans="1:10" ht="13.95" customHeight="1" x14ac:dyDescent="0.3">
      <c r="A6" s="56" t="s">
        <v>42</v>
      </c>
      <c r="B6" s="34">
        <v>2985</v>
      </c>
      <c r="C6" s="30">
        <v>93.54</v>
      </c>
      <c r="D6" s="183">
        <v>92.6</v>
      </c>
      <c r="E6" s="183">
        <v>94.3</v>
      </c>
      <c r="F6" s="34">
        <v>3246</v>
      </c>
      <c r="G6" s="30">
        <v>89.82</v>
      </c>
      <c r="H6" s="69">
        <v>88.8</v>
      </c>
      <c r="I6" s="69">
        <v>90.8</v>
      </c>
    </row>
    <row r="7" spans="1:10" ht="15.6" customHeight="1" x14ac:dyDescent="0.3">
      <c r="A7" s="56" t="s">
        <v>262</v>
      </c>
      <c r="B7" s="56">
        <v>206</v>
      </c>
      <c r="C7" s="30">
        <v>6.46</v>
      </c>
      <c r="D7" s="183">
        <v>5.7</v>
      </c>
      <c r="E7" s="183">
        <v>7.4</v>
      </c>
      <c r="F7" s="42">
        <v>368</v>
      </c>
      <c r="G7" s="30">
        <v>10.18</v>
      </c>
      <c r="H7" s="71">
        <v>9.24</v>
      </c>
      <c r="I7" s="69">
        <v>11.2</v>
      </c>
    </row>
    <row r="8" spans="1:10" x14ac:dyDescent="0.3">
      <c r="A8" s="23"/>
      <c r="B8" s="53"/>
      <c r="C8" s="54"/>
      <c r="D8" s="54"/>
      <c r="E8" s="54"/>
      <c r="F8" s="23"/>
      <c r="G8" s="30"/>
      <c r="H8" s="69"/>
      <c r="I8" s="69"/>
    </row>
    <row r="9" spans="1:10" s="22" customFormat="1" x14ac:dyDescent="0.3">
      <c r="A9" s="97" t="s">
        <v>83</v>
      </c>
      <c r="B9" s="98" t="s">
        <v>10</v>
      </c>
      <c r="C9" s="99" t="s">
        <v>11</v>
      </c>
      <c r="D9" s="221" t="s">
        <v>17</v>
      </c>
      <c r="E9" s="222"/>
      <c r="F9" s="98" t="s">
        <v>10</v>
      </c>
      <c r="G9" s="99" t="s">
        <v>11</v>
      </c>
      <c r="H9" s="221" t="s">
        <v>17</v>
      </c>
      <c r="I9" s="222"/>
      <c r="J9" s="6"/>
    </row>
    <row r="10" spans="1:10" x14ac:dyDescent="0.3">
      <c r="A10" s="23"/>
      <c r="B10" s="23"/>
      <c r="C10" s="25"/>
      <c r="D10" s="25"/>
      <c r="E10" s="25"/>
      <c r="F10" s="23"/>
      <c r="G10" s="25"/>
      <c r="H10" s="69"/>
      <c r="I10" s="69"/>
    </row>
    <row r="11" spans="1:10" x14ac:dyDescent="0.3">
      <c r="A11" s="26" t="s">
        <v>88</v>
      </c>
      <c r="B11" s="24">
        <v>2928</v>
      </c>
      <c r="C11" s="27">
        <v>100</v>
      </c>
      <c r="D11" s="27"/>
      <c r="E11" s="27"/>
      <c r="F11" s="39">
        <v>3024</v>
      </c>
      <c r="G11" s="27">
        <v>100</v>
      </c>
      <c r="H11" s="69"/>
      <c r="I11" s="69"/>
    </row>
    <row r="12" spans="1:10" x14ac:dyDescent="0.3">
      <c r="A12" s="29" t="s">
        <v>33</v>
      </c>
      <c r="B12" s="29">
        <v>836</v>
      </c>
      <c r="C12" s="30">
        <v>28.55</v>
      </c>
      <c r="D12" s="30">
        <f>0.269438*100</f>
        <v>26.9438</v>
      </c>
      <c r="E12" s="30">
        <f>0.3021631*100</f>
        <v>30.21631</v>
      </c>
      <c r="F12" s="29">
        <v>886</v>
      </c>
      <c r="G12" s="30">
        <v>29.3</v>
      </c>
      <c r="H12" s="71">
        <f>0.2770282*100</f>
        <v>27.702819999999999</v>
      </c>
      <c r="I12" s="71">
        <f>0.3094766*100</f>
        <v>30.947659999999999</v>
      </c>
    </row>
    <row r="13" spans="1:10" x14ac:dyDescent="0.3">
      <c r="A13" s="29" t="s">
        <v>28</v>
      </c>
      <c r="B13" s="29">
        <v>785</v>
      </c>
      <c r="C13" s="30">
        <v>26.81</v>
      </c>
      <c r="D13" s="30">
        <f>0.252357*100</f>
        <v>25.235700000000001</v>
      </c>
      <c r="E13" s="30">
        <f>0.2844537*100</f>
        <v>28.445369999999997</v>
      </c>
      <c r="F13" s="29">
        <v>840</v>
      </c>
      <c r="G13" s="30">
        <v>27.78</v>
      </c>
      <c r="H13" s="71">
        <f>0.2620931*100</f>
        <v>26.209310000000002</v>
      </c>
      <c r="I13" s="71">
        <f>0.294027*100</f>
        <v>29.402699999999999</v>
      </c>
    </row>
    <row r="14" spans="1:10" x14ac:dyDescent="0.3">
      <c r="A14" s="29" t="s">
        <v>29</v>
      </c>
      <c r="B14" s="29">
        <v>716</v>
      </c>
      <c r="C14" s="30">
        <v>24.45</v>
      </c>
      <c r="D14" s="30">
        <f>0.229298*100</f>
        <v>22.9298</v>
      </c>
      <c r="E14" s="30">
        <f>0.2604434*100</f>
        <v>26.044339999999998</v>
      </c>
      <c r="F14" s="29">
        <v>696</v>
      </c>
      <c r="G14" s="30">
        <v>23.02</v>
      </c>
      <c r="H14" s="71">
        <f>0.2154939*100</f>
        <v>21.549389999999999</v>
      </c>
      <c r="I14" s="71">
        <f>0.2455092*100</f>
        <v>24.550920000000001</v>
      </c>
    </row>
    <row r="15" spans="1:10" x14ac:dyDescent="0.3">
      <c r="A15" s="29" t="s">
        <v>34</v>
      </c>
      <c r="B15" s="29">
        <v>591</v>
      </c>
      <c r="C15" s="30">
        <v>20.18</v>
      </c>
      <c r="D15" s="30">
        <f>0.1876905*100</f>
        <v>18.76905</v>
      </c>
      <c r="E15" s="30">
        <f>0.2167805*100</f>
        <v>21.678049999999999</v>
      </c>
      <c r="F15" s="29">
        <v>602</v>
      </c>
      <c r="G15" s="30">
        <v>19.91</v>
      </c>
      <c r="H15" s="71">
        <f>0.1852181*100</f>
        <v>18.521809999999999</v>
      </c>
      <c r="I15" s="71">
        <f>0.2136948*100</f>
        <v>21.369479999999999</v>
      </c>
    </row>
    <row r="16" spans="1:10" x14ac:dyDescent="0.3">
      <c r="A16" s="32" t="s">
        <v>9</v>
      </c>
      <c r="B16" s="32">
        <v>263</v>
      </c>
      <c r="C16" s="25">
        <v>8.24</v>
      </c>
      <c r="D16" s="25"/>
      <c r="E16" s="25"/>
      <c r="F16" s="32">
        <v>590</v>
      </c>
      <c r="G16" s="25">
        <v>16.329999999999998</v>
      </c>
      <c r="H16" s="71"/>
      <c r="I16" s="71"/>
    </row>
    <row r="17" spans="1:11" x14ac:dyDescent="0.3">
      <c r="A17" s="29"/>
      <c r="B17" s="29"/>
      <c r="C17" s="30"/>
      <c r="D17" s="30"/>
      <c r="E17" s="30"/>
      <c r="F17" s="56"/>
      <c r="G17" s="30"/>
      <c r="H17" s="71"/>
      <c r="I17" s="71"/>
    </row>
    <row r="18" spans="1:11" x14ac:dyDescent="0.3">
      <c r="A18" s="26" t="s">
        <v>87</v>
      </c>
      <c r="B18" s="28">
        <v>3087</v>
      </c>
      <c r="C18" s="27">
        <v>100</v>
      </c>
      <c r="D18" s="27"/>
      <c r="E18" s="27"/>
      <c r="F18" s="39">
        <v>3465</v>
      </c>
      <c r="G18" s="46">
        <v>100</v>
      </c>
      <c r="H18" s="71"/>
      <c r="I18" s="71"/>
    </row>
    <row r="19" spans="1:11" x14ac:dyDescent="0.3">
      <c r="A19" s="29" t="s">
        <v>30</v>
      </c>
      <c r="B19" s="29">
        <v>263</v>
      </c>
      <c r="C19" s="30">
        <v>8.52</v>
      </c>
      <c r="D19" s="30">
        <f>100*0.0758467</f>
        <v>7.58467</v>
      </c>
      <c r="E19" s="30">
        <f>100*0.0955786</f>
        <v>9.5578599999999998</v>
      </c>
      <c r="F19" s="29">
        <v>179</v>
      </c>
      <c r="G19" s="30">
        <v>5.17</v>
      </c>
      <c r="H19" s="71">
        <f>100*0.0447653</f>
        <v>4.4765300000000003</v>
      </c>
      <c r="I19" s="71">
        <f>100*0.0595492</f>
        <v>5.9549199999999995</v>
      </c>
    </row>
    <row r="20" spans="1:11" x14ac:dyDescent="0.3">
      <c r="A20" s="29" t="s">
        <v>31</v>
      </c>
      <c r="B20" s="31">
        <v>2566</v>
      </c>
      <c r="C20" s="30">
        <v>83.12</v>
      </c>
      <c r="D20" s="30">
        <f>100*0.8175945</f>
        <v>81.759450000000001</v>
      </c>
      <c r="E20" s="30">
        <f>100*0.8440364</f>
        <v>84.403639999999996</v>
      </c>
      <c r="F20" s="31">
        <v>2852</v>
      </c>
      <c r="G20" s="30">
        <v>82.31</v>
      </c>
      <c r="H20" s="71">
        <f>100*0.8100176</f>
        <v>81.001760000000004</v>
      </c>
      <c r="I20" s="71">
        <f>100*0.8354419</f>
        <v>83.54419</v>
      </c>
    </row>
    <row r="21" spans="1:11" x14ac:dyDescent="0.3">
      <c r="A21" s="29" t="s">
        <v>32</v>
      </c>
      <c r="B21" s="29">
        <v>258</v>
      </c>
      <c r="C21" s="30">
        <v>8.36</v>
      </c>
      <c r="D21" s="30">
        <f>100*0.0743141</f>
        <v>7.4314099999999996</v>
      </c>
      <c r="E21" s="30">
        <f>100*0.0938758</f>
        <v>9.3875799999999998</v>
      </c>
      <c r="F21" s="29">
        <v>434</v>
      </c>
      <c r="G21" s="30">
        <v>12.53</v>
      </c>
      <c r="H21" s="71">
        <f>100*0.1146367</f>
        <v>11.463669999999999</v>
      </c>
      <c r="I21" s="71">
        <f>100*0.1366996</f>
        <v>13.66996</v>
      </c>
      <c r="K21" s="3"/>
    </row>
    <row r="22" spans="1:11" x14ac:dyDescent="0.3">
      <c r="A22" s="32" t="s">
        <v>9</v>
      </c>
      <c r="B22" s="32">
        <v>104</v>
      </c>
      <c r="C22" s="25">
        <v>3.26</v>
      </c>
      <c r="D22" s="25"/>
      <c r="E22" s="25"/>
      <c r="F22" s="32">
        <v>149</v>
      </c>
      <c r="G22" s="25">
        <v>4.12</v>
      </c>
      <c r="H22" s="71"/>
      <c r="I22" s="71"/>
    </row>
    <row r="23" spans="1:11" x14ac:dyDescent="0.3">
      <c r="A23" s="56"/>
      <c r="B23" s="56"/>
      <c r="C23" s="30"/>
      <c r="D23" s="30"/>
      <c r="E23" s="30"/>
      <c r="F23" s="56"/>
      <c r="G23" s="30"/>
      <c r="H23" s="71"/>
      <c r="I23" s="71"/>
    </row>
    <row r="24" spans="1:11" x14ac:dyDescent="0.3">
      <c r="A24" s="23" t="s">
        <v>6</v>
      </c>
      <c r="B24" s="24">
        <v>3075</v>
      </c>
      <c r="C24" s="27">
        <v>100</v>
      </c>
      <c r="D24" s="27"/>
      <c r="E24" s="27"/>
      <c r="F24" s="24">
        <v>3422</v>
      </c>
      <c r="G24" s="46">
        <v>100</v>
      </c>
      <c r="H24" s="71"/>
      <c r="I24" s="71"/>
    </row>
    <row r="25" spans="1:11" x14ac:dyDescent="0.3">
      <c r="A25" s="29" t="s">
        <v>1</v>
      </c>
      <c r="B25" s="31">
        <v>1751</v>
      </c>
      <c r="C25" s="30">
        <v>56.94</v>
      </c>
      <c r="D25" s="30">
        <f>100*0.5518431</f>
        <v>55.184310000000004</v>
      </c>
      <c r="E25" s="30">
        <f>100*0.5868452</f>
        <v>58.684519999999992</v>
      </c>
      <c r="F25" s="31">
        <v>2060</v>
      </c>
      <c r="G25" s="30">
        <v>60.2</v>
      </c>
      <c r="H25" s="71">
        <f>100*0.5854722</f>
        <v>58.547220000000003</v>
      </c>
      <c r="I25" s="71">
        <f>100*0.6182731</f>
        <v>61.827310000000004</v>
      </c>
    </row>
    <row r="26" spans="1:11" x14ac:dyDescent="0.3">
      <c r="A26" s="29" t="s">
        <v>127</v>
      </c>
      <c r="B26" s="29">
        <v>153</v>
      </c>
      <c r="C26" s="30">
        <v>4.9800000000000004</v>
      </c>
      <c r="D26" s="30">
        <f>100*0.0426069</f>
        <v>4.2606900000000003</v>
      </c>
      <c r="E26" s="30">
        <f>100*0.0580322</f>
        <v>5.8032199999999996</v>
      </c>
      <c r="F26" s="29">
        <v>249</v>
      </c>
      <c r="G26" s="30">
        <v>7.28</v>
      </c>
      <c r="H26" s="71">
        <f>100*0.0645242</f>
        <v>6.45242</v>
      </c>
      <c r="I26" s="71">
        <f>100*0.0819649</f>
        <v>8.1964899999999989</v>
      </c>
    </row>
    <row r="27" spans="1:11" x14ac:dyDescent="0.3">
      <c r="A27" s="29" t="s">
        <v>128</v>
      </c>
      <c r="B27" s="31">
        <v>1171</v>
      </c>
      <c r="C27" s="30">
        <v>38.08</v>
      </c>
      <c r="D27" s="30">
        <f>100*0.3637985</f>
        <v>36.379850000000005</v>
      </c>
      <c r="E27" s="30">
        <f>100*0.3981253</f>
        <v>39.812530000000002</v>
      </c>
      <c r="F27" s="31">
        <v>1113</v>
      </c>
      <c r="G27" s="30">
        <v>32.520000000000003</v>
      </c>
      <c r="H27" s="71">
        <f>100*0.3097473</f>
        <v>30.974730000000001</v>
      </c>
      <c r="I27" s="71">
        <f>100*0.3411418</f>
        <v>34.114179999999998</v>
      </c>
      <c r="K27" s="3"/>
    </row>
    <row r="28" spans="1:11" ht="14.25" customHeight="1" x14ac:dyDescent="0.3">
      <c r="A28" s="32" t="s">
        <v>9</v>
      </c>
      <c r="B28" s="32">
        <v>116</v>
      </c>
      <c r="C28" s="25">
        <v>3.64</v>
      </c>
      <c r="D28" s="25"/>
      <c r="E28" s="25"/>
      <c r="F28" s="32">
        <v>192</v>
      </c>
      <c r="G28" s="25">
        <v>5.31</v>
      </c>
      <c r="H28" s="71"/>
      <c r="I28" s="71"/>
    </row>
    <row r="29" spans="1:11" x14ac:dyDescent="0.3">
      <c r="A29" s="56"/>
      <c r="B29" s="56"/>
      <c r="C29" s="30"/>
      <c r="D29" s="30"/>
      <c r="E29" s="30"/>
      <c r="F29" s="32"/>
      <c r="G29" s="25"/>
      <c r="H29" s="71"/>
      <c r="I29" s="71"/>
    </row>
    <row r="30" spans="1:11" x14ac:dyDescent="0.3">
      <c r="A30" s="23" t="s">
        <v>44</v>
      </c>
      <c r="B30" s="24">
        <v>3075</v>
      </c>
      <c r="C30" s="27">
        <v>100</v>
      </c>
      <c r="D30" s="27"/>
      <c r="E30" s="27"/>
      <c r="F30" s="39">
        <v>3467</v>
      </c>
      <c r="G30" s="27">
        <v>100</v>
      </c>
      <c r="H30" s="71"/>
      <c r="I30" s="71"/>
    </row>
    <row r="31" spans="1:11" x14ac:dyDescent="0.3">
      <c r="A31" s="29" t="s">
        <v>43</v>
      </c>
      <c r="B31" s="29">
        <v>206</v>
      </c>
      <c r="C31" s="30">
        <v>6.7</v>
      </c>
      <c r="D31" s="30">
        <f>100*0.0586751</f>
        <v>5.8675100000000002</v>
      </c>
      <c r="E31" s="30">
        <f>100*0.0763918</f>
        <v>7.6391799999999996</v>
      </c>
      <c r="F31" s="29">
        <v>166</v>
      </c>
      <c r="G31" s="30">
        <v>4.79</v>
      </c>
      <c r="H31" s="71">
        <f>100*0.0412512</f>
        <v>4.1251199999999999</v>
      </c>
      <c r="I31" s="71">
        <f>100*0.0555123</f>
        <v>5.5512300000000003</v>
      </c>
    </row>
    <row r="32" spans="1:11" x14ac:dyDescent="0.3">
      <c r="A32" s="29" t="s">
        <v>35</v>
      </c>
      <c r="B32" s="31">
        <v>1873</v>
      </c>
      <c r="C32" s="30">
        <v>60.91</v>
      </c>
      <c r="D32" s="30">
        <f>100*0.5917225</f>
        <v>59.172250000000005</v>
      </c>
      <c r="E32" s="30">
        <f>100*0.6262162</f>
        <v>62.62162</v>
      </c>
      <c r="F32" s="31">
        <v>2297</v>
      </c>
      <c r="G32" s="30">
        <v>66.25</v>
      </c>
      <c r="H32" s="71">
        <f>100*0.6466118</f>
        <v>64.661180000000002</v>
      </c>
      <c r="I32" s="71">
        <f>100*0.6780929</f>
        <v>67.809290000000004</v>
      </c>
      <c r="K32" s="3"/>
    </row>
    <row r="33" spans="1:11" x14ac:dyDescent="0.3">
      <c r="A33" s="29" t="s">
        <v>36</v>
      </c>
      <c r="B33" s="29">
        <v>996</v>
      </c>
      <c r="C33" s="30">
        <v>32.39</v>
      </c>
      <c r="D33" s="30">
        <f>100*0.3075808</f>
        <v>30.75808</v>
      </c>
      <c r="E33" s="30">
        <f>100*0.3406641</f>
        <v>34.066410000000005</v>
      </c>
      <c r="F33" s="31">
        <v>1004</v>
      </c>
      <c r="G33" s="30">
        <v>28.96</v>
      </c>
      <c r="H33" s="71">
        <f>100*0.2747207</f>
        <v>27.472069999999999</v>
      </c>
      <c r="I33" s="71">
        <f>100*0.3049207</f>
        <v>30.492069999999998</v>
      </c>
    </row>
    <row r="34" spans="1:11" x14ac:dyDescent="0.3">
      <c r="A34" s="32" t="s">
        <v>9</v>
      </c>
      <c r="B34" s="32">
        <v>116</v>
      </c>
      <c r="C34" s="25">
        <v>3.64</v>
      </c>
      <c r="D34" s="25"/>
      <c r="E34" s="25"/>
      <c r="F34" s="32">
        <v>147</v>
      </c>
      <c r="G34" s="25">
        <v>4.07</v>
      </c>
      <c r="H34" s="71"/>
      <c r="I34" s="71"/>
    </row>
    <row r="35" spans="1:11" x14ac:dyDescent="0.3">
      <c r="A35" s="32"/>
      <c r="B35" s="32"/>
      <c r="C35" s="25"/>
      <c r="D35" s="25"/>
      <c r="E35" s="25"/>
      <c r="F35" s="56"/>
      <c r="G35" s="30"/>
      <c r="H35" s="71"/>
      <c r="I35" s="71"/>
    </row>
    <row r="36" spans="1:11" x14ac:dyDescent="0.3">
      <c r="A36" s="23" t="s">
        <v>175</v>
      </c>
      <c r="B36" s="24">
        <v>2663</v>
      </c>
      <c r="C36" s="27">
        <v>100</v>
      </c>
      <c r="D36" s="27"/>
      <c r="E36" s="27"/>
      <c r="F36" s="39">
        <v>3190</v>
      </c>
      <c r="G36" s="27">
        <v>100</v>
      </c>
      <c r="H36" s="71"/>
      <c r="I36" s="71"/>
    </row>
    <row r="37" spans="1:11" x14ac:dyDescent="0.3">
      <c r="A37" s="29" t="s">
        <v>173</v>
      </c>
      <c r="B37" s="31">
        <v>1990</v>
      </c>
      <c r="C37" s="30">
        <v>74.73</v>
      </c>
      <c r="D37" s="30">
        <f>100*0.7304107</f>
        <v>73.041069999999991</v>
      </c>
      <c r="E37" s="30">
        <f>100*0.7634308</f>
        <v>76.34308</v>
      </c>
      <c r="F37" s="31">
        <v>1704</v>
      </c>
      <c r="G37" s="30">
        <v>53.42</v>
      </c>
      <c r="H37" s="71">
        <f>100*0.5168181</f>
        <v>51.681809999999992</v>
      </c>
      <c r="I37" s="71">
        <f>100*0.5514382</f>
        <v>55.143819999999998</v>
      </c>
    </row>
    <row r="38" spans="1:11" x14ac:dyDescent="0.3">
      <c r="A38" s="29" t="s">
        <v>174</v>
      </c>
      <c r="B38" s="29">
        <v>673</v>
      </c>
      <c r="C38" s="30">
        <v>25.27</v>
      </c>
      <c r="D38" s="30">
        <f>100*0.2365692</f>
        <v>23.65692</v>
      </c>
      <c r="E38" s="30">
        <f>100*0.2695893</f>
        <v>26.958929999999999</v>
      </c>
      <c r="F38" s="31">
        <v>1486</v>
      </c>
      <c r="G38" s="30">
        <v>46.58</v>
      </c>
      <c r="H38" s="71">
        <f>100*0.4485618</f>
        <v>44.856180000000002</v>
      </c>
      <c r="I38" s="71">
        <f>100*0.4831819</f>
        <v>48.318190000000001</v>
      </c>
      <c r="K38" s="5"/>
    </row>
    <row r="39" spans="1:11" x14ac:dyDescent="0.3">
      <c r="A39" s="32" t="s">
        <v>9</v>
      </c>
      <c r="B39" s="32">
        <v>528</v>
      </c>
      <c r="C39" s="25">
        <v>16.55</v>
      </c>
      <c r="D39" s="25"/>
      <c r="E39" s="25"/>
      <c r="F39" s="32">
        <v>424</v>
      </c>
      <c r="G39" s="30">
        <v>11.73</v>
      </c>
      <c r="H39" s="69"/>
      <c r="I39" s="69"/>
    </row>
    <row r="40" spans="1:11" x14ac:dyDescent="0.3">
      <c r="A40" s="29"/>
      <c r="B40" s="29"/>
      <c r="C40" s="30"/>
      <c r="D40" s="30"/>
      <c r="E40" s="30"/>
      <c r="H40" s="69"/>
      <c r="I40" s="69"/>
    </row>
    <row r="41" spans="1:11" s="22" customFormat="1" x14ac:dyDescent="0.3">
      <c r="A41" s="100" t="s">
        <v>12</v>
      </c>
      <c r="B41" s="100"/>
      <c r="C41" s="99"/>
      <c r="D41" s="99"/>
      <c r="E41" s="99"/>
      <c r="F41" s="98"/>
      <c r="G41" s="99"/>
      <c r="H41" s="101"/>
      <c r="I41" s="101"/>
      <c r="J41" s="6"/>
    </row>
    <row r="42" spans="1:11" x14ac:dyDescent="0.3">
      <c r="A42" s="56"/>
      <c r="B42" s="30"/>
      <c r="C42" s="30"/>
      <c r="D42" s="30"/>
      <c r="E42" s="30"/>
      <c r="F42" s="56"/>
      <c r="G42" s="30"/>
      <c r="H42" s="69"/>
      <c r="I42" s="69"/>
    </row>
    <row r="43" spans="1:11" x14ac:dyDescent="0.3">
      <c r="A43" s="75" t="s">
        <v>263</v>
      </c>
      <c r="B43" s="24">
        <v>2473</v>
      </c>
      <c r="C43" s="30"/>
      <c r="D43" s="30"/>
      <c r="E43" s="30"/>
      <c r="F43" s="39">
        <v>3142</v>
      </c>
      <c r="G43" s="47"/>
      <c r="H43" s="71"/>
      <c r="I43" s="69"/>
    </row>
    <row r="44" spans="1:11" x14ac:dyDescent="0.3">
      <c r="A44" s="29" t="s">
        <v>50</v>
      </c>
      <c r="B44" s="143" t="s">
        <v>52</v>
      </c>
      <c r="C44" s="38"/>
      <c r="D44" s="38"/>
      <c r="E44" s="38"/>
      <c r="F44" s="38" t="s">
        <v>52</v>
      </c>
      <c r="G44" s="38"/>
      <c r="H44" s="71"/>
      <c r="I44" s="71"/>
    </row>
    <row r="45" spans="1:11" x14ac:dyDescent="0.3">
      <c r="A45" s="29" t="s">
        <v>51</v>
      </c>
      <c r="B45" s="38" t="s">
        <v>67</v>
      </c>
      <c r="C45" s="38"/>
      <c r="D45" s="38"/>
      <c r="E45" s="38"/>
      <c r="F45" s="38" t="s">
        <v>53</v>
      </c>
      <c r="G45" s="38"/>
      <c r="H45" s="71"/>
      <c r="I45" s="71"/>
    </row>
    <row r="46" spans="1:11" x14ac:dyDescent="0.3">
      <c r="A46" s="32" t="s">
        <v>9</v>
      </c>
      <c r="B46" s="144">
        <v>718</v>
      </c>
      <c r="C46" s="145">
        <v>22.5</v>
      </c>
      <c r="D46" s="143"/>
      <c r="E46" s="143"/>
      <c r="F46" s="144">
        <v>472</v>
      </c>
      <c r="G46" s="146">
        <v>13.1</v>
      </c>
      <c r="H46" s="71"/>
      <c r="I46" s="71"/>
    </row>
    <row r="47" spans="1:11" x14ac:dyDescent="0.3">
      <c r="A47" s="32"/>
      <c r="B47" s="32"/>
      <c r="C47" s="58"/>
      <c r="D47" s="58"/>
      <c r="E47" s="58"/>
      <c r="F47" s="56"/>
      <c r="G47" s="30"/>
      <c r="H47" s="71"/>
      <c r="I47" s="71"/>
    </row>
    <row r="48" spans="1:11" x14ac:dyDescent="0.3">
      <c r="A48" s="78" t="s">
        <v>54</v>
      </c>
      <c r="B48" s="28">
        <v>2039</v>
      </c>
      <c r="C48" s="28"/>
      <c r="D48" s="28"/>
      <c r="E48" s="28"/>
      <c r="F48" s="39">
        <v>2722</v>
      </c>
      <c r="G48" s="47"/>
      <c r="H48" s="71"/>
      <c r="I48" s="71"/>
    </row>
    <row r="49" spans="1:11" x14ac:dyDescent="0.3">
      <c r="A49" s="29" t="s">
        <v>50</v>
      </c>
      <c r="B49" s="38" t="s">
        <v>68</v>
      </c>
      <c r="C49" s="38"/>
      <c r="D49" s="38"/>
      <c r="E49" s="38"/>
      <c r="F49" s="38" t="s">
        <v>55</v>
      </c>
      <c r="G49" s="38"/>
      <c r="H49" s="71"/>
      <c r="I49" s="71"/>
    </row>
    <row r="50" spans="1:11" x14ac:dyDescent="0.3">
      <c r="A50" s="29" t="s">
        <v>51</v>
      </c>
      <c r="B50" s="147" t="s">
        <v>132</v>
      </c>
      <c r="C50" s="146"/>
      <c r="D50" s="146"/>
      <c r="E50" s="146"/>
      <c r="F50" s="147" t="s">
        <v>132</v>
      </c>
      <c r="G50" s="38"/>
      <c r="H50" s="71"/>
      <c r="I50" s="71"/>
    </row>
    <row r="51" spans="1:11" x14ac:dyDescent="0.3">
      <c r="A51" s="32" t="s">
        <v>9</v>
      </c>
      <c r="B51" s="148">
        <v>1152</v>
      </c>
      <c r="C51" s="146">
        <v>36.1</v>
      </c>
      <c r="D51" s="146"/>
      <c r="E51" s="146"/>
      <c r="F51" s="144">
        <v>892</v>
      </c>
      <c r="G51" s="146">
        <v>25.7</v>
      </c>
      <c r="H51" s="69"/>
      <c r="I51" s="69"/>
    </row>
    <row r="52" spans="1:11" x14ac:dyDescent="0.3">
      <c r="A52" s="29"/>
      <c r="B52" s="29"/>
      <c r="C52" s="30"/>
      <c r="D52" s="30"/>
      <c r="E52" s="30"/>
      <c r="F52" s="32"/>
      <c r="G52" s="25"/>
      <c r="H52" s="69"/>
      <c r="I52" s="69"/>
    </row>
    <row r="53" spans="1:11" x14ac:dyDescent="0.3">
      <c r="A53" s="35" t="s">
        <v>20</v>
      </c>
      <c r="B53" s="24">
        <v>1944</v>
      </c>
      <c r="C53" s="24"/>
      <c r="D53" s="24"/>
      <c r="E53" s="24"/>
      <c r="F53" s="48">
        <v>2494</v>
      </c>
      <c r="G53" s="47"/>
      <c r="H53" s="69"/>
      <c r="I53" s="69"/>
    </row>
    <row r="54" spans="1:11" x14ac:dyDescent="0.3">
      <c r="A54" s="29" t="s">
        <v>50</v>
      </c>
      <c r="B54" s="38" t="s">
        <v>69</v>
      </c>
      <c r="C54" s="38"/>
      <c r="D54" s="38"/>
      <c r="E54" s="38"/>
      <c r="F54" s="50" t="s">
        <v>56</v>
      </c>
      <c r="G54" s="38"/>
      <c r="H54" s="71"/>
      <c r="I54" s="71"/>
    </row>
    <row r="55" spans="1:11" ht="17.399999999999999" customHeight="1" x14ac:dyDescent="0.3">
      <c r="A55" s="29" t="s">
        <v>51</v>
      </c>
      <c r="B55" s="149" t="s">
        <v>70</v>
      </c>
      <c r="C55" s="149"/>
      <c r="D55" s="149"/>
      <c r="E55" s="149"/>
      <c r="F55" s="50" t="s">
        <v>57</v>
      </c>
      <c r="G55" s="38"/>
      <c r="H55" s="69"/>
      <c r="I55" s="69"/>
    </row>
    <row r="56" spans="1:11" ht="19.95" customHeight="1" x14ac:dyDescent="0.3">
      <c r="A56" s="32" t="s">
        <v>9</v>
      </c>
      <c r="B56" s="149">
        <v>1247</v>
      </c>
      <c r="C56" s="38">
        <v>39.08</v>
      </c>
      <c r="D56" s="38"/>
      <c r="E56" s="38"/>
      <c r="F56" s="150">
        <v>1120</v>
      </c>
      <c r="G56" s="38">
        <v>31</v>
      </c>
      <c r="H56" s="69"/>
      <c r="I56" s="69"/>
    </row>
    <row r="57" spans="1:11" x14ac:dyDescent="0.3">
      <c r="A57" s="59"/>
      <c r="B57" s="59"/>
      <c r="C57" s="33"/>
      <c r="D57" s="33"/>
      <c r="E57" s="33"/>
      <c r="F57" s="59"/>
      <c r="G57" s="33"/>
      <c r="H57" s="69"/>
      <c r="I57" s="69"/>
    </row>
    <row r="58" spans="1:11" x14ac:dyDescent="0.3">
      <c r="A58" s="23" t="s">
        <v>38</v>
      </c>
      <c r="B58" s="24">
        <v>1432</v>
      </c>
      <c r="C58" s="27">
        <v>100</v>
      </c>
      <c r="D58" s="27"/>
      <c r="E58" s="27"/>
      <c r="F58" s="39">
        <v>2805</v>
      </c>
      <c r="G58" s="47">
        <v>100</v>
      </c>
      <c r="H58" s="69"/>
      <c r="I58" s="69"/>
    </row>
    <row r="59" spans="1:11" x14ac:dyDescent="0.3">
      <c r="A59" s="29" t="s">
        <v>1</v>
      </c>
      <c r="B59" s="29">
        <v>1157</v>
      </c>
      <c r="C59" s="30">
        <v>80.8</v>
      </c>
      <c r="D59" s="30">
        <f>100*0.7867114</f>
        <v>78.671139999999994</v>
      </c>
      <c r="E59" s="30">
        <f>100*0.8275574</f>
        <v>82.755740000000003</v>
      </c>
      <c r="F59" s="31">
        <v>1896</v>
      </c>
      <c r="G59" s="30">
        <v>67.59</v>
      </c>
      <c r="H59" s="71">
        <f>100*0.658373</f>
        <v>65.837299999999999</v>
      </c>
      <c r="I59" s="71">
        <f>100*0.6930168</f>
        <v>69.301680000000005</v>
      </c>
    </row>
    <row r="60" spans="1:11" x14ac:dyDescent="0.3">
      <c r="A60" s="29" t="s">
        <v>2</v>
      </c>
      <c r="B60" s="29">
        <v>275</v>
      </c>
      <c r="C60" s="30">
        <v>19.2</v>
      </c>
      <c r="D60" s="30">
        <f>100*0.1724426</f>
        <v>17.244260000000001</v>
      </c>
      <c r="E60" s="30">
        <f>100*0.2132886</f>
        <v>21.328859999999999</v>
      </c>
      <c r="F60" s="29">
        <v>909</v>
      </c>
      <c r="G60" s="30">
        <v>32.409999999999997</v>
      </c>
      <c r="H60" s="71">
        <f>100*0.3069832</f>
        <v>30.698320000000002</v>
      </c>
      <c r="I60" s="71">
        <f>100*0.341627</f>
        <v>34.162700000000001</v>
      </c>
      <c r="K60" s="5"/>
    </row>
    <row r="61" spans="1:11" x14ac:dyDescent="0.3">
      <c r="A61" s="32" t="s">
        <v>9</v>
      </c>
      <c r="B61" s="34">
        <v>1759</v>
      </c>
      <c r="C61" s="30">
        <v>55.12</v>
      </c>
      <c r="D61" s="73"/>
      <c r="E61" s="73"/>
      <c r="F61" s="29">
        <v>809</v>
      </c>
      <c r="G61" s="30">
        <v>22.39</v>
      </c>
      <c r="H61" s="71"/>
      <c r="I61" s="71"/>
    </row>
    <row r="62" spans="1:11" x14ac:dyDescent="0.3">
      <c r="A62" s="29"/>
      <c r="B62" s="29"/>
      <c r="C62" s="30"/>
      <c r="D62" s="73"/>
      <c r="E62" s="73"/>
      <c r="F62" s="56"/>
      <c r="G62" s="30"/>
      <c r="H62" s="71"/>
      <c r="I62" s="71"/>
    </row>
    <row r="63" spans="1:11" ht="28.8" x14ac:dyDescent="0.3">
      <c r="A63" s="74" t="s">
        <v>39</v>
      </c>
      <c r="B63" s="24">
        <v>1379</v>
      </c>
      <c r="C63" s="27">
        <v>100</v>
      </c>
      <c r="D63" s="79"/>
      <c r="E63" s="79"/>
      <c r="F63" s="48">
        <v>2808</v>
      </c>
      <c r="G63" s="47">
        <v>100</v>
      </c>
      <c r="H63" s="71"/>
      <c r="I63" s="71"/>
    </row>
    <row r="64" spans="1:11" x14ac:dyDescent="0.3">
      <c r="A64" s="29" t="s">
        <v>1</v>
      </c>
      <c r="B64" s="29">
        <v>457</v>
      </c>
      <c r="C64" s="30">
        <v>33.14</v>
      </c>
      <c r="D64" s="30">
        <f>100*0.3070204</f>
        <v>30.702040000000004</v>
      </c>
      <c r="E64" s="30">
        <f>100*0.3567181</f>
        <v>35.671810000000001</v>
      </c>
      <c r="F64" s="31">
        <v>1654</v>
      </c>
      <c r="G64" s="30">
        <v>58.9</v>
      </c>
      <c r="H64" s="71">
        <f>100*0.5707115</f>
        <v>57.071150000000003</v>
      </c>
      <c r="I64" s="71">
        <f>100*0.6071076</f>
        <v>60.710759999999993</v>
      </c>
    </row>
    <row r="65" spans="1:11" x14ac:dyDescent="0.3">
      <c r="A65" s="29" t="s">
        <v>2</v>
      </c>
      <c r="B65" s="29">
        <v>922</v>
      </c>
      <c r="C65" s="30">
        <v>66.86</v>
      </c>
      <c r="D65" s="30">
        <f>100*0.6432819</f>
        <v>64.328189999999992</v>
      </c>
      <c r="E65" s="30">
        <f>100*0.6929796</f>
        <v>69.297960000000003</v>
      </c>
      <c r="F65" s="31">
        <v>1154</v>
      </c>
      <c r="G65" s="30">
        <v>41.1</v>
      </c>
      <c r="H65" s="71">
        <f>100*0.3928924</f>
        <v>39.289239999999999</v>
      </c>
      <c r="I65" s="71">
        <f>100*0.4292885</f>
        <v>42.928850000000004</v>
      </c>
      <c r="K65" s="5"/>
    </row>
    <row r="66" spans="1:11" x14ac:dyDescent="0.3">
      <c r="A66" s="32" t="s">
        <v>8</v>
      </c>
      <c r="B66" s="60">
        <v>1812</v>
      </c>
      <c r="C66" s="25">
        <v>56.78</v>
      </c>
      <c r="D66" s="70"/>
      <c r="E66" s="70"/>
      <c r="F66" s="32">
        <v>806</v>
      </c>
      <c r="G66" s="30">
        <v>22.3</v>
      </c>
      <c r="H66" s="71"/>
      <c r="I66" s="71"/>
    </row>
    <row r="67" spans="1:11" x14ac:dyDescent="0.3">
      <c r="A67" s="29"/>
      <c r="B67" s="29"/>
      <c r="C67" s="30"/>
      <c r="D67" s="73"/>
      <c r="E67" s="73"/>
      <c r="F67" s="56"/>
      <c r="G67" s="30"/>
      <c r="H67" s="71"/>
      <c r="I67" s="71"/>
    </row>
    <row r="68" spans="1:11" x14ac:dyDescent="0.3">
      <c r="A68" s="75" t="s">
        <v>95</v>
      </c>
      <c r="B68" s="24">
        <v>1450</v>
      </c>
      <c r="C68" s="30">
        <v>100</v>
      </c>
      <c r="D68" s="73"/>
      <c r="E68" s="73"/>
      <c r="F68" s="39">
        <v>2757</v>
      </c>
      <c r="G68" s="47">
        <v>100</v>
      </c>
      <c r="H68" s="71"/>
      <c r="I68" s="71"/>
    </row>
    <row r="69" spans="1:11" x14ac:dyDescent="0.3">
      <c r="A69" s="76" t="s">
        <v>125</v>
      </c>
      <c r="B69" s="29">
        <v>169</v>
      </c>
      <c r="C69" s="30">
        <v>11.66</v>
      </c>
      <c r="D69" s="30">
        <f>100*0.1010116</f>
        <v>10.10116</v>
      </c>
      <c r="E69" s="30">
        <f>100*0.134126</f>
        <v>13.412599999999999</v>
      </c>
      <c r="F69" s="31">
        <v>1678</v>
      </c>
      <c r="G69" s="30">
        <v>60.86</v>
      </c>
      <c r="H69" s="71">
        <f>100*0.5902629</f>
        <v>59.026290000000003</v>
      </c>
      <c r="I69" s="71">
        <f>100*0.6266995</f>
        <v>62.66995</v>
      </c>
    </row>
    <row r="70" spans="1:11" x14ac:dyDescent="0.3">
      <c r="A70" s="76" t="s">
        <v>124</v>
      </c>
      <c r="B70" s="31">
        <v>1281</v>
      </c>
      <c r="C70" s="30">
        <v>88.34</v>
      </c>
      <c r="D70" s="30">
        <f>100*0.865874</f>
        <v>86.587400000000002</v>
      </c>
      <c r="E70" s="30">
        <f>100*0.8989884</f>
        <v>89.898840000000007</v>
      </c>
      <c r="F70" s="31">
        <v>1079</v>
      </c>
      <c r="G70" s="30">
        <v>39.14</v>
      </c>
      <c r="H70" s="71">
        <f>100*0.3733005</f>
        <v>37.33005</v>
      </c>
      <c r="I70" s="71">
        <f>100*0.4097371</f>
        <v>40.973710000000004</v>
      </c>
    </row>
    <row r="71" spans="1:11" x14ac:dyDescent="0.3">
      <c r="A71" s="32" t="s">
        <v>9</v>
      </c>
      <c r="B71" s="60">
        <v>1741</v>
      </c>
      <c r="C71" s="25">
        <v>54.56</v>
      </c>
      <c r="D71" s="70"/>
      <c r="E71" s="70"/>
      <c r="F71" s="32">
        <v>857</v>
      </c>
      <c r="G71" s="25">
        <v>23.71</v>
      </c>
      <c r="H71" s="69"/>
      <c r="I71" s="69"/>
    </row>
    <row r="72" spans="1:11" x14ac:dyDescent="0.3">
      <c r="A72" s="29"/>
      <c r="D72" s="80"/>
      <c r="E72" s="80"/>
      <c r="F72" s="56"/>
      <c r="G72" s="30"/>
      <c r="H72" s="69"/>
      <c r="I72" s="69"/>
    </row>
    <row r="73" spans="1:11" x14ac:dyDescent="0.3">
      <c r="A73" s="49" t="s">
        <v>182</v>
      </c>
      <c r="B73" s="24">
        <v>2087</v>
      </c>
      <c r="C73" s="24"/>
      <c r="D73" s="81"/>
      <c r="E73" s="81"/>
      <c r="F73" s="48">
        <v>2749</v>
      </c>
      <c r="G73" s="47"/>
      <c r="H73" s="69"/>
      <c r="I73" s="69"/>
    </row>
    <row r="74" spans="1:11" x14ac:dyDescent="0.3">
      <c r="A74" s="29" t="s">
        <v>50</v>
      </c>
      <c r="B74" s="38" t="s">
        <v>58</v>
      </c>
      <c r="C74" s="151"/>
      <c r="D74" s="38"/>
      <c r="E74" s="38"/>
      <c r="F74" s="50" t="s">
        <v>58</v>
      </c>
      <c r="G74" s="38"/>
      <c r="H74" s="30"/>
      <c r="I74" s="30"/>
    </row>
    <row r="75" spans="1:11" x14ac:dyDescent="0.3">
      <c r="A75" s="29" t="s">
        <v>51</v>
      </c>
      <c r="B75" s="147" t="s">
        <v>59</v>
      </c>
      <c r="C75" s="38"/>
      <c r="D75" s="152"/>
      <c r="E75" s="152"/>
      <c r="F75" s="38" t="s">
        <v>59</v>
      </c>
      <c r="G75" s="38"/>
      <c r="H75" s="69"/>
      <c r="I75" s="69"/>
    </row>
    <row r="76" spans="1:11" x14ac:dyDescent="0.3">
      <c r="A76" s="32" t="s">
        <v>9</v>
      </c>
      <c r="B76" s="148">
        <v>1104</v>
      </c>
      <c r="C76" s="38">
        <v>34.6</v>
      </c>
      <c r="D76" s="38"/>
      <c r="E76" s="38"/>
      <c r="F76" s="144">
        <v>865</v>
      </c>
      <c r="G76" s="38">
        <v>23.9</v>
      </c>
      <c r="H76" s="69"/>
      <c r="I76" s="69"/>
    </row>
    <row r="77" spans="1:11" x14ac:dyDescent="0.3">
      <c r="A77" s="29"/>
      <c r="B77" s="29"/>
      <c r="C77" s="30"/>
      <c r="D77" s="30"/>
      <c r="E77" s="30"/>
      <c r="F77" s="56"/>
      <c r="G77" s="30"/>
      <c r="H77" s="69"/>
      <c r="I77" s="69"/>
    </row>
    <row r="78" spans="1:11" s="22" customFormat="1" x14ac:dyDescent="0.3">
      <c r="A78" s="100" t="s">
        <v>13</v>
      </c>
      <c r="B78" s="100"/>
      <c r="C78" s="99"/>
      <c r="D78" s="99"/>
      <c r="E78" s="99"/>
      <c r="F78" s="98"/>
      <c r="G78" s="99"/>
      <c r="H78" s="101"/>
      <c r="I78" s="101"/>
      <c r="J78" s="6"/>
    </row>
    <row r="79" spans="1:11" s="22" customFormat="1" x14ac:dyDescent="0.3">
      <c r="A79" s="36"/>
      <c r="B79" s="36"/>
      <c r="C79" s="57"/>
      <c r="D79" s="57"/>
      <c r="E79" s="57"/>
      <c r="F79" s="61"/>
      <c r="G79" s="57"/>
      <c r="H79" s="69"/>
      <c r="I79" s="69"/>
      <c r="J79"/>
    </row>
    <row r="80" spans="1:11" x14ac:dyDescent="0.3">
      <c r="A80" s="35" t="s">
        <v>85</v>
      </c>
      <c r="B80" s="37">
        <v>2652</v>
      </c>
      <c r="C80" s="27"/>
      <c r="D80" s="27"/>
      <c r="E80" s="27"/>
      <c r="F80" s="37">
        <v>2874</v>
      </c>
      <c r="G80" s="27"/>
      <c r="H80" s="69"/>
      <c r="I80" s="69"/>
      <c r="J80" s="93"/>
    </row>
    <row r="81" spans="1:12" x14ac:dyDescent="0.3">
      <c r="A81" s="29" t="s">
        <v>50</v>
      </c>
      <c r="B81" s="50" t="s">
        <v>74</v>
      </c>
      <c r="C81" s="38"/>
      <c r="D81" s="38"/>
      <c r="E81" s="38"/>
      <c r="F81" s="50" t="s">
        <v>61</v>
      </c>
      <c r="G81" s="38"/>
      <c r="H81" s="71"/>
      <c r="I81" s="71"/>
    </row>
    <row r="82" spans="1:12" x14ac:dyDescent="0.3">
      <c r="A82" s="29" t="s">
        <v>51</v>
      </c>
      <c r="B82" s="38" t="s">
        <v>75</v>
      </c>
      <c r="C82" s="38"/>
      <c r="D82" s="38"/>
      <c r="E82" s="38"/>
      <c r="F82" s="38" t="s">
        <v>62</v>
      </c>
      <c r="G82" s="38"/>
      <c r="H82" s="71"/>
      <c r="I82" s="71"/>
    </row>
    <row r="83" spans="1:12" x14ac:dyDescent="0.3">
      <c r="A83" s="32" t="s">
        <v>9</v>
      </c>
      <c r="B83" s="144">
        <v>539</v>
      </c>
      <c r="C83" s="146">
        <v>16.89</v>
      </c>
      <c r="D83" s="146"/>
      <c r="E83" s="146"/>
      <c r="F83" s="144">
        <v>740</v>
      </c>
      <c r="G83" s="146">
        <v>20.48</v>
      </c>
      <c r="H83" s="71"/>
      <c r="I83" s="71"/>
    </row>
    <row r="84" spans="1:12" x14ac:dyDescent="0.3">
      <c r="A84" s="26"/>
      <c r="B84" s="26"/>
      <c r="C84" s="30"/>
      <c r="D84" s="30"/>
      <c r="E84" s="30"/>
      <c r="F84" s="26"/>
      <c r="G84" s="30"/>
      <c r="H84" s="71"/>
      <c r="I84" s="71"/>
    </row>
    <row r="85" spans="1:12" x14ac:dyDescent="0.3">
      <c r="A85" s="26" t="s">
        <v>97</v>
      </c>
      <c r="B85" s="39">
        <v>2836</v>
      </c>
      <c r="C85" s="27">
        <v>100</v>
      </c>
      <c r="D85" s="27"/>
      <c r="E85" s="27"/>
      <c r="F85" s="39">
        <v>3208</v>
      </c>
      <c r="G85" s="27">
        <v>100</v>
      </c>
      <c r="H85" s="71"/>
      <c r="I85" s="71"/>
    </row>
    <row r="86" spans="1:12" x14ac:dyDescent="0.3">
      <c r="A86" s="29" t="s">
        <v>3</v>
      </c>
      <c r="B86" s="31">
        <v>1328</v>
      </c>
      <c r="C86" s="30">
        <v>46.83</v>
      </c>
      <c r="D86" s="30">
        <f>100*0.4499436</f>
        <v>44.99436</v>
      </c>
      <c r="E86" s="30">
        <f>100*0.4866727</f>
        <v>48.667270000000002</v>
      </c>
      <c r="F86" s="31">
        <v>1704</v>
      </c>
      <c r="G86" s="30">
        <v>53.12</v>
      </c>
      <c r="H86" s="71">
        <f>100*0.5138665</f>
        <v>51.386650000000003</v>
      </c>
      <c r="I86" s="71">
        <f>100*0.5484029</f>
        <v>54.840290000000003</v>
      </c>
    </row>
    <row r="87" spans="1:12" x14ac:dyDescent="0.3">
      <c r="A87" s="29" t="s">
        <v>4</v>
      </c>
      <c r="B87" s="29">
        <v>590</v>
      </c>
      <c r="C87" s="30">
        <v>20.8</v>
      </c>
      <c r="D87" s="30">
        <f>100*0.1934895</f>
        <v>19.348950000000002</v>
      </c>
      <c r="E87" s="30">
        <f>100*0.2233806</f>
        <v>22.338060000000002</v>
      </c>
      <c r="F87" s="29">
        <v>593</v>
      </c>
      <c r="G87" s="30">
        <v>18.489999999999998</v>
      </c>
      <c r="H87" s="71">
        <f>100*0.1717885</f>
        <v>17.178850000000001</v>
      </c>
      <c r="I87" s="71">
        <f>100*0.1986672</f>
        <v>19.866719999999997</v>
      </c>
    </row>
    <row r="88" spans="1:12" x14ac:dyDescent="0.3">
      <c r="A88" s="29" t="s">
        <v>5</v>
      </c>
      <c r="B88" s="29">
        <v>918</v>
      </c>
      <c r="C88" s="30">
        <v>32.369999999999997</v>
      </c>
      <c r="D88" s="30">
        <f>100*0.3067123</f>
        <v>30.671229999999998</v>
      </c>
      <c r="E88" s="30">
        <f>100*0.341156</f>
        <v>34.115600000000001</v>
      </c>
      <c r="F88" s="29">
        <v>911</v>
      </c>
      <c r="G88" s="30">
        <v>28.4</v>
      </c>
      <c r="H88" s="71">
        <f>100*0.2686297</f>
        <v>26.862970000000004</v>
      </c>
      <c r="I88" s="71">
        <f>100*0.2998428</f>
        <v>29.984280000000002</v>
      </c>
      <c r="L88" s="5"/>
    </row>
    <row r="89" spans="1:12" x14ac:dyDescent="0.3">
      <c r="A89" s="32" t="s">
        <v>9</v>
      </c>
      <c r="B89" s="32">
        <v>355</v>
      </c>
      <c r="C89" s="25">
        <v>11.13</v>
      </c>
      <c r="D89" s="25"/>
      <c r="E89" s="25"/>
      <c r="F89" s="56">
        <v>406</v>
      </c>
      <c r="G89" s="30">
        <v>11.23</v>
      </c>
      <c r="H89" s="71"/>
      <c r="I89" s="71"/>
    </row>
    <row r="90" spans="1:12" x14ac:dyDescent="0.3">
      <c r="A90" s="29"/>
      <c r="B90" s="29"/>
      <c r="C90" s="30"/>
      <c r="D90" s="30"/>
      <c r="E90" s="30"/>
      <c r="F90" s="56"/>
      <c r="G90" s="30"/>
      <c r="H90" s="71"/>
      <c r="I90" s="71"/>
    </row>
    <row r="91" spans="1:12" x14ac:dyDescent="0.3">
      <c r="A91" s="35" t="s">
        <v>172</v>
      </c>
      <c r="B91" s="24">
        <v>2836</v>
      </c>
      <c r="C91" s="82">
        <v>100</v>
      </c>
      <c r="D91" s="24"/>
      <c r="E91" s="24"/>
      <c r="F91" s="37">
        <v>3220</v>
      </c>
      <c r="G91" s="27">
        <v>100</v>
      </c>
      <c r="H91" s="71"/>
      <c r="I91" s="71"/>
    </row>
    <row r="92" spans="1:12" x14ac:dyDescent="0.3">
      <c r="A92" s="29" t="s">
        <v>100</v>
      </c>
      <c r="B92" s="29">
        <v>662</v>
      </c>
      <c r="C92" s="30">
        <v>23.34</v>
      </c>
      <c r="D92" s="30">
        <f>100*0.2182148</f>
        <v>21.821479999999998</v>
      </c>
      <c r="E92" s="30">
        <f>100*0.2493622</f>
        <v>24.936220000000002</v>
      </c>
      <c r="F92" s="76">
        <v>883</v>
      </c>
      <c r="G92" s="89">
        <v>27.42</v>
      </c>
      <c r="H92" s="71">
        <f>100*0.2590812</f>
        <v>25.90812</v>
      </c>
      <c r="I92" s="71">
        <f>100*0.2899048</f>
        <v>28.990480000000002</v>
      </c>
    </row>
    <row r="93" spans="1:12" x14ac:dyDescent="0.3">
      <c r="A93" s="29" t="s">
        <v>177</v>
      </c>
      <c r="B93" s="29">
        <v>450</v>
      </c>
      <c r="C93" s="30">
        <v>15.87</v>
      </c>
      <c r="D93" s="30">
        <f>100*0.1456793</f>
        <v>14.56793</v>
      </c>
      <c r="E93" s="30">
        <f>100*0.1725941</f>
        <v>17.259409999999999</v>
      </c>
      <c r="F93" s="76">
        <v>771</v>
      </c>
      <c r="G93" s="89">
        <v>23.94</v>
      </c>
      <c r="H93" s="71">
        <f>100*0.2250082</f>
        <v>22.500819999999997</v>
      </c>
      <c r="I93" s="71">
        <f>100*0.2544955</f>
        <v>25.449549999999999</v>
      </c>
    </row>
    <row r="94" spans="1:12" x14ac:dyDescent="0.3">
      <c r="A94" s="29" t="s">
        <v>176</v>
      </c>
      <c r="B94" s="31">
        <v>1724</v>
      </c>
      <c r="C94" s="30">
        <v>60.79</v>
      </c>
      <c r="D94" s="30">
        <f>100*0.5897835</f>
        <v>58.978349999999999</v>
      </c>
      <c r="E94" s="30">
        <f>100*0.6257211</f>
        <v>62.572110000000002</v>
      </c>
      <c r="F94" s="90">
        <v>1566</v>
      </c>
      <c r="G94" s="89">
        <v>48.63</v>
      </c>
      <c r="H94" s="71">
        <f>100*0.4690886</f>
        <v>46.908860000000004</v>
      </c>
      <c r="I94" s="71">
        <f>100*0.5036148</f>
        <v>50.36148</v>
      </c>
      <c r="L94" s="5"/>
    </row>
    <row r="95" spans="1:12" x14ac:dyDescent="0.3">
      <c r="A95" s="32" t="s">
        <v>9</v>
      </c>
      <c r="B95" s="32">
        <v>355</v>
      </c>
      <c r="C95" s="25">
        <v>11.13</v>
      </c>
      <c r="D95" s="25"/>
      <c r="E95" s="25"/>
      <c r="F95" s="32">
        <v>394</v>
      </c>
      <c r="G95" s="25">
        <v>10.9</v>
      </c>
      <c r="H95" s="71"/>
      <c r="I95" s="71"/>
    </row>
    <row r="96" spans="1:12" x14ac:dyDescent="0.3">
      <c r="A96" s="29"/>
      <c r="B96" s="29"/>
      <c r="C96" s="30"/>
      <c r="D96" s="30"/>
      <c r="E96" s="30"/>
      <c r="F96" s="29"/>
      <c r="G96" s="30"/>
      <c r="H96" s="69"/>
      <c r="I96" s="69"/>
    </row>
    <row r="97" spans="1:12" x14ac:dyDescent="0.3">
      <c r="A97" s="26" t="s">
        <v>183</v>
      </c>
      <c r="B97" s="40">
        <v>2835</v>
      </c>
      <c r="C97" s="27">
        <v>100</v>
      </c>
      <c r="D97" s="27"/>
      <c r="E97" s="27"/>
      <c r="F97" s="48">
        <v>3209</v>
      </c>
      <c r="G97" s="27">
        <v>100</v>
      </c>
      <c r="H97" s="69"/>
      <c r="I97" s="69"/>
    </row>
    <row r="98" spans="1:12" x14ac:dyDescent="0.3">
      <c r="A98" s="76" t="s">
        <v>100</v>
      </c>
      <c r="B98" s="41">
        <v>675</v>
      </c>
      <c r="C98" s="30">
        <v>23.81</v>
      </c>
      <c r="D98" s="84">
        <f>100*0.222767</f>
        <v>22.276699999999998</v>
      </c>
      <c r="E98" s="84">
        <f>100*0.2541334</f>
        <v>25.413340000000002</v>
      </c>
      <c r="F98" s="29">
        <v>767</v>
      </c>
      <c r="G98" s="30">
        <v>23.9</v>
      </c>
      <c r="H98" s="30">
        <f>100*0.2245678</f>
        <v>22.456780000000002</v>
      </c>
      <c r="I98" s="30">
        <f>100*0.2540877</f>
        <v>25.408770000000004</v>
      </c>
    </row>
    <row r="99" spans="1:12" x14ac:dyDescent="0.3">
      <c r="A99" s="76" t="s">
        <v>179</v>
      </c>
      <c r="B99" s="41">
        <v>134</v>
      </c>
      <c r="C99" s="30">
        <v>4.7300000000000004</v>
      </c>
      <c r="D99" s="84">
        <f>100*0.0400376</f>
        <v>4.0037599999999998</v>
      </c>
      <c r="E99" s="84">
        <f>100*0.0557244</f>
        <v>5.5724400000000003</v>
      </c>
      <c r="F99" s="29">
        <v>183</v>
      </c>
      <c r="G99" s="30">
        <v>5.7</v>
      </c>
      <c r="H99" s="71">
        <f>100*0.0495116</f>
        <v>4.9511600000000007</v>
      </c>
      <c r="I99" s="71">
        <f>100*0.0656047</f>
        <v>6.5604700000000005</v>
      </c>
    </row>
    <row r="100" spans="1:12" x14ac:dyDescent="0.3">
      <c r="A100" s="76" t="s">
        <v>178</v>
      </c>
      <c r="B100" s="62">
        <v>2026</v>
      </c>
      <c r="C100" s="30">
        <v>71.459999999999994</v>
      </c>
      <c r="D100" s="84">
        <f>100*0.6977215</f>
        <v>69.772149999999996</v>
      </c>
      <c r="E100" s="84">
        <f>100*0.7309737</f>
        <v>73.097369999999998</v>
      </c>
      <c r="F100" s="31">
        <v>2259</v>
      </c>
      <c r="G100" s="30">
        <v>70.400000000000006</v>
      </c>
      <c r="H100" s="71">
        <f>100*0.6879165</f>
        <v>68.791650000000004</v>
      </c>
      <c r="I100" s="71">
        <f>100*0.7195104</f>
        <v>71.951040000000006</v>
      </c>
    </row>
    <row r="101" spans="1:12" x14ac:dyDescent="0.3">
      <c r="A101" s="77" t="s">
        <v>9</v>
      </c>
      <c r="B101" s="32">
        <v>356</v>
      </c>
      <c r="C101" s="25">
        <v>11.16</v>
      </c>
      <c r="D101" s="25"/>
      <c r="E101" s="25"/>
      <c r="F101" s="32">
        <v>405</v>
      </c>
      <c r="G101" s="25">
        <v>11.21</v>
      </c>
      <c r="H101" s="71"/>
      <c r="I101" s="71"/>
    </row>
    <row r="102" spans="1:12" x14ac:dyDescent="0.3">
      <c r="A102" s="56"/>
      <c r="B102" s="32"/>
      <c r="C102" s="25"/>
      <c r="D102" s="25"/>
      <c r="E102" s="25"/>
      <c r="H102" s="71"/>
      <c r="I102" s="71"/>
    </row>
    <row r="103" spans="1:12" x14ac:dyDescent="0.3">
      <c r="A103" s="29"/>
      <c r="B103" s="29"/>
      <c r="C103" s="30"/>
      <c r="D103" s="30"/>
      <c r="E103" s="30"/>
      <c r="F103" s="56"/>
      <c r="G103" s="30"/>
      <c r="H103" s="71"/>
      <c r="I103" s="71"/>
    </row>
    <row r="104" spans="1:12" x14ac:dyDescent="0.3">
      <c r="A104" s="26" t="s">
        <v>180</v>
      </c>
      <c r="B104" s="24">
        <v>2821</v>
      </c>
      <c r="C104" s="27">
        <v>100</v>
      </c>
      <c r="D104" s="27"/>
      <c r="E104" s="27"/>
      <c r="F104" s="44">
        <v>3214</v>
      </c>
      <c r="G104" s="45">
        <v>100</v>
      </c>
      <c r="H104" s="71"/>
      <c r="I104" s="71"/>
    </row>
    <row r="105" spans="1:12" x14ac:dyDescent="0.3">
      <c r="A105" s="29" t="s">
        <v>1</v>
      </c>
      <c r="B105" s="34">
        <v>2460</v>
      </c>
      <c r="C105" s="30">
        <v>87.2</v>
      </c>
      <c r="D105" s="30">
        <f>100*0.8591835</f>
        <v>85.918350000000004</v>
      </c>
      <c r="E105" s="30">
        <f>100*0.8838651</f>
        <v>88.386510000000001</v>
      </c>
      <c r="F105" s="51">
        <v>2974</v>
      </c>
      <c r="G105" s="57">
        <v>92.53</v>
      </c>
      <c r="H105" s="71">
        <f>100*0.9157113</f>
        <v>91.571129999999997</v>
      </c>
      <c r="I105" s="71">
        <f>100*0.9339243</f>
        <v>93.392430000000004</v>
      </c>
    </row>
    <row r="106" spans="1:12" x14ac:dyDescent="0.3">
      <c r="A106" s="29" t="s">
        <v>2</v>
      </c>
      <c r="B106" s="56">
        <v>361</v>
      </c>
      <c r="C106" s="30">
        <v>12.8</v>
      </c>
      <c r="D106" s="30">
        <f>100*0.1161349</f>
        <v>11.613490000000001</v>
      </c>
      <c r="E106" s="30">
        <f>100*0.1408165</f>
        <v>14.081650000000002</v>
      </c>
      <c r="F106" s="52">
        <v>240</v>
      </c>
      <c r="G106" s="57">
        <v>7.47</v>
      </c>
      <c r="H106" s="71">
        <f>100*0.0660757</f>
        <v>6.6075699999999999</v>
      </c>
      <c r="I106" s="71">
        <f>100*0.0842887</f>
        <v>8.4288699999999999</v>
      </c>
      <c r="L106" s="3"/>
    </row>
    <row r="107" spans="1:12" x14ac:dyDescent="0.3">
      <c r="A107" s="32" t="s">
        <v>9</v>
      </c>
      <c r="B107" s="32">
        <v>370</v>
      </c>
      <c r="C107" s="25">
        <v>11.6</v>
      </c>
      <c r="D107" s="25"/>
      <c r="E107" s="25"/>
      <c r="F107" s="32">
        <v>400</v>
      </c>
      <c r="G107" s="30">
        <v>11.07</v>
      </c>
      <c r="H107" s="69"/>
      <c r="I107" s="69"/>
    </row>
    <row r="108" spans="1:12" x14ac:dyDescent="0.3">
      <c r="A108" s="56"/>
      <c r="B108" s="56"/>
      <c r="C108" s="30"/>
      <c r="D108" s="30"/>
      <c r="E108" s="30"/>
      <c r="F108" s="56"/>
      <c r="G108" s="30"/>
      <c r="H108" s="69"/>
      <c r="I108" s="69"/>
    </row>
    <row r="109" spans="1:12" x14ac:dyDescent="0.3">
      <c r="A109" s="43" t="s">
        <v>353</v>
      </c>
      <c r="B109" s="39">
        <v>2837</v>
      </c>
      <c r="C109" s="82">
        <v>100</v>
      </c>
      <c r="D109" s="24"/>
      <c r="E109" s="24"/>
      <c r="F109" s="24">
        <v>3190</v>
      </c>
      <c r="G109" s="27">
        <v>100</v>
      </c>
      <c r="H109" s="69"/>
      <c r="I109" s="69"/>
    </row>
    <row r="110" spans="1:12" x14ac:dyDescent="0.3">
      <c r="A110" s="29" t="s">
        <v>1</v>
      </c>
      <c r="B110" s="31">
        <v>2037</v>
      </c>
      <c r="C110" s="30">
        <v>71.8</v>
      </c>
      <c r="D110" s="30">
        <f>100*0.701156</f>
        <v>70.115600000000001</v>
      </c>
      <c r="E110" s="30">
        <f>100*0.7342776</f>
        <v>73.427759999999992</v>
      </c>
      <c r="F110" s="31">
        <v>2400</v>
      </c>
      <c r="G110" s="30">
        <v>75.239999999999995</v>
      </c>
      <c r="H110" s="71">
        <f>100*0.7370645</f>
        <v>73.706450000000004</v>
      </c>
      <c r="I110" s="71">
        <f>100*0.7670299</f>
        <v>76.70299</v>
      </c>
    </row>
    <row r="111" spans="1:12" x14ac:dyDescent="0.3">
      <c r="A111" s="29" t="s">
        <v>2</v>
      </c>
      <c r="B111" s="29">
        <v>800</v>
      </c>
      <c r="C111" s="30">
        <v>28.2</v>
      </c>
      <c r="D111" s="30">
        <f>100*0.2657224</f>
        <v>26.572240000000001</v>
      </c>
      <c r="E111" s="30">
        <f>100*0.298844</f>
        <v>29.884399999999999</v>
      </c>
      <c r="F111" s="29">
        <v>790</v>
      </c>
      <c r="G111" s="30">
        <v>24.76</v>
      </c>
      <c r="H111" s="71">
        <f>100*0.2329701</f>
        <v>23.29701</v>
      </c>
      <c r="I111" s="71">
        <f>100*0.2629355</f>
        <v>26.29355</v>
      </c>
      <c r="L111" s="3"/>
    </row>
    <row r="112" spans="1:12" x14ac:dyDescent="0.3">
      <c r="A112" s="32" t="s">
        <v>9</v>
      </c>
      <c r="B112" s="64">
        <v>354</v>
      </c>
      <c r="C112" s="25">
        <v>11.09</v>
      </c>
      <c r="D112" s="25"/>
      <c r="E112" s="25"/>
      <c r="F112" s="32">
        <v>424</v>
      </c>
      <c r="G112" s="25">
        <v>11.73</v>
      </c>
      <c r="H112" s="69"/>
      <c r="I112" s="69"/>
    </row>
    <row r="113" spans="1:12" x14ac:dyDescent="0.3">
      <c r="A113" s="56"/>
      <c r="B113" s="56"/>
      <c r="C113" s="56"/>
      <c r="D113" s="56"/>
      <c r="E113" s="56"/>
      <c r="F113" s="56"/>
      <c r="G113" s="30"/>
      <c r="H113" s="69"/>
      <c r="I113" s="69"/>
    </row>
    <row r="114" spans="1:12" x14ac:dyDescent="0.3">
      <c r="A114" s="23" t="s">
        <v>354</v>
      </c>
      <c r="B114" s="24">
        <v>2837</v>
      </c>
      <c r="C114" s="82">
        <v>100</v>
      </c>
      <c r="D114" s="24"/>
      <c r="E114" s="24"/>
      <c r="F114" s="24">
        <v>3431</v>
      </c>
      <c r="G114" s="27">
        <v>100</v>
      </c>
      <c r="H114" s="69"/>
      <c r="I114" s="69"/>
    </row>
    <row r="115" spans="1:12" x14ac:dyDescent="0.3">
      <c r="A115" s="29" t="s">
        <v>1</v>
      </c>
      <c r="B115" s="56">
        <v>257</v>
      </c>
      <c r="C115" s="30">
        <v>9.06</v>
      </c>
      <c r="D115" s="30">
        <f>100*0.0805626</f>
        <v>8.05626</v>
      </c>
      <c r="E115" s="30">
        <f>100*0.1017244</f>
        <v>10.17244</v>
      </c>
      <c r="F115" s="29">
        <v>352</v>
      </c>
      <c r="G115" s="30">
        <v>10.26</v>
      </c>
      <c r="H115" s="71">
        <f>100*0.0928734</f>
        <v>9.2873400000000004</v>
      </c>
      <c r="I115" s="71">
        <f>100*0.113205</f>
        <v>11.320499999999999</v>
      </c>
    </row>
    <row r="116" spans="1:12" x14ac:dyDescent="0.3">
      <c r="A116" s="29" t="s">
        <v>2</v>
      </c>
      <c r="B116" s="34">
        <v>2580</v>
      </c>
      <c r="C116" s="30">
        <v>90.94</v>
      </c>
      <c r="D116" s="30">
        <f>100*0.8982756</f>
        <v>89.827559999999991</v>
      </c>
      <c r="E116" s="30">
        <f>100*0.9194374</f>
        <v>91.943739999999991</v>
      </c>
      <c r="F116" s="31">
        <v>3079</v>
      </c>
      <c r="G116" s="30">
        <v>89.74</v>
      </c>
      <c r="H116" s="71">
        <f>100*0.886795</f>
        <v>88.679500000000004</v>
      </c>
      <c r="I116" s="71">
        <f>100*0.9071266</f>
        <v>90.71266</v>
      </c>
    </row>
    <row r="117" spans="1:12" x14ac:dyDescent="0.3">
      <c r="A117" s="32" t="s">
        <v>9</v>
      </c>
      <c r="B117" s="32">
        <v>354</v>
      </c>
      <c r="C117" s="25">
        <v>11.09</v>
      </c>
      <c r="D117" s="25"/>
      <c r="E117" s="25"/>
      <c r="F117" s="32">
        <v>183</v>
      </c>
      <c r="G117" s="25">
        <v>5.0599999999999996</v>
      </c>
      <c r="H117" s="69"/>
      <c r="I117" s="69"/>
    </row>
    <row r="118" spans="1:12" x14ac:dyDescent="0.3">
      <c r="A118" s="56"/>
      <c r="B118" s="56"/>
      <c r="C118" s="30"/>
      <c r="D118" s="30"/>
      <c r="E118" s="30"/>
      <c r="F118" s="56"/>
      <c r="G118" s="30"/>
      <c r="H118" s="69"/>
      <c r="I118" s="69"/>
    </row>
    <row r="119" spans="1:12" s="22" customFormat="1" x14ac:dyDescent="0.3">
      <c r="A119" s="43" t="s">
        <v>355</v>
      </c>
      <c r="B119" s="44">
        <v>2768</v>
      </c>
      <c r="C119" s="83">
        <v>100</v>
      </c>
      <c r="D119" s="44"/>
      <c r="E119" s="44"/>
      <c r="F119" s="44">
        <v>3244</v>
      </c>
      <c r="G119" s="45">
        <v>100</v>
      </c>
      <c r="H119" s="69"/>
      <c r="I119" s="69"/>
      <c r="J119"/>
    </row>
    <row r="120" spans="1:12" s="22" customFormat="1" x14ac:dyDescent="0.3">
      <c r="A120" s="52" t="s">
        <v>1</v>
      </c>
      <c r="B120" s="51">
        <v>1985</v>
      </c>
      <c r="C120" s="57">
        <v>71.709999999999994</v>
      </c>
      <c r="D120" s="57">
        <f>100*0.700041</f>
        <v>70.004100000000008</v>
      </c>
      <c r="E120" s="57">
        <f>100*0.7336049</f>
        <v>73.360489999999999</v>
      </c>
      <c r="F120" s="63">
        <v>2718</v>
      </c>
      <c r="G120" s="57">
        <v>83.79</v>
      </c>
      <c r="H120" s="91">
        <f>100*0.8247625</f>
        <v>82.476249999999993</v>
      </c>
      <c r="I120" s="91">
        <f>100*0.8501461</f>
        <v>85.014610000000005</v>
      </c>
      <c r="J120"/>
    </row>
    <row r="121" spans="1:12" s="22" customFormat="1" x14ac:dyDescent="0.3">
      <c r="A121" s="52" t="s">
        <v>2</v>
      </c>
      <c r="B121" s="52">
        <v>783</v>
      </c>
      <c r="C121" s="57">
        <v>28.29</v>
      </c>
      <c r="D121" s="57">
        <f>100*0.2663951</f>
        <v>26.639510000000001</v>
      </c>
      <c r="E121" s="57">
        <f>100*0.299959</f>
        <v>29.995899999999999</v>
      </c>
      <c r="F121" s="61">
        <v>526</v>
      </c>
      <c r="G121" s="57">
        <v>16.21</v>
      </c>
      <c r="H121" s="91">
        <f>100*0.1498539</f>
        <v>14.985390000000001</v>
      </c>
      <c r="I121" s="91">
        <f>100*0.1752375</f>
        <v>17.52375</v>
      </c>
      <c r="J121"/>
      <c r="L121" s="94"/>
    </row>
    <row r="122" spans="1:12" s="22" customFormat="1" x14ac:dyDescent="0.3">
      <c r="A122" s="65" t="s">
        <v>9</v>
      </c>
      <c r="B122" s="65">
        <v>423</v>
      </c>
      <c r="C122" s="66">
        <v>13.26</v>
      </c>
      <c r="D122" s="66"/>
      <c r="E122" s="66"/>
      <c r="F122" s="65">
        <v>370</v>
      </c>
      <c r="G122" s="66">
        <v>10.24</v>
      </c>
      <c r="H122" s="91"/>
      <c r="I122" s="91"/>
      <c r="J122"/>
    </row>
    <row r="123" spans="1:12" x14ac:dyDescent="0.3">
      <c r="A123" s="29"/>
      <c r="B123" s="29"/>
      <c r="C123" s="30"/>
      <c r="D123" s="30"/>
      <c r="E123" s="30"/>
      <c r="F123" s="56"/>
      <c r="G123" s="30"/>
      <c r="H123" s="91"/>
      <c r="I123" s="91"/>
    </row>
    <row r="124" spans="1:12" x14ac:dyDescent="0.3">
      <c r="A124" s="23" t="s">
        <v>365</v>
      </c>
      <c r="B124" s="24">
        <v>2675</v>
      </c>
      <c r="C124" s="82">
        <v>100</v>
      </c>
      <c r="D124" s="24"/>
      <c r="E124" s="24"/>
      <c r="F124" s="24">
        <v>3430</v>
      </c>
      <c r="G124" s="27">
        <v>100</v>
      </c>
      <c r="H124" s="91"/>
      <c r="I124" s="91"/>
    </row>
    <row r="125" spans="1:12" x14ac:dyDescent="0.3">
      <c r="A125" s="29" t="s">
        <v>342</v>
      </c>
      <c r="B125" s="29">
        <v>570</v>
      </c>
      <c r="C125" s="30">
        <v>21.31</v>
      </c>
      <c r="D125" s="30">
        <f>100*0.1979717</f>
        <v>19.797170000000001</v>
      </c>
      <c r="E125" s="30">
        <f>100*0.2290207</f>
        <v>22.902069999999998</v>
      </c>
      <c r="F125" s="29">
        <v>680</v>
      </c>
      <c r="G125" s="30">
        <v>19.829999999999998</v>
      </c>
      <c r="H125" s="91">
        <f>100*0.1852411</f>
        <v>18.52411</v>
      </c>
      <c r="I125" s="91">
        <f>100*0.2119364</f>
        <v>21.193639999999998</v>
      </c>
    </row>
    <row r="126" spans="1:12" x14ac:dyDescent="0.3">
      <c r="A126" s="29" t="s">
        <v>35</v>
      </c>
      <c r="B126" s="29">
        <v>403</v>
      </c>
      <c r="C126" s="30">
        <v>15.07</v>
      </c>
      <c r="D126" s="30">
        <f>100*0.1375885</f>
        <v>13.758850000000001</v>
      </c>
      <c r="E126" s="30">
        <f>100*0.1647237</f>
        <v>16.472370000000002</v>
      </c>
      <c r="F126" s="29">
        <v>725</v>
      </c>
      <c r="G126" s="30">
        <v>21.14</v>
      </c>
      <c r="H126" s="91">
        <f>100*0.1980253</f>
        <v>19.802529999999997</v>
      </c>
      <c r="I126" s="91">
        <f>100*0.2253618</f>
        <v>22.536180000000002</v>
      </c>
      <c r="L126" s="3"/>
    </row>
    <row r="127" spans="1:12" x14ac:dyDescent="0.3">
      <c r="A127" s="29" t="s">
        <v>36</v>
      </c>
      <c r="B127" s="31">
        <v>1702</v>
      </c>
      <c r="C127" s="30">
        <v>63.63</v>
      </c>
      <c r="D127" s="30">
        <f>100*0.6178346</f>
        <v>61.783459999999998</v>
      </c>
      <c r="E127" s="30">
        <f>100*0.6542974</f>
        <v>65.42974000000001</v>
      </c>
      <c r="F127" s="31">
        <v>2025</v>
      </c>
      <c r="G127" s="30">
        <v>59.04</v>
      </c>
      <c r="H127" s="91">
        <f>100*0.5738205</f>
        <v>57.382049999999992</v>
      </c>
      <c r="I127" s="91">
        <f>100*0.6067351</f>
        <v>60.67351</v>
      </c>
    </row>
    <row r="128" spans="1:12" x14ac:dyDescent="0.3">
      <c r="A128" s="32" t="s">
        <v>9</v>
      </c>
      <c r="B128" s="32">
        <v>516</v>
      </c>
      <c r="C128" s="25">
        <v>16.170000000000002</v>
      </c>
      <c r="D128" s="25"/>
      <c r="E128" s="25"/>
      <c r="F128" s="32">
        <v>184</v>
      </c>
      <c r="G128" s="25">
        <v>5.09</v>
      </c>
      <c r="H128" s="69"/>
      <c r="I128" s="69"/>
    </row>
    <row r="129" spans="1:10" x14ac:dyDescent="0.3">
      <c r="A129" s="32"/>
      <c r="B129" s="32"/>
      <c r="C129" s="25"/>
      <c r="D129" s="25"/>
      <c r="E129" s="25"/>
      <c r="F129" s="29"/>
      <c r="G129" s="30"/>
      <c r="H129" s="69"/>
      <c r="I129" s="69"/>
    </row>
    <row r="130" spans="1:10" ht="27.6" customHeight="1" x14ac:dyDescent="0.3">
      <c r="A130" s="214" t="s">
        <v>356</v>
      </c>
      <c r="B130" s="215"/>
      <c r="C130" s="215"/>
      <c r="D130" s="215"/>
      <c r="E130" s="215"/>
      <c r="F130" s="215"/>
      <c r="G130" s="215"/>
      <c r="H130" s="215"/>
      <c r="I130" s="215"/>
    </row>
    <row r="131" spans="1:10" ht="17.399999999999999" customHeight="1" x14ac:dyDescent="0.3">
      <c r="A131" s="184"/>
      <c r="B131" s="185"/>
      <c r="C131" s="185"/>
      <c r="D131" s="185"/>
      <c r="E131" s="185"/>
      <c r="F131" s="185"/>
      <c r="G131" s="185"/>
      <c r="H131" s="185"/>
      <c r="I131" s="185"/>
    </row>
    <row r="132" spans="1:10" s="22" customFormat="1" x14ac:dyDescent="0.3">
      <c r="A132" s="22" t="s">
        <v>327</v>
      </c>
      <c r="B132" s="154"/>
      <c r="G132" s="155"/>
      <c r="H132" s="6"/>
      <c r="I132" s="6"/>
      <c r="J132" s="6"/>
    </row>
    <row r="133" spans="1:10" x14ac:dyDescent="0.3">
      <c r="A133" s="67"/>
      <c r="B133" s="4"/>
      <c r="C133" s="3"/>
      <c r="D133" s="3"/>
      <c r="E133" s="3"/>
      <c r="G133" s="3"/>
    </row>
  </sheetData>
  <mergeCells count="8">
    <mergeCell ref="A130:I130"/>
    <mergeCell ref="D4:E4"/>
    <mergeCell ref="B3:E3"/>
    <mergeCell ref="F3:I3"/>
    <mergeCell ref="A1:I1"/>
    <mergeCell ref="D9:E9"/>
    <mergeCell ref="H4:I4"/>
    <mergeCell ref="H9:I9"/>
  </mergeCells>
  <phoneticPr fontId="7" type="noConversion"/>
  <pageMargins left="0.7" right="0.7" top="0.75" bottom="0.75" header="0.3" footer="0.3"/>
  <pageSetup paperSize="9"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C07A3-032C-4CE4-8304-D300E65E08EF}">
  <sheetPr>
    <pageSetUpPr fitToPage="1"/>
  </sheetPr>
  <dimension ref="A1:AF76"/>
  <sheetViews>
    <sheetView zoomScale="80" zoomScaleNormal="80" workbookViewId="0">
      <pane xSplit="1" topLeftCell="B1" activePane="topRight" state="frozen"/>
      <selection pane="topRight"/>
    </sheetView>
  </sheetViews>
  <sheetFormatPr defaultColWidth="8.88671875" defaultRowHeight="14.4" x14ac:dyDescent="0.3"/>
  <cols>
    <col min="1" max="1" width="35.88671875" style="22" customWidth="1"/>
    <col min="2" max="2" width="7.33203125" style="22" customWidth="1"/>
    <col min="3" max="3" width="7.109375" style="22" customWidth="1"/>
    <col min="4" max="4" width="6.88671875" style="22" customWidth="1"/>
    <col min="5" max="5" width="3.88671875" style="22" customWidth="1"/>
    <col min="6" max="6" width="7.6640625" style="22" customWidth="1"/>
    <col min="7" max="8" width="6.109375" style="22" customWidth="1"/>
    <col min="9" max="9" width="3" style="22" customWidth="1"/>
    <col min="10" max="10" width="7.33203125" style="22" customWidth="1"/>
    <col min="11" max="11" width="5.6640625" style="22" customWidth="1"/>
    <col min="12" max="12" width="6.33203125" style="22" customWidth="1"/>
    <col min="13" max="13" width="4.109375" style="22" customWidth="1"/>
    <col min="14" max="14" width="6.88671875" style="22" customWidth="1"/>
    <col min="15" max="15" width="6.109375" style="22" customWidth="1"/>
    <col min="16" max="16" width="5.6640625" style="22" customWidth="1"/>
    <col min="17" max="17" width="4.33203125" style="22" customWidth="1"/>
    <col min="18" max="18" width="7.33203125" style="22" customWidth="1"/>
    <col min="19" max="19" width="6.33203125" style="22" customWidth="1"/>
    <col min="20" max="20" width="6.5546875" style="22" customWidth="1"/>
    <col min="21" max="21" width="2.33203125" style="22" customWidth="1"/>
    <col min="22" max="24" width="8.88671875" style="22"/>
    <col min="25" max="25" width="3" style="22" customWidth="1"/>
    <col min="26" max="28" width="8.88671875" style="22"/>
    <col min="29" max="29" width="4.44140625" style="22" customWidth="1"/>
    <col min="30" max="16384" width="8.88671875" style="22"/>
  </cols>
  <sheetData>
    <row r="1" spans="1:32" x14ac:dyDescent="0.3">
      <c r="A1" s="111" t="s">
        <v>391</v>
      </c>
    </row>
    <row r="2" spans="1:32" x14ac:dyDescent="0.3">
      <c r="A2" s="111"/>
    </row>
    <row r="3" spans="1:32" x14ac:dyDescent="0.3">
      <c r="A3" s="223" t="s">
        <v>230</v>
      </c>
      <c r="B3" s="223"/>
      <c r="C3" s="223"/>
      <c r="D3" s="223"/>
      <c r="E3" s="112"/>
      <c r="F3" s="223" t="s">
        <v>218</v>
      </c>
      <c r="G3" s="223"/>
      <c r="H3" s="223"/>
      <c r="I3" s="223"/>
      <c r="J3" s="223"/>
      <c r="K3" s="223"/>
      <c r="L3" s="223"/>
      <c r="M3" s="223"/>
      <c r="N3" s="223"/>
      <c r="O3" s="223"/>
      <c r="P3" s="223"/>
      <c r="Q3" s="223"/>
      <c r="R3" s="223"/>
      <c r="S3" s="223"/>
      <c r="T3" s="223"/>
      <c r="U3" s="136"/>
      <c r="V3" s="230" t="s">
        <v>219</v>
      </c>
      <c r="W3" s="230"/>
      <c r="X3" s="230"/>
      <c r="Y3" s="230"/>
      <c r="Z3" s="230"/>
      <c r="AA3" s="230"/>
      <c r="AB3" s="230"/>
      <c r="AC3" s="135"/>
      <c r="AD3" s="230" t="s">
        <v>220</v>
      </c>
      <c r="AE3" s="230"/>
      <c r="AF3" s="230"/>
    </row>
    <row r="4" spans="1:32" x14ac:dyDescent="0.3">
      <c r="B4" s="224" t="s">
        <v>208</v>
      </c>
      <c r="C4" s="224"/>
      <c r="D4" s="224"/>
      <c r="E4" s="224"/>
      <c r="F4" s="224" t="s">
        <v>199</v>
      </c>
      <c r="G4" s="224"/>
      <c r="H4" s="224"/>
      <c r="I4" s="224"/>
      <c r="J4" s="224"/>
      <c r="K4" s="224"/>
      <c r="L4" s="224"/>
      <c r="M4" s="224"/>
      <c r="N4" s="224"/>
      <c r="O4" s="224"/>
      <c r="P4" s="224"/>
      <c r="Q4" s="224"/>
      <c r="R4" s="224"/>
      <c r="S4" s="224"/>
      <c r="T4" s="224"/>
      <c r="U4" s="122"/>
      <c r="V4" s="224" t="s">
        <v>199</v>
      </c>
      <c r="W4" s="224"/>
      <c r="X4" s="224"/>
      <c r="Y4" s="224"/>
      <c r="Z4" s="224"/>
      <c r="AA4" s="224"/>
      <c r="AB4" s="224"/>
      <c r="AC4" s="122"/>
      <c r="AD4" s="224" t="s">
        <v>199</v>
      </c>
      <c r="AE4" s="224"/>
      <c r="AF4" s="224"/>
    </row>
    <row r="5" spans="1:32" x14ac:dyDescent="0.3">
      <c r="B5" s="108" t="s">
        <v>16</v>
      </c>
      <c r="C5" s="223" t="s">
        <v>17</v>
      </c>
      <c r="D5" s="223"/>
      <c r="F5" s="108" t="s">
        <v>16</v>
      </c>
      <c r="G5" s="223" t="s">
        <v>17</v>
      </c>
      <c r="H5" s="223"/>
      <c r="I5" s="108"/>
      <c r="J5" s="108" t="s">
        <v>16</v>
      </c>
      <c r="K5" s="223" t="s">
        <v>17</v>
      </c>
      <c r="L5" s="223"/>
      <c r="M5" s="108"/>
      <c r="N5" s="108" t="s">
        <v>16</v>
      </c>
      <c r="O5" s="223" t="s">
        <v>17</v>
      </c>
      <c r="P5" s="223"/>
      <c r="R5" s="108" t="s">
        <v>16</v>
      </c>
      <c r="S5" s="223" t="s">
        <v>17</v>
      </c>
      <c r="T5" s="223"/>
      <c r="U5" s="136"/>
      <c r="V5" s="108" t="s">
        <v>16</v>
      </c>
      <c r="W5" s="223" t="s">
        <v>17</v>
      </c>
      <c r="X5" s="223"/>
      <c r="Z5" s="108" t="s">
        <v>16</v>
      </c>
      <c r="AA5" s="223" t="s">
        <v>17</v>
      </c>
      <c r="AB5" s="223"/>
      <c r="AD5" s="108" t="s">
        <v>16</v>
      </c>
      <c r="AE5" s="223" t="s">
        <v>17</v>
      </c>
      <c r="AF5" s="223"/>
    </row>
    <row r="6" spans="1:32" ht="88.2" customHeight="1" x14ac:dyDescent="0.3">
      <c r="F6" s="223" t="s">
        <v>44</v>
      </c>
      <c r="G6" s="223"/>
      <c r="H6" s="223"/>
      <c r="I6" s="13"/>
      <c r="J6" s="226" t="s">
        <v>200</v>
      </c>
      <c r="K6" s="223"/>
      <c r="L6" s="223"/>
      <c r="M6" s="13"/>
      <c r="N6" s="226" t="s">
        <v>198</v>
      </c>
      <c r="O6" s="223"/>
      <c r="P6" s="223"/>
      <c r="R6" s="223" t="s">
        <v>196</v>
      </c>
      <c r="S6" s="223"/>
      <c r="T6" s="223"/>
      <c r="U6" s="136"/>
      <c r="V6" s="229" t="s">
        <v>201</v>
      </c>
      <c r="W6" s="230"/>
      <c r="X6" s="230"/>
      <c r="Z6" s="229" t="s">
        <v>332</v>
      </c>
      <c r="AA6" s="230"/>
      <c r="AB6" s="230"/>
      <c r="AC6" s="135"/>
      <c r="AD6" s="229" t="s">
        <v>217</v>
      </c>
      <c r="AE6" s="230"/>
      <c r="AF6" s="230"/>
    </row>
    <row r="7" spans="1:32" ht="15.6" customHeight="1" x14ac:dyDescent="0.3">
      <c r="A7" s="161" t="s">
        <v>218</v>
      </c>
      <c r="B7" s="102"/>
      <c r="C7" s="102"/>
      <c r="D7" s="102"/>
      <c r="E7" s="102"/>
      <c r="F7" s="156"/>
      <c r="G7" s="156"/>
      <c r="H7" s="156"/>
      <c r="I7" s="157"/>
      <c r="J7" s="158"/>
      <c r="K7" s="156"/>
      <c r="L7" s="156"/>
      <c r="M7" s="157"/>
      <c r="N7" s="158"/>
      <c r="O7" s="156"/>
      <c r="P7" s="156"/>
      <c r="Q7" s="102"/>
      <c r="R7" s="156"/>
      <c r="S7" s="156"/>
      <c r="T7" s="156"/>
      <c r="U7" s="156"/>
      <c r="V7" s="159"/>
      <c r="W7" s="160"/>
      <c r="X7" s="160"/>
      <c r="Y7" s="102"/>
      <c r="Z7" s="159"/>
      <c r="AA7" s="160"/>
      <c r="AB7" s="160"/>
      <c r="AC7" s="160"/>
      <c r="AD7" s="159"/>
      <c r="AE7" s="160"/>
      <c r="AF7" s="160"/>
    </row>
    <row r="8" spans="1:32" x14ac:dyDescent="0.3">
      <c r="A8" s="21" t="s">
        <v>88</v>
      </c>
      <c r="B8" s="21"/>
      <c r="C8" s="21"/>
      <c r="D8" s="21"/>
      <c r="E8" s="21"/>
      <c r="F8" s="225"/>
      <c r="G8" s="225"/>
      <c r="H8" s="225"/>
      <c r="I8" s="225"/>
      <c r="J8" s="225"/>
      <c r="K8" s="225"/>
      <c r="L8" s="225"/>
      <c r="M8" s="225"/>
      <c r="N8" s="225"/>
      <c r="O8" s="225"/>
      <c r="P8" s="225"/>
    </row>
    <row r="9" spans="1:32" x14ac:dyDescent="0.3">
      <c r="A9" s="20" t="s">
        <v>33</v>
      </c>
      <c r="B9" s="13">
        <v>1.0883069999999999</v>
      </c>
      <c r="C9" s="137">
        <v>0.84751379999999998</v>
      </c>
      <c r="D9" s="137">
        <v>1.3975139999999999</v>
      </c>
      <c r="E9" s="137"/>
      <c r="F9" s="13"/>
      <c r="G9" s="137"/>
      <c r="H9" s="137"/>
      <c r="I9" s="137"/>
      <c r="J9" s="13"/>
      <c r="K9" s="137"/>
      <c r="L9" s="137"/>
      <c r="M9" s="137"/>
      <c r="N9" s="13">
        <v>1.0092270000000001</v>
      </c>
      <c r="O9" s="13">
        <v>0.78368499999999996</v>
      </c>
      <c r="P9" s="13">
        <v>1.299679</v>
      </c>
      <c r="R9" s="13">
        <v>0.997</v>
      </c>
      <c r="S9" s="137">
        <v>0.77400000000000002</v>
      </c>
      <c r="T9" s="137">
        <v>1.2829999999999999</v>
      </c>
      <c r="U9" s="137"/>
      <c r="V9" s="13">
        <v>0.92077980000000004</v>
      </c>
      <c r="W9" s="13">
        <v>0.71378050000000004</v>
      </c>
      <c r="X9" s="13">
        <v>1.18781</v>
      </c>
      <c r="Z9" s="13">
        <v>0.93</v>
      </c>
      <c r="AA9" s="137">
        <v>0.71799999999999997</v>
      </c>
      <c r="AB9" s="137">
        <v>1.204</v>
      </c>
      <c r="AC9" s="137"/>
      <c r="AD9" s="13">
        <v>0.92500000000000004</v>
      </c>
      <c r="AE9" s="137">
        <v>0.71199999999999997</v>
      </c>
      <c r="AF9" s="137">
        <v>1.2010000000000001</v>
      </c>
    </row>
    <row r="10" spans="1:32" x14ac:dyDescent="0.3">
      <c r="A10" s="20" t="s">
        <v>28</v>
      </c>
      <c r="B10" s="13">
        <v>0.94230210000000003</v>
      </c>
      <c r="C10" s="137">
        <v>0.72691839999999996</v>
      </c>
      <c r="D10" s="137">
        <v>1.221503</v>
      </c>
      <c r="E10" s="137"/>
      <c r="F10" s="13"/>
      <c r="G10" s="137"/>
      <c r="H10" s="137"/>
      <c r="I10" s="137"/>
      <c r="J10" s="13"/>
      <c r="K10" s="13"/>
      <c r="L10" s="137"/>
      <c r="M10" s="137"/>
      <c r="N10" s="13">
        <v>0.91066219999999998</v>
      </c>
      <c r="O10" s="13">
        <v>0.70139079999999998</v>
      </c>
      <c r="P10" s="13">
        <v>1.1823729999999999</v>
      </c>
      <c r="R10" s="13">
        <v>0.91100000000000003</v>
      </c>
      <c r="S10" s="137">
        <v>0.70199999999999996</v>
      </c>
      <c r="T10" s="137">
        <v>1.1830000000000001</v>
      </c>
      <c r="U10" s="137"/>
      <c r="V10" s="13">
        <v>0.89661179999999996</v>
      </c>
      <c r="W10" s="13">
        <v>0.68927039999999995</v>
      </c>
      <c r="X10" s="13">
        <v>1.1663239999999999</v>
      </c>
      <c r="Z10" s="13">
        <v>0.90400000000000003</v>
      </c>
      <c r="AA10" s="13">
        <v>0.69399999999999995</v>
      </c>
      <c r="AB10" s="137">
        <v>1.177</v>
      </c>
      <c r="AC10" s="137"/>
      <c r="AD10" s="13">
        <v>0.92200000000000004</v>
      </c>
      <c r="AE10" s="13">
        <v>0.70399999999999996</v>
      </c>
      <c r="AF10" s="137">
        <v>1.2070000000000001</v>
      </c>
    </row>
    <row r="11" spans="1:32" x14ac:dyDescent="0.3">
      <c r="A11" s="20" t="s">
        <v>86</v>
      </c>
      <c r="B11" s="137"/>
      <c r="C11" s="137"/>
      <c r="D11" s="137"/>
      <c r="E11" s="137"/>
      <c r="F11" s="137"/>
      <c r="G11" s="137"/>
      <c r="H11" s="137"/>
      <c r="I11" s="137"/>
      <c r="J11" s="137"/>
      <c r="K11" s="137"/>
      <c r="L11" s="137"/>
      <c r="M11" s="137"/>
      <c r="N11" s="13"/>
      <c r="O11" s="13"/>
      <c r="P11" s="13"/>
      <c r="R11" s="137"/>
      <c r="S11" s="137"/>
      <c r="T11" s="137"/>
      <c r="U11" s="137"/>
      <c r="V11" s="13"/>
      <c r="W11" s="13"/>
      <c r="X11" s="13"/>
      <c r="Z11" s="137"/>
      <c r="AA11" s="137"/>
      <c r="AB11" s="137"/>
      <c r="AC11" s="137"/>
      <c r="AD11" s="137"/>
      <c r="AE11" s="137"/>
      <c r="AF11" s="137"/>
    </row>
    <row r="12" spans="1:32" x14ac:dyDescent="0.3">
      <c r="A12" s="20" t="s">
        <v>34</v>
      </c>
      <c r="B12" s="13">
        <v>1.0329280000000001</v>
      </c>
      <c r="C12" s="137">
        <v>0.78692669999999998</v>
      </c>
      <c r="D12" s="137">
        <v>1.355831</v>
      </c>
      <c r="E12" s="137"/>
      <c r="F12" s="13"/>
      <c r="G12" s="137"/>
      <c r="H12" s="137"/>
      <c r="I12" s="137"/>
      <c r="J12" s="13"/>
      <c r="K12" s="13"/>
      <c r="L12" s="137"/>
      <c r="M12" s="137"/>
      <c r="N12" s="13">
        <v>1.054327</v>
      </c>
      <c r="O12" s="13">
        <v>0.8014907</v>
      </c>
      <c r="P12" s="13">
        <v>1.3869210000000001</v>
      </c>
      <c r="R12" s="13">
        <v>1.048</v>
      </c>
      <c r="S12" s="137">
        <v>0.79700000000000004</v>
      </c>
      <c r="T12" s="137">
        <v>1.379</v>
      </c>
      <c r="U12" s="137"/>
      <c r="V12" s="13">
        <v>1.050168</v>
      </c>
      <c r="W12" s="13">
        <v>0.79601659999999996</v>
      </c>
      <c r="X12" s="13">
        <v>1.3854630000000001</v>
      </c>
      <c r="Z12" s="13">
        <v>1.024</v>
      </c>
      <c r="AA12" s="13">
        <v>0.77300000000000002</v>
      </c>
      <c r="AB12" s="137">
        <v>1.355</v>
      </c>
      <c r="AC12" s="137"/>
      <c r="AD12" s="13">
        <v>1.0469999999999999</v>
      </c>
      <c r="AE12" s="13">
        <v>0.78900000000000003</v>
      </c>
      <c r="AF12" s="137">
        <v>1.39</v>
      </c>
    </row>
    <row r="13" spans="1:32" x14ac:dyDescent="0.3">
      <c r="A13" s="21" t="s">
        <v>272</v>
      </c>
      <c r="B13" s="21"/>
      <c r="C13" s="21"/>
      <c r="D13" s="21"/>
      <c r="E13" s="21"/>
      <c r="F13" s="225"/>
      <c r="G13" s="225"/>
      <c r="H13" s="225"/>
      <c r="I13" s="225"/>
      <c r="J13" s="225"/>
      <c r="K13" s="225"/>
      <c r="L13" s="225"/>
      <c r="M13" s="225"/>
      <c r="N13" s="225"/>
      <c r="O13" s="225"/>
      <c r="P13" s="225"/>
    </row>
    <row r="14" spans="1:32" x14ac:dyDescent="0.3">
      <c r="A14" s="20" t="s">
        <v>30</v>
      </c>
      <c r="B14" s="13" t="s">
        <v>18</v>
      </c>
      <c r="C14" s="137">
        <v>1.0039629999999999</v>
      </c>
      <c r="D14" s="137">
        <v>1.919894</v>
      </c>
      <c r="E14" s="137"/>
      <c r="F14" s="13"/>
      <c r="G14" s="137"/>
      <c r="H14" s="137"/>
      <c r="I14" s="137"/>
      <c r="J14" s="13"/>
      <c r="K14" s="13"/>
      <c r="L14" s="137"/>
      <c r="M14" s="137"/>
      <c r="N14" s="13">
        <v>1.2507010000000001</v>
      </c>
      <c r="O14" s="13">
        <v>0.89908790000000005</v>
      </c>
      <c r="P14" s="13">
        <v>1.739822</v>
      </c>
      <c r="R14" s="13">
        <v>1.2410000000000001</v>
      </c>
      <c r="S14" s="137">
        <v>0.89100000000000001</v>
      </c>
      <c r="T14" s="137">
        <v>1.728</v>
      </c>
      <c r="U14" s="137"/>
      <c r="V14" s="13">
        <v>1.136344</v>
      </c>
      <c r="W14" s="13">
        <v>0.81456470000000003</v>
      </c>
      <c r="X14" s="13">
        <v>1.5852360000000001</v>
      </c>
      <c r="Z14" s="13">
        <v>1.1160000000000001</v>
      </c>
      <c r="AA14" s="13">
        <v>0.79800000000000004</v>
      </c>
      <c r="AB14" s="137">
        <v>1.5609999999999999</v>
      </c>
      <c r="AC14" s="137"/>
      <c r="AD14" s="13">
        <v>1.1060000000000001</v>
      </c>
      <c r="AE14" s="13">
        <v>0.78800000000000003</v>
      </c>
      <c r="AF14" s="137">
        <v>1.5529999999999999</v>
      </c>
    </row>
    <row r="15" spans="1:32" x14ac:dyDescent="0.3">
      <c r="A15" s="20" t="s">
        <v>89</v>
      </c>
      <c r="B15" s="137"/>
      <c r="C15" s="137"/>
      <c r="D15" s="137"/>
      <c r="E15" s="137"/>
      <c r="F15" s="137"/>
      <c r="G15" s="137"/>
      <c r="H15" s="137"/>
      <c r="I15" s="137"/>
      <c r="J15" s="137"/>
      <c r="K15" s="137"/>
      <c r="L15" s="137"/>
      <c r="M15" s="137"/>
      <c r="N15" s="13"/>
      <c r="O15" s="13"/>
      <c r="P15" s="13"/>
      <c r="R15" s="137"/>
      <c r="S15" s="137"/>
      <c r="T15" s="137"/>
      <c r="U15" s="137"/>
      <c r="V15" s="13"/>
      <c r="W15" s="13"/>
      <c r="X15" s="13"/>
      <c r="Z15" s="137"/>
      <c r="AA15" s="137"/>
      <c r="AB15" s="137"/>
      <c r="AC15" s="137"/>
      <c r="AD15" s="137"/>
      <c r="AE15" s="137"/>
      <c r="AF15" s="137"/>
    </row>
    <row r="16" spans="1:32" x14ac:dyDescent="0.3">
      <c r="A16" s="20" t="s">
        <v>32</v>
      </c>
      <c r="B16" s="13">
        <v>1.1044149999999999</v>
      </c>
      <c r="C16" s="137">
        <v>0.83928650000000005</v>
      </c>
      <c r="D16" s="137">
        <v>1.4532959999999999</v>
      </c>
      <c r="E16" s="137"/>
      <c r="F16" s="13"/>
      <c r="G16" s="137"/>
      <c r="H16" s="137"/>
      <c r="I16" s="137"/>
      <c r="J16" s="13"/>
      <c r="K16" s="13"/>
      <c r="L16" s="137"/>
      <c r="M16" s="137"/>
      <c r="N16" s="13">
        <v>1.125424</v>
      </c>
      <c r="O16" s="13">
        <v>0.85320119999999999</v>
      </c>
      <c r="P16" s="13">
        <v>1.484502</v>
      </c>
      <c r="R16" s="13">
        <v>1.1140000000000001</v>
      </c>
      <c r="S16" s="137">
        <v>0.84499999999999997</v>
      </c>
      <c r="T16" s="137">
        <v>1.47</v>
      </c>
      <c r="U16" s="137"/>
      <c r="V16" s="13">
        <v>1.1462220000000001</v>
      </c>
      <c r="W16" s="13">
        <v>0.86693120000000001</v>
      </c>
      <c r="X16" s="13">
        <v>1.5154890000000001</v>
      </c>
      <c r="Z16" s="13">
        <v>1.1579999999999999</v>
      </c>
      <c r="AA16" s="13">
        <v>0.874</v>
      </c>
      <c r="AB16" s="137">
        <v>1.5329999999999999</v>
      </c>
      <c r="AC16" s="137"/>
      <c r="AD16" s="13">
        <v>1.1539999999999999</v>
      </c>
      <c r="AE16" s="13">
        <v>0.86799999999999999</v>
      </c>
      <c r="AF16" s="137">
        <v>1.5349999999999999</v>
      </c>
    </row>
    <row r="17" spans="1:32" x14ac:dyDescent="0.3">
      <c r="A17" s="18" t="s">
        <v>6</v>
      </c>
      <c r="B17" s="18"/>
      <c r="C17" s="18"/>
      <c r="D17" s="18"/>
      <c r="E17" s="18"/>
      <c r="F17" s="137"/>
      <c r="G17" s="137"/>
      <c r="H17" s="137"/>
      <c r="I17" s="137"/>
      <c r="J17" s="137"/>
      <c r="K17" s="137"/>
      <c r="L17" s="137"/>
      <c r="M17" s="137"/>
      <c r="N17" s="137"/>
      <c r="O17" s="137"/>
      <c r="P17" s="137"/>
      <c r="V17" s="13"/>
      <c r="W17" s="13"/>
      <c r="X17" s="13"/>
      <c r="Z17" s="137"/>
      <c r="AA17" s="137"/>
      <c r="AB17" s="137"/>
      <c r="AC17" s="137"/>
      <c r="AD17" s="137"/>
      <c r="AE17" s="137"/>
      <c r="AF17" s="137"/>
    </row>
    <row r="18" spans="1:32" x14ac:dyDescent="0.3">
      <c r="A18" s="20" t="s">
        <v>15</v>
      </c>
      <c r="F18" s="137"/>
      <c r="G18" s="137"/>
      <c r="H18" s="137"/>
      <c r="I18" s="137"/>
      <c r="M18" s="137"/>
      <c r="N18" s="137"/>
      <c r="O18" s="137"/>
      <c r="P18" s="137"/>
      <c r="V18" s="13"/>
      <c r="W18" s="13"/>
      <c r="X18" s="13"/>
      <c r="Z18" s="137"/>
      <c r="AA18" s="137"/>
      <c r="AB18" s="137"/>
      <c r="AC18" s="137"/>
      <c r="AD18" s="137"/>
      <c r="AE18" s="137"/>
      <c r="AF18" s="137"/>
    </row>
    <row r="19" spans="1:32" x14ac:dyDescent="0.3">
      <c r="A19" s="20" t="s">
        <v>127</v>
      </c>
      <c r="B19" s="13">
        <v>0.78800490000000001</v>
      </c>
      <c r="C19" s="137">
        <v>0.51659200000000005</v>
      </c>
      <c r="D19" s="137">
        <v>1.202016</v>
      </c>
      <c r="E19" s="137"/>
      <c r="F19" s="13"/>
      <c r="G19" s="137"/>
      <c r="H19" s="137"/>
      <c r="I19" s="137"/>
      <c r="J19" s="137">
        <v>0.77059889999999998</v>
      </c>
      <c r="K19" s="137">
        <v>0.50456489999999998</v>
      </c>
      <c r="L19" s="137">
        <v>1.1769000000000001</v>
      </c>
      <c r="M19" s="137"/>
      <c r="N19" s="137">
        <v>0.76336020000000004</v>
      </c>
      <c r="O19" s="137">
        <v>0.49949100000000002</v>
      </c>
      <c r="P19" s="137">
        <v>1.166625</v>
      </c>
      <c r="R19" s="13">
        <v>0.76200000000000001</v>
      </c>
      <c r="S19" s="137">
        <v>0.499</v>
      </c>
      <c r="T19" s="137">
        <v>1.165</v>
      </c>
      <c r="U19" s="137"/>
      <c r="V19" s="13">
        <v>0.77699669999999998</v>
      </c>
      <c r="W19" s="13">
        <v>0.50715690000000002</v>
      </c>
      <c r="X19" s="13">
        <v>1.1904079999999999</v>
      </c>
      <c r="Z19" s="13">
        <v>0.74</v>
      </c>
      <c r="AA19" s="13">
        <v>0.48199999999999998</v>
      </c>
      <c r="AB19" s="137">
        <v>1.1379999999999999</v>
      </c>
      <c r="AC19" s="137"/>
      <c r="AD19" s="13">
        <v>0.7</v>
      </c>
      <c r="AE19" s="13">
        <v>0.45400000000000001</v>
      </c>
      <c r="AF19" s="137">
        <v>1.079</v>
      </c>
    </row>
    <row r="20" spans="1:32" x14ac:dyDescent="0.3">
      <c r="A20" s="20" t="s">
        <v>128</v>
      </c>
      <c r="B20" s="137" t="s">
        <v>193</v>
      </c>
      <c r="C20" s="137">
        <v>1.103904</v>
      </c>
      <c r="D20" s="137">
        <v>1.5902849999999999</v>
      </c>
      <c r="E20" s="137"/>
      <c r="F20" s="137"/>
      <c r="G20" s="137"/>
      <c r="H20" s="137"/>
      <c r="I20" s="137"/>
      <c r="J20" s="108" t="s">
        <v>195</v>
      </c>
      <c r="K20" s="108">
        <v>1.0281130000000001</v>
      </c>
      <c r="L20" s="115">
        <v>1.486434</v>
      </c>
      <c r="M20" s="137"/>
      <c r="N20" s="13" t="s">
        <v>195</v>
      </c>
      <c r="O20" s="137">
        <v>1.0282020000000001</v>
      </c>
      <c r="P20" s="137">
        <v>1.4940420000000001</v>
      </c>
      <c r="R20" s="137" t="s">
        <v>92</v>
      </c>
      <c r="S20" s="137">
        <v>1.0009999999999999</v>
      </c>
      <c r="T20" s="137">
        <v>1.4590000000000001</v>
      </c>
      <c r="U20" s="137"/>
      <c r="V20" s="13">
        <v>1.122622</v>
      </c>
      <c r="W20" s="13">
        <v>0.92767639999999996</v>
      </c>
      <c r="X20" s="13">
        <v>1.3585339999999999</v>
      </c>
      <c r="Z20" s="13">
        <v>1.0660000000000001</v>
      </c>
      <c r="AA20" s="13">
        <v>0.877</v>
      </c>
      <c r="AB20" s="137">
        <v>1.2949999999999999</v>
      </c>
      <c r="AC20" s="137"/>
      <c r="AD20" s="13">
        <v>1.024</v>
      </c>
      <c r="AE20" s="13">
        <v>0.83799999999999997</v>
      </c>
      <c r="AF20" s="137">
        <v>1.2509999999999999</v>
      </c>
    </row>
    <row r="21" spans="1:32" x14ac:dyDescent="0.3">
      <c r="A21" s="18" t="s">
        <v>44</v>
      </c>
      <c r="B21" s="18"/>
      <c r="C21" s="18"/>
      <c r="D21" s="18"/>
      <c r="E21" s="18"/>
      <c r="F21" s="137"/>
      <c r="G21" s="137"/>
      <c r="H21" s="137"/>
      <c r="I21" s="137"/>
      <c r="J21" s="137"/>
      <c r="K21" s="137"/>
      <c r="L21" s="137"/>
      <c r="M21" s="137"/>
      <c r="R21" s="137"/>
      <c r="S21" s="137"/>
      <c r="T21" s="137"/>
      <c r="U21" s="137"/>
      <c r="V21" s="13"/>
      <c r="W21" s="13"/>
      <c r="X21" s="13"/>
      <c r="Z21" s="137"/>
      <c r="AA21" s="137"/>
      <c r="AB21" s="137"/>
      <c r="AC21" s="137"/>
      <c r="AD21" s="137"/>
      <c r="AE21" s="137"/>
      <c r="AF21" s="137"/>
    </row>
    <row r="22" spans="1:32" x14ac:dyDescent="0.3">
      <c r="A22" s="20" t="s">
        <v>43</v>
      </c>
      <c r="B22" s="13" t="s">
        <v>191</v>
      </c>
      <c r="C22" s="13">
        <v>1.4783500000000001</v>
      </c>
      <c r="D22" s="13">
        <v>3.284783</v>
      </c>
      <c r="E22" s="13"/>
      <c r="F22" s="108" t="s">
        <v>191</v>
      </c>
      <c r="G22" s="108">
        <v>1.4783500000000001</v>
      </c>
      <c r="H22" s="108">
        <v>3.284783</v>
      </c>
      <c r="I22" s="13"/>
      <c r="J22" s="13" t="s">
        <v>194</v>
      </c>
      <c r="K22" s="13">
        <v>1.418396</v>
      </c>
      <c r="L22" s="13">
        <v>3.1655730000000002</v>
      </c>
      <c r="M22" s="13"/>
      <c r="N22" s="13" t="s">
        <v>197</v>
      </c>
      <c r="O22" s="13">
        <v>1.3601160000000001</v>
      </c>
      <c r="P22" s="13">
        <v>3.0754160000000001</v>
      </c>
      <c r="R22" s="13" t="s">
        <v>156</v>
      </c>
      <c r="S22" s="13">
        <v>1.2929999999999999</v>
      </c>
      <c r="T22" s="13">
        <v>2.9350000000000001</v>
      </c>
      <c r="U22" s="13"/>
      <c r="V22" s="13" t="s">
        <v>204</v>
      </c>
      <c r="W22" s="13">
        <v>1.018896</v>
      </c>
      <c r="X22" s="13">
        <v>2.3494329999999999</v>
      </c>
      <c r="Z22" s="13" t="s">
        <v>157</v>
      </c>
      <c r="AA22" s="13">
        <v>0.97599999999999998</v>
      </c>
      <c r="AB22" s="13">
        <v>2.258</v>
      </c>
      <c r="AC22" s="13"/>
      <c r="AD22" s="13" t="s">
        <v>160</v>
      </c>
      <c r="AE22" s="13">
        <v>0.98</v>
      </c>
      <c r="AF22" s="13">
        <v>2.294</v>
      </c>
    </row>
    <row r="23" spans="1:32" x14ac:dyDescent="0.3">
      <c r="A23" s="20" t="s">
        <v>35</v>
      </c>
      <c r="B23" s="13" t="s">
        <v>192</v>
      </c>
      <c r="C23" s="13">
        <v>1.6098410000000001</v>
      </c>
      <c r="D23" s="13">
        <v>2.5371190000000001</v>
      </c>
      <c r="E23" s="13"/>
      <c r="F23" s="108" t="s">
        <v>192</v>
      </c>
      <c r="G23" s="108">
        <v>1.6098410000000001</v>
      </c>
      <c r="H23" s="108">
        <v>2.5371190000000001</v>
      </c>
      <c r="I23" s="13"/>
      <c r="J23" s="13" t="s">
        <v>257</v>
      </c>
      <c r="K23" s="13">
        <v>1.5669679999999999</v>
      </c>
      <c r="L23" s="13">
        <v>2.47675</v>
      </c>
      <c r="M23" s="13"/>
      <c r="N23" s="13" t="s">
        <v>205</v>
      </c>
      <c r="O23" s="13">
        <v>1.5567420000000001</v>
      </c>
      <c r="P23" s="13">
        <v>2.4635940000000001</v>
      </c>
      <c r="R23" s="13" t="s">
        <v>106</v>
      </c>
      <c r="S23" s="13">
        <v>1.508</v>
      </c>
      <c r="T23" s="13">
        <v>2.39</v>
      </c>
      <c r="U23" s="13"/>
      <c r="V23" s="13" t="s">
        <v>203</v>
      </c>
      <c r="W23" s="13">
        <v>1.1653800000000001</v>
      </c>
      <c r="X23" s="13">
        <v>1.879006</v>
      </c>
      <c r="Z23" s="13" t="s">
        <v>158</v>
      </c>
      <c r="AA23" s="13">
        <v>1.137</v>
      </c>
      <c r="AB23" s="13">
        <v>1.84</v>
      </c>
      <c r="AC23" s="13"/>
      <c r="AD23" s="13" t="s">
        <v>161</v>
      </c>
      <c r="AE23" s="13">
        <v>1.1259999999999999</v>
      </c>
      <c r="AF23" s="13">
        <v>1.8360000000000001</v>
      </c>
    </row>
    <row r="24" spans="1:32" x14ac:dyDescent="0.3">
      <c r="A24" s="20" t="s">
        <v>90</v>
      </c>
      <c r="B24" s="20"/>
      <c r="C24" s="20"/>
      <c r="D24" s="20"/>
      <c r="E24" s="20"/>
      <c r="F24" s="13"/>
      <c r="G24" s="13"/>
      <c r="H24" s="13"/>
      <c r="I24" s="13"/>
      <c r="J24" s="13"/>
      <c r="K24" s="13"/>
      <c r="L24" s="13"/>
      <c r="M24" s="13"/>
      <c r="R24" s="13"/>
      <c r="S24" s="13"/>
      <c r="T24" s="13"/>
      <c r="U24" s="13"/>
      <c r="V24" s="13"/>
      <c r="W24" s="13"/>
      <c r="X24" s="13"/>
      <c r="Z24" s="13"/>
      <c r="AA24" s="13"/>
      <c r="AB24" s="13"/>
      <c r="AC24" s="13"/>
      <c r="AD24" s="13"/>
      <c r="AE24" s="13"/>
      <c r="AF24" s="13"/>
    </row>
    <row r="25" spans="1:32" x14ac:dyDescent="0.3">
      <c r="A25" s="18" t="s">
        <v>91</v>
      </c>
      <c r="B25" s="18"/>
      <c r="C25" s="18"/>
      <c r="D25" s="18"/>
      <c r="E25" s="18"/>
      <c r="F25" s="13"/>
      <c r="G25" s="13"/>
      <c r="H25" s="13"/>
      <c r="I25" s="13"/>
      <c r="J25" s="13"/>
      <c r="K25" s="13"/>
      <c r="L25" s="13"/>
      <c r="M25" s="13"/>
      <c r="R25" s="13"/>
      <c r="S25" s="13"/>
      <c r="T25" s="13"/>
      <c r="U25" s="13"/>
      <c r="V25" s="13"/>
      <c r="W25" s="13"/>
      <c r="X25" s="13"/>
      <c r="Z25" s="13"/>
      <c r="AA25" s="13"/>
      <c r="AB25" s="13"/>
      <c r="AC25" s="13"/>
      <c r="AD25" s="13"/>
      <c r="AE25" s="13"/>
      <c r="AF25" s="13"/>
    </row>
    <row r="26" spans="1:32" ht="16.2" x14ac:dyDescent="0.3">
      <c r="A26" s="20" t="s">
        <v>173</v>
      </c>
      <c r="B26" s="13" t="s">
        <v>161</v>
      </c>
      <c r="C26" s="13">
        <v>1.176004</v>
      </c>
      <c r="D26" s="13">
        <v>1.7686280000000001</v>
      </c>
      <c r="E26" s="13"/>
      <c r="F26" s="13"/>
      <c r="G26" s="13"/>
      <c r="H26" s="13"/>
      <c r="I26" s="13"/>
      <c r="J26" s="13"/>
      <c r="K26" s="13"/>
      <c r="L26" s="13"/>
      <c r="M26" s="13"/>
      <c r="R26" s="108" t="s">
        <v>47</v>
      </c>
      <c r="S26" s="108">
        <v>1.0509999999999999</v>
      </c>
      <c r="T26" s="108">
        <v>1.595</v>
      </c>
      <c r="U26" s="13"/>
      <c r="V26" s="13" t="s">
        <v>258</v>
      </c>
      <c r="W26" s="13">
        <v>0.96954899999999999</v>
      </c>
      <c r="X26" s="13">
        <v>1.478119</v>
      </c>
      <c r="Z26" s="13" t="s">
        <v>92</v>
      </c>
      <c r="AA26" s="13">
        <v>0.97499999999999998</v>
      </c>
      <c r="AB26" s="13">
        <v>1.496</v>
      </c>
      <c r="AC26" s="13"/>
      <c r="AD26" s="13">
        <v>1.2</v>
      </c>
      <c r="AE26" s="13">
        <v>0.96499999999999997</v>
      </c>
      <c r="AF26" s="13">
        <v>1.4930000000000001</v>
      </c>
    </row>
    <row r="27" spans="1:32" x14ac:dyDescent="0.3">
      <c r="A27" s="20" t="s">
        <v>362</v>
      </c>
      <c r="B27" s="20"/>
      <c r="C27" s="20"/>
      <c r="D27" s="20"/>
      <c r="E27" s="20"/>
      <c r="F27" s="13"/>
      <c r="G27" s="13"/>
      <c r="H27" s="13"/>
      <c r="I27" s="13"/>
      <c r="J27" s="13"/>
      <c r="K27" s="13"/>
      <c r="L27" s="13"/>
      <c r="M27" s="13"/>
      <c r="N27" s="13"/>
      <c r="O27" s="13"/>
      <c r="P27" s="13"/>
      <c r="V27" s="13"/>
      <c r="W27" s="13"/>
      <c r="X27" s="13"/>
      <c r="Z27" s="13"/>
      <c r="AA27" s="13"/>
      <c r="AB27" s="13"/>
      <c r="AC27" s="13"/>
      <c r="AD27" s="13"/>
      <c r="AE27" s="13"/>
      <c r="AF27" s="13"/>
    </row>
    <row r="28" spans="1:32" x14ac:dyDescent="0.3">
      <c r="A28" s="162" t="s">
        <v>219</v>
      </c>
      <c r="B28" s="163"/>
      <c r="C28" s="163"/>
      <c r="D28" s="163"/>
      <c r="E28" s="163"/>
      <c r="F28" s="157"/>
      <c r="G28" s="157"/>
      <c r="H28" s="157"/>
      <c r="I28" s="157"/>
      <c r="J28" s="157"/>
      <c r="K28" s="157"/>
      <c r="L28" s="157"/>
      <c r="M28" s="157"/>
      <c r="N28" s="157"/>
      <c r="O28" s="157"/>
      <c r="P28" s="157"/>
      <c r="Q28" s="102"/>
      <c r="R28" s="102"/>
      <c r="S28" s="102"/>
      <c r="T28" s="102"/>
      <c r="U28" s="102"/>
      <c r="V28" s="157"/>
      <c r="W28" s="157"/>
      <c r="X28" s="157"/>
      <c r="Y28" s="102"/>
      <c r="Z28" s="157"/>
      <c r="AA28" s="157"/>
      <c r="AB28" s="157"/>
      <c r="AC28" s="157"/>
      <c r="AD28" s="157"/>
      <c r="AE28" s="157"/>
      <c r="AF28" s="157"/>
    </row>
    <row r="29" spans="1:32" x14ac:dyDescent="0.3">
      <c r="A29" s="111" t="s">
        <v>264</v>
      </c>
      <c r="B29" s="13">
        <v>0.59267060000000005</v>
      </c>
      <c r="C29" s="13">
        <v>0.53525670000000003</v>
      </c>
      <c r="D29" s="13">
        <v>0.65624300000000002</v>
      </c>
      <c r="E29" s="105"/>
      <c r="V29" s="108" t="s">
        <v>202</v>
      </c>
      <c r="W29" s="108">
        <v>0.57007410000000003</v>
      </c>
      <c r="X29" s="108">
        <v>0.70732740000000005</v>
      </c>
      <c r="Z29" s="13" t="s">
        <v>93</v>
      </c>
      <c r="AA29" s="13">
        <v>0.57899999999999996</v>
      </c>
      <c r="AB29" s="13">
        <v>0.72599999999999998</v>
      </c>
      <c r="AC29" s="13"/>
      <c r="AD29" s="13" t="s">
        <v>96</v>
      </c>
      <c r="AE29" s="13">
        <v>0.61499999999999999</v>
      </c>
      <c r="AF29" s="13">
        <v>0.78100000000000003</v>
      </c>
    </row>
    <row r="30" spans="1:32" x14ac:dyDescent="0.3">
      <c r="A30" s="111" t="s">
        <v>265</v>
      </c>
      <c r="B30" s="13">
        <v>0.97093529999999995</v>
      </c>
      <c r="C30" s="13">
        <v>0.89509039999999995</v>
      </c>
      <c r="D30" s="13">
        <v>1.053207</v>
      </c>
      <c r="Z30" s="13">
        <v>0.97899999999999998</v>
      </c>
      <c r="AA30" s="13">
        <v>0.89600000000000002</v>
      </c>
      <c r="AB30" s="13">
        <v>1.07</v>
      </c>
      <c r="AC30" s="13"/>
      <c r="AD30" s="13">
        <v>0.97099999999999997</v>
      </c>
      <c r="AE30" s="13">
        <v>0.88700000000000001</v>
      </c>
      <c r="AF30" s="13">
        <v>1.0620000000000001</v>
      </c>
    </row>
    <row r="31" spans="1:32" x14ac:dyDescent="0.3">
      <c r="A31" s="111" t="s">
        <v>266</v>
      </c>
      <c r="B31" s="13" t="s">
        <v>206</v>
      </c>
      <c r="C31" s="13">
        <v>1.0134730000000001</v>
      </c>
      <c r="D31" s="13">
        <v>1.0853889999999999</v>
      </c>
      <c r="Z31" s="13">
        <v>1.03</v>
      </c>
      <c r="AA31" s="13">
        <v>0.99299999999999999</v>
      </c>
      <c r="AB31" s="13">
        <v>1.0720000000000001</v>
      </c>
      <c r="AC31" s="13"/>
      <c r="AD31" s="13">
        <v>1.0329999999999999</v>
      </c>
      <c r="AE31" s="13">
        <v>0.98</v>
      </c>
      <c r="AF31" s="13">
        <v>1.0880000000000001</v>
      </c>
    </row>
    <row r="32" spans="1:32" x14ac:dyDescent="0.3">
      <c r="A32" s="111" t="s">
        <v>38</v>
      </c>
      <c r="Z32" s="13"/>
      <c r="AA32" s="13"/>
      <c r="AB32" s="13"/>
      <c r="AC32" s="13"/>
      <c r="AD32" s="13"/>
      <c r="AE32" s="13"/>
      <c r="AF32" s="13"/>
    </row>
    <row r="33" spans="1:32" x14ac:dyDescent="0.3">
      <c r="A33" s="20" t="s">
        <v>15</v>
      </c>
      <c r="Z33" s="13"/>
      <c r="AA33" s="13"/>
      <c r="AB33" s="13"/>
      <c r="AC33" s="13"/>
      <c r="AD33" s="13"/>
      <c r="AE33" s="13"/>
      <c r="AF33" s="13"/>
    </row>
    <row r="34" spans="1:32" x14ac:dyDescent="0.3">
      <c r="A34" s="20" t="s">
        <v>2</v>
      </c>
      <c r="B34" s="13" t="s">
        <v>207</v>
      </c>
      <c r="C34" s="13">
        <v>1.409826</v>
      </c>
      <c r="D34" s="13">
        <v>2.1919430000000002</v>
      </c>
      <c r="Z34" s="108" t="s">
        <v>159</v>
      </c>
      <c r="AA34" s="108">
        <v>1.1890000000000001</v>
      </c>
      <c r="AB34" s="108">
        <v>1.9179999999999999</v>
      </c>
      <c r="AC34" s="108"/>
      <c r="AD34" s="13">
        <v>1.119</v>
      </c>
      <c r="AE34" s="13">
        <v>0.81499999999999995</v>
      </c>
      <c r="AF34" s="13">
        <v>1.536</v>
      </c>
    </row>
    <row r="35" spans="1:32" x14ac:dyDescent="0.3">
      <c r="A35" s="111" t="s">
        <v>94</v>
      </c>
      <c r="Z35" s="13"/>
      <c r="AA35" s="13"/>
      <c r="AB35" s="13"/>
      <c r="AC35" s="13"/>
      <c r="AD35" s="13"/>
      <c r="AE35" s="13"/>
      <c r="AF35" s="13"/>
    </row>
    <row r="36" spans="1:32" x14ac:dyDescent="0.3">
      <c r="A36" s="20" t="s">
        <v>15</v>
      </c>
      <c r="Z36" s="13"/>
      <c r="AA36" s="13"/>
      <c r="AB36" s="13"/>
      <c r="AC36" s="13"/>
      <c r="AD36" s="13"/>
      <c r="AE36" s="13"/>
      <c r="AF36" s="13"/>
    </row>
    <row r="37" spans="1:32" x14ac:dyDescent="0.3">
      <c r="A37" s="20" t="s">
        <v>2</v>
      </c>
      <c r="B37" s="13">
        <v>1.0743769999999999</v>
      </c>
      <c r="C37" s="13">
        <v>0.86371520000000002</v>
      </c>
      <c r="D37" s="13">
        <v>1.3364199999999999</v>
      </c>
      <c r="Z37" s="13">
        <v>1.0880000000000001</v>
      </c>
      <c r="AA37" s="13">
        <v>0.85399999999999998</v>
      </c>
      <c r="AB37" s="13">
        <v>1.387</v>
      </c>
      <c r="AC37" s="13"/>
      <c r="AD37" s="13">
        <v>1.095</v>
      </c>
      <c r="AE37" s="13">
        <v>0.85699999999999998</v>
      </c>
      <c r="AF37" s="13">
        <v>1.401</v>
      </c>
    </row>
    <row r="38" spans="1:32" x14ac:dyDescent="0.3">
      <c r="A38" s="111" t="s">
        <v>95</v>
      </c>
      <c r="Z38" s="13"/>
      <c r="AA38" s="13"/>
      <c r="AB38" s="13"/>
      <c r="AC38" s="13"/>
      <c r="AD38" s="13"/>
      <c r="AE38" s="13"/>
      <c r="AF38" s="13"/>
    </row>
    <row r="39" spans="1:32" x14ac:dyDescent="0.3">
      <c r="A39" s="20" t="s">
        <v>102</v>
      </c>
      <c r="Z39" s="13"/>
      <c r="AA39" s="13"/>
      <c r="AB39" s="13"/>
      <c r="AC39" s="13"/>
      <c r="AD39" s="13"/>
      <c r="AE39" s="13"/>
      <c r="AF39" s="13"/>
    </row>
    <row r="40" spans="1:32" x14ac:dyDescent="0.3">
      <c r="A40" s="20" t="s">
        <v>181</v>
      </c>
      <c r="B40" s="13">
        <v>0.89533870000000004</v>
      </c>
      <c r="C40" s="13">
        <v>0.68248520000000001</v>
      </c>
      <c r="D40" s="13">
        <v>1.174577</v>
      </c>
      <c r="Z40" s="13">
        <v>0.91500000000000004</v>
      </c>
      <c r="AA40" s="13">
        <v>0.70099999999999996</v>
      </c>
      <c r="AB40" s="13">
        <v>1.196</v>
      </c>
      <c r="AC40" s="13"/>
      <c r="AD40" s="13">
        <v>0.95099999999999996</v>
      </c>
      <c r="AE40" s="13">
        <v>0.72199999999999998</v>
      </c>
      <c r="AF40" s="13">
        <v>1.254</v>
      </c>
    </row>
    <row r="41" spans="1:32" x14ac:dyDescent="0.3">
      <c r="A41" s="111" t="s">
        <v>84</v>
      </c>
      <c r="B41" s="13">
        <v>1.025841</v>
      </c>
      <c r="C41" s="13">
        <v>0.94234370000000001</v>
      </c>
      <c r="D41" s="13">
        <v>1.116736</v>
      </c>
      <c r="Z41" s="13">
        <v>1.0029999999999999</v>
      </c>
      <c r="AA41" s="13">
        <v>0.91800000000000004</v>
      </c>
      <c r="AB41" s="13">
        <v>1.095</v>
      </c>
      <c r="AC41" s="13"/>
      <c r="AD41" s="13">
        <v>0.96899999999999997</v>
      </c>
      <c r="AE41" s="13">
        <v>0.88400000000000001</v>
      </c>
      <c r="AF41" s="13">
        <v>1.0620000000000001</v>
      </c>
    </row>
    <row r="42" spans="1:32" x14ac:dyDescent="0.3">
      <c r="A42" s="161" t="s">
        <v>220</v>
      </c>
      <c r="B42" s="157"/>
      <c r="C42" s="157"/>
      <c r="D42" s="157"/>
      <c r="E42" s="102"/>
      <c r="F42" s="102"/>
      <c r="G42" s="102"/>
      <c r="H42" s="102"/>
      <c r="I42" s="102"/>
      <c r="J42" s="102"/>
      <c r="K42" s="102"/>
      <c r="L42" s="102"/>
      <c r="M42" s="102"/>
      <c r="N42" s="102"/>
      <c r="O42" s="102"/>
      <c r="P42" s="102"/>
      <c r="Q42" s="102"/>
      <c r="R42" s="102"/>
      <c r="S42" s="102"/>
      <c r="T42" s="102"/>
      <c r="U42" s="102"/>
      <c r="V42" s="102"/>
      <c r="W42" s="102"/>
      <c r="X42" s="102"/>
      <c r="Y42" s="102"/>
      <c r="Z42" s="157"/>
      <c r="AA42" s="157"/>
      <c r="AB42" s="157"/>
      <c r="AC42" s="157"/>
      <c r="AD42" s="157"/>
      <c r="AE42" s="157"/>
      <c r="AF42" s="157"/>
    </row>
    <row r="43" spans="1:32" ht="16.2" x14ac:dyDescent="0.3">
      <c r="A43" s="111" t="s">
        <v>267</v>
      </c>
      <c r="B43" s="13" t="s">
        <v>209</v>
      </c>
      <c r="C43" s="13">
        <v>0.99752750000000001</v>
      </c>
      <c r="D43" s="13">
        <v>1.03667</v>
      </c>
      <c r="AD43" s="22">
        <v>0.99</v>
      </c>
      <c r="AE43" s="13">
        <v>0.96199999999999997</v>
      </c>
      <c r="AF43" s="13">
        <v>1.0189999999999999</v>
      </c>
    </row>
    <row r="44" spans="1:32" x14ac:dyDescent="0.3">
      <c r="A44" s="18" t="s">
        <v>97</v>
      </c>
      <c r="AD44" s="13"/>
      <c r="AE44" s="13"/>
      <c r="AF44" s="13"/>
    </row>
    <row r="45" spans="1:32" x14ac:dyDescent="0.3">
      <c r="A45" s="20" t="s">
        <v>14</v>
      </c>
      <c r="AD45" s="13"/>
      <c r="AE45" s="13"/>
      <c r="AF45" s="13"/>
    </row>
    <row r="46" spans="1:32" x14ac:dyDescent="0.3">
      <c r="A46" s="20" t="s">
        <v>4</v>
      </c>
      <c r="B46" s="15">
        <v>1.1579729999999999</v>
      </c>
      <c r="C46" s="15">
        <v>0.88420279999999996</v>
      </c>
      <c r="D46" s="15">
        <v>1.516508</v>
      </c>
      <c r="AD46" s="13">
        <v>1.0329999999999999</v>
      </c>
      <c r="AE46" s="13">
        <v>0.76600000000000001</v>
      </c>
      <c r="AF46" s="13">
        <v>1.3939999999999999</v>
      </c>
    </row>
    <row r="47" spans="1:32" x14ac:dyDescent="0.3">
      <c r="A47" s="20" t="s">
        <v>5</v>
      </c>
      <c r="B47" s="15" t="s">
        <v>210</v>
      </c>
      <c r="C47" s="15">
        <v>1.937381</v>
      </c>
      <c r="D47" s="15">
        <v>2.8786909999999999</v>
      </c>
      <c r="AD47" s="108" t="s">
        <v>162</v>
      </c>
      <c r="AE47" s="108">
        <v>1.2789999999999999</v>
      </c>
      <c r="AF47" s="108">
        <v>2.2320000000000002</v>
      </c>
    </row>
    <row r="48" spans="1:32" x14ac:dyDescent="0.3">
      <c r="A48" s="116" t="s">
        <v>98</v>
      </c>
      <c r="AD48" s="13"/>
      <c r="AE48" s="13"/>
      <c r="AF48" s="13"/>
    </row>
    <row r="49" spans="1:32" x14ac:dyDescent="0.3">
      <c r="A49" s="20" t="s">
        <v>19</v>
      </c>
      <c r="AD49" s="13"/>
      <c r="AE49" s="13"/>
      <c r="AF49" s="13"/>
    </row>
    <row r="50" spans="1:32" x14ac:dyDescent="0.3">
      <c r="A50" s="20" t="s">
        <v>177</v>
      </c>
      <c r="B50" s="13" t="s">
        <v>211</v>
      </c>
      <c r="C50" s="13">
        <v>0.51194609999999996</v>
      </c>
      <c r="D50" s="13">
        <v>0.87078299999999997</v>
      </c>
      <c r="AD50" s="108" t="s">
        <v>163</v>
      </c>
      <c r="AE50" s="108">
        <v>0.57299999999999995</v>
      </c>
      <c r="AF50" s="108">
        <v>0.998</v>
      </c>
    </row>
    <row r="51" spans="1:32" x14ac:dyDescent="0.3">
      <c r="A51" s="20" t="s">
        <v>176</v>
      </c>
      <c r="B51" s="13" t="s">
        <v>212</v>
      </c>
      <c r="C51" s="13">
        <v>0.55235900000000004</v>
      </c>
      <c r="D51" s="13">
        <v>0.84295209999999998</v>
      </c>
      <c r="AD51" s="13">
        <v>0.84</v>
      </c>
      <c r="AE51" s="13">
        <v>0.66600000000000004</v>
      </c>
      <c r="AF51" s="13">
        <v>1.0580000000000001</v>
      </c>
    </row>
    <row r="52" spans="1:32" x14ac:dyDescent="0.3">
      <c r="A52" s="21" t="s">
        <v>183</v>
      </c>
      <c r="AD52" s="13"/>
      <c r="AE52" s="13"/>
      <c r="AF52" s="13"/>
    </row>
    <row r="53" spans="1:32" x14ac:dyDescent="0.3">
      <c r="A53" s="20" t="s">
        <v>19</v>
      </c>
      <c r="AD53" s="13"/>
      <c r="AE53" s="13"/>
      <c r="AF53" s="13"/>
    </row>
    <row r="54" spans="1:32" x14ac:dyDescent="0.3">
      <c r="A54" s="20" t="s">
        <v>179</v>
      </c>
      <c r="B54" s="13">
        <v>1.0010589999999999</v>
      </c>
      <c r="C54" s="13">
        <v>0.68180629999999998</v>
      </c>
      <c r="D54" s="13">
        <v>1.4698009999999999</v>
      </c>
      <c r="AD54" s="13">
        <v>1.1779999999999999</v>
      </c>
      <c r="AE54" s="13">
        <v>0.78900000000000003</v>
      </c>
      <c r="AF54" s="13">
        <v>1.76</v>
      </c>
    </row>
    <row r="55" spans="1:32" x14ac:dyDescent="0.3">
      <c r="A55" s="20" t="s">
        <v>178</v>
      </c>
      <c r="B55" s="13" t="s">
        <v>213</v>
      </c>
      <c r="C55" s="13">
        <v>0.51210889999999998</v>
      </c>
      <c r="D55" s="13">
        <v>0.77948919999999999</v>
      </c>
      <c r="AD55" s="108" t="s">
        <v>164</v>
      </c>
      <c r="AE55" s="108">
        <v>0.60199999999999998</v>
      </c>
      <c r="AF55" s="108">
        <v>0.93200000000000005</v>
      </c>
    </row>
    <row r="56" spans="1:32" x14ac:dyDescent="0.3">
      <c r="A56" s="111" t="s">
        <v>184</v>
      </c>
      <c r="AD56" s="13"/>
      <c r="AE56" s="13"/>
      <c r="AF56" s="13"/>
    </row>
    <row r="57" spans="1:32" x14ac:dyDescent="0.3">
      <c r="A57" s="20" t="s">
        <v>15</v>
      </c>
      <c r="AD57" s="13"/>
      <c r="AE57" s="13"/>
      <c r="AF57" s="13"/>
    </row>
    <row r="58" spans="1:32" x14ac:dyDescent="0.3">
      <c r="A58" s="20" t="s">
        <v>2</v>
      </c>
      <c r="B58" s="13" t="s">
        <v>207</v>
      </c>
      <c r="C58" s="13">
        <v>1.3494170000000001</v>
      </c>
      <c r="D58" s="13">
        <v>2.3005119999999999</v>
      </c>
      <c r="AD58" s="13">
        <v>1.1080000000000001</v>
      </c>
      <c r="AE58" s="13">
        <v>0.82899999999999996</v>
      </c>
      <c r="AF58" s="13">
        <v>1.48</v>
      </c>
    </row>
    <row r="59" spans="1:32" ht="28.8" x14ac:dyDescent="0.3">
      <c r="A59" s="186" t="s">
        <v>359</v>
      </c>
      <c r="AD59" s="13"/>
      <c r="AE59" s="13"/>
      <c r="AF59" s="13"/>
    </row>
    <row r="60" spans="1:32" x14ac:dyDescent="0.3">
      <c r="A60" s="20" t="s">
        <v>15</v>
      </c>
      <c r="AD60" s="13"/>
      <c r="AE60" s="13"/>
      <c r="AF60" s="13"/>
    </row>
    <row r="61" spans="1:32" x14ac:dyDescent="0.3">
      <c r="A61" s="20" t="s">
        <v>2</v>
      </c>
      <c r="B61" s="13" t="s">
        <v>168</v>
      </c>
      <c r="C61" s="13">
        <v>1.4846459999999999</v>
      </c>
      <c r="D61" s="13">
        <v>2.2051189999999998</v>
      </c>
      <c r="AD61" s="108" t="s">
        <v>165</v>
      </c>
      <c r="AE61" s="108">
        <v>1.3640000000000001</v>
      </c>
      <c r="AF61" s="108">
        <v>2.0569999999999999</v>
      </c>
    </row>
    <row r="62" spans="1:32" x14ac:dyDescent="0.3">
      <c r="A62" s="111" t="s">
        <v>101</v>
      </c>
      <c r="B62" s="13"/>
      <c r="C62" s="13"/>
      <c r="D62" s="13"/>
      <c r="AD62" s="13"/>
      <c r="AE62" s="13"/>
      <c r="AF62" s="13"/>
    </row>
    <row r="63" spans="1:32" x14ac:dyDescent="0.3">
      <c r="A63" s="20" t="s">
        <v>15</v>
      </c>
      <c r="B63" s="13"/>
      <c r="C63" s="13"/>
      <c r="D63" s="13"/>
      <c r="AD63" s="13"/>
      <c r="AE63" s="13"/>
      <c r="AF63" s="13"/>
    </row>
    <row r="64" spans="1:32" ht="16.2" x14ac:dyDescent="0.3">
      <c r="A64" s="20" t="s">
        <v>2</v>
      </c>
      <c r="B64" s="13" t="s">
        <v>214</v>
      </c>
      <c r="C64" s="13">
        <v>0.57719129999999996</v>
      </c>
      <c r="D64" s="13">
        <v>1.018302</v>
      </c>
      <c r="AD64" s="13">
        <v>0.85099999999999998</v>
      </c>
      <c r="AE64" s="13">
        <v>0.627</v>
      </c>
      <c r="AF64" s="13">
        <v>1.155</v>
      </c>
    </row>
    <row r="65" spans="1:32" x14ac:dyDescent="0.3">
      <c r="A65" s="111" t="s">
        <v>368</v>
      </c>
      <c r="AD65" s="13"/>
      <c r="AE65" s="13"/>
      <c r="AF65" s="13"/>
    </row>
    <row r="66" spans="1:32" x14ac:dyDescent="0.3">
      <c r="A66" s="20" t="s">
        <v>15</v>
      </c>
      <c r="AD66" s="13"/>
      <c r="AE66" s="13"/>
      <c r="AF66" s="13"/>
    </row>
    <row r="67" spans="1:32" x14ac:dyDescent="0.3">
      <c r="A67" s="20" t="s">
        <v>2</v>
      </c>
      <c r="B67" s="13">
        <v>0.9394207</v>
      </c>
      <c r="C67" s="13">
        <v>0.74418499999999999</v>
      </c>
      <c r="D67" s="13">
        <v>1.1858759999999999</v>
      </c>
      <c r="AD67" s="13">
        <v>1.1259999999999999</v>
      </c>
      <c r="AE67" s="13">
        <v>0.875</v>
      </c>
      <c r="AF67" s="13">
        <v>1.45</v>
      </c>
    </row>
    <row r="68" spans="1:32" x14ac:dyDescent="0.3">
      <c r="A68" s="18" t="s">
        <v>363</v>
      </c>
      <c r="AD68" s="13"/>
      <c r="AE68" s="13"/>
      <c r="AF68" s="13"/>
    </row>
    <row r="69" spans="1:32" x14ac:dyDescent="0.3">
      <c r="A69" s="20" t="s">
        <v>361</v>
      </c>
      <c r="B69" s="13" t="s">
        <v>215</v>
      </c>
      <c r="C69" s="13">
        <v>1.462801</v>
      </c>
      <c r="D69" s="13">
        <v>2.25237</v>
      </c>
      <c r="AD69" s="108" t="s">
        <v>166</v>
      </c>
      <c r="AE69" s="108">
        <v>1.1259999999999999</v>
      </c>
      <c r="AF69" s="108">
        <v>1.8089999999999999</v>
      </c>
    </row>
    <row r="70" spans="1:32" x14ac:dyDescent="0.3">
      <c r="A70" s="20" t="s">
        <v>35</v>
      </c>
      <c r="B70" s="13" t="s">
        <v>216</v>
      </c>
      <c r="C70" s="13">
        <v>1.039995</v>
      </c>
      <c r="D70" s="13">
        <v>1.681595</v>
      </c>
      <c r="AD70" s="13">
        <v>0.95799999999999996</v>
      </c>
      <c r="AE70" s="13">
        <v>0.74099999999999999</v>
      </c>
      <c r="AF70" s="13">
        <v>1.2390000000000001</v>
      </c>
    </row>
    <row r="71" spans="1:32" x14ac:dyDescent="0.3">
      <c r="A71" s="20" t="s">
        <v>90</v>
      </c>
      <c r="AD71" s="13"/>
      <c r="AE71" s="13"/>
      <c r="AF71" s="13"/>
    </row>
    <row r="72" spans="1:32" x14ac:dyDescent="0.3">
      <c r="A72" s="21" t="s">
        <v>103</v>
      </c>
      <c r="AD72" s="13"/>
      <c r="AE72" s="13"/>
      <c r="AF72" s="13"/>
    </row>
    <row r="73" spans="1:32" ht="26.4" customHeight="1" x14ac:dyDescent="0.3">
      <c r="A73" s="20">
        <v>1958</v>
      </c>
      <c r="B73" s="227" t="s">
        <v>222</v>
      </c>
      <c r="C73" s="228"/>
      <c r="D73" s="228"/>
      <c r="F73" s="13" t="s">
        <v>167</v>
      </c>
      <c r="G73" s="13">
        <v>1.352328</v>
      </c>
      <c r="H73" s="13">
        <v>1.932509</v>
      </c>
      <c r="J73" s="13" t="s">
        <v>60</v>
      </c>
      <c r="K73" s="13">
        <v>1.380571</v>
      </c>
      <c r="L73" s="13">
        <v>1.9787969999999999</v>
      </c>
      <c r="N73" s="13" t="s">
        <v>60</v>
      </c>
      <c r="O73" s="13">
        <v>1.3821829999999999</v>
      </c>
      <c r="P73" s="13">
        <v>1.981609</v>
      </c>
      <c r="R73" s="13" t="s">
        <v>105</v>
      </c>
      <c r="S73" s="13">
        <v>1.45</v>
      </c>
      <c r="T73" s="13">
        <v>2.1</v>
      </c>
      <c r="V73" s="13" t="s">
        <v>221</v>
      </c>
      <c r="W73" s="13">
        <v>1.423276</v>
      </c>
      <c r="X73" s="13">
        <v>2.0675979999999998</v>
      </c>
      <c r="Z73" s="13" t="s">
        <v>167</v>
      </c>
      <c r="AA73" s="13">
        <v>1.27</v>
      </c>
      <c r="AB73" s="13">
        <v>2.06</v>
      </c>
      <c r="AD73" s="13" t="s">
        <v>168</v>
      </c>
      <c r="AE73" s="13">
        <v>1.41</v>
      </c>
      <c r="AF73" s="13">
        <v>2.34</v>
      </c>
    </row>
    <row r="74" spans="1:32" x14ac:dyDescent="0.3">
      <c r="A74" s="20" t="s">
        <v>104</v>
      </c>
    </row>
    <row r="75" spans="1:32" s="175" customFormat="1" x14ac:dyDescent="0.3"/>
    <row r="76" spans="1:32" ht="16.2" x14ac:dyDescent="0.3">
      <c r="A76" s="22" t="s">
        <v>366</v>
      </c>
    </row>
  </sheetData>
  <mergeCells count="26">
    <mergeCell ref="AA5:AB5"/>
    <mergeCell ref="A3:D3"/>
    <mergeCell ref="B73:D73"/>
    <mergeCell ref="AD6:AF6"/>
    <mergeCell ref="F3:T3"/>
    <mergeCell ref="V3:AB3"/>
    <mergeCell ref="AD3:AF3"/>
    <mergeCell ref="Z6:AB6"/>
    <mergeCell ref="V4:AB4"/>
    <mergeCell ref="AE5:AF5"/>
    <mergeCell ref="AD4:AF4"/>
    <mergeCell ref="W5:X5"/>
    <mergeCell ref="V6:X6"/>
    <mergeCell ref="S5:T5"/>
    <mergeCell ref="R6:T6"/>
    <mergeCell ref="F4:T4"/>
    <mergeCell ref="C5:D5"/>
    <mergeCell ref="B4:E4"/>
    <mergeCell ref="F8:P8"/>
    <mergeCell ref="F13:P13"/>
    <mergeCell ref="F6:H6"/>
    <mergeCell ref="J6:L6"/>
    <mergeCell ref="N6:P6"/>
    <mergeCell ref="G5:H5"/>
    <mergeCell ref="K5:L5"/>
    <mergeCell ref="O5:P5"/>
  </mergeCells>
  <phoneticPr fontId="7" type="noConversion"/>
  <pageMargins left="0.70866141732283472" right="0.70866141732283472" top="0.74803149606299213" bottom="0.74803149606299213" header="0.31496062992125984" footer="0.31496062992125984"/>
  <pageSetup paperSize="9"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AD158-55AA-4178-956A-1E0A18348B7E}">
  <sheetPr>
    <pageSetUpPr fitToPage="1"/>
  </sheetPr>
  <dimension ref="A1:AL74"/>
  <sheetViews>
    <sheetView tabSelected="1" zoomScale="80" zoomScaleNormal="80" workbookViewId="0"/>
  </sheetViews>
  <sheetFormatPr defaultColWidth="8.88671875" defaultRowHeight="14.4" x14ac:dyDescent="0.3"/>
  <cols>
    <col min="1" max="1" width="35.33203125" style="6" customWidth="1"/>
    <col min="2" max="2" width="10.109375" style="6" customWidth="1"/>
    <col min="3" max="3" width="7.6640625" style="6" customWidth="1"/>
    <col min="4" max="4" width="8.109375" style="7" customWidth="1"/>
    <col min="5" max="5" width="5" style="7" customWidth="1"/>
    <col min="6" max="6" width="9" style="10" customWidth="1"/>
    <col min="7" max="7" width="6.88671875" style="10" customWidth="1"/>
    <col min="8" max="8" width="7.6640625" style="10" customWidth="1"/>
    <col min="9" max="9" width="4.88671875" style="10" customWidth="1"/>
    <col min="10" max="12" width="6.33203125" style="10" customWidth="1"/>
    <col min="13" max="13" width="4.44140625" style="10" customWidth="1"/>
    <col min="14" max="16" width="8.88671875" style="10"/>
    <col min="17" max="17" width="4.44140625" style="10" customWidth="1"/>
    <col min="18" max="20" width="8.88671875" style="10"/>
    <col min="21" max="21" width="4.33203125" style="10" customWidth="1"/>
    <col min="22" max="24" width="8.88671875" style="10"/>
    <col min="25" max="25" width="5.109375" style="10" customWidth="1"/>
    <col min="26" max="28" width="8.88671875" style="10"/>
    <col min="29" max="29" width="4.6640625" style="10" customWidth="1"/>
    <col min="30" max="32" width="8.88671875" style="12"/>
    <col min="33" max="33" width="5.5546875" style="12" customWidth="1"/>
    <col min="34" max="34" width="8.88671875" style="12"/>
    <col min="35" max="35" width="11.5546875" style="12" bestFit="1" customWidth="1"/>
    <col min="36" max="36" width="8.88671875" style="12"/>
    <col min="37" max="37" width="9.5546875" style="17" customWidth="1"/>
    <col min="38" max="16384" width="8.88671875" style="6"/>
  </cols>
  <sheetData>
    <row r="1" spans="1:37" x14ac:dyDescent="0.3">
      <c r="A1" s="111" t="s">
        <v>392</v>
      </c>
      <c r="C1" s="7"/>
      <c r="F1" s="7"/>
      <c r="G1" s="7"/>
      <c r="H1" s="7"/>
      <c r="I1" s="6"/>
      <c r="J1" s="6"/>
      <c r="K1" s="6"/>
      <c r="L1" s="6"/>
      <c r="M1" s="6"/>
      <c r="N1" s="6"/>
      <c r="O1" s="6"/>
      <c r="P1" s="6"/>
      <c r="Q1" s="6"/>
      <c r="R1" s="6"/>
      <c r="S1" s="6"/>
      <c r="T1" s="6"/>
      <c r="U1" s="6"/>
      <c r="V1" s="6"/>
      <c r="W1" s="6"/>
      <c r="X1" s="7"/>
      <c r="Y1" s="118"/>
      <c r="Z1" s="118"/>
      <c r="AA1" s="118"/>
      <c r="AB1" s="118"/>
      <c r="AC1" s="118"/>
      <c r="AD1" s="94"/>
      <c r="AE1" s="119"/>
      <c r="AF1" s="94"/>
      <c r="AG1" s="85"/>
      <c r="AH1" s="85"/>
      <c r="AI1" s="85"/>
      <c r="AJ1" s="85"/>
    </row>
    <row r="2" spans="1:37" x14ac:dyDescent="0.3">
      <c r="A2" s="111"/>
    </row>
    <row r="3" spans="1:37" ht="13.95" customHeight="1" x14ac:dyDescent="0.3">
      <c r="A3" s="111"/>
      <c r="B3" s="236" t="s">
        <v>233</v>
      </c>
      <c r="C3" s="236"/>
      <c r="D3" s="236"/>
      <c r="F3" s="226" t="s">
        <v>232</v>
      </c>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row>
    <row r="4" spans="1:37" ht="18.600000000000001" customHeight="1" x14ac:dyDescent="0.3">
      <c r="A4" s="223" t="s">
        <v>230</v>
      </c>
      <c r="B4" s="223"/>
      <c r="C4" s="223"/>
      <c r="D4" s="223"/>
      <c r="E4" s="223"/>
      <c r="F4" s="223"/>
      <c r="G4" s="223"/>
      <c r="H4" s="223"/>
      <c r="J4" s="223" t="s">
        <v>218</v>
      </c>
      <c r="K4" s="223"/>
      <c r="L4" s="223"/>
      <c r="M4" s="223"/>
      <c r="N4" s="223"/>
      <c r="O4" s="223"/>
      <c r="P4" s="223"/>
      <c r="Q4" s="223"/>
      <c r="R4" s="223"/>
      <c r="S4" s="223"/>
      <c r="T4" s="223"/>
      <c r="U4" s="223"/>
      <c r="V4" s="223"/>
      <c r="W4" s="223"/>
      <c r="X4" s="223"/>
      <c r="Y4" s="120"/>
      <c r="Z4" s="230" t="s">
        <v>219</v>
      </c>
      <c r="AA4" s="230"/>
      <c r="AB4" s="230"/>
      <c r="AC4" s="230"/>
      <c r="AD4" s="230"/>
      <c r="AE4" s="230"/>
      <c r="AF4" s="230"/>
      <c r="AG4" s="120"/>
      <c r="AH4" s="230" t="s">
        <v>220</v>
      </c>
      <c r="AI4" s="230"/>
      <c r="AJ4" s="230"/>
    </row>
    <row r="5" spans="1:37" ht="25.2" customHeight="1" x14ac:dyDescent="0.3">
      <c r="A5" s="18"/>
      <c r="B5" s="234" t="s">
        <v>146</v>
      </c>
      <c r="C5" s="234"/>
      <c r="D5" s="234"/>
      <c r="F5" s="234" t="s">
        <v>146</v>
      </c>
      <c r="G5" s="234"/>
      <c r="H5" s="234"/>
      <c r="N5" s="233" t="s">
        <v>199</v>
      </c>
      <c r="O5" s="233"/>
      <c r="P5" s="233"/>
      <c r="Q5" s="233"/>
      <c r="R5" s="233"/>
      <c r="S5" s="233"/>
      <c r="T5" s="233"/>
      <c r="U5" s="233"/>
      <c r="V5" s="233"/>
      <c r="W5" s="233"/>
      <c r="X5" s="233"/>
      <c r="Y5" s="139"/>
      <c r="Z5" s="234" t="s">
        <v>199</v>
      </c>
      <c r="AA5" s="234"/>
      <c r="AB5" s="234"/>
      <c r="AC5" s="234"/>
      <c r="AD5" s="234"/>
      <c r="AE5" s="234"/>
      <c r="AF5" s="234"/>
      <c r="AG5" s="123"/>
      <c r="AH5" s="235" t="s">
        <v>199</v>
      </c>
      <c r="AI5" s="235"/>
      <c r="AJ5" s="235"/>
    </row>
    <row r="6" spans="1:37" x14ac:dyDescent="0.3">
      <c r="A6" s="18"/>
      <c r="B6" s="7" t="s">
        <v>16</v>
      </c>
      <c r="C6" s="232" t="s">
        <v>17</v>
      </c>
      <c r="D6" s="232"/>
      <c r="F6" s="7" t="s">
        <v>16</v>
      </c>
      <c r="G6" s="232" t="s">
        <v>17</v>
      </c>
      <c r="H6" s="232"/>
      <c r="J6" s="6" t="s">
        <v>16</v>
      </c>
      <c r="K6" s="233" t="s">
        <v>17</v>
      </c>
      <c r="L6" s="233"/>
      <c r="N6" s="6" t="s">
        <v>16</v>
      </c>
      <c r="O6" s="233" t="s">
        <v>17</v>
      </c>
      <c r="P6" s="233"/>
      <c r="Q6" s="140"/>
      <c r="R6" s="6" t="s">
        <v>16</v>
      </c>
      <c r="S6" s="233" t="s">
        <v>17</v>
      </c>
      <c r="T6" s="233"/>
      <c r="V6" s="6" t="s">
        <v>16</v>
      </c>
      <c r="W6" s="233" t="s">
        <v>17</v>
      </c>
      <c r="X6" s="233"/>
      <c r="Z6" s="124" t="s">
        <v>16</v>
      </c>
      <c r="AA6" s="231" t="s">
        <v>17</v>
      </c>
      <c r="AB6" s="231"/>
      <c r="AD6" s="124" t="s">
        <v>16</v>
      </c>
      <c r="AE6" s="231" t="s">
        <v>17</v>
      </c>
      <c r="AF6" s="231"/>
      <c r="AG6" s="123"/>
      <c r="AH6" s="124" t="s">
        <v>16</v>
      </c>
      <c r="AI6" s="231" t="s">
        <v>17</v>
      </c>
      <c r="AJ6" s="231"/>
    </row>
    <row r="7" spans="1:37" ht="42.6" customHeight="1" x14ac:dyDescent="0.3">
      <c r="A7" s="18"/>
      <c r="B7" s="7"/>
      <c r="C7" s="141"/>
      <c r="D7" s="141"/>
      <c r="F7" s="7"/>
      <c r="G7" s="141"/>
      <c r="H7" s="141"/>
      <c r="J7" s="223" t="s">
        <v>44</v>
      </c>
      <c r="K7" s="223"/>
      <c r="L7" s="223"/>
      <c r="N7" s="226" t="s">
        <v>200</v>
      </c>
      <c r="O7" s="223"/>
      <c r="P7" s="223"/>
      <c r="Q7" s="140"/>
      <c r="R7" s="226" t="s">
        <v>198</v>
      </c>
      <c r="S7" s="223"/>
      <c r="T7" s="223"/>
      <c r="V7" s="223" t="s">
        <v>196</v>
      </c>
      <c r="W7" s="223"/>
      <c r="X7" s="223"/>
      <c r="Z7" s="229" t="s">
        <v>201</v>
      </c>
      <c r="AA7" s="229"/>
      <c r="AB7" s="229"/>
      <c r="AD7" s="229" t="s">
        <v>332</v>
      </c>
      <c r="AE7" s="230"/>
      <c r="AF7" s="230"/>
      <c r="AG7" s="123"/>
      <c r="AH7" s="229" t="s">
        <v>217</v>
      </c>
      <c r="AI7" s="230"/>
      <c r="AJ7" s="230"/>
    </row>
    <row r="8" spans="1:37" ht="15" customHeight="1" x14ac:dyDescent="0.3">
      <c r="A8" s="164" t="s">
        <v>218</v>
      </c>
      <c r="B8" s="165"/>
      <c r="C8" s="166"/>
      <c r="D8" s="166"/>
      <c r="E8" s="165"/>
      <c r="F8" s="165"/>
      <c r="G8" s="166"/>
      <c r="H8" s="166"/>
      <c r="I8" s="167"/>
      <c r="J8" s="167"/>
      <c r="K8" s="167"/>
      <c r="L8" s="167"/>
      <c r="M8" s="167"/>
      <c r="N8" s="158"/>
      <c r="O8" s="156"/>
      <c r="P8" s="156"/>
      <c r="Q8" s="168"/>
      <c r="R8" s="158"/>
      <c r="S8" s="156"/>
      <c r="T8" s="156"/>
      <c r="U8" s="167"/>
      <c r="V8" s="156"/>
      <c r="W8" s="156"/>
      <c r="X8" s="156"/>
      <c r="Y8" s="167"/>
      <c r="Z8" s="159"/>
      <c r="AA8" s="159"/>
      <c r="AB8" s="159"/>
      <c r="AC8" s="167"/>
      <c r="AD8" s="159"/>
      <c r="AE8" s="160"/>
      <c r="AF8" s="160"/>
      <c r="AG8" s="169"/>
      <c r="AH8" s="159"/>
      <c r="AI8" s="160"/>
      <c r="AJ8" s="160"/>
    </row>
    <row r="9" spans="1:37" x14ac:dyDescent="0.3">
      <c r="A9" s="21" t="s">
        <v>88</v>
      </c>
      <c r="D9" s="6"/>
      <c r="E9" s="6"/>
    </row>
    <row r="10" spans="1:37" x14ac:dyDescent="0.3">
      <c r="A10" s="20" t="s">
        <v>33</v>
      </c>
      <c r="B10" s="10">
        <v>1.1175170000000001</v>
      </c>
      <c r="C10" s="10">
        <v>0.74414400000000003</v>
      </c>
      <c r="D10" s="10">
        <v>1.6782280000000001</v>
      </c>
      <c r="E10" s="6"/>
      <c r="F10" s="10">
        <v>1.115343</v>
      </c>
      <c r="G10" s="10">
        <v>0.74604110000000001</v>
      </c>
      <c r="H10" s="10">
        <v>1.667454</v>
      </c>
      <c r="R10" s="10">
        <v>1.0491619999999999</v>
      </c>
      <c r="S10" s="10">
        <v>0.69992940000000003</v>
      </c>
      <c r="T10" s="10">
        <v>1.5726450000000001</v>
      </c>
      <c r="V10" s="10">
        <v>1.0014780000000001</v>
      </c>
      <c r="W10" s="10">
        <v>0.66765359999999996</v>
      </c>
      <c r="X10" s="10">
        <v>1.502213</v>
      </c>
      <c r="Z10" s="10">
        <v>0.90151650000000005</v>
      </c>
      <c r="AA10" s="10">
        <v>0.59646500000000002</v>
      </c>
      <c r="AB10" s="10">
        <v>1.362581</v>
      </c>
      <c r="AD10" s="15">
        <v>0.8754902</v>
      </c>
      <c r="AE10" s="15">
        <v>0.57317269999999998</v>
      </c>
      <c r="AF10" s="15">
        <v>1.337264</v>
      </c>
      <c r="AH10" s="15">
        <v>0.89900449999999998</v>
      </c>
      <c r="AI10" s="15">
        <v>0.58493229999999996</v>
      </c>
      <c r="AJ10" s="15">
        <v>1.3817140000000001</v>
      </c>
    </row>
    <row r="11" spans="1:37" x14ac:dyDescent="0.3">
      <c r="A11" s="20" t="s">
        <v>28</v>
      </c>
      <c r="B11" s="10">
        <v>1.038961</v>
      </c>
      <c r="C11" s="10">
        <v>0.68372330000000003</v>
      </c>
      <c r="D11" s="10">
        <v>1.578767</v>
      </c>
      <c r="E11" s="6"/>
      <c r="F11" s="10">
        <v>1.033738</v>
      </c>
      <c r="G11" s="10">
        <v>0.67887310000000001</v>
      </c>
      <c r="H11" s="10">
        <v>1.5741000000000001</v>
      </c>
      <c r="R11" s="10">
        <v>1.000896</v>
      </c>
      <c r="S11" s="10">
        <v>0.65572920000000001</v>
      </c>
      <c r="T11" s="10">
        <v>1.5277540000000001</v>
      </c>
      <c r="V11" s="10">
        <v>1.0013270000000001</v>
      </c>
      <c r="W11" s="10">
        <v>0.65522040000000004</v>
      </c>
      <c r="X11" s="10">
        <v>1.5302579999999999</v>
      </c>
      <c r="Z11" s="10">
        <v>0.98624489999999998</v>
      </c>
      <c r="AA11" s="10">
        <v>0.64267629999999998</v>
      </c>
      <c r="AB11" s="10">
        <v>1.513482</v>
      </c>
      <c r="AD11" s="15">
        <v>0.98463639999999997</v>
      </c>
      <c r="AE11" s="15">
        <v>0.63494600000000001</v>
      </c>
      <c r="AF11" s="15">
        <v>1.526915</v>
      </c>
      <c r="AH11" s="15">
        <v>1.0139020000000001</v>
      </c>
      <c r="AI11" s="15">
        <v>0.6512656</v>
      </c>
      <c r="AJ11" s="15">
        <v>1.5784609999999999</v>
      </c>
    </row>
    <row r="12" spans="1:37" x14ac:dyDescent="0.3">
      <c r="A12" s="20" t="s">
        <v>86</v>
      </c>
      <c r="B12" s="10"/>
      <c r="C12" s="10"/>
      <c r="D12" s="10"/>
      <c r="E12" s="6"/>
      <c r="AH12" s="15"/>
      <c r="AI12" s="15"/>
      <c r="AJ12" s="15"/>
    </row>
    <row r="13" spans="1:37" x14ac:dyDescent="0.3">
      <c r="A13" s="20" t="s">
        <v>34</v>
      </c>
      <c r="B13" s="10">
        <v>1.049482</v>
      </c>
      <c r="C13" s="10">
        <v>0.67025290000000004</v>
      </c>
      <c r="D13" s="10">
        <v>1.6432800000000001</v>
      </c>
      <c r="E13" s="6"/>
      <c r="F13" s="10">
        <v>1.035676</v>
      </c>
      <c r="G13" s="10">
        <v>0.6634835</v>
      </c>
      <c r="H13" s="10">
        <v>1.6166579999999999</v>
      </c>
      <c r="R13" s="10">
        <v>1.0667519999999999</v>
      </c>
      <c r="S13" s="10">
        <v>0.68116069999999995</v>
      </c>
      <c r="T13" s="10">
        <v>1.67062</v>
      </c>
      <c r="V13" s="10">
        <v>1.043523</v>
      </c>
      <c r="W13" s="10">
        <v>0.66541079999999997</v>
      </c>
      <c r="X13" s="10">
        <v>1.636493</v>
      </c>
      <c r="Z13" s="10">
        <v>1.0331870000000001</v>
      </c>
      <c r="AA13" s="10">
        <v>0.65466409999999997</v>
      </c>
      <c r="AB13" s="10">
        <v>1.630568</v>
      </c>
      <c r="AD13" s="15">
        <v>1.0075460000000001</v>
      </c>
      <c r="AE13" s="15">
        <v>0.63301249999999998</v>
      </c>
      <c r="AF13" s="15">
        <v>1.60368</v>
      </c>
      <c r="AH13" s="15">
        <v>1.0399689999999999</v>
      </c>
      <c r="AI13" s="15">
        <v>0.64819340000000003</v>
      </c>
      <c r="AJ13" s="15">
        <v>1.6685369999999999</v>
      </c>
    </row>
    <row r="14" spans="1:37" x14ac:dyDescent="0.3">
      <c r="A14" s="21" t="s">
        <v>272</v>
      </c>
      <c r="D14" s="6"/>
      <c r="E14" s="6"/>
      <c r="F14" s="13"/>
      <c r="G14" s="13"/>
      <c r="H14" s="13"/>
      <c r="I14" s="13"/>
      <c r="J14" s="13"/>
      <c r="K14" s="13"/>
      <c r="L14" s="13"/>
      <c r="M14" s="13"/>
      <c r="N14" s="13"/>
      <c r="O14" s="13"/>
      <c r="P14" s="13"/>
      <c r="Q14" s="13"/>
      <c r="R14" s="13"/>
      <c r="S14" s="13"/>
      <c r="T14" s="13"/>
      <c r="U14" s="13"/>
      <c r="Y14" s="13"/>
      <c r="Z14" s="13"/>
      <c r="AA14" s="13"/>
      <c r="AB14" s="13"/>
      <c r="AC14" s="13"/>
      <c r="AK14" s="175"/>
    </row>
    <row r="15" spans="1:37" x14ac:dyDescent="0.3">
      <c r="A15" s="20" t="s">
        <v>30</v>
      </c>
      <c r="B15" s="10" t="s">
        <v>23</v>
      </c>
      <c r="C15" s="10">
        <v>1.0422610000000001</v>
      </c>
      <c r="D15" s="10">
        <v>2.5265879999999998</v>
      </c>
      <c r="E15" s="6"/>
      <c r="F15" s="13" t="s">
        <v>21</v>
      </c>
      <c r="G15" s="13">
        <v>1.022537</v>
      </c>
      <c r="H15" s="13">
        <v>2.482453</v>
      </c>
      <c r="I15" s="13"/>
      <c r="J15" s="13"/>
      <c r="K15" s="13"/>
      <c r="L15" s="13"/>
      <c r="M15" s="13"/>
      <c r="N15" s="13"/>
      <c r="O15" s="13"/>
      <c r="P15" s="13"/>
      <c r="Q15" s="13"/>
      <c r="R15" s="13">
        <v>1.454045</v>
      </c>
      <c r="S15" s="13">
        <v>0.92001080000000002</v>
      </c>
      <c r="T15" s="13">
        <v>2.2980670000000001</v>
      </c>
      <c r="U15" s="13"/>
      <c r="V15" s="10">
        <v>1.410196</v>
      </c>
      <c r="W15" s="10">
        <v>0.89132529999999999</v>
      </c>
      <c r="X15" s="10">
        <v>2.2311179999999999</v>
      </c>
      <c r="Y15" s="13"/>
      <c r="Z15" s="13">
        <v>1.2506109999999999</v>
      </c>
      <c r="AA15" s="13">
        <v>0.78577620000000004</v>
      </c>
      <c r="AB15" s="13">
        <v>1.990424</v>
      </c>
      <c r="AC15" s="13"/>
      <c r="AD15" s="15">
        <v>1.222888</v>
      </c>
      <c r="AE15" s="15">
        <v>0.75383069999999996</v>
      </c>
      <c r="AF15" s="15">
        <v>1.9838089999999999</v>
      </c>
      <c r="AH15" s="15">
        <v>1.183883</v>
      </c>
      <c r="AI15" s="15">
        <v>0.72352059999999996</v>
      </c>
      <c r="AJ15" s="15">
        <v>1.9371659999999999</v>
      </c>
      <c r="AK15" s="175"/>
    </row>
    <row r="16" spans="1:37" x14ac:dyDescent="0.3">
      <c r="A16" s="20" t="s">
        <v>89</v>
      </c>
      <c r="B16" s="10"/>
      <c r="C16" s="10"/>
      <c r="D16" s="10"/>
      <c r="E16" s="6"/>
      <c r="F16" s="13"/>
      <c r="G16" s="13"/>
      <c r="H16" s="13"/>
      <c r="I16" s="13"/>
      <c r="J16" s="13"/>
      <c r="K16" s="13"/>
      <c r="L16" s="13"/>
      <c r="M16" s="13"/>
      <c r="N16" s="13"/>
      <c r="O16" s="13"/>
      <c r="P16" s="13"/>
      <c r="Q16" s="13"/>
      <c r="R16" s="13"/>
      <c r="S16" s="13"/>
      <c r="T16" s="13"/>
      <c r="U16" s="13"/>
      <c r="Y16" s="13"/>
      <c r="Z16" s="13"/>
      <c r="AA16" s="13"/>
      <c r="AB16" s="13"/>
      <c r="AC16" s="13"/>
      <c r="AK16" s="175"/>
    </row>
    <row r="17" spans="1:38" x14ac:dyDescent="0.3">
      <c r="A17" s="20" t="s">
        <v>32</v>
      </c>
      <c r="B17" s="10">
        <v>1.089744</v>
      </c>
      <c r="C17" s="10">
        <v>0.64929579999999998</v>
      </c>
      <c r="D17" s="10">
        <v>1.8289679999999999</v>
      </c>
      <c r="E17" s="6"/>
      <c r="F17" s="13">
        <v>1.0845320000000001</v>
      </c>
      <c r="G17" s="13">
        <v>0.64604839999999997</v>
      </c>
      <c r="H17" s="13">
        <v>1.820622</v>
      </c>
      <c r="I17" s="13"/>
      <c r="J17" s="13"/>
      <c r="K17" s="13"/>
      <c r="L17" s="13"/>
      <c r="M17" s="13"/>
      <c r="N17" s="13"/>
      <c r="O17" s="13"/>
      <c r="P17" s="13"/>
      <c r="Q17" s="13"/>
      <c r="R17" s="13">
        <v>1.119998</v>
      </c>
      <c r="S17" s="13">
        <v>0.66579480000000002</v>
      </c>
      <c r="T17" s="13">
        <v>1.884056</v>
      </c>
      <c r="U17" s="13"/>
      <c r="V17" s="10">
        <v>1.1184940000000001</v>
      </c>
      <c r="W17" s="10">
        <v>0.66366709999999995</v>
      </c>
      <c r="X17" s="10">
        <v>1.8850260000000001</v>
      </c>
      <c r="Y17" s="13"/>
      <c r="Z17" s="13">
        <v>1.075404</v>
      </c>
      <c r="AA17" s="13">
        <v>0.63223300000000004</v>
      </c>
      <c r="AB17" s="13">
        <v>1.829221</v>
      </c>
      <c r="AC17" s="13"/>
      <c r="AD17" s="15">
        <v>1.1390769999999999</v>
      </c>
      <c r="AE17" s="15">
        <v>0.66465240000000003</v>
      </c>
      <c r="AF17" s="15">
        <v>1.9521409999999999</v>
      </c>
      <c r="AH17" s="15">
        <v>1.1453329999999999</v>
      </c>
      <c r="AI17" s="15">
        <v>0.66228569999999998</v>
      </c>
      <c r="AJ17" s="15">
        <v>1.980699</v>
      </c>
      <c r="AK17" s="175"/>
      <c r="AL17" s="124"/>
    </row>
    <row r="18" spans="1:38" x14ac:dyDescent="0.3">
      <c r="A18" s="18" t="s">
        <v>6</v>
      </c>
      <c r="D18" s="6"/>
      <c r="E18" s="6"/>
      <c r="F18" s="13"/>
      <c r="G18" s="13"/>
      <c r="H18" s="13"/>
      <c r="I18" s="13"/>
      <c r="J18" s="13"/>
      <c r="K18" s="13"/>
      <c r="L18" s="13"/>
      <c r="M18" s="13"/>
      <c r="N18" s="13"/>
      <c r="O18" s="13"/>
      <c r="P18" s="13"/>
      <c r="Q18" s="13"/>
      <c r="R18" s="13"/>
      <c r="S18" s="13"/>
      <c r="T18" s="13"/>
      <c r="U18" s="13"/>
      <c r="Y18" s="13"/>
      <c r="Z18" s="13"/>
      <c r="AA18" s="13"/>
      <c r="AB18" s="13"/>
      <c r="AC18" s="13"/>
      <c r="AK18" s="175"/>
    </row>
    <row r="19" spans="1:38" x14ac:dyDescent="0.3">
      <c r="A19" s="20" t="s">
        <v>15</v>
      </c>
      <c r="F19" s="13"/>
      <c r="G19" s="13"/>
      <c r="H19" s="13"/>
      <c r="I19" s="13"/>
      <c r="J19" s="13"/>
      <c r="K19" s="13"/>
      <c r="L19" s="13"/>
      <c r="M19" s="13"/>
      <c r="N19" s="13"/>
      <c r="O19" s="13"/>
      <c r="P19" s="13"/>
      <c r="Q19" s="13"/>
      <c r="R19" s="13"/>
      <c r="S19" s="13"/>
      <c r="T19" s="13"/>
      <c r="U19" s="13"/>
      <c r="Y19" s="13"/>
      <c r="Z19" s="13"/>
      <c r="AA19" s="13"/>
      <c r="AB19" s="13"/>
      <c r="AC19" s="13"/>
      <c r="AK19" s="175"/>
    </row>
    <row r="20" spans="1:38" x14ac:dyDescent="0.3">
      <c r="A20" s="20" t="s">
        <v>127</v>
      </c>
      <c r="B20" s="10">
        <v>0.9206548</v>
      </c>
      <c r="C20" s="10">
        <v>0.439197</v>
      </c>
      <c r="D20" s="10">
        <v>1.9298979999999999</v>
      </c>
      <c r="F20" s="13">
        <v>0.927338</v>
      </c>
      <c r="G20" s="13">
        <v>0.44360939999999999</v>
      </c>
      <c r="H20" s="13">
        <v>1.9385429999999999</v>
      </c>
      <c r="I20" s="13"/>
      <c r="J20" s="13"/>
      <c r="K20" s="13"/>
      <c r="L20" s="13"/>
      <c r="M20" s="13"/>
      <c r="N20" s="13">
        <v>0.90609200000000001</v>
      </c>
      <c r="O20" s="13">
        <v>0.43274560000000001</v>
      </c>
      <c r="P20" s="13">
        <v>1.897195</v>
      </c>
      <c r="Q20" s="13"/>
      <c r="R20" s="13">
        <v>0.85849969999999998</v>
      </c>
      <c r="S20" s="13">
        <v>0.4080474</v>
      </c>
      <c r="T20" s="13">
        <v>1.806216</v>
      </c>
      <c r="U20" s="13"/>
      <c r="V20" s="13">
        <v>0.87025200000000003</v>
      </c>
      <c r="W20" s="13">
        <v>0.4127748</v>
      </c>
      <c r="X20" s="13">
        <v>1.8347500000000001</v>
      </c>
      <c r="Y20" s="13"/>
      <c r="Z20" s="13">
        <v>0.88349500000000003</v>
      </c>
      <c r="AA20" s="13">
        <v>0.4143655</v>
      </c>
      <c r="AB20" s="13">
        <v>1.883756</v>
      </c>
      <c r="AC20" s="13"/>
      <c r="AD20" s="15">
        <v>0.80316240000000005</v>
      </c>
      <c r="AE20" s="15">
        <v>0.36970029999999998</v>
      </c>
      <c r="AF20" s="15">
        <v>1.744845</v>
      </c>
      <c r="AH20" s="15">
        <v>0.74134219999999995</v>
      </c>
      <c r="AI20" s="15">
        <v>0.33901120000000001</v>
      </c>
      <c r="AJ20" s="15">
        <v>1.621151</v>
      </c>
      <c r="AK20" s="175"/>
    </row>
    <row r="21" spans="1:38" ht="16.2" x14ac:dyDescent="0.3">
      <c r="A21" s="20" t="s">
        <v>128</v>
      </c>
      <c r="B21" s="10" t="s">
        <v>18</v>
      </c>
      <c r="C21" s="10">
        <v>1.0337730000000001</v>
      </c>
      <c r="D21" s="10">
        <v>1.867059</v>
      </c>
      <c r="F21" s="13" t="s">
        <v>120</v>
      </c>
      <c r="G21" s="13">
        <v>1.0198130000000001</v>
      </c>
      <c r="H21" s="13">
        <v>1.8433269999999999</v>
      </c>
      <c r="I21" s="13"/>
      <c r="J21" s="13"/>
      <c r="K21" s="13"/>
      <c r="L21" s="13"/>
      <c r="M21" s="13"/>
      <c r="N21" s="108" t="s">
        <v>260</v>
      </c>
      <c r="O21" s="108">
        <v>0.96218340000000002</v>
      </c>
      <c r="P21" s="108">
        <v>1.749498</v>
      </c>
      <c r="Q21" s="13"/>
      <c r="R21" s="13">
        <v>1.285175</v>
      </c>
      <c r="S21" s="13">
        <v>0.94836350000000003</v>
      </c>
      <c r="T21" s="13">
        <v>1.741606</v>
      </c>
      <c r="U21" s="13"/>
      <c r="V21" s="13">
        <v>1.20123</v>
      </c>
      <c r="W21" s="13">
        <v>0.88418240000000003</v>
      </c>
      <c r="X21" s="13">
        <v>1.631964</v>
      </c>
      <c r="Y21" s="13"/>
      <c r="Z21" s="13">
        <v>1.0626770000000001</v>
      </c>
      <c r="AA21" s="13">
        <v>0.77722080000000004</v>
      </c>
      <c r="AB21" s="13">
        <v>1.452974</v>
      </c>
      <c r="AC21" s="13"/>
      <c r="AD21" s="15">
        <v>0.96682760000000001</v>
      </c>
      <c r="AE21" s="15">
        <v>0.69744890000000004</v>
      </c>
      <c r="AF21" s="15">
        <v>1.3402499999999999</v>
      </c>
      <c r="AH21" s="15">
        <v>0.93428160000000005</v>
      </c>
      <c r="AI21" s="15">
        <v>0.66974080000000002</v>
      </c>
      <c r="AJ21" s="15">
        <v>1.3033129999999999</v>
      </c>
      <c r="AK21" s="175"/>
    </row>
    <row r="22" spans="1:38" x14ac:dyDescent="0.3">
      <c r="A22" s="18" t="s">
        <v>44</v>
      </c>
      <c r="D22" s="6"/>
      <c r="E22" s="6"/>
      <c r="F22" s="13"/>
      <c r="G22" s="13"/>
      <c r="H22" s="13"/>
      <c r="I22" s="13"/>
      <c r="J22" s="13"/>
      <c r="K22" s="13"/>
      <c r="L22" s="13"/>
      <c r="M22" s="13"/>
      <c r="N22" s="13"/>
      <c r="O22" s="13"/>
      <c r="P22" s="13"/>
      <c r="Q22" s="13"/>
      <c r="R22" s="13"/>
      <c r="S22" s="13"/>
      <c r="T22" s="13"/>
      <c r="U22" s="13"/>
      <c r="Y22" s="13"/>
      <c r="Z22" s="13"/>
      <c r="AA22" s="13"/>
      <c r="AB22" s="13"/>
      <c r="AC22" s="13"/>
      <c r="AK22" s="175"/>
    </row>
    <row r="23" spans="1:38" ht="16.2" x14ac:dyDescent="0.3">
      <c r="A23" s="20" t="s">
        <v>43</v>
      </c>
      <c r="B23" s="10" t="s">
        <v>22</v>
      </c>
      <c r="C23" s="10">
        <v>1.0423640000000001</v>
      </c>
      <c r="D23" s="10">
        <v>3.310441</v>
      </c>
      <c r="E23" s="10"/>
      <c r="F23" s="108" t="s">
        <v>129</v>
      </c>
      <c r="G23" s="108">
        <v>1.0320659999999999</v>
      </c>
      <c r="H23" s="108">
        <v>3.2714660000000002</v>
      </c>
      <c r="I23" s="13"/>
      <c r="J23" s="108" t="s">
        <v>129</v>
      </c>
      <c r="K23" s="108">
        <v>1.0320659999999999</v>
      </c>
      <c r="L23" s="108">
        <v>3.2714660000000002</v>
      </c>
      <c r="M23" s="13"/>
      <c r="N23" s="13" t="s">
        <v>261</v>
      </c>
      <c r="O23" s="13">
        <v>0.97775179999999995</v>
      </c>
      <c r="P23" s="13">
        <v>3.1238929999999998</v>
      </c>
      <c r="Q23" s="13"/>
      <c r="R23" s="13">
        <v>1.60459</v>
      </c>
      <c r="S23" s="13">
        <v>0.88439350000000005</v>
      </c>
      <c r="T23" s="13">
        <v>2.9112710000000002</v>
      </c>
      <c r="U23" s="13"/>
      <c r="V23" s="13">
        <v>1.4337299999999999</v>
      </c>
      <c r="W23" s="13">
        <v>0.78762129999999997</v>
      </c>
      <c r="X23" s="13">
        <v>2.6098599999999998</v>
      </c>
      <c r="Y23" s="13"/>
      <c r="Z23" s="13">
        <v>1.078489</v>
      </c>
      <c r="AA23" s="13">
        <v>0.58204310000000004</v>
      </c>
      <c r="AB23" s="13">
        <v>1.9983709999999999</v>
      </c>
      <c r="AC23" s="13"/>
      <c r="AD23" s="15">
        <v>1.0166470000000001</v>
      </c>
      <c r="AE23" s="15">
        <v>0.54304260000000004</v>
      </c>
      <c r="AF23" s="15">
        <v>1.9032979999999999</v>
      </c>
      <c r="AH23" s="15">
        <v>1.0505930000000001</v>
      </c>
      <c r="AI23" s="15">
        <v>0.55719030000000003</v>
      </c>
      <c r="AJ23" s="15">
        <v>1.980915</v>
      </c>
      <c r="AK23" s="175"/>
    </row>
    <row r="24" spans="1:38" x14ac:dyDescent="0.3">
      <c r="A24" s="20" t="s">
        <v>35</v>
      </c>
      <c r="B24" s="10" t="s">
        <v>45</v>
      </c>
      <c r="C24" s="10">
        <v>1.1280129999999999</v>
      </c>
      <c r="D24" s="10">
        <v>2.2450580000000002</v>
      </c>
      <c r="E24" s="10"/>
      <c r="F24" s="108" t="s">
        <v>130</v>
      </c>
      <c r="G24" s="108">
        <v>1.114601</v>
      </c>
      <c r="H24" s="108">
        <v>2.2146249999999998</v>
      </c>
      <c r="I24" s="13"/>
      <c r="J24" s="108" t="s">
        <v>130</v>
      </c>
      <c r="K24" s="108">
        <v>1.114601</v>
      </c>
      <c r="L24" s="108">
        <v>2.2146249999999998</v>
      </c>
      <c r="M24" s="13"/>
      <c r="N24" s="13" t="s">
        <v>259</v>
      </c>
      <c r="O24" s="13">
        <v>1.0729120000000001</v>
      </c>
      <c r="P24" s="13">
        <v>2.1421230000000002</v>
      </c>
      <c r="Q24" s="13"/>
      <c r="R24" s="13" t="s">
        <v>223</v>
      </c>
      <c r="S24" s="13">
        <v>1.050934</v>
      </c>
      <c r="T24" s="13">
        <v>2.1040619999999999</v>
      </c>
      <c r="U24" s="13"/>
      <c r="V24" s="13">
        <v>1.33666</v>
      </c>
      <c r="W24" s="13">
        <v>0.94154990000000005</v>
      </c>
      <c r="X24" s="13">
        <v>1.8975740000000001</v>
      </c>
      <c r="Y24" s="13"/>
      <c r="Z24" s="13">
        <v>0.96840910000000002</v>
      </c>
      <c r="AA24" s="13">
        <v>0.67142179999999996</v>
      </c>
      <c r="AB24" s="13">
        <v>1.3967620000000001</v>
      </c>
      <c r="AC24" s="13"/>
      <c r="AD24" s="15">
        <v>0.91564310000000004</v>
      </c>
      <c r="AE24" s="15">
        <v>0.62968120000000005</v>
      </c>
      <c r="AF24" s="15">
        <v>1.3314710000000001</v>
      </c>
      <c r="AH24" s="15">
        <v>0.91250560000000003</v>
      </c>
      <c r="AI24" s="15">
        <v>0.62438419999999994</v>
      </c>
      <c r="AJ24" s="15">
        <v>1.33358</v>
      </c>
      <c r="AK24" s="175"/>
    </row>
    <row r="25" spans="1:38" x14ac:dyDescent="0.3">
      <c r="A25" s="20" t="s">
        <v>90</v>
      </c>
      <c r="B25" s="10"/>
      <c r="C25" s="10"/>
      <c r="D25" s="10"/>
      <c r="E25" s="6"/>
      <c r="F25" s="13"/>
      <c r="G25" s="13"/>
      <c r="H25" s="13"/>
      <c r="I25" s="13"/>
      <c r="J25" s="13"/>
      <c r="K25" s="13"/>
      <c r="L25" s="13"/>
      <c r="M25" s="13"/>
      <c r="N25" s="13"/>
      <c r="O25" s="13"/>
      <c r="P25" s="13"/>
      <c r="Q25" s="13"/>
      <c r="R25" s="13"/>
      <c r="S25" s="13"/>
      <c r="T25" s="13"/>
      <c r="U25" s="13"/>
      <c r="Y25" s="13"/>
      <c r="Z25" s="13"/>
      <c r="AA25" s="13"/>
      <c r="AB25" s="13"/>
      <c r="AC25" s="13"/>
      <c r="AK25" s="175"/>
    </row>
    <row r="26" spans="1:38" x14ac:dyDescent="0.3">
      <c r="A26" s="18" t="s">
        <v>7</v>
      </c>
    </row>
    <row r="27" spans="1:38" x14ac:dyDescent="0.3">
      <c r="A27" s="20" t="s">
        <v>185</v>
      </c>
      <c r="B27" s="10" t="s">
        <v>46</v>
      </c>
      <c r="C27" s="10">
        <v>1.637826</v>
      </c>
      <c r="D27" s="10">
        <v>4.3362959999999999</v>
      </c>
      <c r="F27" s="10" t="s">
        <v>46</v>
      </c>
      <c r="G27" s="10">
        <v>1.6485000000000001</v>
      </c>
      <c r="H27" s="10">
        <v>4.2846450000000003</v>
      </c>
      <c r="V27" s="108" t="s">
        <v>131</v>
      </c>
      <c r="W27" s="108">
        <v>1.47743</v>
      </c>
      <c r="X27" s="108">
        <v>3.903168</v>
      </c>
      <c r="Z27" s="108" t="s">
        <v>194</v>
      </c>
      <c r="AA27" s="108">
        <v>1.2959909999999999</v>
      </c>
      <c r="AB27" s="108">
        <v>3.459613</v>
      </c>
      <c r="AD27" s="15" t="s">
        <v>147</v>
      </c>
      <c r="AE27" s="15">
        <v>1.3150710000000001</v>
      </c>
      <c r="AF27" s="15">
        <v>3.551822</v>
      </c>
      <c r="AH27" s="15" t="s">
        <v>150</v>
      </c>
      <c r="AI27" s="15">
        <v>1.27216</v>
      </c>
      <c r="AJ27" s="15">
        <v>3.4909829999999999</v>
      </c>
    </row>
    <row r="28" spans="1:38" x14ac:dyDescent="0.3">
      <c r="A28" s="20" t="s">
        <v>362</v>
      </c>
      <c r="F28" s="13"/>
      <c r="G28" s="13"/>
      <c r="H28" s="13"/>
      <c r="I28" s="13"/>
      <c r="J28" s="13"/>
      <c r="K28" s="13"/>
      <c r="L28" s="13"/>
      <c r="M28" s="13"/>
      <c r="N28" s="13"/>
      <c r="O28" s="13"/>
      <c r="P28" s="13"/>
      <c r="Q28" s="13"/>
      <c r="R28" s="13"/>
      <c r="S28" s="13"/>
      <c r="T28" s="13"/>
      <c r="U28" s="13"/>
      <c r="V28" s="13"/>
      <c r="W28" s="13"/>
      <c r="X28" s="13"/>
      <c r="Y28" s="13"/>
      <c r="Z28" s="13"/>
      <c r="AA28" s="13"/>
      <c r="AB28" s="13"/>
      <c r="AC28" s="13"/>
      <c r="AK28" s="175"/>
    </row>
    <row r="29" spans="1:38" x14ac:dyDescent="0.3">
      <c r="A29" s="162" t="s">
        <v>219</v>
      </c>
      <c r="B29" s="103"/>
      <c r="C29" s="103"/>
      <c r="D29" s="165"/>
      <c r="E29" s="165"/>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71"/>
      <c r="AE29" s="171"/>
      <c r="AF29" s="171"/>
      <c r="AG29" s="171"/>
      <c r="AH29" s="171"/>
      <c r="AI29" s="171"/>
      <c r="AJ29" s="171"/>
      <c r="AK29" s="175"/>
    </row>
    <row r="30" spans="1:38" x14ac:dyDescent="0.3">
      <c r="A30" s="21" t="s">
        <v>334</v>
      </c>
      <c r="B30" s="11" t="s">
        <v>72</v>
      </c>
      <c r="C30" s="11">
        <v>0.4346063</v>
      </c>
      <c r="D30" s="11">
        <v>0.61271549999999997</v>
      </c>
      <c r="E30" s="9"/>
      <c r="F30" s="10" t="s">
        <v>134</v>
      </c>
      <c r="G30" s="10">
        <v>0.428066</v>
      </c>
      <c r="H30" s="10">
        <v>0.59649640000000004</v>
      </c>
      <c r="Z30" s="108" t="s">
        <v>224</v>
      </c>
      <c r="AA30" s="108">
        <v>0.44292160000000003</v>
      </c>
      <c r="AB30" s="108">
        <v>0.62983869999999997</v>
      </c>
      <c r="AD30" s="15" t="s">
        <v>148</v>
      </c>
      <c r="AE30" s="15">
        <v>0.45777240000000002</v>
      </c>
      <c r="AF30" s="15">
        <v>0.66029199999999999</v>
      </c>
      <c r="AH30" s="15" t="s">
        <v>151</v>
      </c>
      <c r="AI30" s="15">
        <v>0.47050229999999998</v>
      </c>
      <c r="AJ30" s="15">
        <v>0.69124719999999995</v>
      </c>
    </row>
    <row r="31" spans="1:38" x14ac:dyDescent="0.3">
      <c r="A31" s="18" t="s">
        <v>268</v>
      </c>
      <c r="B31" s="16">
        <v>0.89843419999999996</v>
      </c>
      <c r="C31" s="16">
        <v>0.77703359999999999</v>
      </c>
      <c r="D31" s="16">
        <v>1.038802</v>
      </c>
      <c r="E31" s="9"/>
      <c r="F31" s="15">
        <v>0.90175280000000002</v>
      </c>
      <c r="G31" s="15">
        <v>0.78294819999999998</v>
      </c>
      <c r="H31" s="15">
        <v>1.0385850000000001</v>
      </c>
      <c r="AD31" s="15">
        <v>0.92784929999999999</v>
      </c>
      <c r="AE31" s="15">
        <v>0.79110239999999998</v>
      </c>
      <c r="AF31" s="15">
        <v>1.0882339999999999</v>
      </c>
      <c r="AH31" s="15">
        <v>0.91603900000000005</v>
      </c>
      <c r="AI31" s="15">
        <v>0.78005469999999999</v>
      </c>
      <c r="AJ31" s="15">
        <v>1.0757289999999999</v>
      </c>
    </row>
    <row r="32" spans="1:38" ht="16.2" x14ac:dyDescent="0.3">
      <c r="A32" s="116" t="s">
        <v>266</v>
      </c>
      <c r="B32" s="10" t="s">
        <v>73</v>
      </c>
      <c r="C32" s="10">
        <v>1.027393</v>
      </c>
      <c r="D32" s="10">
        <v>1.142055</v>
      </c>
      <c r="F32" s="10" t="s">
        <v>107</v>
      </c>
      <c r="G32" s="10">
        <v>1.033684</v>
      </c>
      <c r="H32" s="10">
        <v>1.147732</v>
      </c>
      <c r="AD32" s="110" t="s">
        <v>149</v>
      </c>
      <c r="AE32" s="110">
        <v>1.00238</v>
      </c>
      <c r="AF32" s="110">
        <v>1.126476</v>
      </c>
      <c r="AH32" s="15" t="s">
        <v>152</v>
      </c>
      <c r="AI32" s="15">
        <v>0.99903379999999997</v>
      </c>
      <c r="AJ32" s="15">
        <v>1.1666209999999999</v>
      </c>
    </row>
    <row r="33" spans="1:37" x14ac:dyDescent="0.3">
      <c r="A33" s="18" t="s">
        <v>38</v>
      </c>
    </row>
    <row r="34" spans="1:37" x14ac:dyDescent="0.3">
      <c r="A34" s="20" t="s">
        <v>15</v>
      </c>
    </row>
    <row r="35" spans="1:37" x14ac:dyDescent="0.3">
      <c r="A35" s="20" t="s">
        <v>2</v>
      </c>
      <c r="B35" s="10" t="s">
        <v>71</v>
      </c>
      <c r="C35" s="10">
        <v>1.0468550000000001</v>
      </c>
      <c r="D35" s="10">
        <v>2.8569810000000002</v>
      </c>
      <c r="F35" s="13" t="s">
        <v>133</v>
      </c>
      <c r="G35" s="15">
        <v>1.3194859999999999</v>
      </c>
      <c r="H35" s="15">
        <v>3.3428870000000002</v>
      </c>
      <c r="I35" s="15"/>
      <c r="J35" s="15"/>
      <c r="K35" s="15"/>
      <c r="L35" s="15"/>
      <c r="M35" s="15"/>
      <c r="N35" s="15"/>
      <c r="O35" s="15"/>
      <c r="P35" s="15"/>
      <c r="Q35" s="15"/>
      <c r="R35" s="15"/>
      <c r="S35" s="15"/>
      <c r="T35" s="15"/>
      <c r="U35" s="15"/>
      <c r="V35" s="15"/>
      <c r="W35" s="15"/>
      <c r="X35" s="15"/>
      <c r="Y35" s="15"/>
      <c r="Z35" s="15"/>
      <c r="AA35" s="15"/>
      <c r="AB35" s="15"/>
      <c r="AC35" s="15"/>
      <c r="AD35" s="110" t="s">
        <v>129</v>
      </c>
      <c r="AE35" s="110">
        <v>1.0989880000000001</v>
      </c>
      <c r="AF35" s="110">
        <v>3.0930369999999998</v>
      </c>
      <c r="AH35" s="15">
        <v>1.4583440000000001</v>
      </c>
      <c r="AI35" s="15">
        <v>0.73147790000000001</v>
      </c>
      <c r="AJ35" s="15">
        <v>2.9074949999999999</v>
      </c>
    </row>
    <row r="36" spans="1:37" x14ac:dyDescent="0.3">
      <c r="A36" s="111" t="s">
        <v>94</v>
      </c>
      <c r="B36" s="10"/>
      <c r="C36" s="10"/>
      <c r="D36" s="10"/>
    </row>
    <row r="37" spans="1:37" x14ac:dyDescent="0.3">
      <c r="A37" s="20" t="s">
        <v>15</v>
      </c>
      <c r="B37" s="10"/>
      <c r="C37" s="10"/>
      <c r="D37" s="10"/>
    </row>
    <row r="38" spans="1:37" x14ac:dyDescent="0.3">
      <c r="A38" s="20" t="s">
        <v>2</v>
      </c>
      <c r="B38" s="10">
        <v>0.87852229999999998</v>
      </c>
      <c r="C38" s="10">
        <v>0.54533120000000002</v>
      </c>
      <c r="D38" s="10">
        <v>1.415289</v>
      </c>
      <c r="F38" s="13">
        <v>1.04664</v>
      </c>
      <c r="G38" s="13">
        <v>0.68727229999999995</v>
      </c>
      <c r="H38" s="13">
        <v>1.5939160000000001</v>
      </c>
      <c r="I38" s="13"/>
      <c r="J38" s="13"/>
      <c r="K38" s="13"/>
      <c r="L38" s="13"/>
      <c r="M38" s="13"/>
      <c r="N38" s="13"/>
      <c r="O38" s="13"/>
      <c r="P38" s="13"/>
      <c r="Q38" s="13"/>
      <c r="R38" s="13"/>
      <c r="S38" s="13"/>
      <c r="T38" s="13"/>
      <c r="U38" s="13"/>
      <c r="V38" s="13"/>
      <c r="W38" s="13"/>
      <c r="X38" s="13"/>
      <c r="Y38" s="13"/>
      <c r="Z38" s="13"/>
      <c r="AA38" s="13"/>
      <c r="AB38" s="13"/>
      <c r="AC38" s="13"/>
      <c r="AD38" s="15">
        <v>0.95223930000000001</v>
      </c>
      <c r="AE38" s="15">
        <v>0.59360950000000001</v>
      </c>
      <c r="AF38" s="15">
        <v>1.5275350000000001</v>
      </c>
      <c r="AH38" s="15">
        <v>0.93408469999999999</v>
      </c>
      <c r="AI38" s="15">
        <v>0.56703269999999995</v>
      </c>
      <c r="AJ38" s="15">
        <v>1.538737</v>
      </c>
      <c r="AK38" s="176"/>
    </row>
    <row r="39" spans="1:37" x14ac:dyDescent="0.3">
      <c r="A39" s="21" t="s">
        <v>95</v>
      </c>
      <c r="B39" s="10"/>
      <c r="C39" s="10"/>
      <c r="D39" s="10"/>
    </row>
    <row r="40" spans="1:37" x14ac:dyDescent="0.3">
      <c r="A40" s="117" t="s">
        <v>102</v>
      </c>
      <c r="B40" s="10"/>
      <c r="C40" s="10"/>
      <c r="D40" s="10"/>
    </row>
    <row r="41" spans="1:37" x14ac:dyDescent="0.3">
      <c r="A41" s="117" t="s">
        <v>186</v>
      </c>
      <c r="B41" s="10">
        <v>0.69364130000000002</v>
      </c>
      <c r="C41" s="10">
        <v>0.3750272</v>
      </c>
      <c r="D41" s="10">
        <v>1.2829429999999999</v>
      </c>
      <c r="F41" s="13">
        <v>0.64398599999999995</v>
      </c>
      <c r="G41" s="13">
        <v>0.3348893</v>
      </c>
      <c r="H41" s="13">
        <v>1.2383729999999999</v>
      </c>
      <c r="I41" s="13"/>
      <c r="J41" s="13"/>
      <c r="K41" s="13"/>
      <c r="L41" s="13"/>
      <c r="M41" s="13"/>
      <c r="N41" s="13"/>
      <c r="O41" s="13"/>
      <c r="P41" s="13"/>
      <c r="Q41" s="13"/>
      <c r="R41" s="13"/>
      <c r="S41" s="13"/>
      <c r="T41" s="13"/>
      <c r="U41" s="13"/>
      <c r="V41" s="13"/>
      <c r="W41" s="13"/>
      <c r="X41" s="13"/>
      <c r="Y41" s="13"/>
      <c r="Z41" s="13"/>
      <c r="AA41" s="13"/>
      <c r="AB41" s="13"/>
      <c r="AC41" s="13"/>
      <c r="AD41" s="15">
        <v>0.73152839999999997</v>
      </c>
      <c r="AE41" s="15">
        <v>0.36861460000000001</v>
      </c>
      <c r="AF41" s="15">
        <v>1.451743</v>
      </c>
      <c r="AH41" s="15">
        <v>0.75631179999999998</v>
      </c>
      <c r="AI41" s="15">
        <v>0.36851840000000002</v>
      </c>
      <c r="AJ41" s="15">
        <v>1.552182</v>
      </c>
      <c r="AK41" s="176"/>
    </row>
    <row r="42" spans="1:37" ht="28.8" x14ac:dyDescent="0.3">
      <c r="A42" s="129" t="s">
        <v>187</v>
      </c>
      <c r="B42" s="13" t="s">
        <v>123</v>
      </c>
      <c r="C42" s="13">
        <v>0.99583200000000005</v>
      </c>
      <c r="D42" s="13">
        <v>1.3035909999999999</v>
      </c>
      <c r="F42" s="10" t="s">
        <v>123</v>
      </c>
      <c r="G42" s="10">
        <v>0.99383169999999998</v>
      </c>
      <c r="H42" s="10">
        <v>1.2988900000000001</v>
      </c>
      <c r="AD42" s="15">
        <v>1.0881179999999999</v>
      </c>
      <c r="AE42" s="15">
        <v>0.94278479999999998</v>
      </c>
      <c r="AF42" s="15">
        <v>1.255854</v>
      </c>
      <c r="AH42" s="15">
        <v>1.0786439999999999</v>
      </c>
      <c r="AI42" s="15">
        <v>0.92875399999999997</v>
      </c>
      <c r="AJ42" s="15">
        <v>1.252726</v>
      </c>
    </row>
    <row r="43" spans="1:37" x14ac:dyDescent="0.3">
      <c r="A43" s="173" t="s">
        <v>220</v>
      </c>
      <c r="B43" s="157"/>
      <c r="C43" s="157"/>
      <c r="D43" s="157"/>
      <c r="E43" s="165"/>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74"/>
      <c r="AE43" s="174"/>
      <c r="AF43" s="174"/>
      <c r="AG43" s="171"/>
      <c r="AH43" s="174"/>
      <c r="AI43" s="174"/>
      <c r="AJ43" s="174"/>
    </row>
    <row r="44" spans="1:37" ht="16.2" x14ac:dyDescent="0.3">
      <c r="A44" s="116" t="s">
        <v>270</v>
      </c>
      <c r="B44" s="11" t="s">
        <v>76</v>
      </c>
      <c r="C44" s="10">
        <v>1.002073</v>
      </c>
      <c r="D44" s="10">
        <v>1.066336</v>
      </c>
      <c r="F44" s="10" t="s">
        <v>111</v>
      </c>
      <c r="G44" s="10">
        <v>0.99623260000000002</v>
      </c>
      <c r="H44" s="10">
        <v>1.060848</v>
      </c>
      <c r="AH44" s="15">
        <v>0.9822727</v>
      </c>
      <c r="AI44" s="15">
        <v>0.93671870000000002</v>
      </c>
      <c r="AJ44" s="15">
        <v>1.0300419999999999</v>
      </c>
    </row>
    <row r="45" spans="1:37" x14ac:dyDescent="0.3">
      <c r="A45" s="21" t="s">
        <v>81</v>
      </c>
      <c r="B45" s="13"/>
      <c r="C45" s="10"/>
      <c r="D45" s="10"/>
    </row>
    <row r="46" spans="1:37" x14ac:dyDescent="0.3">
      <c r="A46" s="20" t="s">
        <v>14</v>
      </c>
      <c r="B46" s="13"/>
      <c r="C46" s="10"/>
      <c r="D46" s="10"/>
      <c r="F46" s="13"/>
    </row>
    <row r="47" spans="1:37" x14ac:dyDescent="0.3">
      <c r="A47" s="20" t="s">
        <v>4</v>
      </c>
      <c r="B47" s="13">
        <v>1.1127050000000001</v>
      </c>
      <c r="C47" s="10">
        <v>0.71074499999999996</v>
      </c>
      <c r="D47" s="10">
        <v>1.741992</v>
      </c>
      <c r="F47" s="13">
        <v>1.1420809999999999</v>
      </c>
      <c r="G47" s="13">
        <v>0.7327226</v>
      </c>
      <c r="H47" s="13">
        <v>1.7801419999999999</v>
      </c>
      <c r="I47" s="13"/>
      <c r="J47" s="13"/>
      <c r="K47" s="13"/>
      <c r="L47" s="13"/>
      <c r="M47" s="13"/>
      <c r="N47" s="13"/>
      <c r="O47" s="13"/>
      <c r="P47" s="13"/>
      <c r="Q47" s="13"/>
      <c r="R47" s="13"/>
      <c r="S47" s="13"/>
      <c r="T47" s="13"/>
      <c r="U47" s="13"/>
      <c r="V47" s="13"/>
      <c r="W47" s="13"/>
      <c r="X47" s="13"/>
      <c r="Y47" s="13"/>
      <c r="Z47" s="13"/>
      <c r="AA47" s="13"/>
      <c r="AB47" s="13"/>
      <c r="AC47" s="13"/>
      <c r="AH47" s="15">
        <v>1.081558</v>
      </c>
      <c r="AI47" s="15">
        <v>0.65698690000000004</v>
      </c>
      <c r="AJ47" s="15">
        <v>1.7805029999999999</v>
      </c>
      <c r="AK47" s="176"/>
    </row>
    <row r="48" spans="1:37" x14ac:dyDescent="0.3">
      <c r="A48" s="20" t="s">
        <v>5</v>
      </c>
      <c r="B48" s="16" t="s">
        <v>77</v>
      </c>
      <c r="C48" s="10">
        <v>1.5913820000000001</v>
      </c>
      <c r="D48" s="10">
        <v>3.1245690000000002</v>
      </c>
      <c r="F48" s="14" t="s">
        <v>108</v>
      </c>
      <c r="G48" s="13">
        <v>1.569712</v>
      </c>
      <c r="H48" s="13">
        <v>3.101801</v>
      </c>
      <c r="I48" s="13"/>
      <c r="J48" s="13"/>
      <c r="K48" s="13"/>
      <c r="L48" s="13"/>
      <c r="M48" s="13"/>
      <c r="N48" s="13"/>
      <c r="O48" s="13"/>
      <c r="P48" s="13"/>
      <c r="Q48" s="13"/>
      <c r="R48" s="13"/>
      <c r="S48" s="13"/>
      <c r="T48" s="13"/>
      <c r="U48" s="13"/>
      <c r="V48" s="13"/>
      <c r="W48" s="13"/>
      <c r="X48" s="13"/>
      <c r="Y48" s="13"/>
      <c r="Z48" s="13"/>
      <c r="AA48" s="13"/>
      <c r="AB48" s="13"/>
      <c r="AC48" s="13"/>
      <c r="AH48" s="15">
        <v>1.4921899999999999</v>
      </c>
      <c r="AI48" s="92">
        <v>0.89336470000000001</v>
      </c>
      <c r="AJ48" s="15">
        <v>2.49241</v>
      </c>
      <c r="AK48" s="176"/>
    </row>
    <row r="49" spans="1:38" x14ac:dyDescent="0.3">
      <c r="A49" s="116" t="s">
        <v>82</v>
      </c>
      <c r="B49" s="13"/>
      <c r="C49" s="12"/>
      <c r="D49" s="12"/>
      <c r="E49" s="94"/>
    </row>
    <row r="50" spans="1:38" x14ac:dyDescent="0.3">
      <c r="A50" s="19" t="s">
        <v>19</v>
      </c>
      <c r="B50" s="13"/>
      <c r="C50" s="12"/>
      <c r="D50" s="12"/>
      <c r="E50" s="94"/>
    </row>
    <row r="51" spans="1:38" x14ac:dyDescent="0.3">
      <c r="A51" s="20" t="s">
        <v>177</v>
      </c>
      <c r="B51" s="13" t="s">
        <v>78</v>
      </c>
      <c r="C51" s="13">
        <v>0.3468465</v>
      </c>
      <c r="D51" s="13">
        <v>0.94237380000000004</v>
      </c>
      <c r="E51" s="94"/>
      <c r="F51" s="13" t="s">
        <v>109</v>
      </c>
      <c r="G51" s="13">
        <v>0.37014999999999998</v>
      </c>
      <c r="H51" s="13">
        <v>0.9807401</v>
      </c>
      <c r="I51" s="13"/>
      <c r="J51" s="13"/>
      <c r="K51" s="13"/>
      <c r="L51" s="13"/>
      <c r="M51" s="13"/>
      <c r="N51" s="13"/>
      <c r="O51" s="13"/>
      <c r="P51" s="13"/>
      <c r="Q51" s="13"/>
      <c r="R51" s="13"/>
      <c r="S51" s="13"/>
      <c r="T51" s="13"/>
      <c r="U51" s="13"/>
      <c r="V51" s="13"/>
      <c r="W51" s="13"/>
      <c r="X51" s="13"/>
      <c r="Y51" s="13"/>
      <c r="Z51" s="13"/>
      <c r="AA51" s="13"/>
      <c r="AB51" s="13"/>
      <c r="AC51" s="13"/>
      <c r="AH51" s="15">
        <v>0.72457970000000005</v>
      </c>
      <c r="AI51" s="15">
        <v>0.42641420000000002</v>
      </c>
      <c r="AJ51" s="15">
        <v>1.2312339999999999</v>
      </c>
    </row>
    <row r="52" spans="1:38" x14ac:dyDescent="0.3">
      <c r="A52" s="20" t="s">
        <v>176</v>
      </c>
      <c r="B52" s="13" t="s">
        <v>79</v>
      </c>
      <c r="C52" s="13">
        <v>0.46593279999999998</v>
      </c>
      <c r="D52" s="13">
        <v>0.91678029999999999</v>
      </c>
      <c r="E52" s="94"/>
      <c r="F52" s="13" t="s">
        <v>79</v>
      </c>
      <c r="G52" s="13">
        <v>0.47123179999999998</v>
      </c>
      <c r="H52" s="13">
        <v>0.92273519999999998</v>
      </c>
      <c r="I52" s="13"/>
      <c r="J52" s="13"/>
      <c r="K52" s="13"/>
      <c r="L52" s="13"/>
      <c r="M52" s="13"/>
      <c r="N52" s="13"/>
      <c r="O52" s="13"/>
      <c r="P52" s="13"/>
      <c r="Q52" s="13"/>
      <c r="R52" s="13"/>
      <c r="S52" s="13"/>
      <c r="T52" s="13"/>
      <c r="U52" s="13"/>
      <c r="V52" s="13"/>
      <c r="W52" s="13"/>
      <c r="X52" s="13"/>
      <c r="Y52" s="13"/>
      <c r="Z52" s="13"/>
      <c r="AA52" s="13"/>
      <c r="AB52" s="13"/>
      <c r="AC52" s="13"/>
      <c r="AH52" s="15">
        <v>1.0072650000000001</v>
      </c>
      <c r="AI52" s="15">
        <v>0.68534740000000005</v>
      </c>
      <c r="AJ52" s="15">
        <v>1.4803919999999999</v>
      </c>
    </row>
    <row r="53" spans="1:38" x14ac:dyDescent="0.3">
      <c r="A53" s="21" t="s">
        <v>188</v>
      </c>
      <c r="B53" s="13"/>
      <c r="C53" s="13"/>
      <c r="D53" s="13"/>
      <c r="E53" s="94"/>
      <c r="F53" s="12"/>
      <c r="G53" s="12"/>
      <c r="H53" s="12"/>
      <c r="I53" s="12"/>
      <c r="J53" s="12"/>
      <c r="K53" s="12"/>
      <c r="L53" s="12"/>
      <c r="M53" s="12"/>
      <c r="N53" s="12"/>
      <c r="O53" s="12"/>
      <c r="P53" s="12"/>
      <c r="Q53" s="12"/>
      <c r="R53" s="12"/>
      <c r="S53" s="12"/>
      <c r="T53" s="12"/>
      <c r="U53" s="12"/>
      <c r="V53" s="12"/>
      <c r="W53" s="12"/>
      <c r="X53" s="12"/>
      <c r="Y53" s="12"/>
      <c r="Z53" s="12"/>
      <c r="AA53" s="12"/>
      <c r="AB53" s="12"/>
      <c r="AC53" s="12"/>
    </row>
    <row r="54" spans="1:38" x14ac:dyDescent="0.3">
      <c r="A54" s="19" t="s">
        <v>19</v>
      </c>
      <c r="B54" s="22"/>
    </row>
    <row r="55" spans="1:38" x14ac:dyDescent="0.3">
      <c r="A55" s="117" t="s">
        <v>179</v>
      </c>
      <c r="B55" s="13">
        <v>0.99005639999999995</v>
      </c>
      <c r="C55" s="13">
        <v>0.51751579999999997</v>
      </c>
      <c r="D55" s="13">
        <v>1.8940710000000001</v>
      </c>
      <c r="F55" s="10">
        <v>0.96977650000000004</v>
      </c>
      <c r="G55" s="10">
        <v>0.51254310000000003</v>
      </c>
      <c r="H55" s="10">
        <v>1.834902</v>
      </c>
      <c r="AH55" s="15">
        <v>1.2397119999999999</v>
      </c>
      <c r="AI55" s="15">
        <v>0.62416919999999998</v>
      </c>
      <c r="AJ55" s="15">
        <v>2.4622899999999999</v>
      </c>
    </row>
    <row r="56" spans="1:38" x14ac:dyDescent="0.3">
      <c r="A56" s="117" t="s">
        <v>178</v>
      </c>
      <c r="B56" s="13" t="s">
        <v>126</v>
      </c>
      <c r="C56" s="13">
        <v>0.40457280000000001</v>
      </c>
      <c r="D56" s="13">
        <v>0.7785706</v>
      </c>
      <c r="F56" s="15" t="s">
        <v>117</v>
      </c>
      <c r="G56" s="15">
        <v>0.40147500000000003</v>
      </c>
      <c r="H56" s="15">
        <v>0.77039489999999999</v>
      </c>
      <c r="I56" s="15"/>
      <c r="J56" s="15"/>
      <c r="K56" s="15"/>
      <c r="L56" s="15"/>
      <c r="M56" s="15"/>
      <c r="N56" s="15"/>
      <c r="O56" s="15"/>
      <c r="P56" s="15"/>
      <c r="Q56" s="15"/>
      <c r="R56" s="15"/>
      <c r="S56" s="15"/>
      <c r="T56" s="15"/>
      <c r="U56" s="15"/>
      <c r="V56" s="15"/>
      <c r="W56" s="15"/>
      <c r="X56" s="15"/>
      <c r="Y56" s="15"/>
      <c r="Z56" s="15"/>
      <c r="AA56" s="15"/>
      <c r="AB56" s="15"/>
      <c r="AC56" s="15"/>
      <c r="AH56" s="110" t="s">
        <v>153</v>
      </c>
      <c r="AI56" s="110">
        <v>0.45443810000000001</v>
      </c>
      <c r="AJ56" s="110">
        <v>0.91420069999999998</v>
      </c>
      <c r="AK56" s="176"/>
    </row>
    <row r="57" spans="1:38" x14ac:dyDescent="0.3">
      <c r="A57" s="21" t="s">
        <v>189</v>
      </c>
      <c r="B57" s="13"/>
      <c r="C57" s="10"/>
      <c r="D57" s="10"/>
    </row>
    <row r="58" spans="1:38" x14ac:dyDescent="0.3">
      <c r="A58" s="19" t="s">
        <v>15</v>
      </c>
      <c r="B58" s="13"/>
      <c r="C58" s="10"/>
      <c r="D58" s="10"/>
    </row>
    <row r="59" spans="1:38" x14ac:dyDescent="0.3">
      <c r="A59" s="19" t="s">
        <v>2</v>
      </c>
      <c r="B59" s="16" t="s">
        <v>26</v>
      </c>
      <c r="C59" s="10">
        <v>1.097351</v>
      </c>
      <c r="D59" s="10">
        <v>2.4216679999999999</v>
      </c>
      <c r="E59" s="131"/>
      <c r="F59" s="10" t="s">
        <v>135</v>
      </c>
      <c r="G59" s="10">
        <v>1.0880259999999999</v>
      </c>
      <c r="H59" s="10">
        <v>2.3888210000000001</v>
      </c>
      <c r="AH59" s="15">
        <v>0.98553219999999997</v>
      </c>
      <c r="AI59" s="15">
        <v>0.62910180000000004</v>
      </c>
      <c r="AJ59" s="15">
        <v>1.5439050000000001</v>
      </c>
    </row>
    <row r="60" spans="1:38" x14ac:dyDescent="0.3">
      <c r="A60" s="18" t="s">
        <v>339</v>
      </c>
      <c r="B60" s="13"/>
      <c r="C60" s="10"/>
      <c r="D60" s="10"/>
    </row>
    <row r="61" spans="1:38" x14ac:dyDescent="0.3">
      <c r="A61" s="20" t="s">
        <v>15</v>
      </c>
      <c r="B61" s="13"/>
      <c r="C61" s="10"/>
      <c r="D61" s="10"/>
    </row>
    <row r="62" spans="1:38" x14ac:dyDescent="0.3">
      <c r="A62" s="20" t="s">
        <v>2</v>
      </c>
      <c r="B62" s="16">
        <v>1.2269669999999999</v>
      </c>
      <c r="C62" s="10">
        <v>0.88750510000000005</v>
      </c>
      <c r="D62" s="10">
        <v>1.6962710000000001</v>
      </c>
      <c r="F62" s="16">
        <v>1.2205520000000001</v>
      </c>
      <c r="G62" s="13">
        <v>0.88465090000000002</v>
      </c>
      <c r="H62" s="13">
        <v>1.6839949999999999</v>
      </c>
      <c r="I62" s="13"/>
      <c r="J62" s="13"/>
      <c r="K62" s="13"/>
      <c r="L62" s="13"/>
      <c r="M62" s="13"/>
      <c r="N62" s="13"/>
      <c r="O62" s="13"/>
      <c r="P62" s="13"/>
      <c r="Q62" s="13"/>
      <c r="R62" s="13"/>
      <c r="S62" s="13"/>
      <c r="T62" s="13"/>
      <c r="U62" s="13"/>
      <c r="V62" s="13"/>
      <c r="W62" s="13"/>
      <c r="X62" s="13"/>
      <c r="Y62" s="13"/>
      <c r="Z62" s="13"/>
      <c r="AA62" s="13"/>
      <c r="AB62" s="13"/>
      <c r="AC62" s="13"/>
      <c r="AH62" s="15">
        <v>1.249349</v>
      </c>
      <c r="AI62" s="15">
        <v>0.88204309999999997</v>
      </c>
      <c r="AJ62" s="15">
        <v>1.7696099999999999</v>
      </c>
      <c r="AL62" s="124"/>
    </row>
    <row r="63" spans="1:38" x14ac:dyDescent="0.3">
      <c r="A63" s="18" t="s">
        <v>357</v>
      </c>
      <c r="B63" s="13"/>
      <c r="C63" s="10"/>
      <c r="D63" s="10"/>
      <c r="F63" s="11"/>
      <c r="G63" s="11"/>
      <c r="H63" s="11"/>
      <c r="I63" s="11"/>
      <c r="J63" s="11"/>
      <c r="K63" s="11"/>
      <c r="L63" s="11"/>
      <c r="M63" s="11"/>
      <c r="N63" s="11"/>
      <c r="O63" s="11"/>
      <c r="P63" s="11"/>
      <c r="Q63" s="11"/>
      <c r="R63" s="11"/>
      <c r="S63" s="11"/>
      <c r="T63" s="11"/>
      <c r="U63" s="11"/>
      <c r="V63" s="11"/>
      <c r="W63" s="11"/>
      <c r="X63" s="11"/>
      <c r="Y63" s="11"/>
      <c r="Z63" s="11"/>
      <c r="AA63" s="11"/>
      <c r="AB63" s="11"/>
      <c r="AC63" s="11"/>
      <c r="AD63" s="88"/>
      <c r="AE63" s="88"/>
      <c r="AF63" s="88"/>
      <c r="AG63" s="88"/>
    </row>
    <row r="64" spans="1:38" x14ac:dyDescent="0.3">
      <c r="A64" s="20" t="s">
        <v>15</v>
      </c>
      <c r="B64" s="13"/>
      <c r="C64" s="10"/>
      <c r="D64" s="10"/>
      <c r="F64" s="11"/>
      <c r="G64" s="11"/>
      <c r="H64" s="11"/>
      <c r="I64" s="11"/>
      <c r="J64" s="11"/>
      <c r="K64" s="11"/>
      <c r="L64" s="11"/>
      <c r="M64" s="11"/>
      <c r="N64" s="11"/>
      <c r="O64" s="11"/>
      <c r="P64" s="11"/>
      <c r="Q64" s="11"/>
      <c r="R64" s="11"/>
      <c r="S64" s="11"/>
      <c r="T64" s="11"/>
      <c r="U64" s="11"/>
      <c r="V64" s="11"/>
      <c r="W64" s="11"/>
      <c r="X64" s="11"/>
      <c r="Y64" s="11"/>
      <c r="Z64" s="11"/>
      <c r="AA64" s="11"/>
      <c r="AB64" s="11"/>
      <c r="AC64" s="11"/>
      <c r="AD64" s="88"/>
      <c r="AE64" s="88"/>
      <c r="AF64" s="88"/>
      <c r="AG64" s="88"/>
    </row>
    <row r="65" spans="1:36" x14ac:dyDescent="0.3">
      <c r="A65" s="20" t="s">
        <v>2</v>
      </c>
      <c r="B65" s="13">
        <v>0.78347109999999998</v>
      </c>
      <c r="C65" s="10">
        <v>0.48305219999999999</v>
      </c>
      <c r="D65" s="10">
        <v>1.270726</v>
      </c>
      <c r="F65" s="16">
        <v>0.76239690000000004</v>
      </c>
      <c r="G65" s="16">
        <v>0.46600399999999997</v>
      </c>
      <c r="H65" s="16">
        <v>1.2473050000000001</v>
      </c>
      <c r="I65" s="16"/>
      <c r="J65" s="16"/>
      <c r="K65" s="16"/>
      <c r="L65" s="16"/>
      <c r="M65" s="16"/>
      <c r="N65" s="16"/>
      <c r="O65" s="16"/>
      <c r="P65" s="16"/>
      <c r="Q65" s="16"/>
      <c r="R65" s="16"/>
      <c r="S65" s="16"/>
      <c r="T65" s="16"/>
      <c r="U65" s="16"/>
      <c r="V65" s="16"/>
      <c r="W65" s="16"/>
      <c r="X65" s="16"/>
      <c r="Y65" s="16"/>
      <c r="Z65" s="16"/>
      <c r="AA65" s="16"/>
      <c r="AB65" s="16"/>
      <c r="AC65" s="16"/>
      <c r="AD65" s="88"/>
      <c r="AE65" s="88"/>
      <c r="AF65" s="88"/>
      <c r="AG65" s="88"/>
      <c r="AH65" s="15">
        <v>0.82243089999999996</v>
      </c>
      <c r="AI65" s="15">
        <v>0.47362009999999999</v>
      </c>
      <c r="AJ65" s="15">
        <v>1.4281330000000001</v>
      </c>
    </row>
    <row r="66" spans="1:36" x14ac:dyDescent="0.3">
      <c r="A66" s="18" t="s">
        <v>358</v>
      </c>
      <c r="B66" s="13"/>
      <c r="C66" s="10"/>
      <c r="D66" s="10"/>
      <c r="E66" s="6"/>
      <c r="AH66" s="85"/>
      <c r="AI66" s="85"/>
      <c r="AJ66" s="85"/>
    </row>
    <row r="67" spans="1:36" x14ac:dyDescent="0.3">
      <c r="A67" s="20" t="s">
        <v>15</v>
      </c>
      <c r="B67" s="13"/>
      <c r="C67" s="10"/>
      <c r="D67" s="10"/>
      <c r="E67" s="6"/>
      <c r="AH67" s="85"/>
      <c r="AI67" s="85"/>
      <c r="AJ67" s="85"/>
    </row>
    <row r="68" spans="1:36" x14ac:dyDescent="0.3">
      <c r="A68" s="20" t="s">
        <v>2</v>
      </c>
      <c r="B68" s="16">
        <v>0.89061679999999999</v>
      </c>
      <c r="C68" s="10">
        <v>0.62955280000000002</v>
      </c>
      <c r="D68" s="10">
        <v>1.2599389999999999</v>
      </c>
      <c r="E68" s="6"/>
      <c r="F68" s="13">
        <v>0.90339239999999998</v>
      </c>
      <c r="G68" s="13">
        <v>0.63532029999999995</v>
      </c>
      <c r="H68" s="13">
        <v>1.2845770000000001</v>
      </c>
      <c r="I68" s="13"/>
      <c r="J68" s="13"/>
      <c r="K68" s="13"/>
      <c r="L68" s="13"/>
      <c r="M68" s="13"/>
      <c r="N68" s="13"/>
      <c r="O68" s="13"/>
      <c r="P68" s="13"/>
      <c r="Q68" s="13"/>
      <c r="R68" s="13"/>
      <c r="S68" s="13"/>
      <c r="T68" s="13"/>
      <c r="U68" s="13"/>
      <c r="V68" s="13"/>
      <c r="W68" s="13"/>
      <c r="X68" s="13"/>
      <c r="Y68" s="13"/>
      <c r="Z68" s="13"/>
      <c r="AA68" s="13"/>
      <c r="AB68" s="13"/>
      <c r="AC68" s="13"/>
      <c r="AH68" s="15">
        <v>1.1681889999999999</v>
      </c>
      <c r="AI68" s="15">
        <v>0.77988679999999999</v>
      </c>
      <c r="AJ68" s="15">
        <v>1.7498260000000001</v>
      </c>
    </row>
    <row r="69" spans="1:36" x14ac:dyDescent="0.3">
      <c r="A69" s="18" t="s">
        <v>364</v>
      </c>
      <c r="B69" s="13"/>
      <c r="C69" s="10"/>
      <c r="D69" s="10"/>
      <c r="E69" s="6"/>
    </row>
    <row r="70" spans="1:36" ht="16.2" x14ac:dyDescent="0.3">
      <c r="A70" s="117" t="s">
        <v>361</v>
      </c>
      <c r="B70" s="11" t="s">
        <v>80</v>
      </c>
      <c r="C70" s="10">
        <v>1.220594</v>
      </c>
      <c r="D70" s="10">
        <v>2.609264</v>
      </c>
      <c r="E70" s="6"/>
      <c r="F70" s="13" t="s">
        <v>65</v>
      </c>
      <c r="G70" s="13">
        <v>1.315771</v>
      </c>
      <c r="H70" s="13">
        <v>2.7578290000000001</v>
      </c>
      <c r="I70" s="13"/>
      <c r="J70" s="13"/>
      <c r="K70" s="13"/>
      <c r="L70" s="13"/>
      <c r="M70" s="13"/>
      <c r="N70" s="13"/>
      <c r="O70" s="13"/>
      <c r="P70" s="13"/>
      <c r="Q70" s="13"/>
      <c r="R70" s="13"/>
      <c r="S70" s="13"/>
      <c r="T70" s="13"/>
      <c r="U70" s="13"/>
      <c r="V70" s="13"/>
      <c r="W70" s="13"/>
      <c r="X70" s="13"/>
      <c r="Y70" s="13"/>
      <c r="Z70" s="13"/>
      <c r="AA70" s="13"/>
      <c r="AB70" s="13"/>
      <c r="AC70" s="13"/>
      <c r="AH70" s="110" t="s">
        <v>231</v>
      </c>
      <c r="AI70" s="110">
        <v>0.96335919999999997</v>
      </c>
      <c r="AJ70" s="110">
        <v>2.2037879999999999</v>
      </c>
    </row>
    <row r="71" spans="1:36" x14ac:dyDescent="0.3">
      <c r="A71" s="117" t="s">
        <v>35</v>
      </c>
      <c r="B71" s="11" t="s">
        <v>24</v>
      </c>
      <c r="C71" s="10">
        <v>1.3082689999999999</v>
      </c>
      <c r="D71" s="10">
        <v>2.997274</v>
      </c>
      <c r="E71" s="6"/>
      <c r="F71" s="13" t="s">
        <v>110</v>
      </c>
      <c r="G71" s="13">
        <v>1.226742</v>
      </c>
      <c r="H71" s="13">
        <v>2.817796</v>
      </c>
      <c r="I71" s="13"/>
      <c r="J71" s="13"/>
      <c r="K71" s="13"/>
      <c r="L71" s="13"/>
      <c r="M71" s="13"/>
      <c r="N71" s="13"/>
      <c r="O71" s="13"/>
      <c r="P71" s="13"/>
      <c r="Q71" s="13"/>
      <c r="R71" s="13"/>
      <c r="S71" s="13"/>
      <c r="T71" s="13"/>
      <c r="U71" s="13"/>
      <c r="V71" s="13"/>
      <c r="W71" s="13"/>
      <c r="X71" s="13"/>
      <c r="Y71" s="13"/>
      <c r="Z71" s="13"/>
      <c r="AA71" s="13"/>
      <c r="AB71" s="13"/>
      <c r="AC71" s="13"/>
      <c r="AH71" s="15">
        <v>1.3673709999999999</v>
      </c>
      <c r="AI71" s="15">
        <v>0.87366730000000004</v>
      </c>
      <c r="AJ71" s="15">
        <v>2.1400649999999999</v>
      </c>
    </row>
    <row r="72" spans="1:36" x14ac:dyDescent="0.3">
      <c r="A72" s="117" t="s">
        <v>90</v>
      </c>
    </row>
    <row r="73" spans="1:36" s="17" customFormat="1" x14ac:dyDescent="0.3">
      <c r="A73" s="177"/>
      <c r="B73" s="178"/>
      <c r="C73" s="178"/>
      <c r="D73" s="178"/>
      <c r="F73" s="178"/>
      <c r="G73" s="178"/>
      <c r="H73" s="178"/>
      <c r="I73" s="178"/>
      <c r="J73" s="178"/>
      <c r="K73" s="178"/>
      <c r="L73" s="178"/>
      <c r="M73" s="178"/>
      <c r="N73" s="178"/>
      <c r="O73" s="178"/>
      <c r="P73" s="178"/>
      <c r="Q73" s="178"/>
      <c r="R73" s="178"/>
      <c r="S73" s="178"/>
      <c r="T73" s="178"/>
      <c r="U73" s="178"/>
      <c r="V73" s="178"/>
      <c r="W73" s="178"/>
      <c r="X73" s="178"/>
      <c r="Y73" s="178"/>
      <c r="Z73" s="178"/>
      <c r="AA73" s="178"/>
      <c r="AB73" s="178"/>
      <c r="AC73" s="178"/>
      <c r="AD73" s="179"/>
      <c r="AE73" s="179"/>
      <c r="AF73" s="179"/>
      <c r="AG73" s="179"/>
      <c r="AH73" s="179"/>
      <c r="AI73" s="179"/>
      <c r="AJ73" s="179"/>
    </row>
    <row r="74" spans="1:36" x14ac:dyDescent="0.3">
      <c r="A74" s="6" t="s">
        <v>367</v>
      </c>
      <c r="B74" s="11"/>
    </row>
  </sheetData>
  <mergeCells count="27">
    <mergeCell ref="B3:D3"/>
    <mergeCell ref="F3:AJ3"/>
    <mergeCell ref="A4:H4"/>
    <mergeCell ref="J4:X4"/>
    <mergeCell ref="Z4:AF4"/>
    <mergeCell ref="AH4:AJ4"/>
    <mergeCell ref="B5:D5"/>
    <mergeCell ref="F5:H5"/>
    <mergeCell ref="N5:X5"/>
    <mergeCell ref="Z5:AF5"/>
    <mergeCell ref="AH5:AJ5"/>
    <mergeCell ref="AD7:AF7"/>
    <mergeCell ref="AH7:AJ7"/>
    <mergeCell ref="AI6:AJ6"/>
    <mergeCell ref="C6:D6"/>
    <mergeCell ref="G6:H6"/>
    <mergeCell ref="K6:L6"/>
    <mergeCell ref="O6:P6"/>
    <mergeCell ref="S6:T6"/>
    <mergeCell ref="W6:X6"/>
    <mergeCell ref="AA6:AB6"/>
    <mergeCell ref="AE6:AF6"/>
    <mergeCell ref="J7:L7"/>
    <mergeCell ref="N7:P7"/>
    <mergeCell ref="R7:T7"/>
    <mergeCell ref="V7:X7"/>
    <mergeCell ref="Z7:AB7"/>
  </mergeCells>
  <pageMargins left="0.70866141732283472" right="0.70866141732283472" top="0.74803149606299213" bottom="0.74803149606299213" header="0.31496062992125984" footer="0.31496062992125984"/>
  <pageSetup paperSize="9" scale="4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74"/>
  <sheetViews>
    <sheetView topLeftCell="G41" zoomScale="80" zoomScaleNormal="80" workbookViewId="0">
      <selection activeCell="A4" sqref="A4:H4"/>
    </sheetView>
  </sheetViews>
  <sheetFormatPr defaultColWidth="8.88671875" defaultRowHeight="14.4" x14ac:dyDescent="0.3"/>
  <cols>
    <col min="1" max="1" width="34.33203125" style="17" customWidth="1"/>
    <col min="2" max="4" width="8.88671875" style="10"/>
    <col min="5" max="8" width="8.88671875" style="6"/>
    <col min="9" max="9" width="5.109375" style="6" customWidth="1"/>
    <col min="10" max="10" width="8.33203125" style="6" customWidth="1"/>
    <col min="11" max="11" width="6.33203125" style="6" customWidth="1"/>
    <col min="12" max="12" width="6.5546875" style="6" customWidth="1"/>
    <col min="13" max="13" width="5.109375" style="6" customWidth="1"/>
    <col min="14" max="16" width="8.88671875" style="6"/>
    <col min="17" max="17" width="4.5546875" style="6" customWidth="1"/>
    <col min="18" max="18" width="8.88671875" style="6"/>
    <col min="19" max="19" width="11.5546875" style="6" bestFit="1" customWidth="1"/>
    <col min="20" max="20" width="8.88671875" style="6"/>
    <col min="21" max="21" width="4.5546875" style="6" customWidth="1"/>
    <col min="22" max="24" width="8.88671875" style="6"/>
    <col min="25" max="25" width="4.5546875" style="6" customWidth="1"/>
    <col min="26" max="28" width="8.88671875" style="6"/>
    <col min="29" max="29" width="5.44140625" style="6" customWidth="1"/>
    <col min="30" max="34" width="8.88671875" style="6"/>
    <col min="35" max="35" width="10.44140625" style="6" bestFit="1" customWidth="1"/>
    <col min="36" max="16384" width="8.88671875" style="6"/>
  </cols>
  <sheetData>
    <row r="1" spans="1:36" x14ac:dyDescent="0.3">
      <c r="A1" s="111" t="s">
        <v>393</v>
      </c>
      <c r="B1" s="6"/>
      <c r="C1" s="6"/>
      <c r="D1" s="6"/>
    </row>
    <row r="3" spans="1:36" ht="13.95" customHeight="1" x14ac:dyDescent="0.3">
      <c r="B3" s="237" t="s">
        <v>234</v>
      </c>
      <c r="C3" s="237"/>
      <c r="D3" s="237"/>
      <c r="F3" s="237" t="s">
        <v>235</v>
      </c>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row>
    <row r="4" spans="1:36" ht="18.600000000000001" customHeight="1" x14ac:dyDescent="0.3">
      <c r="A4" s="223" t="s">
        <v>230</v>
      </c>
      <c r="B4" s="223"/>
      <c r="C4" s="223"/>
      <c r="D4" s="223"/>
      <c r="E4" s="223"/>
      <c r="F4" s="223"/>
      <c r="G4" s="223"/>
      <c r="H4" s="223"/>
      <c r="I4" s="121"/>
      <c r="J4" s="223" t="s">
        <v>218</v>
      </c>
      <c r="K4" s="223"/>
      <c r="L4" s="223"/>
      <c r="M4" s="223"/>
      <c r="N4" s="223"/>
      <c r="O4" s="223"/>
      <c r="P4" s="223"/>
      <c r="Q4" s="223"/>
      <c r="R4" s="223"/>
      <c r="S4" s="223"/>
      <c r="T4" s="223"/>
      <c r="U4" s="223"/>
      <c r="V4" s="223"/>
      <c r="W4" s="223"/>
      <c r="X4" s="223"/>
      <c r="Y4" s="113"/>
      <c r="Z4" s="230" t="s">
        <v>219</v>
      </c>
      <c r="AA4" s="230"/>
      <c r="AB4" s="230"/>
      <c r="AC4" s="230"/>
      <c r="AD4" s="230"/>
      <c r="AE4" s="230"/>
      <c r="AF4" s="230"/>
      <c r="AG4" s="121"/>
      <c r="AH4" s="230" t="s">
        <v>220</v>
      </c>
      <c r="AI4" s="230"/>
      <c r="AJ4" s="230"/>
    </row>
    <row r="5" spans="1:36" ht="25.2" customHeight="1" x14ac:dyDescent="0.3">
      <c r="A5" s="18"/>
      <c r="B5" s="234" t="s">
        <v>146</v>
      </c>
      <c r="C5" s="234"/>
      <c r="D5" s="234"/>
      <c r="E5" s="7"/>
      <c r="F5" s="234" t="s">
        <v>146</v>
      </c>
      <c r="G5" s="234"/>
      <c r="H5" s="234"/>
      <c r="I5" s="109"/>
      <c r="J5" s="138"/>
      <c r="K5" s="138"/>
      <c r="L5" s="138"/>
      <c r="M5" s="138"/>
      <c r="N5" s="233" t="s">
        <v>199</v>
      </c>
      <c r="O5" s="233"/>
      <c r="P5" s="233"/>
      <c r="Q5" s="233"/>
      <c r="R5" s="233"/>
      <c r="S5" s="233"/>
      <c r="T5" s="233"/>
      <c r="U5" s="233"/>
      <c r="V5" s="233"/>
      <c r="W5" s="233"/>
      <c r="X5" s="233"/>
      <c r="Y5" s="113"/>
      <c r="Z5" s="233" t="s">
        <v>199</v>
      </c>
      <c r="AA5" s="233"/>
      <c r="AB5" s="233"/>
      <c r="AC5" s="233"/>
      <c r="AD5" s="233"/>
      <c r="AE5" s="233"/>
      <c r="AF5" s="233"/>
      <c r="AG5" s="122"/>
      <c r="AH5" s="233" t="s">
        <v>199</v>
      </c>
      <c r="AI5" s="233"/>
      <c r="AJ5" s="233"/>
    </row>
    <row r="6" spans="1:36" x14ac:dyDescent="0.3">
      <c r="A6" s="18"/>
      <c r="B6" s="10" t="s">
        <v>16</v>
      </c>
      <c r="C6" s="10" t="s">
        <v>0</v>
      </c>
      <c r="E6" s="7"/>
      <c r="F6" s="6" t="s">
        <v>16</v>
      </c>
      <c r="G6" s="234" t="s">
        <v>0</v>
      </c>
      <c r="H6" s="234"/>
      <c r="I6" s="109"/>
      <c r="J6" s="6" t="s">
        <v>16</v>
      </c>
      <c r="K6" s="233" t="s">
        <v>17</v>
      </c>
      <c r="L6" s="233"/>
      <c r="M6" s="138"/>
      <c r="N6" s="6" t="s">
        <v>16</v>
      </c>
      <c r="O6" s="233" t="s">
        <v>17</v>
      </c>
      <c r="P6" s="233"/>
      <c r="Q6" s="114"/>
      <c r="R6" s="6" t="s">
        <v>16</v>
      </c>
      <c r="S6" s="233" t="s">
        <v>17</v>
      </c>
      <c r="T6" s="233"/>
      <c r="V6" s="6" t="s">
        <v>16</v>
      </c>
      <c r="W6" s="233" t="s">
        <v>17</v>
      </c>
      <c r="X6" s="233"/>
      <c r="Y6" s="114"/>
      <c r="Z6" s="6" t="s">
        <v>16</v>
      </c>
      <c r="AA6" s="233" t="s">
        <v>17</v>
      </c>
      <c r="AB6" s="233"/>
      <c r="AC6" s="10"/>
      <c r="AD6" s="6" t="s">
        <v>16</v>
      </c>
      <c r="AE6" s="233" t="s">
        <v>17</v>
      </c>
      <c r="AF6" s="233"/>
      <c r="AG6" s="114"/>
      <c r="AH6" s="6" t="s">
        <v>16</v>
      </c>
      <c r="AI6" s="233" t="s">
        <v>17</v>
      </c>
      <c r="AJ6" s="233"/>
    </row>
    <row r="7" spans="1:36" ht="42.6" customHeight="1" x14ac:dyDescent="0.3">
      <c r="A7" s="18"/>
      <c r="E7" s="7"/>
      <c r="G7" s="109"/>
      <c r="H7" s="109"/>
      <c r="I7" s="109"/>
      <c r="J7" s="223" t="s">
        <v>44</v>
      </c>
      <c r="K7" s="223"/>
      <c r="L7" s="223"/>
      <c r="M7" s="138"/>
      <c r="N7" s="226" t="s">
        <v>200</v>
      </c>
      <c r="O7" s="223"/>
      <c r="P7" s="223"/>
      <c r="Q7" s="114"/>
      <c r="R7" s="226" t="s">
        <v>198</v>
      </c>
      <c r="S7" s="223"/>
      <c r="T7" s="223"/>
      <c r="V7" s="223" t="s">
        <v>196</v>
      </c>
      <c r="W7" s="223"/>
      <c r="X7" s="223"/>
      <c r="Y7" s="114"/>
      <c r="Z7" s="229" t="s">
        <v>201</v>
      </c>
      <c r="AA7" s="230"/>
      <c r="AB7" s="230"/>
      <c r="AC7" s="10"/>
      <c r="AD7" s="229" t="s">
        <v>332</v>
      </c>
      <c r="AE7" s="230"/>
      <c r="AF7" s="230"/>
      <c r="AG7" s="114"/>
      <c r="AH7" s="229" t="s">
        <v>217</v>
      </c>
      <c r="AI7" s="230"/>
      <c r="AJ7" s="230"/>
    </row>
    <row r="8" spans="1:36" ht="15" customHeight="1" x14ac:dyDescent="0.3">
      <c r="A8" s="164" t="s">
        <v>218</v>
      </c>
      <c r="B8" s="167"/>
      <c r="C8" s="167"/>
      <c r="D8" s="167"/>
      <c r="E8" s="165"/>
      <c r="F8" s="103"/>
      <c r="G8" s="170"/>
      <c r="H8" s="170"/>
      <c r="I8" s="170"/>
      <c r="J8" s="170"/>
      <c r="K8" s="170"/>
      <c r="L8" s="170"/>
      <c r="M8" s="170"/>
      <c r="N8" s="158"/>
      <c r="O8" s="156"/>
      <c r="P8" s="156"/>
      <c r="Q8" s="168"/>
      <c r="R8" s="158"/>
      <c r="S8" s="156"/>
      <c r="T8" s="156"/>
      <c r="U8" s="103"/>
      <c r="V8" s="156"/>
      <c r="W8" s="156"/>
      <c r="X8" s="156"/>
      <c r="Y8" s="168"/>
      <c r="Z8" s="159"/>
      <c r="AA8" s="160"/>
      <c r="AB8" s="160"/>
      <c r="AC8" s="167"/>
      <c r="AD8" s="159"/>
      <c r="AE8" s="160"/>
      <c r="AF8" s="160"/>
      <c r="AG8" s="168"/>
      <c r="AH8" s="159"/>
      <c r="AI8" s="160"/>
      <c r="AJ8" s="160"/>
    </row>
    <row r="9" spans="1:36" x14ac:dyDescent="0.3">
      <c r="A9" s="21" t="s">
        <v>88</v>
      </c>
    </row>
    <row r="10" spans="1:36" x14ac:dyDescent="0.3">
      <c r="A10" s="20" t="s">
        <v>33</v>
      </c>
      <c r="B10" s="10">
        <v>1.069709</v>
      </c>
      <c r="C10" s="10">
        <v>0.77348479999999997</v>
      </c>
      <c r="D10" s="10">
        <v>1.4793799999999999</v>
      </c>
      <c r="F10" s="10">
        <v>1.072157</v>
      </c>
      <c r="G10" s="10">
        <v>0.77841570000000004</v>
      </c>
      <c r="H10" s="10">
        <v>1.4767429999999999</v>
      </c>
      <c r="I10" s="10"/>
      <c r="J10" s="10"/>
      <c r="K10" s="10"/>
      <c r="L10" s="10"/>
      <c r="M10" s="10"/>
      <c r="Q10" s="10"/>
      <c r="R10" s="10">
        <v>0.9844463</v>
      </c>
      <c r="S10" s="10">
        <v>0.71067720000000001</v>
      </c>
      <c r="T10" s="10">
        <v>1.363677</v>
      </c>
      <c r="V10" s="10">
        <v>0.98146350000000004</v>
      </c>
      <c r="W10" s="10">
        <v>0.70850840000000004</v>
      </c>
      <c r="X10" s="10">
        <v>1.359575</v>
      </c>
      <c r="Y10" s="10"/>
      <c r="Z10" s="10">
        <v>0.92556939999999999</v>
      </c>
      <c r="AA10" s="10">
        <v>0.66739870000000001</v>
      </c>
      <c r="AB10" s="10">
        <v>1.283609</v>
      </c>
      <c r="AD10" s="15">
        <v>0.93601849999999998</v>
      </c>
      <c r="AE10" s="15">
        <v>0.67199379999999997</v>
      </c>
      <c r="AF10" s="15">
        <v>1.3037780000000001</v>
      </c>
      <c r="AG10" s="85"/>
      <c r="AH10" s="15">
        <v>0.92071550000000002</v>
      </c>
      <c r="AI10" s="15">
        <v>0.65533240000000004</v>
      </c>
      <c r="AJ10" s="15">
        <v>1.2935680000000001</v>
      </c>
    </row>
    <row r="11" spans="1:36" x14ac:dyDescent="0.3">
      <c r="A11" s="20" t="s">
        <v>28</v>
      </c>
      <c r="B11" s="10">
        <v>0.86302129999999999</v>
      </c>
      <c r="C11" s="10">
        <v>0.61346889999999998</v>
      </c>
      <c r="D11" s="10">
        <v>1.214089</v>
      </c>
      <c r="F11" s="10">
        <v>0.89198290000000002</v>
      </c>
      <c r="G11" s="10">
        <v>0.63964909999999997</v>
      </c>
      <c r="H11" s="10">
        <v>1.243859</v>
      </c>
      <c r="I11" s="10"/>
      <c r="J11" s="10"/>
      <c r="K11" s="10"/>
      <c r="L11" s="10"/>
      <c r="M11" s="10"/>
      <c r="Q11" s="10"/>
      <c r="R11" s="10">
        <v>0.86054189999999997</v>
      </c>
      <c r="S11" s="10">
        <v>0.61560389999999998</v>
      </c>
      <c r="T11" s="10">
        <v>1.202936</v>
      </c>
      <c r="V11" s="10">
        <v>0.8607764</v>
      </c>
      <c r="W11" s="10">
        <v>0.61585230000000002</v>
      </c>
      <c r="X11" s="10">
        <v>1.2031069999999999</v>
      </c>
      <c r="Y11" s="10"/>
      <c r="Z11" s="10">
        <v>0.84926449999999998</v>
      </c>
      <c r="AA11" s="10">
        <v>0.60643709999999995</v>
      </c>
      <c r="AB11" s="10">
        <v>1.189324</v>
      </c>
      <c r="AD11" s="15">
        <v>0.85420859999999998</v>
      </c>
      <c r="AE11" s="15">
        <v>0.60904899999999995</v>
      </c>
      <c r="AF11" s="15">
        <v>1.1980519999999999</v>
      </c>
      <c r="AG11" s="85"/>
      <c r="AH11" s="15">
        <v>0.89057649999999999</v>
      </c>
      <c r="AI11" s="15">
        <v>0.62713660000000004</v>
      </c>
      <c r="AJ11" s="15">
        <v>1.2646790000000001</v>
      </c>
    </row>
    <row r="12" spans="1:36" x14ac:dyDescent="0.3">
      <c r="A12" s="20" t="s">
        <v>86</v>
      </c>
      <c r="V12" s="10"/>
      <c r="W12" s="10"/>
      <c r="X12" s="10"/>
      <c r="Y12" s="10"/>
      <c r="Z12" s="10"/>
      <c r="AA12" s="10"/>
      <c r="AB12" s="10"/>
      <c r="AD12" s="15"/>
      <c r="AE12" s="15"/>
      <c r="AF12" s="15"/>
      <c r="AG12" s="85"/>
      <c r="AH12" s="12"/>
      <c r="AI12" s="12"/>
      <c r="AJ12" s="12"/>
    </row>
    <row r="13" spans="1:36" x14ac:dyDescent="0.3">
      <c r="A13" s="20" t="s">
        <v>34</v>
      </c>
      <c r="B13" s="10">
        <v>1.047175</v>
      </c>
      <c r="C13" s="10">
        <v>0.73281989999999997</v>
      </c>
      <c r="D13" s="10">
        <v>1.4963789999999999</v>
      </c>
      <c r="F13" s="10">
        <v>1.0305800000000001</v>
      </c>
      <c r="G13" s="10">
        <v>0.72899630000000004</v>
      </c>
      <c r="H13" s="10">
        <v>1.4569289999999999</v>
      </c>
      <c r="I13" s="10"/>
      <c r="J13" s="10"/>
      <c r="K13" s="10"/>
      <c r="L13" s="10"/>
      <c r="M13" s="10"/>
      <c r="N13" s="10"/>
      <c r="O13" s="10"/>
      <c r="P13" s="10"/>
      <c r="Q13" s="10"/>
      <c r="R13" s="10">
        <v>1.047024</v>
      </c>
      <c r="S13" s="10">
        <v>0.73794780000000004</v>
      </c>
      <c r="T13" s="10">
        <v>1.485552</v>
      </c>
      <c r="V13" s="10">
        <v>1.0455559999999999</v>
      </c>
      <c r="W13" s="10">
        <v>0.73680389999999996</v>
      </c>
      <c r="X13" s="10">
        <v>1.483689</v>
      </c>
      <c r="Y13" s="10"/>
      <c r="Z13" s="10">
        <v>1.0489740000000001</v>
      </c>
      <c r="AA13" s="10">
        <v>0.73764450000000004</v>
      </c>
      <c r="AB13" s="10">
        <v>1.4917039999999999</v>
      </c>
      <c r="AD13" s="15">
        <v>1.0313369999999999</v>
      </c>
      <c r="AE13" s="15">
        <v>0.72269819999999996</v>
      </c>
      <c r="AF13" s="15">
        <v>1.471786</v>
      </c>
      <c r="AG13" s="85"/>
      <c r="AH13" s="15">
        <v>1.060991</v>
      </c>
      <c r="AI13" s="15">
        <v>0.73659110000000005</v>
      </c>
      <c r="AJ13" s="15">
        <v>1.52826</v>
      </c>
    </row>
    <row r="14" spans="1:36" x14ac:dyDescent="0.3">
      <c r="A14" s="21" t="s">
        <v>272</v>
      </c>
      <c r="F14" s="13"/>
      <c r="G14" s="13"/>
      <c r="H14" s="13"/>
      <c r="I14" s="13"/>
      <c r="J14" s="13"/>
      <c r="K14" s="13"/>
      <c r="L14" s="13"/>
      <c r="M14" s="13"/>
      <c r="N14" s="13"/>
      <c r="O14" s="13"/>
      <c r="P14" s="13"/>
      <c r="Q14" s="13"/>
      <c r="R14" s="13"/>
      <c r="S14" s="13"/>
      <c r="T14" s="13"/>
      <c r="U14" s="22"/>
      <c r="V14" s="10"/>
      <c r="W14" s="10"/>
      <c r="X14" s="10"/>
      <c r="Y14" s="10"/>
      <c r="Z14" s="10"/>
      <c r="AA14" s="10"/>
      <c r="AB14" s="10"/>
      <c r="AD14" s="12"/>
      <c r="AE14" s="12"/>
      <c r="AF14" s="12"/>
      <c r="AG14" s="85"/>
      <c r="AH14" s="12"/>
      <c r="AI14" s="12"/>
      <c r="AJ14" s="12"/>
    </row>
    <row r="15" spans="1:36" x14ac:dyDescent="0.3">
      <c r="A15" s="20" t="s">
        <v>30</v>
      </c>
      <c r="B15" s="10">
        <v>1.225738</v>
      </c>
      <c r="C15" s="10">
        <v>0.76478769999999996</v>
      </c>
      <c r="D15" s="10">
        <v>1.964512</v>
      </c>
      <c r="F15" s="13">
        <v>1.2042520000000001</v>
      </c>
      <c r="G15" s="13">
        <v>0.74721530000000003</v>
      </c>
      <c r="H15" s="13">
        <v>1.9408380000000001</v>
      </c>
      <c r="I15" s="13"/>
      <c r="J15" s="13"/>
      <c r="K15" s="13"/>
      <c r="L15" s="13"/>
      <c r="M15" s="13"/>
      <c r="N15" s="13"/>
      <c r="O15" s="13"/>
      <c r="P15" s="13"/>
      <c r="Q15" s="13"/>
      <c r="R15" s="13">
        <v>1.0742910000000001</v>
      </c>
      <c r="S15" s="13">
        <v>0.66130630000000001</v>
      </c>
      <c r="T15" s="13">
        <v>1.7451859999999999</v>
      </c>
      <c r="U15" s="22"/>
      <c r="V15" s="10">
        <v>1.0721780000000001</v>
      </c>
      <c r="W15" s="10">
        <v>0.65977609999999998</v>
      </c>
      <c r="X15" s="10">
        <v>1.742359</v>
      </c>
      <c r="Y15" s="10"/>
      <c r="Z15" s="10">
        <v>1.0062899999999999</v>
      </c>
      <c r="AA15" s="10">
        <v>0.61778670000000002</v>
      </c>
      <c r="AB15" s="10">
        <v>1.6391070000000001</v>
      </c>
      <c r="AD15" s="15">
        <v>0.98721349999999997</v>
      </c>
      <c r="AE15" s="15">
        <v>0.60545649999999995</v>
      </c>
      <c r="AF15" s="15">
        <v>1.6096790000000001</v>
      </c>
      <c r="AG15" s="85"/>
      <c r="AH15" s="15">
        <v>1.0220009999999999</v>
      </c>
      <c r="AI15" s="15">
        <v>0.6222491</v>
      </c>
      <c r="AJ15" s="15">
        <v>1.6785639999999999</v>
      </c>
    </row>
    <row r="16" spans="1:36" x14ac:dyDescent="0.3">
      <c r="A16" s="20" t="s">
        <v>89</v>
      </c>
      <c r="F16" s="13"/>
      <c r="G16" s="13"/>
      <c r="H16" s="13"/>
      <c r="I16" s="13"/>
      <c r="J16" s="13"/>
      <c r="K16" s="13"/>
      <c r="L16" s="13"/>
      <c r="M16" s="13"/>
      <c r="N16" s="13"/>
      <c r="O16" s="13"/>
      <c r="P16" s="13"/>
      <c r="Q16" s="13"/>
      <c r="R16" s="13"/>
      <c r="S16" s="13"/>
      <c r="T16" s="13"/>
      <c r="U16" s="22"/>
      <c r="V16" s="10"/>
      <c r="W16" s="10"/>
      <c r="X16" s="10"/>
      <c r="Y16" s="10"/>
      <c r="Z16" s="10"/>
      <c r="AA16" s="10"/>
      <c r="AB16" s="10"/>
      <c r="AD16" s="12"/>
      <c r="AE16" s="12"/>
      <c r="AF16" s="12"/>
      <c r="AG16" s="85"/>
      <c r="AH16" s="12"/>
      <c r="AI16" s="12"/>
      <c r="AJ16" s="12"/>
    </row>
    <row r="17" spans="1:37" x14ac:dyDescent="0.3">
      <c r="A17" s="20" t="s">
        <v>32</v>
      </c>
      <c r="B17" s="10">
        <v>1.1200110000000001</v>
      </c>
      <c r="C17" s="10">
        <v>0.80763189999999996</v>
      </c>
      <c r="D17" s="10">
        <v>1.553215</v>
      </c>
      <c r="F17" s="13">
        <v>1.1086959999999999</v>
      </c>
      <c r="G17" s="13">
        <v>0.80262080000000002</v>
      </c>
      <c r="H17" s="13">
        <v>1.5314920000000001</v>
      </c>
      <c r="I17" s="13"/>
      <c r="J17" s="13"/>
      <c r="K17" s="13"/>
      <c r="L17" s="13"/>
      <c r="M17" s="13"/>
      <c r="N17" s="13"/>
      <c r="O17" s="13"/>
      <c r="P17" s="13"/>
      <c r="Q17" s="13"/>
      <c r="R17" s="13">
        <v>1.1255919999999999</v>
      </c>
      <c r="S17" s="13">
        <v>0.81111270000000002</v>
      </c>
      <c r="T17" s="13">
        <v>1.5619989999999999</v>
      </c>
      <c r="U17" s="22"/>
      <c r="V17" s="10">
        <v>1.1219840000000001</v>
      </c>
      <c r="W17" s="10">
        <v>0.80843339999999997</v>
      </c>
      <c r="X17" s="10">
        <v>1.5571440000000001</v>
      </c>
      <c r="Y17" s="10"/>
      <c r="Z17" s="10">
        <v>1.163637</v>
      </c>
      <c r="AA17" s="10">
        <v>0.83668849999999995</v>
      </c>
      <c r="AB17" s="10">
        <v>1.618344</v>
      </c>
      <c r="AD17" s="15">
        <v>1.160593</v>
      </c>
      <c r="AE17" s="15">
        <v>0.83315689999999998</v>
      </c>
      <c r="AF17" s="15">
        <v>1.6167130000000001</v>
      </c>
      <c r="AG17" s="85"/>
      <c r="AH17" s="15">
        <v>1.1636489999999999</v>
      </c>
      <c r="AI17" s="15">
        <v>0.82926299999999997</v>
      </c>
      <c r="AJ17" s="15">
        <v>1.632871</v>
      </c>
      <c r="AK17" s="124"/>
    </row>
    <row r="18" spans="1:37" x14ac:dyDescent="0.3">
      <c r="A18" s="18" t="s">
        <v>6</v>
      </c>
      <c r="F18" s="13"/>
      <c r="G18" s="13"/>
      <c r="H18" s="13"/>
      <c r="I18" s="13"/>
      <c r="J18" s="13"/>
      <c r="K18" s="13"/>
      <c r="L18" s="13"/>
      <c r="M18" s="13"/>
      <c r="N18" s="13"/>
      <c r="O18" s="13"/>
      <c r="P18" s="13"/>
      <c r="Q18" s="13"/>
      <c r="R18" s="13"/>
      <c r="S18" s="13"/>
      <c r="T18" s="13"/>
      <c r="V18" s="10"/>
      <c r="W18" s="10"/>
      <c r="X18" s="10"/>
      <c r="Y18" s="10"/>
      <c r="Z18" s="10"/>
      <c r="AA18" s="10"/>
      <c r="AB18" s="10"/>
      <c r="AD18" s="12"/>
      <c r="AE18" s="12"/>
      <c r="AF18" s="12"/>
      <c r="AG18" s="85"/>
      <c r="AH18" s="12"/>
      <c r="AI18" s="12"/>
      <c r="AJ18" s="12"/>
    </row>
    <row r="19" spans="1:37" x14ac:dyDescent="0.3">
      <c r="A19" s="20" t="s">
        <v>15</v>
      </c>
      <c r="G19" s="13"/>
      <c r="H19" s="13"/>
      <c r="I19" s="13"/>
      <c r="J19" s="13"/>
      <c r="K19" s="13"/>
      <c r="L19" s="13"/>
      <c r="M19" s="13"/>
      <c r="N19" s="13"/>
      <c r="O19" s="13"/>
      <c r="P19" s="13"/>
      <c r="Q19" s="13"/>
      <c r="R19" s="13"/>
      <c r="S19" s="13"/>
      <c r="T19" s="13"/>
      <c r="V19" s="10"/>
      <c r="W19" s="10"/>
      <c r="X19" s="10"/>
      <c r="Y19" s="10"/>
      <c r="Z19" s="10"/>
      <c r="AA19" s="10"/>
      <c r="AB19" s="10"/>
      <c r="AD19" s="12"/>
      <c r="AE19" s="12"/>
      <c r="AF19" s="12"/>
      <c r="AG19" s="85"/>
      <c r="AH19" s="12"/>
      <c r="AI19" s="12"/>
      <c r="AJ19" s="12"/>
    </row>
    <row r="20" spans="1:37" x14ac:dyDescent="0.3">
      <c r="A20" s="20" t="s">
        <v>127</v>
      </c>
      <c r="B20" s="10">
        <v>0.70884040000000004</v>
      </c>
      <c r="C20" s="10">
        <v>0.4238362</v>
      </c>
      <c r="D20" s="10">
        <v>1.1854929999999999</v>
      </c>
      <c r="F20" s="13">
        <v>0.73323229999999995</v>
      </c>
      <c r="G20" s="13">
        <v>0.4400329</v>
      </c>
      <c r="H20" s="13">
        <v>1.221794</v>
      </c>
      <c r="I20" s="13"/>
      <c r="J20" s="13"/>
      <c r="K20" s="13"/>
      <c r="L20" s="13"/>
      <c r="M20" s="13"/>
      <c r="N20" s="13">
        <v>0.71567789999999998</v>
      </c>
      <c r="O20" s="13">
        <v>0.42875819999999998</v>
      </c>
      <c r="P20" s="13">
        <v>1.194601</v>
      </c>
      <c r="Q20" s="13"/>
      <c r="R20" s="13">
        <v>0.71368220000000004</v>
      </c>
      <c r="S20" s="13">
        <v>0.42711480000000002</v>
      </c>
      <c r="T20" s="13">
        <v>1.192518</v>
      </c>
      <c r="V20" s="13">
        <v>0.71323389999999998</v>
      </c>
      <c r="W20" s="10">
        <v>0.42685289999999998</v>
      </c>
      <c r="X20" s="10">
        <v>1.191751</v>
      </c>
      <c r="Y20" s="10"/>
      <c r="Z20" s="10">
        <v>0.72519889999999998</v>
      </c>
      <c r="AA20" s="10">
        <v>0.43350139999999998</v>
      </c>
      <c r="AB20" s="10">
        <v>1.213176</v>
      </c>
      <c r="AD20" s="15">
        <v>0.70168489999999994</v>
      </c>
      <c r="AE20" s="15">
        <v>0.41842380000000001</v>
      </c>
      <c r="AF20" s="15">
        <v>1.176706</v>
      </c>
      <c r="AG20" s="85"/>
      <c r="AH20" s="15">
        <v>0.66821489999999995</v>
      </c>
      <c r="AI20" s="15">
        <v>0.39545649999999999</v>
      </c>
      <c r="AJ20" s="15">
        <v>1.129103</v>
      </c>
    </row>
    <row r="21" spans="1:37" x14ac:dyDescent="0.3">
      <c r="A21" s="20" t="s">
        <v>128</v>
      </c>
      <c r="B21" s="10" t="s">
        <v>47</v>
      </c>
      <c r="C21" s="10">
        <v>1.0295799999999999</v>
      </c>
      <c r="D21" s="10">
        <v>1.6455979999999999</v>
      </c>
      <c r="F21" s="13" t="s">
        <v>47</v>
      </c>
      <c r="G21" s="13">
        <v>1.0301830000000001</v>
      </c>
      <c r="H21" s="13">
        <v>1.636903</v>
      </c>
      <c r="I21" s="13"/>
      <c r="J21" s="13"/>
      <c r="K21" s="13"/>
      <c r="L21" s="13"/>
      <c r="M21" s="13"/>
      <c r="N21" s="13">
        <v>1.2049939999999999</v>
      </c>
      <c r="O21" s="13">
        <v>0.95375549999999998</v>
      </c>
      <c r="P21" s="13">
        <v>1.522413</v>
      </c>
      <c r="Q21" s="13"/>
      <c r="R21" s="13">
        <v>1.211384</v>
      </c>
      <c r="S21" s="13">
        <v>0.95582549999999999</v>
      </c>
      <c r="T21" s="13">
        <v>1.5352710000000001</v>
      </c>
      <c r="V21" s="13">
        <v>1.202753</v>
      </c>
      <c r="W21" s="10">
        <v>0.94773980000000002</v>
      </c>
      <c r="X21" s="10">
        <v>1.526384</v>
      </c>
      <c r="Y21" s="10"/>
      <c r="Z21" s="10">
        <v>1.1414029999999999</v>
      </c>
      <c r="AA21" s="10">
        <v>0.89749380000000001</v>
      </c>
      <c r="AB21" s="10">
        <v>1.4516</v>
      </c>
      <c r="AD21" s="15">
        <v>1.1092649999999999</v>
      </c>
      <c r="AE21" s="15">
        <v>0.86996050000000003</v>
      </c>
      <c r="AF21" s="15">
        <v>1.4143950000000001</v>
      </c>
      <c r="AG21" s="85"/>
      <c r="AH21" s="15">
        <v>1.0592569999999999</v>
      </c>
      <c r="AI21" s="15">
        <v>0.82354020000000006</v>
      </c>
      <c r="AJ21" s="15">
        <v>1.3624419999999999</v>
      </c>
    </row>
    <row r="22" spans="1:37" x14ac:dyDescent="0.3">
      <c r="A22" s="18" t="s">
        <v>44</v>
      </c>
      <c r="V22" s="10"/>
      <c r="W22" s="10"/>
      <c r="X22" s="10"/>
      <c r="Y22" s="10"/>
      <c r="Z22" s="10"/>
      <c r="AA22" s="10"/>
      <c r="AB22" s="10"/>
      <c r="AD22" s="12"/>
      <c r="AE22" s="12"/>
      <c r="AF22" s="12"/>
      <c r="AG22" s="85"/>
      <c r="AH22" s="12"/>
      <c r="AI22" s="12"/>
      <c r="AJ22" s="12"/>
    </row>
    <row r="23" spans="1:37" x14ac:dyDescent="0.3">
      <c r="A23" s="20" t="s">
        <v>43</v>
      </c>
      <c r="B23" s="10" t="s">
        <v>48</v>
      </c>
      <c r="C23" s="10">
        <v>1.428032</v>
      </c>
      <c r="D23" s="10">
        <v>4.2308310000000002</v>
      </c>
      <c r="F23" s="108" t="s">
        <v>136</v>
      </c>
      <c r="G23" s="108">
        <v>1.456248</v>
      </c>
      <c r="H23" s="108">
        <v>4.3555140000000003</v>
      </c>
      <c r="I23" s="10"/>
      <c r="J23" s="108" t="s">
        <v>136</v>
      </c>
      <c r="K23" s="108">
        <v>1.456248</v>
      </c>
      <c r="L23" s="108">
        <v>4.3555140000000003</v>
      </c>
      <c r="M23" s="10"/>
      <c r="N23" s="10" t="s">
        <v>49</v>
      </c>
      <c r="O23" s="10">
        <v>1.3998189999999999</v>
      </c>
      <c r="P23" s="10">
        <v>4.2102449999999996</v>
      </c>
      <c r="Q23" s="10"/>
      <c r="R23" s="10" t="s">
        <v>25</v>
      </c>
      <c r="S23" s="10">
        <v>1.3875010000000001</v>
      </c>
      <c r="T23" s="10">
        <v>4.23719</v>
      </c>
      <c r="V23" s="13" t="s">
        <v>137</v>
      </c>
      <c r="W23" s="10">
        <v>1.3615120000000001</v>
      </c>
      <c r="X23" s="10">
        <v>4.1848179999999999</v>
      </c>
      <c r="Y23" s="10"/>
      <c r="Z23" s="10" t="s">
        <v>226</v>
      </c>
      <c r="AA23" s="10">
        <v>1.118125</v>
      </c>
      <c r="AB23" s="10">
        <v>3.4769869999999998</v>
      </c>
      <c r="AD23" s="15" t="s">
        <v>119</v>
      </c>
      <c r="AE23" s="15">
        <v>1.0916319999999999</v>
      </c>
      <c r="AF23" s="15">
        <v>3.4224070000000002</v>
      </c>
      <c r="AG23" s="85"/>
      <c r="AH23" s="15" t="s">
        <v>142</v>
      </c>
      <c r="AI23" s="15">
        <v>1.082695</v>
      </c>
      <c r="AJ23" s="15">
        <v>3.4736509999999998</v>
      </c>
    </row>
    <row r="24" spans="1:37" x14ac:dyDescent="0.3">
      <c r="A24" s="20" t="s">
        <v>35</v>
      </c>
      <c r="B24" s="10" t="s">
        <v>49</v>
      </c>
      <c r="C24" s="10">
        <v>1.7931539999999999</v>
      </c>
      <c r="D24" s="10">
        <v>3.293828</v>
      </c>
      <c r="F24" s="125" t="s">
        <v>112</v>
      </c>
      <c r="G24" s="125">
        <v>1.773145</v>
      </c>
      <c r="H24" s="125">
        <v>3.2657120000000002</v>
      </c>
      <c r="I24" s="126"/>
      <c r="J24" s="125" t="s">
        <v>112</v>
      </c>
      <c r="K24" s="125">
        <v>1.773145</v>
      </c>
      <c r="L24" s="125">
        <v>3.2657120000000002</v>
      </c>
      <c r="M24" s="126"/>
      <c r="N24" s="126" t="s">
        <v>210</v>
      </c>
      <c r="O24" s="126">
        <v>1.7354350000000001</v>
      </c>
      <c r="P24" s="126">
        <v>3.2055120000000001</v>
      </c>
      <c r="Q24" s="126"/>
      <c r="R24" s="126" t="s">
        <v>210</v>
      </c>
      <c r="S24" s="126">
        <v>1.737738</v>
      </c>
      <c r="T24" s="126">
        <v>3.2147230000000002</v>
      </c>
      <c r="V24" s="13" t="s">
        <v>118</v>
      </c>
      <c r="W24" s="10">
        <v>1.7225699999999999</v>
      </c>
      <c r="X24" s="10">
        <v>3.1934179999999999</v>
      </c>
      <c r="Y24" s="10"/>
      <c r="Z24" s="10" t="s">
        <v>227</v>
      </c>
      <c r="AA24" s="10">
        <v>1.399931</v>
      </c>
      <c r="AB24" s="10">
        <v>2.6491389999999999</v>
      </c>
      <c r="AD24" s="15" t="s">
        <v>115</v>
      </c>
      <c r="AE24" s="15">
        <v>1.388493</v>
      </c>
      <c r="AF24" s="15">
        <v>2.6381749999999999</v>
      </c>
      <c r="AG24" s="85"/>
      <c r="AH24" s="15" t="s">
        <v>106</v>
      </c>
      <c r="AI24" s="15">
        <v>1.372269</v>
      </c>
      <c r="AJ24" s="15">
        <v>2.6424080000000001</v>
      </c>
    </row>
    <row r="25" spans="1:37" x14ac:dyDescent="0.3">
      <c r="A25" s="20" t="s">
        <v>90</v>
      </c>
    </row>
    <row r="26" spans="1:37" x14ac:dyDescent="0.3">
      <c r="A26" s="18" t="s">
        <v>37</v>
      </c>
      <c r="V26" s="10"/>
      <c r="W26" s="10"/>
      <c r="X26" s="10"/>
      <c r="Y26" s="10"/>
      <c r="Z26" s="10"/>
      <c r="AA26" s="10"/>
      <c r="AB26" s="10"/>
      <c r="AD26" s="12"/>
      <c r="AE26" s="12"/>
      <c r="AF26" s="12"/>
      <c r="AG26" s="85"/>
      <c r="AH26" s="85"/>
      <c r="AI26" s="85"/>
      <c r="AJ26" s="85"/>
    </row>
    <row r="27" spans="1:37" x14ac:dyDescent="0.3">
      <c r="A27" s="20" t="s">
        <v>185</v>
      </c>
      <c r="B27" s="10">
        <v>1.2040470000000001</v>
      </c>
      <c r="C27" s="10">
        <v>0.95271499999999998</v>
      </c>
      <c r="D27" s="10">
        <v>1.521682</v>
      </c>
      <c r="F27" s="10">
        <v>1.1912769999999999</v>
      </c>
      <c r="G27" s="10">
        <v>0.94332369999999999</v>
      </c>
      <c r="H27" s="10">
        <v>1.5044059999999999</v>
      </c>
      <c r="I27" s="10"/>
      <c r="J27" s="10"/>
      <c r="K27" s="10"/>
      <c r="L27" s="10"/>
      <c r="M27" s="10"/>
      <c r="N27" s="10"/>
      <c r="O27" s="10"/>
      <c r="P27" s="10"/>
      <c r="Q27" s="10"/>
      <c r="R27" s="10"/>
      <c r="S27" s="10"/>
      <c r="T27" s="10"/>
      <c r="V27" s="10">
        <v>1.0734090000000001</v>
      </c>
      <c r="W27" s="10">
        <v>0.846113</v>
      </c>
      <c r="X27" s="10">
        <v>1.3617649999999999</v>
      </c>
      <c r="Y27" s="10"/>
      <c r="Z27" s="10">
        <v>1.0147459999999999</v>
      </c>
      <c r="AA27" s="10">
        <v>0.79753019999999997</v>
      </c>
      <c r="AB27" s="10">
        <v>1.2911220000000001</v>
      </c>
      <c r="AD27" s="15">
        <v>1.028735</v>
      </c>
      <c r="AE27" s="15">
        <v>0.80671559999999998</v>
      </c>
      <c r="AF27" s="15">
        <v>1.3118570000000001</v>
      </c>
      <c r="AG27" s="85"/>
      <c r="AH27" s="15">
        <v>1.035058</v>
      </c>
      <c r="AI27" s="15">
        <v>0.80663010000000002</v>
      </c>
      <c r="AJ27" s="15">
        <v>1.328174</v>
      </c>
    </row>
    <row r="28" spans="1:37" x14ac:dyDescent="0.3">
      <c r="A28" s="20" t="s">
        <v>362</v>
      </c>
      <c r="AD28" s="12"/>
      <c r="AE28" s="12"/>
      <c r="AF28" s="12"/>
      <c r="AG28" s="85"/>
      <c r="AH28" s="12"/>
      <c r="AI28" s="12"/>
      <c r="AJ28" s="12"/>
    </row>
    <row r="29" spans="1:37" x14ac:dyDescent="0.3">
      <c r="A29" s="162" t="s">
        <v>219</v>
      </c>
      <c r="B29" s="167"/>
      <c r="C29" s="167"/>
      <c r="D29" s="167"/>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71"/>
      <c r="AE29" s="171"/>
      <c r="AF29" s="171"/>
      <c r="AG29" s="172"/>
      <c r="AH29" s="171"/>
      <c r="AI29" s="171"/>
      <c r="AJ29" s="171"/>
    </row>
    <row r="30" spans="1:37" x14ac:dyDescent="0.3">
      <c r="A30" s="21" t="s">
        <v>333</v>
      </c>
      <c r="B30" s="10" t="s">
        <v>27</v>
      </c>
      <c r="C30" s="10">
        <v>0.58390470000000005</v>
      </c>
      <c r="D30" s="10">
        <v>0.75593679999999996</v>
      </c>
      <c r="F30" s="10" t="s">
        <v>27</v>
      </c>
      <c r="G30" s="10">
        <v>0.57613499999999995</v>
      </c>
      <c r="H30" s="10">
        <v>0.74186790000000002</v>
      </c>
      <c r="I30" s="10"/>
      <c r="J30" s="10"/>
      <c r="K30" s="10"/>
      <c r="L30" s="10"/>
      <c r="M30" s="10"/>
      <c r="N30" s="10"/>
      <c r="O30" s="10"/>
      <c r="P30" s="10"/>
      <c r="Q30" s="10"/>
      <c r="R30" s="10"/>
      <c r="S30" s="10"/>
      <c r="T30" s="10"/>
      <c r="Z30" s="108" t="s">
        <v>225</v>
      </c>
      <c r="AA30" s="108">
        <v>0.6227009</v>
      </c>
      <c r="AB30" s="108">
        <v>0.81670620000000005</v>
      </c>
      <c r="AD30" s="15" t="s">
        <v>138</v>
      </c>
      <c r="AE30" s="15">
        <v>0.62583460000000002</v>
      </c>
      <c r="AF30" s="15">
        <v>0.8326654</v>
      </c>
      <c r="AG30" s="85"/>
      <c r="AH30" s="15" t="s">
        <v>122</v>
      </c>
      <c r="AI30" s="15">
        <v>0.67342630000000003</v>
      </c>
      <c r="AJ30" s="15">
        <v>0.91475989999999996</v>
      </c>
    </row>
    <row r="31" spans="1:37" x14ac:dyDescent="0.3">
      <c r="A31" s="18" t="s">
        <v>269</v>
      </c>
      <c r="B31" s="10">
        <v>1.008486</v>
      </c>
      <c r="C31" s="10">
        <v>0.91686630000000002</v>
      </c>
      <c r="D31" s="10">
        <v>1.109262</v>
      </c>
      <c r="F31" s="10">
        <v>1.0125789999999999</v>
      </c>
      <c r="G31" s="10">
        <v>0.9196396</v>
      </c>
      <c r="H31" s="10">
        <v>1.114911</v>
      </c>
      <c r="I31" s="10"/>
      <c r="J31" s="10"/>
      <c r="K31" s="10"/>
      <c r="L31" s="10"/>
      <c r="M31" s="10"/>
      <c r="N31" s="10"/>
      <c r="O31" s="10"/>
      <c r="P31" s="10"/>
      <c r="Q31" s="10"/>
      <c r="R31" s="10"/>
      <c r="S31" s="10"/>
      <c r="T31" s="10"/>
      <c r="AD31" s="15">
        <v>1.011938</v>
      </c>
      <c r="AE31" s="15">
        <v>0.91069789999999995</v>
      </c>
      <c r="AF31" s="15">
        <v>1.124433</v>
      </c>
      <c r="AG31" s="85"/>
      <c r="AH31" s="15">
        <v>1.005609</v>
      </c>
      <c r="AI31" s="15">
        <v>0.90310550000000001</v>
      </c>
      <c r="AJ31" s="15">
        <v>1.119747</v>
      </c>
    </row>
    <row r="32" spans="1:37" x14ac:dyDescent="0.3">
      <c r="A32" s="116" t="s">
        <v>266</v>
      </c>
      <c r="B32" s="10">
        <v>1.021166</v>
      </c>
      <c r="C32" s="10">
        <v>0.97828170000000003</v>
      </c>
      <c r="D32" s="10">
        <v>1.065931</v>
      </c>
      <c r="F32" s="10">
        <v>1.022813</v>
      </c>
      <c r="G32" s="10">
        <v>0.98017620000000005</v>
      </c>
      <c r="H32" s="10">
        <v>1.067304</v>
      </c>
      <c r="I32" s="10"/>
      <c r="J32" s="10"/>
      <c r="K32" s="10"/>
      <c r="L32" s="10"/>
      <c r="M32" s="10"/>
      <c r="N32" s="10"/>
      <c r="O32" s="10"/>
      <c r="P32" s="10"/>
      <c r="Q32" s="10"/>
      <c r="R32" s="10"/>
      <c r="S32" s="10"/>
      <c r="T32" s="10"/>
      <c r="AD32" s="15">
        <v>1.0093669999999999</v>
      </c>
      <c r="AE32" s="15">
        <v>0.96220159999999999</v>
      </c>
      <c r="AF32" s="15">
        <v>1.0588439999999999</v>
      </c>
      <c r="AG32" s="85"/>
      <c r="AH32" s="15">
        <v>0.99766279999999996</v>
      </c>
      <c r="AI32" s="15">
        <v>0.9337529</v>
      </c>
      <c r="AJ32" s="15">
        <v>1.065947</v>
      </c>
    </row>
    <row r="33" spans="1:36" x14ac:dyDescent="0.3">
      <c r="A33" s="18" t="s">
        <v>38</v>
      </c>
      <c r="F33" s="10"/>
      <c r="G33" s="10"/>
      <c r="H33" s="10"/>
      <c r="I33" s="10"/>
      <c r="J33" s="10"/>
      <c r="K33" s="10"/>
      <c r="L33" s="10"/>
      <c r="M33" s="10"/>
      <c r="N33" s="10"/>
      <c r="O33" s="10"/>
      <c r="P33" s="10"/>
      <c r="Q33" s="10"/>
      <c r="R33" s="10"/>
      <c r="S33" s="10"/>
      <c r="T33" s="10"/>
      <c r="AD33" s="12"/>
      <c r="AE33" s="12"/>
      <c r="AF33" s="12"/>
      <c r="AG33" s="85"/>
      <c r="AH33" s="12"/>
      <c r="AI33" s="12"/>
      <c r="AJ33" s="12"/>
    </row>
    <row r="34" spans="1:36" x14ac:dyDescent="0.3">
      <c r="A34" s="20" t="s">
        <v>15</v>
      </c>
      <c r="F34" s="10"/>
      <c r="G34" s="10"/>
      <c r="H34" s="10"/>
      <c r="I34" s="10"/>
      <c r="J34" s="10"/>
      <c r="K34" s="10"/>
      <c r="L34" s="10"/>
      <c r="M34" s="10"/>
      <c r="N34" s="10"/>
      <c r="O34" s="10"/>
      <c r="P34" s="10"/>
      <c r="Q34" s="10"/>
      <c r="R34" s="10"/>
      <c r="S34" s="10"/>
      <c r="T34" s="10"/>
      <c r="AD34" s="12"/>
      <c r="AE34" s="12"/>
      <c r="AF34" s="12"/>
      <c r="AG34" s="85"/>
      <c r="AH34" s="12"/>
      <c r="AI34" s="12"/>
      <c r="AJ34" s="12"/>
    </row>
    <row r="35" spans="1:36" x14ac:dyDescent="0.3">
      <c r="A35" s="20" t="s">
        <v>2</v>
      </c>
      <c r="B35" s="10" t="s">
        <v>60</v>
      </c>
      <c r="C35" s="10">
        <v>1.283625</v>
      </c>
      <c r="D35" s="10">
        <v>2.1214369999999998</v>
      </c>
      <c r="F35" s="127" t="s">
        <v>113</v>
      </c>
      <c r="G35" s="127">
        <v>1.2516419999999999</v>
      </c>
      <c r="H35" s="127">
        <v>2.0379679999999998</v>
      </c>
      <c r="I35" s="127"/>
      <c r="J35" s="127"/>
      <c r="K35" s="127"/>
      <c r="L35" s="127"/>
      <c r="M35" s="127"/>
      <c r="N35" s="127"/>
      <c r="O35" s="127"/>
      <c r="P35" s="127"/>
      <c r="Q35" s="127"/>
      <c r="R35" s="127"/>
      <c r="S35" s="127"/>
      <c r="T35" s="127"/>
      <c r="AD35" s="110" t="s">
        <v>120</v>
      </c>
      <c r="AE35" s="110">
        <v>1.0583070000000001</v>
      </c>
      <c r="AF35" s="110">
        <v>1.7820050000000001</v>
      </c>
      <c r="AG35" s="85"/>
      <c r="AH35" s="15">
        <v>0.94844919999999999</v>
      </c>
      <c r="AI35" s="15">
        <v>0.67757069999999997</v>
      </c>
      <c r="AJ35" s="15">
        <v>1.3276190000000001</v>
      </c>
    </row>
    <row r="36" spans="1:36" x14ac:dyDescent="0.3">
      <c r="A36" s="111" t="s">
        <v>94</v>
      </c>
      <c r="F36" s="10"/>
      <c r="G36" s="10"/>
      <c r="H36" s="10"/>
      <c r="I36" s="10"/>
      <c r="J36" s="10"/>
      <c r="K36" s="10"/>
      <c r="L36" s="10"/>
      <c r="M36" s="10"/>
      <c r="N36" s="10"/>
      <c r="O36" s="10"/>
      <c r="P36" s="10"/>
      <c r="Q36" s="10"/>
      <c r="R36" s="10"/>
      <c r="S36" s="10"/>
      <c r="T36" s="10"/>
      <c r="AD36" s="12"/>
      <c r="AE36" s="12"/>
      <c r="AF36" s="12"/>
      <c r="AG36" s="85"/>
      <c r="AH36" s="12"/>
      <c r="AI36" s="12"/>
      <c r="AJ36" s="12"/>
    </row>
    <row r="37" spans="1:36" x14ac:dyDescent="0.3">
      <c r="A37" s="20" t="s">
        <v>15</v>
      </c>
      <c r="F37" s="10"/>
      <c r="G37" s="10"/>
      <c r="H37" s="10"/>
      <c r="I37" s="10"/>
      <c r="J37" s="10"/>
      <c r="K37" s="10"/>
      <c r="L37" s="10"/>
      <c r="M37" s="10"/>
      <c r="N37" s="10"/>
      <c r="O37" s="10"/>
      <c r="P37" s="10"/>
      <c r="Q37" s="10"/>
      <c r="R37" s="10"/>
      <c r="S37" s="10"/>
      <c r="T37" s="10"/>
      <c r="AD37" s="12"/>
      <c r="AE37" s="12"/>
      <c r="AF37" s="12"/>
      <c r="AG37" s="85"/>
      <c r="AH37" s="12"/>
      <c r="AI37" s="12"/>
      <c r="AJ37" s="12"/>
    </row>
    <row r="38" spans="1:36" x14ac:dyDescent="0.3">
      <c r="A38" s="20" t="s">
        <v>2</v>
      </c>
      <c r="B38" s="10">
        <v>1.1013599999999999</v>
      </c>
      <c r="C38" s="10">
        <v>0.85826199999999997</v>
      </c>
      <c r="D38" s="10">
        <v>1.413313</v>
      </c>
      <c r="F38" s="127">
        <v>1.0907150000000001</v>
      </c>
      <c r="G38" s="127">
        <v>0.84960740000000001</v>
      </c>
      <c r="H38" s="127">
        <v>1.4002460000000001</v>
      </c>
      <c r="I38" s="127"/>
      <c r="J38" s="127"/>
      <c r="K38" s="127"/>
      <c r="L38" s="127"/>
      <c r="M38" s="127"/>
      <c r="N38" s="127"/>
      <c r="O38" s="127"/>
      <c r="P38" s="127"/>
      <c r="Q38" s="127"/>
      <c r="R38" s="127"/>
      <c r="S38" s="127"/>
      <c r="T38" s="127"/>
      <c r="AD38" s="10">
        <v>1.1469860000000001</v>
      </c>
      <c r="AE38" s="10">
        <v>0.87771010000000005</v>
      </c>
      <c r="AF38" s="10">
        <v>1.4988729999999999</v>
      </c>
      <c r="AG38" s="85"/>
      <c r="AH38" s="15">
        <v>1.186199</v>
      </c>
      <c r="AI38" s="15">
        <v>0.90031459999999996</v>
      </c>
      <c r="AJ38" s="15">
        <v>1.562864</v>
      </c>
    </row>
    <row r="39" spans="1:36" x14ac:dyDescent="0.3">
      <c r="A39" s="21" t="s">
        <v>95</v>
      </c>
      <c r="F39" s="10"/>
      <c r="G39" s="10"/>
      <c r="H39" s="10"/>
      <c r="I39" s="10"/>
      <c r="J39" s="10"/>
      <c r="K39" s="10"/>
      <c r="L39" s="10"/>
      <c r="M39" s="10"/>
      <c r="N39" s="10"/>
      <c r="O39" s="10"/>
      <c r="P39" s="10"/>
      <c r="Q39" s="10"/>
      <c r="R39" s="10"/>
      <c r="S39" s="10"/>
      <c r="T39" s="10"/>
      <c r="AD39" s="12"/>
      <c r="AE39" s="12"/>
      <c r="AF39" s="12"/>
      <c r="AG39" s="85"/>
      <c r="AH39" s="12"/>
      <c r="AI39" s="12"/>
      <c r="AJ39" s="12"/>
    </row>
    <row r="40" spans="1:36" x14ac:dyDescent="0.3">
      <c r="A40" s="20" t="s">
        <v>102</v>
      </c>
      <c r="F40" s="10"/>
      <c r="G40" s="10"/>
      <c r="H40" s="10"/>
      <c r="I40" s="10"/>
      <c r="J40" s="10"/>
      <c r="K40" s="10"/>
      <c r="L40" s="10"/>
      <c r="M40" s="10"/>
      <c r="N40" s="10"/>
      <c r="O40" s="10"/>
      <c r="P40" s="10"/>
      <c r="Q40" s="10"/>
      <c r="R40" s="10"/>
      <c r="S40" s="10"/>
      <c r="T40" s="10"/>
      <c r="AD40" s="12"/>
      <c r="AE40" s="12"/>
      <c r="AF40" s="12"/>
      <c r="AG40" s="85"/>
      <c r="AH40" s="12"/>
      <c r="AI40" s="12"/>
      <c r="AJ40" s="12"/>
    </row>
    <row r="41" spans="1:36" x14ac:dyDescent="0.3">
      <c r="A41" s="117" t="s">
        <v>186</v>
      </c>
      <c r="B41" s="10">
        <v>0.99228570000000005</v>
      </c>
      <c r="C41" s="10">
        <v>0.76766939999999995</v>
      </c>
      <c r="D41" s="10">
        <v>1.282624</v>
      </c>
      <c r="F41" s="128">
        <v>1.001376</v>
      </c>
      <c r="G41" s="128">
        <v>0.77457189999999998</v>
      </c>
      <c r="H41" s="128">
        <v>1.2945899999999999</v>
      </c>
      <c r="I41" s="128"/>
      <c r="J41" s="128"/>
      <c r="K41" s="128"/>
      <c r="L41" s="128"/>
      <c r="M41" s="128"/>
      <c r="N41" s="128"/>
      <c r="O41" s="128"/>
      <c r="P41" s="128"/>
      <c r="Q41" s="128"/>
      <c r="R41" s="128"/>
      <c r="S41" s="128"/>
      <c r="T41" s="128"/>
      <c r="AD41" s="15">
        <v>0.99504020000000004</v>
      </c>
      <c r="AE41" s="15">
        <v>0.76603639999999995</v>
      </c>
      <c r="AF41" s="15">
        <v>1.2925040000000001</v>
      </c>
      <c r="AG41" s="85"/>
      <c r="AH41" s="15">
        <v>1.040392</v>
      </c>
      <c r="AI41" s="15">
        <v>0.79444959999999998</v>
      </c>
      <c r="AJ41" s="15">
        <v>1.3624719999999999</v>
      </c>
    </row>
    <row r="42" spans="1:36" ht="28.8" x14ac:dyDescent="0.3">
      <c r="A42" s="129" t="s">
        <v>187</v>
      </c>
      <c r="B42" s="10">
        <v>0.96945780000000004</v>
      </c>
      <c r="C42" s="10">
        <v>0.87468659999999998</v>
      </c>
      <c r="D42" s="10">
        <v>1.074497</v>
      </c>
      <c r="F42" s="10">
        <v>0.95938349999999994</v>
      </c>
      <c r="G42" s="10">
        <v>0.86086419999999997</v>
      </c>
      <c r="H42" s="10">
        <v>1.069178</v>
      </c>
      <c r="I42" s="10"/>
      <c r="J42" s="10"/>
      <c r="K42" s="10"/>
      <c r="L42" s="10"/>
      <c r="M42" s="10"/>
      <c r="N42" s="10"/>
      <c r="O42" s="10"/>
      <c r="P42" s="10"/>
      <c r="Q42" s="10"/>
      <c r="R42" s="10"/>
      <c r="S42" s="10"/>
      <c r="T42" s="10"/>
      <c r="AD42" s="15">
        <v>0.94486930000000002</v>
      </c>
      <c r="AE42" s="15">
        <v>0.84531959999999995</v>
      </c>
      <c r="AF42" s="15">
        <v>1.0561419999999999</v>
      </c>
      <c r="AG42" s="85"/>
      <c r="AH42" s="15" t="s">
        <v>143</v>
      </c>
      <c r="AI42" s="15">
        <v>0.79907570000000006</v>
      </c>
      <c r="AJ42" s="15">
        <v>1.0101990000000001</v>
      </c>
    </row>
    <row r="43" spans="1:36" x14ac:dyDescent="0.3">
      <c r="A43" s="173" t="s">
        <v>220</v>
      </c>
      <c r="B43" s="167"/>
      <c r="C43" s="167"/>
      <c r="D43" s="167"/>
      <c r="E43" s="103"/>
      <c r="F43" s="167"/>
      <c r="G43" s="167"/>
      <c r="H43" s="167"/>
      <c r="I43" s="167"/>
      <c r="J43" s="167"/>
      <c r="K43" s="167"/>
      <c r="L43" s="167"/>
      <c r="M43" s="167"/>
      <c r="N43" s="167"/>
      <c r="O43" s="167"/>
      <c r="P43" s="167"/>
      <c r="Q43" s="167"/>
      <c r="R43" s="167"/>
      <c r="S43" s="167"/>
      <c r="T43" s="167"/>
      <c r="U43" s="103"/>
      <c r="V43" s="103"/>
      <c r="W43" s="103"/>
      <c r="X43" s="103"/>
      <c r="Y43" s="103"/>
      <c r="Z43" s="103"/>
      <c r="AA43" s="103"/>
      <c r="AB43" s="103"/>
      <c r="AC43" s="103"/>
      <c r="AD43" s="174"/>
      <c r="AE43" s="174"/>
      <c r="AF43" s="174"/>
      <c r="AG43" s="172"/>
      <c r="AH43" s="174"/>
      <c r="AI43" s="174"/>
      <c r="AJ43" s="174"/>
    </row>
    <row r="44" spans="1:36" x14ac:dyDescent="0.3">
      <c r="A44" s="116" t="s">
        <v>271</v>
      </c>
      <c r="B44" s="10">
        <v>1.0082709999999999</v>
      </c>
      <c r="C44" s="10">
        <v>0.98278699999999997</v>
      </c>
      <c r="D44" s="10">
        <v>1.0344150000000001</v>
      </c>
      <c r="F44" s="10">
        <v>1.010842</v>
      </c>
      <c r="G44" s="10">
        <v>0.98618050000000002</v>
      </c>
      <c r="H44" s="10">
        <v>1.0361199999999999</v>
      </c>
      <c r="I44" s="10"/>
      <c r="J44" s="10"/>
      <c r="K44" s="10"/>
      <c r="L44" s="10"/>
      <c r="M44" s="10"/>
      <c r="N44" s="10"/>
      <c r="O44" s="10"/>
      <c r="P44" s="10"/>
      <c r="Q44" s="10"/>
      <c r="R44" s="10"/>
      <c r="S44" s="10"/>
      <c r="T44" s="10"/>
      <c r="AD44" s="85"/>
      <c r="AE44" s="85"/>
      <c r="AF44" s="85"/>
      <c r="AG44" s="85"/>
      <c r="AH44" s="15">
        <v>0.99701810000000002</v>
      </c>
      <c r="AI44" s="15">
        <v>0.96094049999999998</v>
      </c>
      <c r="AJ44" s="15">
        <v>1.0344500000000001</v>
      </c>
    </row>
    <row r="45" spans="1:36" x14ac:dyDescent="0.3">
      <c r="A45" s="21" t="s">
        <v>41</v>
      </c>
      <c r="F45" s="10"/>
      <c r="G45" s="10"/>
      <c r="H45" s="10"/>
      <c r="I45" s="10"/>
      <c r="J45" s="10"/>
      <c r="K45" s="10"/>
      <c r="L45" s="10"/>
      <c r="M45" s="10"/>
      <c r="N45" s="10"/>
      <c r="O45" s="10"/>
      <c r="P45" s="10"/>
      <c r="Q45" s="10"/>
      <c r="R45" s="10"/>
      <c r="S45" s="10"/>
      <c r="T45" s="10"/>
      <c r="AD45" s="85"/>
      <c r="AE45" s="85"/>
      <c r="AF45" s="85"/>
      <c r="AG45" s="85"/>
      <c r="AH45" s="12"/>
      <c r="AI45" s="12"/>
      <c r="AJ45" s="12"/>
    </row>
    <row r="46" spans="1:36" x14ac:dyDescent="0.3">
      <c r="A46" s="20" t="s">
        <v>14</v>
      </c>
      <c r="F46" s="10"/>
      <c r="G46" s="10"/>
      <c r="H46" s="10"/>
      <c r="I46" s="10"/>
      <c r="J46" s="10"/>
      <c r="K46" s="10"/>
      <c r="L46" s="10"/>
      <c r="M46" s="10"/>
      <c r="N46" s="10"/>
      <c r="O46" s="10"/>
      <c r="P46" s="10"/>
      <c r="Q46" s="10"/>
      <c r="R46" s="10"/>
      <c r="S46" s="10"/>
      <c r="T46" s="10"/>
      <c r="AD46" s="85"/>
      <c r="AE46" s="85"/>
      <c r="AF46" s="85"/>
      <c r="AG46" s="85"/>
      <c r="AH46" s="12"/>
      <c r="AI46" s="12"/>
      <c r="AJ46" s="12"/>
    </row>
    <row r="47" spans="1:36" x14ac:dyDescent="0.3">
      <c r="A47" s="20" t="s">
        <v>4</v>
      </c>
      <c r="B47" s="10">
        <v>1.0743050000000001</v>
      </c>
      <c r="C47" s="10">
        <v>0.75271779999999999</v>
      </c>
      <c r="D47" s="10">
        <v>1.533285</v>
      </c>
      <c r="F47" s="11">
        <v>1.1616089999999999</v>
      </c>
      <c r="G47" s="11">
        <v>0.81723310000000005</v>
      </c>
      <c r="H47" s="11">
        <v>1.6511020000000001</v>
      </c>
      <c r="I47" s="11"/>
      <c r="J47" s="11"/>
      <c r="K47" s="11"/>
      <c r="L47" s="11"/>
      <c r="M47" s="11"/>
      <c r="N47" s="11"/>
      <c r="O47" s="11"/>
      <c r="P47" s="11"/>
      <c r="Q47" s="11"/>
      <c r="R47" s="11"/>
      <c r="S47" s="11"/>
      <c r="T47" s="11"/>
      <c r="AD47" s="85"/>
      <c r="AE47" s="85"/>
      <c r="AF47" s="85"/>
      <c r="AG47" s="85"/>
      <c r="AH47" s="15">
        <v>1.0670580000000001</v>
      </c>
      <c r="AI47" s="15">
        <v>0.72320890000000004</v>
      </c>
      <c r="AJ47" s="15">
        <v>1.5743910000000001</v>
      </c>
    </row>
    <row r="48" spans="1:36" x14ac:dyDescent="0.3">
      <c r="A48" s="20" t="s">
        <v>5</v>
      </c>
      <c r="B48" s="10" t="s">
        <v>25</v>
      </c>
      <c r="C48" s="10">
        <v>1.867659</v>
      </c>
      <c r="D48" s="10">
        <v>3.1247660000000002</v>
      </c>
      <c r="F48" s="11" t="s">
        <v>139</v>
      </c>
      <c r="G48" s="11">
        <v>1.907667</v>
      </c>
      <c r="H48" s="11">
        <v>3.1616520000000001</v>
      </c>
      <c r="I48" s="11"/>
      <c r="J48" s="11"/>
      <c r="K48" s="11"/>
      <c r="L48" s="11"/>
      <c r="M48" s="11"/>
      <c r="N48" s="11"/>
      <c r="O48" s="11"/>
      <c r="P48" s="11"/>
      <c r="Q48" s="11"/>
      <c r="R48" s="11"/>
      <c r="S48" s="11"/>
      <c r="T48" s="11"/>
      <c r="AD48" s="85"/>
      <c r="AE48" s="85"/>
      <c r="AF48" s="85"/>
      <c r="AG48" s="85"/>
      <c r="AH48" s="110" t="s">
        <v>121</v>
      </c>
      <c r="AI48" s="110">
        <v>1.378126</v>
      </c>
      <c r="AJ48" s="110">
        <v>2.6969259999999999</v>
      </c>
    </row>
    <row r="49" spans="1:37" x14ac:dyDescent="0.3">
      <c r="A49" s="116" t="s">
        <v>40</v>
      </c>
      <c r="F49" s="10"/>
      <c r="G49" s="10"/>
      <c r="H49" s="10"/>
      <c r="I49" s="10"/>
      <c r="J49" s="10"/>
      <c r="K49" s="10"/>
      <c r="L49" s="10"/>
      <c r="M49" s="10"/>
      <c r="N49" s="10"/>
      <c r="O49" s="10"/>
      <c r="P49" s="10"/>
      <c r="Q49" s="10"/>
      <c r="R49" s="10"/>
      <c r="S49" s="10"/>
      <c r="T49" s="10"/>
      <c r="AD49" s="85"/>
      <c r="AE49" s="85"/>
      <c r="AF49" s="85"/>
      <c r="AG49" s="85"/>
      <c r="AH49" s="12"/>
      <c r="AI49" s="12"/>
      <c r="AJ49" s="12"/>
    </row>
    <row r="50" spans="1:37" x14ac:dyDescent="0.3">
      <c r="A50" s="19" t="s">
        <v>19</v>
      </c>
      <c r="F50" s="10"/>
      <c r="G50" s="10"/>
      <c r="H50" s="10"/>
      <c r="I50" s="10"/>
      <c r="J50" s="10"/>
      <c r="K50" s="10"/>
      <c r="L50" s="10"/>
      <c r="M50" s="10"/>
      <c r="N50" s="10"/>
      <c r="O50" s="10"/>
      <c r="P50" s="10"/>
      <c r="Q50" s="10"/>
      <c r="R50" s="10"/>
      <c r="S50" s="10"/>
      <c r="T50" s="10"/>
      <c r="AD50" s="85"/>
      <c r="AE50" s="85"/>
      <c r="AF50" s="85"/>
      <c r="AG50" s="85"/>
      <c r="AH50" s="12"/>
      <c r="AI50" s="12"/>
      <c r="AJ50" s="12"/>
    </row>
    <row r="51" spans="1:37" ht="16.2" x14ac:dyDescent="0.3">
      <c r="A51" s="20" t="s">
        <v>177</v>
      </c>
      <c r="B51" s="15" t="s">
        <v>99</v>
      </c>
      <c r="C51" s="15">
        <v>0.4964229</v>
      </c>
      <c r="D51" s="15">
        <v>0.94861099999999998</v>
      </c>
      <c r="F51" s="130" t="s">
        <v>140</v>
      </c>
      <c r="G51" s="11">
        <v>0.50761140000000005</v>
      </c>
      <c r="H51" s="11">
        <v>0.9573197</v>
      </c>
      <c r="I51" s="11"/>
      <c r="J51" s="11"/>
      <c r="K51" s="11"/>
      <c r="L51" s="11"/>
      <c r="M51" s="11"/>
      <c r="N51" s="11"/>
      <c r="O51" s="11"/>
      <c r="P51" s="11"/>
      <c r="Q51" s="11"/>
      <c r="R51" s="11"/>
      <c r="S51" s="11"/>
      <c r="T51" s="11"/>
      <c r="AD51" s="85"/>
      <c r="AE51" s="85"/>
      <c r="AF51" s="85"/>
      <c r="AG51" s="85"/>
      <c r="AH51" s="110" t="s">
        <v>228</v>
      </c>
      <c r="AI51" s="110">
        <v>0.52169359999999998</v>
      </c>
      <c r="AJ51" s="110">
        <v>1.0149680000000001</v>
      </c>
    </row>
    <row r="52" spans="1:37" ht="16.2" x14ac:dyDescent="0.3">
      <c r="A52" s="20" t="s">
        <v>176</v>
      </c>
      <c r="B52" s="15" t="s">
        <v>63</v>
      </c>
      <c r="C52" s="15">
        <v>0.53745379999999998</v>
      </c>
      <c r="D52" s="15">
        <v>0.91889489999999996</v>
      </c>
      <c r="F52" s="130" t="s">
        <v>63</v>
      </c>
      <c r="G52" s="11">
        <v>0.52944060000000004</v>
      </c>
      <c r="H52" s="11">
        <v>0.9122941</v>
      </c>
      <c r="I52" s="11"/>
      <c r="J52" s="11"/>
      <c r="K52" s="11"/>
      <c r="L52" s="11"/>
      <c r="M52" s="11"/>
      <c r="N52" s="11"/>
      <c r="O52" s="11"/>
      <c r="P52" s="11"/>
      <c r="Q52" s="11"/>
      <c r="R52" s="11"/>
      <c r="S52" s="11"/>
      <c r="T52" s="11"/>
      <c r="AD52" s="85"/>
      <c r="AE52" s="85"/>
      <c r="AF52" s="85"/>
      <c r="AG52" s="85"/>
      <c r="AH52" s="110" t="s">
        <v>229</v>
      </c>
      <c r="AI52" s="110">
        <v>0.55089569999999999</v>
      </c>
      <c r="AJ52" s="110">
        <v>1.000937</v>
      </c>
    </row>
    <row r="53" spans="1:37" x14ac:dyDescent="0.3">
      <c r="A53" s="21" t="s">
        <v>188</v>
      </c>
      <c r="AD53" s="85"/>
      <c r="AE53" s="85"/>
      <c r="AF53" s="85"/>
      <c r="AG53" s="85"/>
      <c r="AH53" s="12"/>
      <c r="AI53" s="12"/>
      <c r="AJ53" s="12"/>
    </row>
    <row r="54" spans="1:37" x14ac:dyDescent="0.3">
      <c r="A54" s="19" t="s">
        <v>19</v>
      </c>
      <c r="AD54" s="85"/>
      <c r="AE54" s="85"/>
      <c r="AF54" s="85"/>
      <c r="AG54" s="85"/>
      <c r="AH54" s="12"/>
      <c r="AI54" s="12"/>
      <c r="AJ54" s="12"/>
    </row>
    <row r="55" spans="1:37" x14ac:dyDescent="0.3">
      <c r="A55" s="117" t="s">
        <v>179</v>
      </c>
      <c r="B55" s="10">
        <v>1.0678570000000001</v>
      </c>
      <c r="C55" s="10">
        <v>0.65498299999999998</v>
      </c>
      <c r="D55" s="10">
        <v>1.74099</v>
      </c>
      <c r="F55" s="16">
        <v>1.025099</v>
      </c>
      <c r="G55" s="16">
        <v>0.63461749999999995</v>
      </c>
      <c r="H55" s="16">
        <v>1.6558459999999999</v>
      </c>
      <c r="I55" s="16"/>
      <c r="J55" s="16"/>
      <c r="K55" s="16"/>
      <c r="L55" s="16"/>
      <c r="M55" s="16"/>
      <c r="N55" s="16"/>
      <c r="O55" s="16"/>
      <c r="P55" s="16"/>
      <c r="Q55" s="16"/>
      <c r="R55" s="16"/>
      <c r="S55" s="16"/>
      <c r="T55" s="16"/>
      <c r="AD55" s="85"/>
      <c r="AE55" s="85"/>
      <c r="AF55" s="85"/>
      <c r="AG55" s="85"/>
      <c r="AH55" s="15">
        <v>1.180437</v>
      </c>
      <c r="AI55" s="15">
        <v>0.71491700000000002</v>
      </c>
      <c r="AJ55" s="15">
        <v>1.9490799999999999</v>
      </c>
    </row>
    <row r="56" spans="1:37" x14ac:dyDescent="0.3">
      <c r="A56" s="117" t="s">
        <v>178</v>
      </c>
      <c r="B56" s="10" t="s">
        <v>63</v>
      </c>
      <c r="C56" s="10">
        <v>0.5361011</v>
      </c>
      <c r="D56" s="10">
        <v>0.9085048</v>
      </c>
      <c r="F56" s="16" t="s">
        <v>114</v>
      </c>
      <c r="G56" s="16">
        <v>0.52536380000000005</v>
      </c>
      <c r="H56" s="16">
        <v>0.88717480000000004</v>
      </c>
      <c r="I56" s="16"/>
      <c r="J56" s="16"/>
      <c r="K56" s="16"/>
      <c r="L56" s="16"/>
      <c r="M56" s="16"/>
      <c r="N56" s="16"/>
      <c r="O56" s="16"/>
      <c r="P56" s="16"/>
      <c r="Q56" s="16"/>
      <c r="R56" s="16"/>
      <c r="S56" s="16"/>
      <c r="T56" s="16"/>
      <c r="AD56" s="85"/>
      <c r="AE56" s="85"/>
      <c r="AF56" s="85"/>
      <c r="AG56" s="85"/>
      <c r="AH56" s="15">
        <v>0.81529720000000006</v>
      </c>
      <c r="AI56" s="15">
        <v>0.61699020000000004</v>
      </c>
      <c r="AJ56" s="15">
        <v>1.077342</v>
      </c>
    </row>
    <row r="57" spans="1:37" x14ac:dyDescent="0.3">
      <c r="A57" s="21" t="s">
        <v>189</v>
      </c>
      <c r="AD57" s="85"/>
      <c r="AE57" s="85"/>
      <c r="AF57" s="85"/>
      <c r="AG57" s="85"/>
      <c r="AH57" s="12"/>
      <c r="AI57" s="12"/>
      <c r="AJ57" s="12"/>
    </row>
    <row r="58" spans="1:37" x14ac:dyDescent="0.3">
      <c r="A58" s="19" t="s">
        <v>15</v>
      </c>
      <c r="AD58" s="85"/>
      <c r="AE58" s="85"/>
      <c r="AF58" s="85"/>
      <c r="AG58" s="85"/>
      <c r="AH58" s="12"/>
      <c r="AI58" s="12"/>
      <c r="AJ58" s="12"/>
    </row>
    <row r="59" spans="1:37" x14ac:dyDescent="0.3">
      <c r="A59" s="19" t="s">
        <v>2</v>
      </c>
      <c r="B59" s="10" t="s">
        <v>65</v>
      </c>
      <c r="C59" s="10">
        <v>1.3138529999999999</v>
      </c>
      <c r="D59" s="10">
        <v>2.746019</v>
      </c>
      <c r="F59" s="11" t="s">
        <v>65</v>
      </c>
      <c r="G59" s="11">
        <v>1.3227949999999999</v>
      </c>
      <c r="H59" s="11">
        <v>2.7375379999999998</v>
      </c>
      <c r="I59" s="11"/>
      <c r="J59" s="11"/>
      <c r="K59" s="11"/>
      <c r="L59" s="11"/>
      <c r="M59" s="11"/>
      <c r="N59" s="11"/>
      <c r="O59" s="11"/>
      <c r="P59" s="11"/>
      <c r="Q59" s="11"/>
      <c r="R59" s="11"/>
      <c r="S59" s="11"/>
      <c r="T59" s="11"/>
      <c r="AD59" s="85"/>
      <c r="AE59" s="85"/>
      <c r="AF59" s="85"/>
      <c r="AG59" s="85"/>
      <c r="AH59" s="15">
        <v>1.2209810000000001</v>
      </c>
      <c r="AI59" s="15">
        <v>0.81900260000000003</v>
      </c>
      <c r="AJ59" s="15">
        <v>1.820255</v>
      </c>
    </row>
    <row r="60" spans="1:37" x14ac:dyDescent="0.3">
      <c r="A60" s="18" t="s">
        <v>340</v>
      </c>
      <c r="AD60" s="85"/>
      <c r="AE60" s="85"/>
      <c r="AF60" s="85"/>
      <c r="AG60" s="85"/>
      <c r="AH60" s="12"/>
      <c r="AI60" s="12"/>
      <c r="AJ60" s="12"/>
    </row>
    <row r="61" spans="1:37" x14ac:dyDescent="0.3">
      <c r="A61" s="20" t="s">
        <v>15</v>
      </c>
      <c r="AD61" s="85"/>
      <c r="AE61" s="85"/>
      <c r="AF61" s="85"/>
      <c r="AG61" s="85"/>
      <c r="AH61" s="12"/>
      <c r="AI61" s="12"/>
      <c r="AJ61" s="12"/>
    </row>
    <row r="62" spans="1:37" x14ac:dyDescent="0.3">
      <c r="A62" s="20" t="s">
        <v>2</v>
      </c>
      <c r="B62" s="10" t="s">
        <v>64</v>
      </c>
      <c r="C62" s="10">
        <v>1.7954730000000001</v>
      </c>
      <c r="D62" s="10">
        <v>2.9226589999999999</v>
      </c>
      <c r="F62" s="11" t="s">
        <v>141</v>
      </c>
      <c r="G62" s="11">
        <v>1.7602469999999999</v>
      </c>
      <c r="H62" s="11">
        <v>2.9385780000000001</v>
      </c>
      <c r="I62" s="11"/>
      <c r="J62" s="11"/>
      <c r="K62" s="11"/>
      <c r="L62" s="11"/>
      <c r="M62" s="11"/>
      <c r="N62" s="11"/>
      <c r="O62" s="11"/>
      <c r="P62" s="11"/>
      <c r="Q62" s="11"/>
      <c r="R62" s="11"/>
      <c r="S62" s="11"/>
      <c r="T62" s="11"/>
      <c r="AD62" s="85"/>
      <c r="AE62" s="85"/>
      <c r="AF62" s="85"/>
      <c r="AG62" s="85"/>
      <c r="AH62" s="110" t="s">
        <v>144</v>
      </c>
      <c r="AI62" s="110">
        <v>1.5868979999999999</v>
      </c>
      <c r="AJ62" s="110">
        <v>2.7076340000000001</v>
      </c>
      <c r="AK62" s="124"/>
    </row>
    <row r="63" spans="1:37" x14ac:dyDescent="0.3">
      <c r="A63" s="18" t="s">
        <v>370</v>
      </c>
      <c r="F63" s="10"/>
      <c r="G63" s="10"/>
      <c r="H63" s="10"/>
      <c r="I63" s="10"/>
      <c r="J63" s="10"/>
      <c r="K63" s="10"/>
      <c r="L63" s="10"/>
      <c r="M63" s="10"/>
      <c r="N63" s="10"/>
      <c r="O63" s="10"/>
      <c r="P63" s="10"/>
      <c r="Q63" s="10"/>
      <c r="R63" s="10"/>
      <c r="S63" s="10"/>
      <c r="T63" s="10"/>
      <c r="AD63" s="85"/>
      <c r="AE63" s="85"/>
      <c r="AF63" s="85"/>
      <c r="AG63" s="85"/>
      <c r="AH63" s="12"/>
      <c r="AI63" s="12"/>
      <c r="AJ63" s="12"/>
    </row>
    <row r="64" spans="1:37" x14ac:dyDescent="0.3">
      <c r="A64" s="20" t="s">
        <v>15</v>
      </c>
      <c r="F64" s="10"/>
      <c r="G64" s="10"/>
      <c r="H64" s="10"/>
      <c r="I64" s="10"/>
      <c r="J64" s="10"/>
      <c r="K64" s="10"/>
      <c r="L64" s="10"/>
      <c r="M64" s="10"/>
      <c r="N64" s="10"/>
      <c r="O64" s="10"/>
      <c r="P64" s="10"/>
      <c r="Q64" s="10"/>
      <c r="R64" s="10"/>
      <c r="S64" s="10"/>
      <c r="T64" s="10"/>
      <c r="AD64" s="85"/>
      <c r="AE64" s="85"/>
      <c r="AF64" s="85"/>
      <c r="AG64" s="85"/>
      <c r="AH64" s="12"/>
      <c r="AI64" s="12"/>
      <c r="AJ64" s="12"/>
    </row>
    <row r="65" spans="1:36" x14ac:dyDescent="0.3">
      <c r="A65" s="20" t="s">
        <v>2</v>
      </c>
      <c r="B65" s="10">
        <v>0.78148580000000001</v>
      </c>
      <c r="C65" s="10">
        <v>0.55601650000000002</v>
      </c>
      <c r="D65" s="10">
        <v>1.0983849999999999</v>
      </c>
      <c r="F65" s="11">
        <v>0.77010590000000001</v>
      </c>
      <c r="G65" s="11">
        <v>0.54584129999999997</v>
      </c>
      <c r="H65" s="11">
        <v>1.0865119999999999</v>
      </c>
      <c r="I65" s="11"/>
      <c r="J65" s="11"/>
      <c r="K65" s="11"/>
      <c r="L65" s="11"/>
      <c r="M65" s="11"/>
      <c r="N65" s="11"/>
      <c r="O65" s="11"/>
      <c r="P65" s="11"/>
      <c r="Q65" s="11"/>
      <c r="R65" s="11"/>
      <c r="S65" s="11"/>
      <c r="T65" s="11"/>
      <c r="AD65" s="85"/>
      <c r="AE65" s="85"/>
      <c r="AF65" s="85"/>
      <c r="AG65" s="85"/>
      <c r="AH65" s="15">
        <v>0.87034409999999995</v>
      </c>
      <c r="AI65" s="15">
        <v>0.59738409999999997</v>
      </c>
      <c r="AJ65" s="15">
        <v>1.2680260000000001</v>
      </c>
    </row>
    <row r="66" spans="1:36" x14ac:dyDescent="0.3">
      <c r="A66" s="18" t="s">
        <v>369</v>
      </c>
      <c r="AD66" s="85"/>
      <c r="AE66" s="85"/>
      <c r="AF66" s="85"/>
      <c r="AG66" s="85"/>
      <c r="AH66" s="12"/>
      <c r="AI66" s="12"/>
      <c r="AJ66" s="12"/>
    </row>
    <row r="67" spans="1:36" x14ac:dyDescent="0.3">
      <c r="A67" s="20" t="s">
        <v>15</v>
      </c>
      <c r="AD67" s="85"/>
      <c r="AE67" s="85"/>
      <c r="AF67" s="85"/>
      <c r="AG67" s="85"/>
      <c r="AH67" s="12"/>
      <c r="AI67" s="12"/>
      <c r="AJ67" s="12"/>
    </row>
    <row r="68" spans="1:36" x14ac:dyDescent="0.3">
      <c r="A68" s="20" t="s">
        <v>2</v>
      </c>
      <c r="B68" s="10">
        <v>0.96703539999999999</v>
      </c>
      <c r="C68" s="10">
        <v>0.70184769999999996</v>
      </c>
      <c r="D68" s="10">
        <v>1.332422</v>
      </c>
      <c r="F68" s="16">
        <v>0.97023479999999995</v>
      </c>
      <c r="G68" s="16">
        <v>0.70154550000000004</v>
      </c>
      <c r="H68" s="16">
        <v>1.341831</v>
      </c>
      <c r="I68" s="16"/>
      <c r="J68" s="16"/>
      <c r="K68" s="16"/>
      <c r="L68" s="16"/>
      <c r="M68" s="16"/>
      <c r="N68" s="16"/>
      <c r="O68" s="16"/>
      <c r="P68" s="16"/>
      <c r="Q68" s="16"/>
      <c r="R68" s="16"/>
      <c r="S68" s="16"/>
      <c r="T68" s="16"/>
      <c r="AD68" s="85"/>
      <c r="AE68" s="85"/>
      <c r="AF68" s="85"/>
      <c r="AG68" s="85"/>
      <c r="AH68" s="15">
        <v>1.1280950000000001</v>
      </c>
      <c r="AI68" s="15">
        <v>0.7928366</v>
      </c>
      <c r="AJ68" s="15">
        <v>1.6051200000000001</v>
      </c>
    </row>
    <row r="69" spans="1:36" x14ac:dyDescent="0.3">
      <c r="A69" s="18" t="s">
        <v>371</v>
      </c>
      <c r="AD69" s="85"/>
      <c r="AE69" s="85"/>
      <c r="AF69" s="85"/>
      <c r="AG69" s="85"/>
      <c r="AH69" s="12"/>
      <c r="AI69" s="12"/>
      <c r="AJ69" s="12"/>
    </row>
    <row r="70" spans="1:36" x14ac:dyDescent="0.3">
      <c r="A70" s="117" t="s">
        <v>361</v>
      </c>
      <c r="B70" s="10" t="s">
        <v>66</v>
      </c>
      <c r="C70" s="10">
        <v>1.3675580000000001</v>
      </c>
      <c r="D70" s="10">
        <v>2.3143539999999998</v>
      </c>
      <c r="F70" s="6" t="s">
        <v>116</v>
      </c>
      <c r="G70" s="10">
        <v>1.35981</v>
      </c>
      <c r="H70" s="10">
        <v>2.2992650000000001</v>
      </c>
      <c r="I70" s="10"/>
      <c r="J70" s="10"/>
      <c r="K70" s="10"/>
      <c r="L70" s="10"/>
      <c r="M70" s="10"/>
      <c r="N70" s="10"/>
      <c r="O70" s="10"/>
      <c r="P70" s="10"/>
      <c r="Q70" s="10"/>
      <c r="R70" s="10"/>
      <c r="S70" s="10"/>
      <c r="T70" s="10"/>
      <c r="AD70" s="85"/>
      <c r="AE70" s="85"/>
      <c r="AF70" s="85"/>
      <c r="AG70" s="85"/>
      <c r="AH70" s="110" t="s">
        <v>145</v>
      </c>
      <c r="AI70" s="110">
        <v>1.0543070000000001</v>
      </c>
      <c r="AJ70" s="110">
        <v>1.875545</v>
      </c>
    </row>
    <row r="71" spans="1:36" x14ac:dyDescent="0.3">
      <c r="A71" s="117" t="s">
        <v>35</v>
      </c>
      <c r="B71" s="10">
        <v>1.0981810000000001</v>
      </c>
      <c r="C71" s="10">
        <v>0.820021</v>
      </c>
      <c r="D71" s="10">
        <v>1.470696</v>
      </c>
      <c r="F71" s="11">
        <v>1.1083160000000001</v>
      </c>
      <c r="G71" s="11">
        <v>0.82901320000000001</v>
      </c>
      <c r="H71" s="11">
        <v>1.481719</v>
      </c>
      <c r="I71" s="11"/>
      <c r="J71" s="11"/>
      <c r="K71" s="11"/>
      <c r="L71" s="11"/>
      <c r="M71" s="11"/>
      <c r="N71" s="11"/>
      <c r="O71" s="11"/>
      <c r="P71" s="11"/>
      <c r="Q71" s="11"/>
      <c r="R71" s="11"/>
      <c r="S71" s="11"/>
      <c r="T71" s="11"/>
      <c r="AD71" s="85"/>
      <c r="AE71" s="85"/>
      <c r="AF71" s="85"/>
      <c r="AG71" s="85"/>
      <c r="AH71" s="15">
        <v>0.80753620000000004</v>
      </c>
      <c r="AI71" s="15">
        <v>0.58775080000000002</v>
      </c>
      <c r="AJ71" s="15">
        <v>1.1095090000000001</v>
      </c>
    </row>
    <row r="72" spans="1:36" x14ac:dyDescent="0.3">
      <c r="A72" s="117" t="s">
        <v>90</v>
      </c>
      <c r="F72" s="11"/>
      <c r="G72" s="11"/>
      <c r="H72" s="11"/>
      <c r="I72" s="11"/>
      <c r="J72" s="11"/>
      <c r="K72" s="11"/>
      <c r="L72" s="11"/>
      <c r="M72" s="11"/>
      <c r="N72" s="11"/>
      <c r="O72" s="11"/>
      <c r="P72" s="11"/>
      <c r="Q72" s="11"/>
      <c r="R72" s="11"/>
      <c r="S72" s="11"/>
      <c r="T72" s="11"/>
      <c r="AD72" s="85"/>
      <c r="AE72" s="85"/>
      <c r="AF72" s="85"/>
      <c r="AG72" s="85"/>
    </row>
    <row r="73" spans="1:36" s="17" customFormat="1" x14ac:dyDescent="0.3">
      <c r="B73" s="178"/>
      <c r="C73" s="178"/>
      <c r="D73" s="178"/>
    </row>
    <row r="74" spans="1:36" x14ac:dyDescent="0.3">
      <c r="A74" s="6" t="s">
        <v>367</v>
      </c>
    </row>
  </sheetData>
  <mergeCells count="26">
    <mergeCell ref="Z5:AF5"/>
    <mergeCell ref="AH5:AJ5"/>
    <mergeCell ref="Z4:AF4"/>
    <mergeCell ref="AH7:AJ7"/>
    <mergeCell ref="W6:X6"/>
    <mergeCell ref="AE6:AF6"/>
    <mergeCell ref="AI6:AJ6"/>
    <mergeCell ref="AD7:AF7"/>
    <mergeCell ref="AA6:AB6"/>
    <mergeCell ref="Z7:AB7"/>
    <mergeCell ref="B3:D3"/>
    <mergeCell ref="G6:H6"/>
    <mergeCell ref="F5:H5"/>
    <mergeCell ref="B5:D5"/>
    <mergeCell ref="V7:X7"/>
    <mergeCell ref="O6:P6"/>
    <mergeCell ref="S6:T6"/>
    <mergeCell ref="N7:P7"/>
    <mergeCell ref="R7:T7"/>
    <mergeCell ref="K6:L6"/>
    <mergeCell ref="J7:L7"/>
    <mergeCell ref="J4:X4"/>
    <mergeCell ref="A4:H4"/>
    <mergeCell ref="F3:AJ3"/>
    <mergeCell ref="AH4:AJ4"/>
    <mergeCell ref="N5:X5"/>
  </mergeCells>
  <pageMargins left="0.70866141732283472" right="0.70866141732283472" top="0.74803149606299213" bottom="0.74803149606299213" header="0.31496062992125984" footer="0.31496062992125984"/>
  <pageSetup paperSize="9" scale="4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Title</vt:lpstr>
      <vt:lpstr>Table 1 Menopause status</vt:lpstr>
      <vt:lpstr>Table 2.1, 2.2 Menopause status</vt:lpstr>
      <vt:lpstr>Table 3 Descriptive statistics</vt:lpstr>
      <vt:lpstr>Table 4 Pooled models</vt:lpstr>
      <vt:lpstr>Tables 5 Study specific</vt:lpstr>
      <vt:lpstr>Tables 6 Study specific</vt:lpstr>
      <vt:lpstr>'Table 1 Menopause status'!_ftn1</vt:lpstr>
      <vt:lpstr>'Table 1 Menopause status'!_ftnref1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darina peycheva</dc:creator>
  <cp:lastModifiedBy>darina peycheva</cp:lastModifiedBy>
  <cp:lastPrinted>2021-09-09T12:49:14Z</cp:lastPrinted>
  <dcterms:created xsi:type="dcterms:W3CDTF">2019-11-28T12:32:23Z</dcterms:created>
  <dcterms:modified xsi:type="dcterms:W3CDTF">2022-11-02T13:49:23Z</dcterms:modified>
</cp:coreProperties>
</file>