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桌面\【冲刺阶段已写论文】\5_定制BMC Medical Education_1篇\5-BMC Medical Education\8.14 R2\返修提交\"/>
    </mc:Choice>
  </mc:AlternateContent>
  <bookViews>
    <workbookView windowWidth="24750" windowHeight="10480"/>
  </bookViews>
  <sheets>
    <sheet name="README" sheetId="1" r:id="rId1"/>
    <sheet name="Source Counts" sheetId="2" r:id="rId2"/>
    <sheet name="Annual Analysis" sheetId="3" r:id="rId3"/>
    <sheet name="Latest Metrics" sheetId="4" r:id="rId4"/>
    <sheet name="Stage Contributions" sheetId="5" r:id="rId5"/>
    <sheet name="Stage Equalization" sheetId="6" r:id="rId6"/>
    <sheet name="Trend Slopes" sheetId="7" r:id="rId7"/>
    <sheet name="EO Sensitivity" sheetId="8" r:id="rId8"/>
    <sheet name="Reference Intervals" sheetId="9" r:id="rId9"/>
    <sheet name="Checks" sheetId="10" r:id="rId10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<sst xmlns="http://schemas.openxmlformats.org/spreadsheetml/2006/main" count="828" uniqueCount="206">
  <si>
    <t>Formula-Preserving Analysis Workbook</t>
  </si>
  <si>
    <t>Purpose</t>
  </si>
  <si>
    <t>Reproduce the descriptive analyses reported in the manuscript from published AAMC FACTS aggregate counts.</t>
  </si>
  <si>
    <t>Worksheet</t>
  </si>
  <si>
    <t>Contents</t>
  </si>
  <si>
    <t>Primary inputs</t>
  </si>
  <si>
    <t>AAMC FACTS Tables A-24, A-26, and A-27 for the periods reported in the manuscript.</t>
  </si>
  <si>
    <t>Source Counts</t>
  </si>
  <si>
    <t>Normalized published counts and source metadata.</t>
  </si>
  <si>
    <t>Primary EO denominator</t>
  </si>
  <si>
    <t>Known EO records only: EO1/2 plus EO3/4/5. Unknown/not applicable records are included only in the sensitivity analysis.</t>
  </si>
  <si>
    <t>Annual Analysis</t>
  </si>
  <si>
    <t>Formula-derived annual group rates, gaps, shares, and representation ratios.</t>
  </si>
  <si>
    <t>Binary comparison groups</t>
  </si>
  <si>
    <t>First-generation and fee-assistance reference groups are calculated as the published total minus the focal-group count.</t>
  </si>
  <si>
    <t>Latest Metrics</t>
  </si>
  <si>
    <t>Latest-year metrics used in manuscript tables and Results.</t>
  </si>
  <si>
    <t>Acceptance rate</t>
  </si>
  <si>
    <t>Acceptees / applicants.</t>
  </si>
  <si>
    <t>Stage Contributions</t>
  </si>
  <si>
    <t>Direct representation-share decomposition.</t>
  </si>
  <si>
    <t>Matriculation yield</t>
  </si>
  <si>
    <t>Matriculants / acceptees.</t>
  </si>
  <si>
    <t>Stage Equalization</t>
  </si>
  <si>
    <t>Rate-equalization and Shapley summaries.</t>
  </si>
  <si>
    <t>Pipeline rate</t>
  </si>
  <si>
    <t>Matriculants / applicants = acceptance rate x matriculation yield.</t>
  </si>
  <si>
    <t>Trend Slopes</t>
  </si>
  <si>
    <t>Descriptive OLS slopes and R-squared values.</t>
  </si>
  <si>
    <t>Stage contribution</t>
  </si>
  <si>
    <t>Absolute stage-specific share change divided by the absolute applicant-to-matriculant share change.</t>
  </si>
  <si>
    <t>EO Sensitivity</t>
  </si>
  <si>
    <t>Known-EO versus national-total denominator comparison.</t>
  </si>
  <si>
    <t>Stage equalization</t>
  </si>
  <si>
    <t>One focal-group stage rate is replaced by its reference-group counterpart while the other focal-group stage rate is held fixed.</t>
  </si>
  <si>
    <t>Reference Intervals</t>
  </si>
  <si>
    <t>Wilson and Newcombe reference intervals.</t>
  </si>
  <si>
    <t>Trend summaries</t>
  </si>
  <si>
    <t>Excel SLOPE and RSQ functions applied to annual percentage-point gaps; no significance tests.</t>
  </si>
  <si>
    <t>Checks</t>
  </si>
  <si>
    <t>Internal identity and interval-bound checks.</t>
  </si>
  <si>
    <t>Intervals</t>
  </si>
  <si>
    <t>Wilson score intervals for rates and Newcombe intervals for independent rate differences under a binomial working model.</t>
  </si>
  <si>
    <t>Source URL</t>
  </si>
  <si>
    <t>https://www.aamc.org/data-reports/students-residents/data/facts-applicants-and-matriculants</t>
  </si>
  <si>
    <t>Reproducibility</t>
  </si>
  <si>
    <t>Yellow cells are source inputs copied from the published tables; green cells contain formulas. All reported values should update if source counts are changed.</t>
  </si>
  <si>
    <t>Domain</t>
  </si>
  <si>
    <t>Academic year</t>
  </si>
  <si>
    <t>Year start</t>
  </si>
  <si>
    <t>Stage</t>
  </si>
  <si>
    <t>Focal group</t>
  </si>
  <si>
    <t>Reference group</t>
  </si>
  <si>
    <t>Focal count</t>
  </si>
  <si>
    <t>Reported reference count</t>
  </si>
  <si>
    <t>Unknown/not applicable count</t>
  </si>
  <si>
    <t>Published total</t>
  </si>
  <si>
    <t>Source file</t>
  </si>
  <si>
    <t>AAMC EO classification</t>
  </si>
  <si>
    <t>2018-2019</t>
  </si>
  <si>
    <t>Applicants</t>
  </si>
  <si>
    <t>Lower EO (EO1/2)</t>
  </si>
  <si>
    <t>Higher EO (EO3/4/5)</t>
  </si>
  <si>
    <t>2025_FACTS_Table_A-24.xlsx</t>
  </si>
  <si>
    <t>2019-2020</t>
  </si>
  <si>
    <t>2020-2021</t>
  </si>
  <si>
    <t>2021-2022</t>
  </si>
  <si>
    <t>2022-2023</t>
  </si>
  <si>
    <t>2023-2024</t>
  </si>
  <si>
    <t>2024-2025</t>
  </si>
  <si>
    <t>2025-2026</t>
  </si>
  <si>
    <t>Acceptees</t>
  </si>
  <si>
    <t>Matriculants</t>
  </si>
  <si>
    <t>First-generation status</t>
  </si>
  <si>
    <t>First generation</t>
  </si>
  <si>
    <t>Remaining total excluding first generation</t>
  </si>
  <si>
    <t>2025_FACTS_Table_A-26.xlsx</t>
  </si>
  <si>
    <t>Fee assistance</t>
  </si>
  <si>
    <t>Used AMCAS fee assistance benefits</t>
  </si>
  <si>
    <t>Remaining total excluding fee assistance benefits</t>
  </si>
  <si>
    <t>2025_FACTS_Table_A-27.xlsx</t>
  </si>
  <si>
    <t>Focal applicants</t>
  </si>
  <si>
    <t>Focal acceptees</t>
  </si>
  <si>
    <t>Focal matriculants</t>
  </si>
  <si>
    <t>Reference applicants</t>
  </si>
  <si>
    <t>Reference acceptees</t>
  </si>
  <si>
    <t>Reference matriculants</t>
  </si>
  <si>
    <t>Applicant share denominator</t>
  </si>
  <si>
    <t>Acceptee share denominator</t>
  </si>
  <si>
    <t>Matriculant share denominator</t>
  </si>
  <si>
    <t>Focal acceptance rate</t>
  </si>
  <si>
    <t>Reference acceptance rate</t>
  </si>
  <si>
    <t>Acceptance gap (pp)</t>
  </si>
  <si>
    <t>Focal matriculation yield</t>
  </si>
  <si>
    <t>Reference matriculation yield</t>
  </si>
  <si>
    <t>Yield gap (pp)</t>
  </si>
  <si>
    <t>Focal pipeline rate</t>
  </si>
  <si>
    <t>Reference pipeline rate</t>
  </si>
  <si>
    <t>Pipeline gap (pp)</t>
  </si>
  <si>
    <t>Focal applicant share</t>
  </si>
  <si>
    <t>Focal acceptee share</t>
  </si>
  <si>
    <t>Focal matriculant share</t>
  </si>
  <si>
    <t>Applicant-to-acceptee change (pp)</t>
  </si>
  <si>
    <t>Acceptee-to-matriculant change (pp)</t>
  </si>
  <si>
    <t>Applicant-to-matriculant change (pp)</t>
  </si>
  <si>
    <t>Representation ratio</t>
  </si>
  <si>
    <t>Focal applicants (n)</t>
  </si>
  <si>
    <t>Focal acceptees (n)</t>
  </si>
  <si>
    <t>Focal matriculants (n)</t>
  </si>
  <si>
    <t>Reference applicants (n)</t>
  </si>
  <si>
    <t>Reference acceptees (n)</t>
  </si>
  <si>
    <t>Reference matriculants (n)</t>
  </si>
  <si>
    <t>Applicant share</t>
  </si>
  <si>
    <t>Acceptee share</t>
  </si>
  <si>
    <t>Matriculant share</t>
  </si>
  <si>
    <t>Pre-acceptance contribution</t>
  </si>
  <si>
    <t>Post-acceptance contribution</t>
  </si>
  <si>
    <t>Observed focal acceptance</t>
  </si>
  <si>
    <t>Observed reference acceptance</t>
  </si>
  <si>
    <t>Observed focal yield</t>
  </si>
  <si>
    <t>Observed reference yield</t>
  </si>
  <si>
    <t>Observed focal pipeline</t>
  </si>
  <si>
    <t>Observed reference pipeline</t>
  </si>
  <si>
    <t>Observed pipeline gap (pp)</t>
  </si>
  <si>
    <t>Pipeline if acceptance equalized</t>
  </si>
  <si>
    <t>Remaining gap after acceptance equalized (pp)</t>
  </si>
  <si>
    <t>Gap reduction if acceptance equalized</t>
  </si>
  <si>
    <t>Pipeline if yield equalized</t>
  </si>
  <si>
    <t>Remaining gap after yield equalized (pp)</t>
  </si>
  <si>
    <t>Gap reduction if yield equalized</t>
  </si>
  <si>
    <t>Shapley acceptance component (pp)</t>
  </si>
  <si>
    <t>Shapley yield component (pp)</t>
  </si>
  <si>
    <t>Shapley acceptance share</t>
  </si>
  <si>
    <t>Shapley yield share</t>
  </si>
  <si>
    <t>Metric</t>
  </si>
  <si>
    <t>Years (n)</t>
  </si>
  <si>
    <t>Start year</t>
  </si>
  <si>
    <t>End year</t>
  </si>
  <si>
    <t>Start gap (pp)</t>
  </si>
  <si>
    <t>End gap (pp)</t>
  </si>
  <si>
    <t>Absolute change (pp)</t>
  </si>
  <si>
    <t>Slope (pp/year)</t>
  </si>
  <si>
    <t>R-squared</t>
  </si>
  <si>
    <t>Applicant-to-matriculant pipeline rate</t>
  </si>
  <si>
    <t>Analysis role</t>
  </si>
  <si>
    <t>Applicant denominator (n)</t>
  </si>
  <si>
    <t>Acceptee denominator (n)</t>
  </si>
  <si>
    <t>Matriculant denominator (n)</t>
  </si>
  <si>
    <t>Lower-EO applicant share</t>
  </si>
  <si>
    <t>Lower-EO acceptee share</t>
  </si>
  <si>
    <t>Lower-EO matriculant share</t>
  </si>
  <si>
    <t>Main analysis: known EO only</t>
  </si>
  <si>
    <t>Sensitivity analysis: includes unknown/not applicable in denominator</t>
  </si>
  <si>
    <t>Focal numerator</t>
  </si>
  <si>
    <t>Focal denominator</t>
  </si>
  <si>
    <t>Focal rate</t>
  </si>
  <si>
    <t>Focal Wilson 95% low</t>
  </si>
  <si>
    <t>Focal Wilson 95% high</t>
  </si>
  <si>
    <t>Reference numerator</t>
  </si>
  <si>
    <t>Reference denominator</t>
  </si>
  <si>
    <t>Reference rate</t>
  </si>
  <si>
    <t>Reference Wilson 95% low</t>
  </si>
  <si>
    <t>Reference Wilson 95% high</t>
  </si>
  <si>
    <t>Difference, focal-reference (pp)</t>
  </si>
  <si>
    <t>Newcombe 95% low (pp)</t>
  </si>
  <si>
    <t>Newcombe 95% high (pp)</t>
  </si>
  <si>
    <t>Note</t>
  </si>
  <si>
    <t>Parameter</t>
  </si>
  <si>
    <t>Value</t>
  </si>
  <si>
    <t>Reference-only interval summary under a binomial working model; not used for hypothesis testing or superpopulation inference.</t>
  </si>
  <si>
    <t>Two-sided 95% z</t>
  </si>
  <si>
    <t>Check</t>
  </si>
  <si>
    <t>Scope</t>
  </si>
  <si>
    <t>Absolute error / indicator</t>
  </si>
  <si>
    <t>Status</t>
  </si>
  <si>
    <t>Pipeline identity</t>
  </si>
  <si>
    <t>AAMC EO classification, 2018-2019</t>
  </si>
  <si>
    <t>AAMC EO classification, 2019-2020</t>
  </si>
  <si>
    <t>AAMC EO classification, 2020-2021</t>
  </si>
  <si>
    <t>AAMC EO classification, 2021-2022</t>
  </si>
  <si>
    <t>AAMC EO classification, 2022-2023</t>
  </si>
  <si>
    <t>AAMC EO classification, 2023-2024</t>
  </si>
  <si>
    <t>AAMC EO classification, 2024-2025</t>
  </si>
  <si>
    <t>AAMC EO classification, 2025-2026</t>
  </si>
  <si>
    <t>First-generation status, 2020-2021</t>
  </si>
  <si>
    <t>First-generation status, 2021-2022</t>
  </si>
  <si>
    <t>First-generation status, 2022-2023</t>
  </si>
  <si>
    <t>First-generation status, 2023-2024</t>
  </si>
  <si>
    <t>First-generation status, 2024-2025</t>
  </si>
  <si>
    <t>First-generation status, 2025-2026</t>
  </si>
  <si>
    <t>Fee assistance, 2022-2023</t>
  </si>
  <si>
    <t>Fee assistance, 2023-2024</t>
  </si>
  <si>
    <t>Fee assistance, 2024-2025</t>
  </si>
  <si>
    <t>Fee assistance, 2025-2026</t>
  </si>
  <si>
    <t>Interval bounds</t>
  </si>
  <si>
    <t>AAMC EO classification, Acceptance rate</t>
  </si>
  <si>
    <t>AAMC EO classification, Applicant-to-matriculant pipeline rate</t>
  </si>
  <si>
    <t>AAMC EO classification, Matriculation yield</t>
  </si>
  <si>
    <t>First-generation status, Acceptance rate</t>
  </si>
  <si>
    <t>First-generation status, Applicant-to-matriculant pipeline rate</t>
  </si>
  <si>
    <t>First-generation status, Matriculation yield</t>
  </si>
  <si>
    <t>Fee assistance, Acceptance rate</t>
  </si>
  <si>
    <t>Fee assistance, Applicant-to-matriculant pipeline rate</t>
  </si>
  <si>
    <t>Fee assistance, Matriculation yield</t>
  </si>
  <si>
    <t>Overall internal consistency</t>
  </si>
  <si>
    <t>All listed checks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</si>
</sst>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9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0000000000"/>
    <numFmt numFmtId="177" formatCode="0.0000%"/>
    <numFmt numFmtId="178" formatCode="0.0000"/>
    <numFmt numFmtId="179" formatCode="0.000000000000000"/>
    <numFmt numFmtId="180" formatCode="0.000000"/>
  </numFmts>
  <fonts count="25">
    <font>
      <sz val="11"/>
      <name val="Carlito"/>
      <charset val="134"/>
    </font>
    <font>
      <b/>
      <sz val="10"/>
      <color rgb="FFFFFFFF"/>
      <name val="Aptos"/>
      <charset val="134"/>
    </font>
    <font>
      <sz val="10"/>
      <color rgb="FF1F2937"/>
      <name val="Aptos"/>
      <charset val="134"/>
    </font>
    <font>
      <sz val="12"/>
      <name val="Times New Roman"/>
      <charset val="134"/>
    </font>
    <font>
      <b/>
      <sz val="12"/>
      <name val="Times New Roman"/>
      <charset val="134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6">
    <fill>
      <patternFill patternType="none"/>
    </fill>
    <fill>
      <patternFill patternType="gray125"/>
    </fill>
    <fill>
      <patternFill patternType="solid">
        <fgColor rgb="FF1F4E78"/>
        <bgColor indexed="64"/>
      </patternFill>
    </fill>
    <fill>
      <patternFill patternType="solid">
        <fgColor rgb="FFE2F0D9"/>
        <bgColor indexed="64"/>
      </patternFill>
    </fill>
    <fill>
      <patternFill patternType="solid">
        <fgColor rgb="FFFFF2CC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rgb="FFC9D2DC"/>
      </left>
      <right style="thin">
        <color rgb="FFC9D2DC"/>
      </right>
      <top style="thin">
        <color rgb="FFC9D2DC"/>
      </top>
      <bottom style="thin">
        <color rgb="FFC9D2DC"/>
      </bottom>
      <diagonal/>
    </border>
    <border>
      <left/>
      <right/>
      <top/>
      <bottom style="thin">
        <color rgb="FFC9D2DC"/>
      </bottom>
      <diagonal/>
    </border>
    <border>
      <left/>
      <right/>
      <top style="thin">
        <color rgb="FFC9D2DC"/>
      </top>
      <bottom style="thin">
        <color rgb="FFC9D2DC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5" borderId="5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6" borderId="8" applyNumberFormat="0" applyAlignment="0" applyProtection="0">
      <alignment vertical="center"/>
    </xf>
    <xf numFmtId="0" fontId="15" fillId="7" borderId="9" applyNumberFormat="0" applyAlignment="0" applyProtection="0">
      <alignment vertical="center"/>
    </xf>
    <xf numFmtId="0" fontId="16" fillId="7" borderId="8" applyNumberFormat="0" applyAlignment="0" applyProtection="0">
      <alignment vertical="center"/>
    </xf>
    <xf numFmtId="0" fontId="17" fillId="8" borderId="10" applyNumberFormat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4" fillId="34" borderId="0" applyNumberFormat="0" applyBorder="0" applyAlignment="0" applyProtection="0">
      <alignment vertical="center"/>
    </xf>
    <xf numFmtId="0" fontId="23" fillId="35" borderId="0" applyNumberFormat="0" applyBorder="0" applyAlignment="0" applyProtection="0">
      <alignment vertical="center"/>
    </xf>
    <xf numFmtId="0" fontId="0" fillId="0" borderId="0"/>
  </cellStyleXfs>
  <cellXfs count="32">
    <xf numFmtId="0" fontId="0" fillId="0" borderId="0" xfId="49"/>
    <xf numFmtId="0" fontId="1" fillId="2" borderId="1" xfId="49" applyNumberFormat="1" applyFont="1" applyFill="1" applyBorder="1" applyAlignment="1">
      <alignment vertical="center" wrapText="1"/>
    </xf>
    <xf numFmtId="0" fontId="2" fillId="0" borderId="2" xfId="49" applyNumberFormat="1" applyFont="1" applyFill="1" applyBorder="1" applyAlignment="1">
      <alignment vertical="center" wrapText="1"/>
    </xf>
    <xf numFmtId="176" fontId="2" fillId="3" borderId="2" xfId="49" applyNumberFormat="1" applyFont="1" applyFill="1" applyBorder="1" applyAlignment="1">
      <alignment vertical="center" wrapText="1"/>
    </xf>
    <xf numFmtId="0" fontId="2" fillId="3" borderId="2" xfId="49" applyNumberFormat="1" applyFont="1" applyFill="1" applyBorder="1" applyAlignment="1">
      <alignment vertical="center" wrapText="1"/>
    </xf>
    <xf numFmtId="0" fontId="2" fillId="0" borderId="3" xfId="49" applyNumberFormat="1" applyFont="1" applyFill="1" applyBorder="1" applyAlignment="1">
      <alignment vertical="center" wrapText="1"/>
    </xf>
    <xf numFmtId="176" fontId="2" fillId="3" borderId="3" xfId="49" applyNumberFormat="1" applyFont="1" applyFill="1" applyBorder="1" applyAlignment="1">
      <alignment vertical="center" wrapText="1"/>
    </xf>
    <xf numFmtId="0" fontId="2" fillId="3" borderId="3" xfId="49" applyNumberFormat="1" applyFont="1" applyFill="1" applyBorder="1" applyAlignment="1">
      <alignment vertical="center" wrapText="1"/>
    </xf>
    <xf numFmtId="0" fontId="2" fillId="0" borderId="0" xfId="49" applyNumberFormat="1" applyFont="1" applyFill="1" applyBorder="1"/>
    <xf numFmtId="3" fontId="2" fillId="3" borderId="2" xfId="49" applyNumberFormat="1" applyFont="1" applyFill="1" applyBorder="1" applyAlignment="1">
      <alignment vertical="center" wrapText="1"/>
    </xf>
    <xf numFmtId="177" fontId="2" fillId="3" borderId="2" xfId="49" applyNumberFormat="1" applyFont="1" applyFill="1" applyBorder="1" applyAlignment="1">
      <alignment vertical="center" wrapText="1"/>
    </xf>
    <xf numFmtId="178" fontId="2" fillId="3" borderId="2" xfId="49" applyNumberFormat="1" applyFont="1" applyFill="1" applyBorder="1" applyAlignment="1">
      <alignment vertical="center" wrapText="1"/>
    </xf>
    <xf numFmtId="0" fontId="2" fillId="4" borderId="1" xfId="49" applyNumberFormat="1" applyFont="1" applyFill="1" applyBorder="1"/>
    <xf numFmtId="179" fontId="2" fillId="4" borderId="1" xfId="49" applyNumberFormat="1" applyFont="1" applyFill="1" applyBorder="1"/>
    <xf numFmtId="3" fontId="2" fillId="3" borderId="3" xfId="49" applyNumberFormat="1" applyFont="1" applyFill="1" applyBorder="1" applyAlignment="1">
      <alignment vertical="center" wrapText="1"/>
    </xf>
    <xf numFmtId="177" fontId="2" fillId="3" borderId="3" xfId="49" applyNumberFormat="1" applyFont="1" applyFill="1" applyBorder="1" applyAlignment="1">
      <alignment vertical="center" wrapText="1"/>
    </xf>
    <xf numFmtId="178" fontId="2" fillId="3" borderId="3" xfId="49" applyNumberFormat="1" applyFont="1" applyFill="1" applyBorder="1" applyAlignment="1">
      <alignment vertical="center" wrapText="1"/>
    </xf>
    <xf numFmtId="1" fontId="2" fillId="3" borderId="2" xfId="49" applyNumberFormat="1" applyFont="1" applyFill="1" applyBorder="1" applyAlignment="1">
      <alignment vertical="center" wrapText="1"/>
    </xf>
    <xf numFmtId="180" fontId="2" fillId="3" borderId="2" xfId="49" applyNumberFormat="1" applyFont="1" applyFill="1" applyBorder="1" applyAlignment="1">
      <alignment vertical="center" wrapText="1"/>
    </xf>
    <xf numFmtId="1" fontId="2" fillId="3" borderId="3" xfId="49" applyNumberFormat="1" applyFont="1" applyFill="1" applyBorder="1" applyAlignment="1">
      <alignment vertical="center" wrapText="1"/>
    </xf>
    <xf numFmtId="180" fontId="2" fillId="3" borderId="3" xfId="49" applyNumberFormat="1" applyFont="1" applyFill="1" applyBorder="1" applyAlignment="1">
      <alignment vertical="center" wrapText="1"/>
    </xf>
    <xf numFmtId="0" fontId="2" fillId="4" borderId="2" xfId="49" applyNumberFormat="1" applyFont="1" applyFill="1" applyBorder="1" applyAlignment="1">
      <alignment vertical="center" wrapText="1"/>
    </xf>
    <xf numFmtId="3" fontId="2" fillId="4" borderId="2" xfId="49" applyNumberFormat="1" applyFont="1" applyFill="1" applyBorder="1" applyAlignment="1">
      <alignment vertical="center" wrapText="1"/>
    </xf>
    <xf numFmtId="0" fontId="2" fillId="4" borderId="3" xfId="49" applyNumberFormat="1" applyFont="1" applyFill="1" applyBorder="1" applyAlignment="1">
      <alignment vertical="center" wrapText="1"/>
    </xf>
    <xf numFmtId="3" fontId="2" fillId="4" borderId="3" xfId="49" applyNumberFormat="1" applyFont="1" applyFill="1" applyBorder="1" applyAlignment="1">
      <alignment vertical="center" wrapText="1"/>
    </xf>
    <xf numFmtId="0" fontId="3" fillId="0" borderId="0" xfId="49" applyFont="1"/>
    <xf numFmtId="0" fontId="4" fillId="0" borderId="0" xfId="49" applyNumberFormat="1" applyFont="1" applyFill="1" applyBorder="1" applyAlignment="1">
      <alignment vertical="center"/>
    </xf>
    <xf numFmtId="0" fontId="3" fillId="0" borderId="0" xfId="49" applyNumberFormat="1" applyFont="1" applyFill="1" applyBorder="1"/>
    <xf numFmtId="0" fontId="4" fillId="0" borderId="4" xfId="49" applyNumberFormat="1" applyFont="1" applyFill="1" applyBorder="1" applyAlignment="1">
      <alignment wrapText="1"/>
    </xf>
    <xf numFmtId="0" fontId="3" fillId="0" borderId="4" xfId="49" applyNumberFormat="1" applyFont="1" applyFill="1" applyBorder="1" applyAlignment="1">
      <alignment wrapText="1"/>
    </xf>
    <xf numFmtId="0" fontId="4" fillId="0" borderId="4" xfId="49" applyNumberFormat="1" applyFont="1" applyFill="1" applyBorder="1" applyAlignment="1">
      <alignment vertical="center" wrapText="1"/>
    </xf>
    <xf numFmtId="0" fontId="3" fillId="0" borderId="4" xfId="49" applyNumberFormat="1" applyFont="1" applyFill="1" applyBorder="1" applyAlignment="1">
      <alignment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Normal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3" Type="http://schemas.openxmlformats.org/officeDocument/2006/relationships/styles" Target="styles.xml"/><Relationship Id="rId12" Type="http://schemas.openxmlformats.org/officeDocument/2006/relationships/sharedStrings" Target="sharedStrings.xml"/><Relationship Id="rId11" Type="http://schemas.openxmlformats.org/officeDocument/2006/relationships/theme" Target="theme/theme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5"/>
  <sheetViews>
    <sheetView showGridLines="0" tabSelected="1" workbookViewId="0">
      <selection activeCell="C13" sqref="C13"/>
    </sheetView>
  </sheetViews>
  <sheetFormatPr defaultColWidth="9" defaultRowHeight="15.5" outlineLevelCol="7"/>
  <cols>
    <col min="1" max="1" width="25" style="25" customWidth="1"/>
    <col min="2" max="2" width="82" style="25" customWidth="1"/>
    <col min="3" max="3" width="9" style="25"/>
    <col min="4" max="4" width="25" style="25" customWidth="1"/>
    <col min="5" max="5" width="62" style="25" customWidth="1"/>
    <col min="6" max="16384" width="9" style="25"/>
  </cols>
  <sheetData>
    <row r="1" ht="30" customHeight="1" spans="1:8">
      <c r="A1" s="26" t="s">
        <v>0</v>
      </c>
      <c r="B1" s="26"/>
      <c r="C1" s="26"/>
      <c r="D1" s="26"/>
      <c r="E1" s="26"/>
      <c r="F1" s="26"/>
      <c r="G1" s="26"/>
      <c r="H1" s="26"/>
    </row>
    <row r="2" spans="1:8">
      <c r="A2" s="27"/>
      <c r="B2" s="27"/>
      <c r="C2" s="27"/>
      <c r="D2" s="27"/>
      <c r="E2" s="27"/>
      <c r="F2" s="27"/>
      <c r="G2" s="27"/>
      <c r="H2" s="27"/>
    </row>
    <row r="3" ht="31" spans="1:8">
      <c r="A3" s="28" t="s">
        <v>1</v>
      </c>
      <c r="B3" s="29" t="s">
        <v>2</v>
      </c>
      <c r="C3" s="27"/>
      <c r="D3" s="30" t="s">
        <v>3</v>
      </c>
      <c r="E3" s="30" t="s">
        <v>4</v>
      </c>
      <c r="F3" s="27"/>
      <c r="G3" s="27"/>
      <c r="H3" s="27"/>
    </row>
    <row r="4" spans="1:8">
      <c r="A4" s="28" t="s">
        <v>5</v>
      </c>
      <c r="B4" s="29" t="s">
        <v>6</v>
      </c>
      <c r="C4" s="27"/>
      <c r="D4" s="31" t="s">
        <v>7</v>
      </c>
      <c r="E4" s="31" t="s">
        <v>8</v>
      </c>
      <c r="F4" s="27"/>
      <c r="G4" s="27"/>
      <c r="H4" s="27"/>
    </row>
    <row r="5" ht="31" spans="1:8">
      <c r="A5" s="28" t="s">
        <v>9</v>
      </c>
      <c r="B5" s="29" t="s">
        <v>10</v>
      </c>
      <c r="C5" s="27"/>
      <c r="D5" s="31" t="s">
        <v>11</v>
      </c>
      <c r="E5" s="31" t="s">
        <v>12</v>
      </c>
      <c r="F5" s="27"/>
      <c r="G5" s="27"/>
      <c r="H5" s="27"/>
    </row>
    <row r="6" ht="31" spans="1:8">
      <c r="A6" s="28" t="s">
        <v>13</v>
      </c>
      <c r="B6" s="29" t="s">
        <v>14</v>
      </c>
      <c r="C6" s="27"/>
      <c r="D6" s="31" t="s">
        <v>15</v>
      </c>
      <c r="E6" s="31" t="s">
        <v>16</v>
      </c>
      <c r="F6" s="27"/>
      <c r="G6" s="27"/>
      <c r="H6" s="27"/>
    </row>
    <row r="7" spans="1:8">
      <c r="A7" s="28" t="s">
        <v>17</v>
      </c>
      <c r="B7" s="29" t="s">
        <v>18</v>
      </c>
      <c r="C7" s="27"/>
      <c r="D7" s="31" t="s">
        <v>19</v>
      </c>
      <c r="E7" s="31" t="s">
        <v>20</v>
      </c>
      <c r="F7" s="27"/>
      <c r="G7" s="27"/>
      <c r="H7" s="27"/>
    </row>
    <row r="8" spans="1:8">
      <c r="A8" s="28" t="s">
        <v>21</v>
      </c>
      <c r="B8" s="29" t="s">
        <v>22</v>
      </c>
      <c r="C8" s="27"/>
      <c r="D8" s="31" t="s">
        <v>23</v>
      </c>
      <c r="E8" s="31" t="s">
        <v>24</v>
      </c>
      <c r="F8" s="27"/>
      <c r="G8" s="27"/>
      <c r="H8" s="27"/>
    </row>
    <row r="9" spans="1:8">
      <c r="A9" s="28" t="s">
        <v>25</v>
      </c>
      <c r="B9" s="29" t="s">
        <v>26</v>
      </c>
      <c r="C9" s="27"/>
      <c r="D9" s="31" t="s">
        <v>27</v>
      </c>
      <c r="E9" s="31" t="s">
        <v>28</v>
      </c>
      <c r="F9" s="27"/>
      <c r="G9" s="27"/>
      <c r="H9" s="27"/>
    </row>
    <row r="10" spans="1:8">
      <c r="A10" s="28" t="s">
        <v>29</v>
      </c>
      <c r="B10" s="29" t="s">
        <v>30</v>
      </c>
      <c r="C10" s="27"/>
      <c r="D10" s="31" t="s">
        <v>31</v>
      </c>
      <c r="E10" s="31" t="s">
        <v>32</v>
      </c>
      <c r="F10" s="27"/>
      <c r="G10" s="27"/>
      <c r="H10" s="27"/>
    </row>
    <row r="11" ht="31" spans="1:8">
      <c r="A11" s="28" t="s">
        <v>33</v>
      </c>
      <c r="B11" s="29" t="s">
        <v>34</v>
      </c>
      <c r="C11" s="27"/>
      <c r="D11" s="31" t="s">
        <v>35</v>
      </c>
      <c r="E11" s="31" t="s">
        <v>36</v>
      </c>
      <c r="F11" s="27"/>
      <c r="G11" s="27"/>
      <c r="H11" s="27"/>
    </row>
    <row r="12" spans="1:8">
      <c r="A12" s="28" t="s">
        <v>37</v>
      </c>
      <c r="B12" s="29" t="s">
        <v>38</v>
      </c>
      <c r="C12" s="27"/>
      <c r="D12" s="31" t="s">
        <v>39</v>
      </c>
      <c r="E12" s="31" t="s">
        <v>40</v>
      </c>
      <c r="F12" s="27"/>
      <c r="G12" s="27"/>
      <c r="H12" s="27"/>
    </row>
    <row r="13" ht="31" spans="1:8">
      <c r="A13" s="28" t="s">
        <v>41</v>
      </c>
      <c r="B13" s="29" t="s">
        <v>42</v>
      </c>
      <c r="C13" s="27"/>
      <c r="D13" s="27"/>
      <c r="E13" s="27"/>
      <c r="F13" s="27"/>
      <c r="G13" s="27"/>
      <c r="H13" s="27"/>
    </row>
    <row r="14" spans="1:8">
      <c r="A14" s="28" t="s">
        <v>43</v>
      </c>
      <c r="B14" s="29" t="s">
        <v>44</v>
      </c>
      <c r="C14" s="27"/>
      <c r="D14" s="27"/>
      <c r="E14" s="27"/>
      <c r="F14" s="27"/>
      <c r="G14" s="27"/>
      <c r="H14" s="27"/>
    </row>
    <row r="15" ht="31" spans="1:8">
      <c r="A15" s="28" t="s">
        <v>45</v>
      </c>
      <c r="B15" s="29" t="s">
        <v>46</v>
      </c>
      <c r="C15" s="27"/>
      <c r="D15" s="27"/>
      <c r="E15" s="27"/>
      <c r="F15" s="27"/>
      <c r="G15" s="27"/>
      <c r="H15" s="27"/>
    </row>
  </sheetData>
  <mergeCells count="1">
    <mergeCell ref="A1:H1"/>
  </mergeCells>
  <pageMargins left="0.7" right="0.7" top="0.75" bottom="0.75" header="0.3" footer="0.3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55"/>
  <sheetViews>
    <sheetView showGridLines="0" workbookViewId="0">
      <selection activeCell="A1" sqref="A1"/>
    </sheetView>
  </sheetViews>
  <sheetFormatPr defaultColWidth="9" defaultRowHeight="14"/>
  <cols>
    <col min="1" max="1" width="27" customWidth="1"/>
    <col min="2" max="2" width="15" customWidth="1"/>
    <col min="3" max="3" width="11" customWidth="1"/>
    <col min="4" max="4" width="14" customWidth="1"/>
    <col min="5" max="5" width="35" customWidth="1"/>
    <col min="6" max="6" width="48" customWidth="1"/>
    <col min="7" max="7" width="14" customWidth="1"/>
    <col min="8" max="8" width="22" customWidth="1"/>
    <col min="9" max="9" width="23" customWidth="1"/>
    <col min="10" max="10" width="15" customWidth="1"/>
    <col min="11" max="11" width="35" customWidth="1"/>
    <col min="12" max="12" width="48" customWidth="1"/>
  </cols>
  <sheetData>
    <row r="1" ht="26" spans="1:12">
      <c r="A1" s="1" t="s">
        <v>47</v>
      </c>
      <c r="B1" s="1" t="s">
        <v>48</v>
      </c>
      <c r="C1" s="1" t="s">
        <v>49</v>
      </c>
      <c r="D1" s="1" t="s">
        <v>50</v>
      </c>
      <c r="E1" s="1" t="s">
        <v>51</v>
      </c>
      <c r="F1" s="1" t="s">
        <v>52</v>
      </c>
      <c r="G1" s="1" t="s">
        <v>53</v>
      </c>
      <c r="H1" s="1" t="s">
        <v>54</v>
      </c>
      <c r="I1" s="1" t="s">
        <v>55</v>
      </c>
      <c r="J1" s="1" t="s">
        <v>56</v>
      </c>
      <c r="K1" s="1" t="s">
        <v>57</v>
      </c>
      <c r="L1" s="1" t="s">
        <v>43</v>
      </c>
    </row>
    <row r="2" ht="25" spans="1:12">
      <c r="A2" s="21" t="s">
        <v>58</v>
      </c>
      <c r="B2" s="21" t="s">
        <v>59</v>
      </c>
      <c r="C2" s="21">
        <v>2018</v>
      </c>
      <c r="D2" s="21" t="s">
        <v>60</v>
      </c>
      <c r="E2" s="21" t="s">
        <v>61</v>
      </c>
      <c r="F2" s="21" t="s">
        <v>62</v>
      </c>
      <c r="G2" s="22">
        <v>12839</v>
      </c>
      <c r="H2" s="22">
        <v>31617</v>
      </c>
      <c r="I2" s="22">
        <v>8321</v>
      </c>
      <c r="J2" s="22">
        <v>52777</v>
      </c>
      <c r="K2" s="21" t="s">
        <v>63</v>
      </c>
      <c r="L2" s="21" t="s">
        <v>44</v>
      </c>
    </row>
    <row r="3" ht="25" spans="1:12">
      <c r="A3" s="23" t="s">
        <v>58</v>
      </c>
      <c r="B3" s="23" t="s">
        <v>64</v>
      </c>
      <c r="C3" s="23">
        <v>2019</v>
      </c>
      <c r="D3" s="23" t="s">
        <v>60</v>
      </c>
      <c r="E3" s="23" t="s">
        <v>61</v>
      </c>
      <c r="F3" s="23" t="s">
        <v>62</v>
      </c>
      <c r="G3" s="24">
        <v>12526</v>
      </c>
      <c r="H3" s="24">
        <v>32444</v>
      </c>
      <c r="I3" s="24">
        <v>8398</v>
      </c>
      <c r="J3" s="24">
        <v>53368</v>
      </c>
      <c r="K3" s="23" t="s">
        <v>63</v>
      </c>
      <c r="L3" s="23" t="s">
        <v>44</v>
      </c>
    </row>
    <row r="4" ht="25" spans="1:12">
      <c r="A4" s="23" t="s">
        <v>58</v>
      </c>
      <c r="B4" s="23" t="s">
        <v>65</v>
      </c>
      <c r="C4" s="23">
        <v>2020</v>
      </c>
      <c r="D4" s="23" t="s">
        <v>60</v>
      </c>
      <c r="E4" s="23" t="s">
        <v>61</v>
      </c>
      <c r="F4" s="23" t="s">
        <v>62</v>
      </c>
      <c r="G4" s="24">
        <v>12457</v>
      </c>
      <c r="H4" s="24">
        <v>32267</v>
      </c>
      <c r="I4" s="24">
        <v>8306</v>
      </c>
      <c r="J4" s="24">
        <v>53030</v>
      </c>
      <c r="K4" s="23" t="s">
        <v>63</v>
      </c>
      <c r="L4" s="23" t="s">
        <v>44</v>
      </c>
    </row>
    <row r="5" ht="25" spans="1:12">
      <c r="A5" s="23" t="s">
        <v>58</v>
      </c>
      <c r="B5" s="23" t="s">
        <v>66</v>
      </c>
      <c r="C5" s="23">
        <v>2021</v>
      </c>
      <c r="D5" s="23" t="s">
        <v>60</v>
      </c>
      <c r="E5" s="23" t="s">
        <v>61</v>
      </c>
      <c r="F5" s="23" t="s">
        <v>62</v>
      </c>
      <c r="G5" s="24">
        <v>15304</v>
      </c>
      <c r="H5" s="24">
        <v>36874</v>
      </c>
      <c r="I5" s="24">
        <v>10265</v>
      </c>
      <c r="J5" s="24">
        <v>62443</v>
      </c>
      <c r="K5" s="23" t="s">
        <v>63</v>
      </c>
      <c r="L5" s="23" t="s">
        <v>44</v>
      </c>
    </row>
    <row r="6" ht="25" spans="1:12">
      <c r="A6" s="23" t="s">
        <v>58</v>
      </c>
      <c r="B6" s="23" t="s">
        <v>67</v>
      </c>
      <c r="C6" s="23">
        <v>2022</v>
      </c>
      <c r="D6" s="23" t="s">
        <v>60</v>
      </c>
      <c r="E6" s="23" t="s">
        <v>61</v>
      </c>
      <c r="F6" s="23" t="s">
        <v>62</v>
      </c>
      <c r="G6" s="24">
        <v>13379</v>
      </c>
      <c r="H6" s="24">
        <v>33237</v>
      </c>
      <c r="I6" s="24">
        <v>8573</v>
      </c>
      <c r="J6" s="24">
        <v>55189</v>
      </c>
      <c r="K6" s="23" t="s">
        <v>63</v>
      </c>
      <c r="L6" s="23" t="s">
        <v>44</v>
      </c>
    </row>
    <row r="7" ht="25" spans="1:12">
      <c r="A7" s="23" t="s">
        <v>58</v>
      </c>
      <c r="B7" s="23" t="s">
        <v>68</v>
      </c>
      <c r="C7" s="23">
        <v>2023</v>
      </c>
      <c r="D7" s="23" t="s">
        <v>60</v>
      </c>
      <c r="E7" s="23" t="s">
        <v>61</v>
      </c>
      <c r="F7" s="23" t="s">
        <v>62</v>
      </c>
      <c r="G7" s="24">
        <v>12555</v>
      </c>
      <c r="H7" s="24">
        <v>31994</v>
      </c>
      <c r="I7" s="24">
        <v>8028</v>
      </c>
      <c r="J7" s="24">
        <v>52577</v>
      </c>
      <c r="K7" s="23" t="s">
        <v>63</v>
      </c>
      <c r="L7" s="23" t="s">
        <v>44</v>
      </c>
    </row>
    <row r="8" ht="25" spans="1:12">
      <c r="A8" s="23" t="s">
        <v>58</v>
      </c>
      <c r="B8" s="23" t="s">
        <v>69</v>
      </c>
      <c r="C8" s="23">
        <v>2024</v>
      </c>
      <c r="D8" s="23" t="s">
        <v>60</v>
      </c>
      <c r="E8" s="23" t="s">
        <v>61</v>
      </c>
      <c r="F8" s="23" t="s">
        <v>62</v>
      </c>
      <c r="G8" s="24">
        <v>12278</v>
      </c>
      <c r="H8" s="24">
        <v>31771</v>
      </c>
      <c r="I8" s="24">
        <v>7897</v>
      </c>
      <c r="J8" s="24">
        <v>51946</v>
      </c>
      <c r="K8" s="23" t="s">
        <v>63</v>
      </c>
      <c r="L8" s="23" t="s">
        <v>44</v>
      </c>
    </row>
    <row r="9" ht="25" spans="1:12">
      <c r="A9" s="23" t="s">
        <v>58</v>
      </c>
      <c r="B9" s="23" t="s">
        <v>70</v>
      </c>
      <c r="C9" s="23">
        <v>2025</v>
      </c>
      <c r="D9" s="23" t="s">
        <v>60</v>
      </c>
      <c r="E9" s="23" t="s">
        <v>61</v>
      </c>
      <c r="F9" s="23" t="s">
        <v>62</v>
      </c>
      <c r="G9" s="24">
        <v>12386</v>
      </c>
      <c r="H9" s="24">
        <v>33238</v>
      </c>
      <c r="I9" s="24">
        <v>9075</v>
      </c>
      <c r="J9" s="24">
        <v>54699</v>
      </c>
      <c r="K9" s="23" t="s">
        <v>63</v>
      </c>
      <c r="L9" s="23" t="s">
        <v>44</v>
      </c>
    </row>
    <row r="10" ht="25" spans="1:12">
      <c r="A10" s="23" t="s">
        <v>58</v>
      </c>
      <c r="B10" s="23" t="s">
        <v>59</v>
      </c>
      <c r="C10" s="23">
        <v>2018</v>
      </c>
      <c r="D10" s="23" t="s">
        <v>71</v>
      </c>
      <c r="E10" s="23" t="s">
        <v>61</v>
      </c>
      <c r="F10" s="23" t="s">
        <v>62</v>
      </c>
      <c r="G10" s="24">
        <v>4684</v>
      </c>
      <c r="H10" s="24">
        <v>15373</v>
      </c>
      <c r="I10" s="24">
        <v>2426</v>
      </c>
      <c r="J10" s="24">
        <v>22483</v>
      </c>
      <c r="K10" s="23" t="s">
        <v>63</v>
      </c>
      <c r="L10" s="23" t="s">
        <v>44</v>
      </c>
    </row>
    <row r="11" ht="25" spans="1:12">
      <c r="A11" s="23" t="s">
        <v>58</v>
      </c>
      <c r="B11" s="23" t="s">
        <v>64</v>
      </c>
      <c r="C11" s="23">
        <v>2019</v>
      </c>
      <c r="D11" s="23" t="s">
        <v>71</v>
      </c>
      <c r="E11" s="23" t="s">
        <v>61</v>
      </c>
      <c r="F11" s="23" t="s">
        <v>62</v>
      </c>
      <c r="G11" s="24">
        <v>4584</v>
      </c>
      <c r="H11" s="24">
        <v>15578</v>
      </c>
      <c r="I11" s="24">
        <v>2525</v>
      </c>
      <c r="J11" s="24">
        <v>22687</v>
      </c>
      <c r="K11" s="23" t="s">
        <v>63</v>
      </c>
      <c r="L11" s="23" t="s">
        <v>44</v>
      </c>
    </row>
    <row r="12" ht="25" spans="1:12">
      <c r="A12" s="23" t="s">
        <v>58</v>
      </c>
      <c r="B12" s="23" t="s">
        <v>65</v>
      </c>
      <c r="C12" s="23">
        <v>2020</v>
      </c>
      <c r="D12" s="23" t="s">
        <v>71</v>
      </c>
      <c r="E12" s="23" t="s">
        <v>61</v>
      </c>
      <c r="F12" s="23" t="s">
        <v>62</v>
      </c>
      <c r="G12" s="24">
        <v>4826</v>
      </c>
      <c r="H12" s="24">
        <v>15657</v>
      </c>
      <c r="I12" s="24">
        <v>2622</v>
      </c>
      <c r="J12" s="24">
        <v>23105</v>
      </c>
      <c r="K12" s="23" t="s">
        <v>63</v>
      </c>
      <c r="L12" s="23" t="s">
        <v>44</v>
      </c>
    </row>
    <row r="13" ht="25" spans="1:12">
      <c r="A13" s="23" t="s">
        <v>58</v>
      </c>
      <c r="B13" s="23" t="s">
        <v>66</v>
      </c>
      <c r="C13" s="23">
        <v>2021</v>
      </c>
      <c r="D13" s="23" t="s">
        <v>71</v>
      </c>
      <c r="E13" s="23" t="s">
        <v>61</v>
      </c>
      <c r="F13" s="23" t="s">
        <v>62</v>
      </c>
      <c r="G13" s="24">
        <v>5119</v>
      </c>
      <c r="H13" s="24">
        <v>15843</v>
      </c>
      <c r="I13" s="24">
        <v>2749</v>
      </c>
      <c r="J13" s="24">
        <v>23711</v>
      </c>
      <c r="K13" s="23" t="s">
        <v>63</v>
      </c>
      <c r="L13" s="23" t="s">
        <v>44</v>
      </c>
    </row>
    <row r="14" ht="25" spans="1:12">
      <c r="A14" s="23" t="s">
        <v>58</v>
      </c>
      <c r="B14" s="23" t="s">
        <v>67</v>
      </c>
      <c r="C14" s="23">
        <v>2022</v>
      </c>
      <c r="D14" s="23" t="s">
        <v>71</v>
      </c>
      <c r="E14" s="23" t="s">
        <v>61</v>
      </c>
      <c r="F14" s="23" t="s">
        <v>62</v>
      </c>
      <c r="G14" s="24">
        <v>5124</v>
      </c>
      <c r="H14" s="24">
        <v>15994</v>
      </c>
      <c r="I14" s="24">
        <v>2692</v>
      </c>
      <c r="J14" s="24">
        <v>23810</v>
      </c>
      <c r="K14" s="23" t="s">
        <v>63</v>
      </c>
      <c r="L14" s="23" t="s">
        <v>44</v>
      </c>
    </row>
    <row r="15" ht="25" spans="1:12">
      <c r="A15" s="23" t="s">
        <v>58</v>
      </c>
      <c r="B15" s="23" t="s">
        <v>68</v>
      </c>
      <c r="C15" s="23">
        <v>2023</v>
      </c>
      <c r="D15" s="23" t="s">
        <v>71</v>
      </c>
      <c r="E15" s="23" t="s">
        <v>61</v>
      </c>
      <c r="F15" s="23" t="s">
        <v>62</v>
      </c>
      <c r="G15" s="24">
        <v>5099</v>
      </c>
      <c r="H15" s="24">
        <v>16339</v>
      </c>
      <c r="I15" s="24">
        <v>2576</v>
      </c>
      <c r="J15" s="24">
        <v>24014</v>
      </c>
      <c r="K15" s="23" t="s">
        <v>63</v>
      </c>
      <c r="L15" s="23" t="s">
        <v>44</v>
      </c>
    </row>
    <row r="16" ht="25" spans="1:12">
      <c r="A16" s="23" t="s">
        <v>58</v>
      </c>
      <c r="B16" s="23" t="s">
        <v>69</v>
      </c>
      <c r="C16" s="23">
        <v>2024</v>
      </c>
      <c r="D16" s="23" t="s">
        <v>71</v>
      </c>
      <c r="E16" s="23" t="s">
        <v>61</v>
      </c>
      <c r="F16" s="23" t="s">
        <v>62</v>
      </c>
      <c r="G16" s="24">
        <v>5010</v>
      </c>
      <c r="H16" s="24">
        <v>16633</v>
      </c>
      <c r="I16" s="24">
        <v>2529</v>
      </c>
      <c r="J16" s="24">
        <v>24172</v>
      </c>
      <c r="K16" s="23" t="s">
        <v>63</v>
      </c>
      <c r="L16" s="23" t="s">
        <v>44</v>
      </c>
    </row>
    <row r="17" ht="25" spans="1:12">
      <c r="A17" s="23" t="s">
        <v>58</v>
      </c>
      <c r="B17" s="23" t="s">
        <v>70</v>
      </c>
      <c r="C17" s="23">
        <v>2025</v>
      </c>
      <c r="D17" s="23" t="s">
        <v>71</v>
      </c>
      <c r="E17" s="23" t="s">
        <v>61</v>
      </c>
      <c r="F17" s="23" t="s">
        <v>62</v>
      </c>
      <c r="G17" s="24">
        <v>4787</v>
      </c>
      <c r="H17" s="24">
        <v>16741</v>
      </c>
      <c r="I17" s="24">
        <v>2772</v>
      </c>
      <c r="J17" s="24">
        <v>24300</v>
      </c>
      <c r="K17" s="23" t="s">
        <v>63</v>
      </c>
      <c r="L17" s="23" t="s">
        <v>44</v>
      </c>
    </row>
    <row r="18" ht="25" spans="1:12">
      <c r="A18" s="23" t="s">
        <v>58</v>
      </c>
      <c r="B18" s="23" t="s">
        <v>59</v>
      </c>
      <c r="C18" s="23">
        <v>2018</v>
      </c>
      <c r="D18" s="23" t="s">
        <v>72</v>
      </c>
      <c r="E18" s="23" t="s">
        <v>61</v>
      </c>
      <c r="F18" s="23" t="s">
        <v>62</v>
      </c>
      <c r="G18" s="24">
        <v>4516</v>
      </c>
      <c r="H18" s="24">
        <v>14837</v>
      </c>
      <c r="I18" s="24">
        <v>2269</v>
      </c>
      <c r="J18" s="24">
        <v>21622</v>
      </c>
      <c r="K18" s="23" t="s">
        <v>63</v>
      </c>
      <c r="L18" s="23" t="s">
        <v>44</v>
      </c>
    </row>
    <row r="19" ht="25" spans="1:12">
      <c r="A19" s="23" t="s">
        <v>58</v>
      </c>
      <c r="B19" s="23" t="s">
        <v>64</v>
      </c>
      <c r="C19" s="23">
        <v>2019</v>
      </c>
      <c r="D19" s="23" t="s">
        <v>72</v>
      </c>
      <c r="E19" s="23" t="s">
        <v>61</v>
      </c>
      <c r="F19" s="23" t="s">
        <v>62</v>
      </c>
      <c r="G19" s="24">
        <v>4425</v>
      </c>
      <c r="H19" s="24">
        <v>15055</v>
      </c>
      <c r="I19" s="24">
        <v>2389</v>
      </c>
      <c r="J19" s="24">
        <v>21869</v>
      </c>
      <c r="K19" s="23" t="s">
        <v>63</v>
      </c>
      <c r="L19" s="23" t="s">
        <v>44</v>
      </c>
    </row>
    <row r="20" ht="25" spans="1:12">
      <c r="A20" s="23" t="s">
        <v>58</v>
      </c>
      <c r="B20" s="23" t="s">
        <v>65</v>
      </c>
      <c r="C20" s="23">
        <v>2020</v>
      </c>
      <c r="D20" s="23" t="s">
        <v>72</v>
      </c>
      <c r="E20" s="23" t="s">
        <v>61</v>
      </c>
      <c r="F20" s="23" t="s">
        <v>62</v>
      </c>
      <c r="G20" s="24">
        <v>4650</v>
      </c>
      <c r="H20" s="24">
        <v>15132</v>
      </c>
      <c r="I20" s="24">
        <v>2457</v>
      </c>
      <c r="J20" s="24">
        <v>22239</v>
      </c>
      <c r="K20" s="23" t="s">
        <v>63</v>
      </c>
      <c r="L20" s="23" t="s">
        <v>44</v>
      </c>
    </row>
    <row r="21" ht="25" spans="1:12">
      <c r="A21" s="23" t="s">
        <v>58</v>
      </c>
      <c r="B21" s="23" t="s">
        <v>66</v>
      </c>
      <c r="C21" s="23">
        <v>2021</v>
      </c>
      <c r="D21" s="23" t="s">
        <v>72</v>
      </c>
      <c r="E21" s="23" t="s">
        <v>61</v>
      </c>
      <c r="F21" s="23" t="s">
        <v>62</v>
      </c>
      <c r="G21" s="24">
        <v>4901</v>
      </c>
      <c r="H21" s="24">
        <v>15192</v>
      </c>
      <c r="I21" s="24">
        <v>2573</v>
      </c>
      <c r="J21" s="24">
        <v>22666</v>
      </c>
      <c r="K21" s="23" t="s">
        <v>63</v>
      </c>
      <c r="L21" s="23" t="s">
        <v>44</v>
      </c>
    </row>
    <row r="22" ht="25" spans="1:12">
      <c r="A22" s="23" t="s">
        <v>58</v>
      </c>
      <c r="B22" s="23" t="s">
        <v>67</v>
      </c>
      <c r="C22" s="23">
        <v>2022</v>
      </c>
      <c r="D22" s="23" t="s">
        <v>72</v>
      </c>
      <c r="E22" s="23" t="s">
        <v>61</v>
      </c>
      <c r="F22" s="23" t="s">
        <v>62</v>
      </c>
      <c r="G22" s="24">
        <v>4887</v>
      </c>
      <c r="H22" s="24">
        <v>15293</v>
      </c>
      <c r="I22" s="24">
        <v>2530</v>
      </c>
      <c r="J22" s="24">
        <v>22710</v>
      </c>
      <c r="K22" s="23" t="s">
        <v>63</v>
      </c>
      <c r="L22" s="23" t="s">
        <v>44</v>
      </c>
    </row>
    <row r="23" ht="25" spans="1:12">
      <c r="A23" s="23" t="s">
        <v>58</v>
      </c>
      <c r="B23" s="23" t="s">
        <v>68</v>
      </c>
      <c r="C23" s="23">
        <v>2023</v>
      </c>
      <c r="D23" s="23" t="s">
        <v>72</v>
      </c>
      <c r="E23" s="23" t="s">
        <v>61</v>
      </c>
      <c r="F23" s="23" t="s">
        <v>62</v>
      </c>
      <c r="G23" s="24">
        <v>4897</v>
      </c>
      <c r="H23" s="24">
        <v>15647</v>
      </c>
      <c r="I23" s="24">
        <v>2436</v>
      </c>
      <c r="J23" s="24">
        <v>22980</v>
      </c>
      <c r="K23" s="23" t="s">
        <v>63</v>
      </c>
      <c r="L23" s="23" t="s">
        <v>44</v>
      </c>
    </row>
    <row r="24" ht="25" spans="1:12">
      <c r="A24" s="23" t="s">
        <v>58</v>
      </c>
      <c r="B24" s="23" t="s">
        <v>69</v>
      </c>
      <c r="C24" s="23">
        <v>2024</v>
      </c>
      <c r="D24" s="23" t="s">
        <v>72</v>
      </c>
      <c r="E24" s="23" t="s">
        <v>61</v>
      </c>
      <c r="F24" s="23" t="s">
        <v>62</v>
      </c>
      <c r="G24" s="24">
        <v>4794</v>
      </c>
      <c r="H24" s="24">
        <v>15978</v>
      </c>
      <c r="I24" s="24">
        <v>2384</v>
      </c>
      <c r="J24" s="24">
        <v>23156</v>
      </c>
      <c r="K24" s="23" t="s">
        <v>63</v>
      </c>
      <c r="L24" s="23" t="s">
        <v>44</v>
      </c>
    </row>
    <row r="25" ht="25" spans="1:12">
      <c r="A25" s="23" t="s">
        <v>58</v>
      </c>
      <c r="B25" s="23" t="s">
        <v>70</v>
      </c>
      <c r="C25" s="23">
        <v>2025</v>
      </c>
      <c r="D25" s="23" t="s">
        <v>72</v>
      </c>
      <c r="E25" s="23" t="s">
        <v>61</v>
      </c>
      <c r="F25" s="23" t="s">
        <v>62</v>
      </c>
      <c r="G25" s="24">
        <v>4606</v>
      </c>
      <c r="H25" s="24">
        <v>16212</v>
      </c>
      <c r="I25" s="24">
        <v>2622</v>
      </c>
      <c r="J25" s="24">
        <v>23440</v>
      </c>
      <c r="K25" s="23" t="s">
        <v>63</v>
      </c>
      <c r="L25" s="23" t="s">
        <v>44</v>
      </c>
    </row>
    <row r="26" ht="25" spans="1:12">
      <c r="A26" s="23" t="s">
        <v>73</v>
      </c>
      <c r="B26" s="23" t="s">
        <v>65</v>
      </c>
      <c r="C26" s="23">
        <v>2020</v>
      </c>
      <c r="D26" s="23" t="s">
        <v>60</v>
      </c>
      <c r="E26" s="23" t="s">
        <v>74</v>
      </c>
      <c r="F26" s="23" t="s">
        <v>75</v>
      </c>
      <c r="G26" s="24">
        <v>7421</v>
      </c>
      <c r="H26" s="24"/>
      <c r="I26" s="24"/>
      <c r="J26" s="24">
        <v>53030</v>
      </c>
      <c r="K26" s="23" t="s">
        <v>76</v>
      </c>
      <c r="L26" s="23" t="s">
        <v>44</v>
      </c>
    </row>
    <row r="27" ht="25" spans="1:12">
      <c r="A27" s="23" t="s">
        <v>73</v>
      </c>
      <c r="B27" s="23" t="s">
        <v>66</v>
      </c>
      <c r="C27" s="23">
        <v>2021</v>
      </c>
      <c r="D27" s="23" t="s">
        <v>60</v>
      </c>
      <c r="E27" s="23" t="s">
        <v>74</v>
      </c>
      <c r="F27" s="23" t="s">
        <v>75</v>
      </c>
      <c r="G27" s="24">
        <v>9616</v>
      </c>
      <c r="H27" s="24"/>
      <c r="I27" s="24"/>
      <c r="J27" s="24">
        <v>62443</v>
      </c>
      <c r="K27" s="23" t="s">
        <v>76</v>
      </c>
      <c r="L27" s="23" t="s">
        <v>44</v>
      </c>
    </row>
    <row r="28" ht="25" spans="1:12">
      <c r="A28" s="23" t="s">
        <v>73</v>
      </c>
      <c r="B28" s="23" t="s">
        <v>67</v>
      </c>
      <c r="C28" s="23">
        <v>2022</v>
      </c>
      <c r="D28" s="23" t="s">
        <v>60</v>
      </c>
      <c r="E28" s="23" t="s">
        <v>74</v>
      </c>
      <c r="F28" s="23" t="s">
        <v>75</v>
      </c>
      <c r="G28" s="24">
        <v>7712</v>
      </c>
      <c r="H28" s="24"/>
      <c r="I28" s="24"/>
      <c r="J28" s="24">
        <v>55189</v>
      </c>
      <c r="K28" s="23" t="s">
        <v>76</v>
      </c>
      <c r="L28" s="23" t="s">
        <v>44</v>
      </c>
    </row>
    <row r="29" ht="25" spans="1:12">
      <c r="A29" s="23" t="s">
        <v>73</v>
      </c>
      <c r="B29" s="23" t="s">
        <v>68</v>
      </c>
      <c r="C29" s="23">
        <v>2023</v>
      </c>
      <c r="D29" s="23" t="s">
        <v>60</v>
      </c>
      <c r="E29" s="23" t="s">
        <v>74</v>
      </c>
      <c r="F29" s="23" t="s">
        <v>75</v>
      </c>
      <c r="G29" s="24">
        <v>7260</v>
      </c>
      <c r="H29" s="24"/>
      <c r="I29" s="24"/>
      <c r="J29" s="24">
        <v>52577</v>
      </c>
      <c r="K29" s="23" t="s">
        <v>76</v>
      </c>
      <c r="L29" s="23" t="s">
        <v>44</v>
      </c>
    </row>
    <row r="30" ht="25" spans="1:12">
      <c r="A30" s="23" t="s">
        <v>73</v>
      </c>
      <c r="B30" s="23" t="s">
        <v>69</v>
      </c>
      <c r="C30" s="23">
        <v>2024</v>
      </c>
      <c r="D30" s="23" t="s">
        <v>60</v>
      </c>
      <c r="E30" s="23" t="s">
        <v>74</v>
      </c>
      <c r="F30" s="23" t="s">
        <v>75</v>
      </c>
      <c r="G30" s="24">
        <v>7146</v>
      </c>
      <c r="H30" s="24"/>
      <c r="I30" s="24"/>
      <c r="J30" s="24">
        <v>51946</v>
      </c>
      <c r="K30" s="23" t="s">
        <v>76</v>
      </c>
      <c r="L30" s="23" t="s">
        <v>44</v>
      </c>
    </row>
    <row r="31" ht="25" spans="1:12">
      <c r="A31" s="23" t="s">
        <v>73</v>
      </c>
      <c r="B31" s="23" t="s">
        <v>70</v>
      </c>
      <c r="C31" s="23">
        <v>2025</v>
      </c>
      <c r="D31" s="23" t="s">
        <v>60</v>
      </c>
      <c r="E31" s="23" t="s">
        <v>74</v>
      </c>
      <c r="F31" s="23" t="s">
        <v>75</v>
      </c>
      <c r="G31" s="24">
        <v>7530</v>
      </c>
      <c r="H31" s="24"/>
      <c r="I31" s="24"/>
      <c r="J31" s="24">
        <v>54699</v>
      </c>
      <c r="K31" s="23" t="s">
        <v>76</v>
      </c>
      <c r="L31" s="23" t="s">
        <v>44</v>
      </c>
    </row>
    <row r="32" ht="25" spans="1:12">
      <c r="A32" s="23" t="s">
        <v>73</v>
      </c>
      <c r="B32" s="23" t="s">
        <v>65</v>
      </c>
      <c r="C32" s="23">
        <v>2020</v>
      </c>
      <c r="D32" s="23" t="s">
        <v>71</v>
      </c>
      <c r="E32" s="23" t="s">
        <v>74</v>
      </c>
      <c r="F32" s="23" t="s">
        <v>75</v>
      </c>
      <c r="G32" s="24">
        <v>2647</v>
      </c>
      <c r="H32" s="24"/>
      <c r="I32" s="24"/>
      <c r="J32" s="24">
        <v>23105</v>
      </c>
      <c r="K32" s="23" t="s">
        <v>76</v>
      </c>
      <c r="L32" s="23" t="s">
        <v>44</v>
      </c>
    </row>
    <row r="33" ht="25" spans="1:12">
      <c r="A33" s="23" t="s">
        <v>73</v>
      </c>
      <c r="B33" s="23" t="s">
        <v>66</v>
      </c>
      <c r="C33" s="23">
        <v>2021</v>
      </c>
      <c r="D33" s="23" t="s">
        <v>71</v>
      </c>
      <c r="E33" s="23" t="s">
        <v>74</v>
      </c>
      <c r="F33" s="23" t="s">
        <v>75</v>
      </c>
      <c r="G33" s="24">
        <v>2928</v>
      </c>
      <c r="H33" s="24"/>
      <c r="I33" s="24"/>
      <c r="J33" s="24">
        <v>23711</v>
      </c>
      <c r="K33" s="23" t="s">
        <v>76</v>
      </c>
      <c r="L33" s="23" t="s">
        <v>44</v>
      </c>
    </row>
    <row r="34" ht="25" spans="1:12">
      <c r="A34" s="23" t="s">
        <v>73</v>
      </c>
      <c r="B34" s="23" t="s">
        <v>67</v>
      </c>
      <c r="C34" s="23">
        <v>2022</v>
      </c>
      <c r="D34" s="23" t="s">
        <v>71</v>
      </c>
      <c r="E34" s="23" t="s">
        <v>74</v>
      </c>
      <c r="F34" s="23" t="s">
        <v>75</v>
      </c>
      <c r="G34" s="24">
        <v>2667</v>
      </c>
      <c r="H34" s="24"/>
      <c r="I34" s="24"/>
      <c r="J34" s="24">
        <v>23810</v>
      </c>
      <c r="K34" s="23" t="s">
        <v>76</v>
      </c>
      <c r="L34" s="23" t="s">
        <v>44</v>
      </c>
    </row>
    <row r="35" ht="25" spans="1:12">
      <c r="A35" s="23" t="s">
        <v>73</v>
      </c>
      <c r="B35" s="23" t="s">
        <v>68</v>
      </c>
      <c r="C35" s="23">
        <v>2023</v>
      </c>
      <c r="D35" s="23" t="s">
        <v>71</v>
      </c>
      <c r="E35" s="23" t="s">
        <v>74</v>
      </c>
      <c r="F35" s="23" t="s">
        <v>75</v>
      </c>
      <c r="G35" s="24">
        <v>2720</v>
      </c>
      <c r="H35" s="24"/>
      <c r="I35" s="24"/>
      <c r="J35" s="24">
        <v>24014</v>
      </c>
      <c r="K35" s="23" t="s">
        <v>76</v>
      </c>
      <c r="L35" s="23" t="s">
        <v>44</v>
      </c>
    </row>
    <row r="36" ht="25" spans="1:12">
      <c r="A36" s="23" t="s">
        <v>73</v>
      </c>
      <c r="B36" s="23" t="s">
        <v>69</v>
      </c>
      <c r="C36" s="23">
        <v>2024</v>
      </c>
      <c r="D36" s="23" t="s">
        <v>71</v>
      </c>
      <c r="E36" s="23" t="s">
        <v>74</v>
      </c>
      <c r="F36" s="23" t="s">
        <v>75</v>
      </c>
      <c r="G36" s="24">
        <v>2669</v>
      </c>
      <c r="H36" s="24"/>
      <c r="I36" s="24"/>
      <c r="J36" s="24">
        <v>24172</v>
      </c>
      <c r="K36" s="23" t="s">
        <v>76</v>
      </c>
      <c r="L36" s="23" t="s">
        <v>44</v>
      </c>
    </row>
    <row r="37" ht="25" spans="1:12">
      <c r="A37" s="23" t="s">
        <v>73</v>
      </c>
      <c r="B37" s="23" t="s">
        <v>70</v>
      </c>
      <c r="C37" s="23">
        <v>2025</v>
      </c>
      <c r="D37" s="23" t="s">
        <v>71</v>
      </c>
      <c r="E37" s="23" t="s">
        <v>74</v>
      </c>
      <c r="F37" s="23" t="s">
        <v>75</v>
      </c>
      <c r="G37" s="24">
        <v>2615</v>
      </c>
      <c r="H37" s="24"/>
      <c r="I37" s="24"/>
      <c r="J37" s="24">
        <v>24300</v>
      </c>
      <c r="K37" s="23" t="s">
        <v>76</v>
      </c>
      <c r="L37" s="23" t="s">
        <v>44</v>
      </c>
    </row>
    <row r="38" ht="25" spans="1:12">
      <c r="A38" s="23" t="s">
        <v>73</v>
      </c>
      <c r="B38" s="23" t="s">
        <v>65</v>
      </c>
      <c r="C38" s="23">
        <v>2020</v>
      </c>
      <c r="D38" s="23" t="s">
        <v>72</v>
      </c>
      <c r="E38" s="23" t="s">
        <v>74</v>
      </c>
      <c r="F38" s="23" t="s">
        <v>75</v>
      </c>
      <c r="G38" s="24">
        <v>2545</v>
      </c>
      <c r="H38" s="24"/>
      <c r="I38" s="24"/>
      <c r="J38" s="24">
        <v>22239</v>
      </c>
      <c r="K38" s="23" t="s">
        <v>76</v>
      </c>
      <c r="L38" s="23" t="s">
        <v>44</v>
      </c>
    </row>
    <row r="39" ht="25" spans="1:12">
      <c r="A39" s="23" t="s">
        <v>73</v>
      </c>
      <c r="B39" s="23" t="s">
        <v>66</v>
      </c>
      <c r="C39" s="23">
        <v>2021</v>
      </c>
      <c r="D39" s="23" t="s">
        <v>72</v>
      </c>
      <c r="E39" s="23" t="s">
        <v>74</v>
      </c>
      <c r="F39" s="23" t="s">
        <v>75</v>
      </c>
      <c r="G39" s="24">
        <v>2804</v>
      </c>
      <c r="H39" s="24"/>
      <c r="I39" s="24"/>
      <c r="J39" s="24">
        <v>22666</v>
      </c>
      <c r="K39" s="23" t="s">
        <v>76</v>
      </c>
      <c r="L39" s="23" t="s">
        <v>44</v>
      </c>
    </row>
    <row r="40" ht="25" spans="1:12">
      <c r="A40" s="23" t="s">
        <v>73</v>
      </c>
      <c r="B40" s="23" t="s">
        <v>67</v>
      </c>
      <c r="C40" s="23">
        <v>2022</v>
      </c>
      <c r="D40" s="23" t="s">
        <v>72</v>
      </c>
      <c r="E40" s="23" t="s">
        <v>74</v>
      </c>
      <c r="F40" s="23" t="s">
        <v>75</v>
      </c>
      <c r="G40" s="24">
        <v>2543</v>
      </c>
      <c r="H40" s="24"/>
      <c r="I40" s="24"/>
      <c r="J40" s="24">
        <v>22710</v>
      </c>
      <c r="K40" s="23" t="s">
        <v>76</v>
      </c>
      <c r="L40" s="23" t="s">
        <v>44</v>
      </c>
    </row>
    <row r="41" ht="25" spans="1:12">
      <c r="A41" s="23" t="s">
        <v>73</v>
      </c>
      <c r="B41" s="23" t="s">
        <v>68</v>
      </c>
      <c r="C41" s="23">
        <v>2023</v>
      </c>
      <c r="D41" s="23" t="s">
        <v>72</v>
      </c>
      <c r="E41" s="23" t="s">
        <v>74</v>
      </c>
      <c r="F41" s="23" t="s">
        <v>75</v>
      </c>
      <c r="G41" s="24">
        <v>2606</v>
      </c>
      <c r="H41" s="24"/>
      <c r="I41" s="24"/>
      <c r="J41" s="24">
        <v>22980</v>
      </c>
      <c r="K41" s="23" t="s">
        <v>76</v>
      </c>
      <c r="L41" s="23" t="s">
        <v>44</v>
      </c>
    </row>
    <row r="42" ht="25" spans="1:12">
      <c r="A42" s="23" t="s">
        <v>73</v>
      </c>
      <c r="B42" s="23" t="s">
        <v>69</v>
      </c>
      <c r="C42" s="23">
        <v>2024</v>
      </c>
      <c r="D42" s="23" t="s">
        <v>72</v>
      </c>
      <c r="E42" s="23" t="s">
        <v>74</v>
      </c>
      <c r="F42" s="23" t="s">
        <v>75</v>
      </c>
      <c r="G42" s="24">
        <v>2545</v>
      </c>
      <c r="H42" s="24"/>
      <c r="I42" s="24"/>
      <c r="J42" s="24">
        <v>23156</v>
      </c>
      <c r="K42" s="23" t="s">
        <v>76</v>
      </c>
      <c r="L42" s="23" t="s">
        <v>44</v>
      </c>
    </row>
    <row r="43" ht="25" spans="1:12">
      <c r="A43" s="23" t="s">
        <v>73</v>
      </c>
      <c r="B43" s="23" t="s">
        <v>70</v>
      </c>
      <c r="C43" s="23">
        <v>2025</v>
      </c>
      <c r="D43" s="23" t="s">
        <v>72</v>
      </c>
      <c r="E43" s="23" t="s">
        <v>74</v>
      </c>
      <c r="F43" s="23" t="s">
        <v>75</v>
      </c>
      <c r="G43" s="24">
        <v>2498</v>
      </c>
      <c r="H43" s="24"/>
      <c r="I43" s="24"/>
      <c r="J43" s="24">
        <v>23440</v>
      </c>
      <c r="K43" s="23" t="s">
        <v>76</v>
      </c>
      <c r="L43" s="23" t="s">
        <v>44</v>
      </c>
    </row>
    <row r="44" ht="25" spans="1:12">
      <c r="A44" s="23" t="s">
        <v>77</v>
      </c>
      <c r="B44" s="23" t="s">
        <v>67</v>
      </c>
      <c r="C44" s="23">
        <v>2022</v>
      </c>
      <c r="D44" s="23" t="s">
        <v>60</v>
      </c>
      <c r="E44" s="23" t="s">
        <v>78</v>
      </c>
      <c r="F44" s="23" t="s">
        <v>79</v>
      </c>
      <c r="G44" s="24">
        <v>6940</v>
      </c>
      <c r="H44" s="24"/>
      <c r="I44" s="24"/>
      <c r="J44" s="24">
        <v>55189</v>
      </c>
      <c r="K44" s="23" t="s">
        <v>80</v>
      </c>
      <c r="L44" s="23" t="s">
        <v>44</v>
      </c>
    </row>
    <row r="45" ht="25" spans="1:12">
      <c r="A45" s="23" t="s">
        <v>77</v>
      </c>
      <c r="B45" s="23" t="s">
        <v>68</v>
      </c>
      <c r="C45" s="23">
        <v>2023</v>
      </c>
      <c r="D45" s="23" t="s">
        <v>60</v>
      </c>
      <c r="E45" s="23" t="s">
        <v>78</v>
      </c>
      <c r="F45" s="23" t="s">
        <v>79</v>
      </c>
      <c r="G45" s="24">
        <v>7129</v>
      </c>
      <c r="H45" s="24"/>
      <c r="I45" s="24"/>
      <c r="J45" s="24">
        <v>52577</v>
      </c>
      <c r="K45" s="23" t="s">
        <v>80</v>
      </c>
      <c r="L45" s="23" t="s">
        <v>44</v>
      </c>
    </row>
    <row r="46" ht="25" spans="1:12">
      <c r="A46" s="23" t="s">
        <v>77</v>
      </c>
      <c r="B46" s="23" t="s">
        <v>69</v>
      </c>
      <c r="C46" s="23">
        <v>2024</v>
      </c>
      <c r="D46" s="23" t="s">
        <v>60</v>
      </c>
      <c r="E46" s="23" t="s">
        <v>78</v>
      </c>
      <c r="F46" s="23" t="s">
        <v>79</v>
      </c>
      <c r="G46" s="24">
        <v>7474</v>
      </c>
      <c r="H46" s="24"/>
      <c r="I46" s="24"/>
      <c r="J46" s="24">
        <v>51946</v>
      </c>
      <c r="K46" s="23" t="s">
        <v>80</v>
      </c>
      <c r="L46" s="23" t="s">
        <v>44</v>
      </c>
    </row>
    <row r="47" ht="25" spans="1:12">
      <c r="A47" s="23" t="s">
        <v>77</v>
      </c>
      <c r="B47" s="23" t="s">
        <v>70</v>
      </c>
      <c r="C47" s="23">
        <v>2025</v>
      </c>
      <c r="D47" s="23" t="s">
        <v>60</v>
      </c>
      <c r="E47" s="23" t="s">
        <v>78</v>
      </c>
      <c r="F47" s="23" t="s">
        <v>79</v>
      </c>
      <c r="G47" s="24">
        <v>8251</v>
      </c>
      <c r="H47" s="24"/>
      <c r="I47" s="24"/>
      <c r="J47" s="24">
        <v>54699</v>
      </c>
      <c r="K47" s="23" t="s">
        <v>80</v>
      </c>
      <c r="L47" s="23" t="s">
        <v>44</v>
      </c>
    </row>
    <row r="48" ht="25" spans="1:12">
      <c r="A48" s="23" t="s">
        <v>77</v>
      </c>
      <c r="B48" s="23" t="s">
        <v>67</v>
      </c>
      <c r="C48" s="23">
        <v>2022</v>
      </c>
      <c r="D48" s="23" t="s">
        <v>71</v>
      </c>
      <c r="E48" s="23" t="s">
        <v>78</v>
      </c>
      <c r="F48" s="23" t="s">
        <v>79</v>
      </c>
      <c r="G48" s="24">
        <v>2752</v>
      </c>
      <c r="H48" s="24"/>
      <c r="I48" s="24"/>
      <c r="J48" s="24">
        <v>23810</v>
      </c>
      <c r="K48" s="23" t="s">
        <v>80</v>
      </c>
      <c r="L48" s="23" t="s">
        <v>44</v>
      </c>
    </row>
    <row r="49" ht="25" spans="1:12">
      <c r="A49" s="23" t="s">
        <v>77</v>
      </c>
      <c r="B49" s="23" t="s">
        <v>68</v>
      </c>
      <c r="C49" s="23">
        <v>2023</v>
      </c>
      <c r="D49" s="23" t="s">
        <v>71</v>
      </c>
      <c r="E49" s="23" t="s">
        <v>78</v>
      </c>
      <c r="F49" s="23" t="s">
        <v>79</v>
      </c>
      <c r="G49" s="24">
        <v>3010</v>
      </c>
      <c r="H49" s="24"/>
      <c r="I49" s="24"/>
      <c r="J49" s="24">
        <v>24014</v>
      </c>
      <c r="K49" s="23" t="s">
        <v>80</v>
      </c>
      <c r="L49" s="23" t="s">
        <v>44</v>
      </c>
    </row>
    <row r="50" ht="25" spans="1:12">
      <c r="A50" s="23" t="s">
        <v>77</v>
      </c>
      <c r="B50" s="23" t="s">
        <v>69</v>
      </c>
      <c r="C50" s="23">
        <v>2024</v>
      </c>
      <c r="D50" s="23" t="s">
        <v>71</v>
      </c>
      <c r="E50" s="23" t="s">
        <v>78</v>
      </c>
      <c r="F50" s="23" t="s">
        <v>79</v>
      </c>
      <c r="G50" s="24">
        <v>3029</v>
      </c>
      <c r="H50" s="24"/>
      <c r="I50" s="24"/>
      <c r="J50" s="24">
        <v>24172</v>
      </c>
      <c r="K50" s="23" t="s">
        <v>80</v>
      </c>
      <c r="L50" s="23" t="s">
        <v>44</v>
      </c>
    </row>
    <row r="51" ht="25" spans="1:12">
      <c r="A51" s="23" t="s">
        <v>77</v>
      </c>
      <c r="B51" s="23" t="s">
        <v>70</v>
      </c>
      <c r="C51" s="23">
        <v>2025</v>
      </c>
      <c r="D51" s="23" t="s">
        <v>71</v>
      </c>
      <c r="E51" s="23" t="s">
        <v>78</v>
      </c>
      <c r="F51" s="23" t="s">
        <v>79</v>
      </c>
      <c r="G51" s="24">
        <v>3151</v>
      </c>
      <c r="H51" s="24"/>
      <c r="I51" s="24"/>
      <c r="J51" s="24">
        <v>24300</v>
      </c>
      <c r="K51" s="23" t="s">
        <v>80</v>
      </c>
      <c r="L51" s="23" t="s">
        <v>44</v>
      </c>
    </row>
    <row r="52" ht="25" spans="1:12">
      <c r="A52" s="23" t="s">
        <v>77</v>
      </c>
      <c r="B52" s="23" t="s">
        <v>67</v>
      </c>
      <c r="C52" s="23">
        <v>2022</v>
      </c>
      <c r="D52" s="23" t="s">
        <v>72</v>
      </c>
      <c r="E52" s="23" t="s">
        <v>78</v>
      </c>
      <c r="F52" s="23" t="s">
        <v>79</v>
      </c>
      <c r="G52" s="24">
        <v>2639</v>
      </c>
      <c r="H52" s="24"/>
      <c r="I52" s="24"/>
      <c r="J52" s="24">
        <v>22710</v>
      </c>
      <c r="K52" s="23" t="s">
        <v>80</v>
      </c>
      <c r="L52" s="23" t="s">
        <v>44</v>
      </c>
    </row>
    <row r="53" ht="25" spans="1:12">
      <c r="A53" s="23" t="s">
        <v>77</v>
      </c>
      <c r="B53" s="23" t="s">
        <v>68</v>
      </c>
      <c r="C53" s="23">
        <v>2023</v>
      </c>
      <c r="D53" s="23" t="s">
        <v>72</v>
      </c>
      <c r="E53" s="23" t="s">
        <v>78</v>
      </c>
      <c r="F53" s="23" t="s">
        <v>79</v>
      </c>
      <c r="G53" s="24">
        <v>2896</v>
      </c>
      <c r="H53" s="24"/>
      <c r="I53" s="24"/>
      <c r="J53" s="24">
        <v>22980</v>
      </c>
      <c r="K53" s="23" t="s">
        <v>80</v>
      </c>
      <c r="L53" s="23" t="s">
        <v>44</v>
      </c>
    </row>
    <row r="54" ht="25" spans="1:12">
      <c r="A54" s="23" t="s">
        <v>77</v>
      </c>
      <c r="B54" s="23" t="s">
        <v>69</v>
      </c>
      <c r="C54" s="23">
        <v>2024</v>
      </c>
      <c r="D54" s="23" t="s">
        <v>72</v>
      </c>
      <c r="E54" s="23" t="s">
        <v>78</v>
      </c>
      <c r="F54" s="23" t="s">
        <v>79</v>
      </c>
      <c r="G54" s="24">
        <v>2892</v>
      </c>
      <c r="H54" s="24"/>
      <c r="I54" s="24"/>
      <c r="J54" s="24">
        <v>23156</v>
      </c>
      <c r="K54" s="23" t="s">
        <v>80</v>
      </c>
      <c r="L54" s="23" t="s">
        <v>44</v>
      </c>
    </row>
    <row r="55" ht="25" spans="1:12">
      <c r="A55" s="23" t="s">
        <v>77</v>
      </c>
      <c r="B55" s="23" t="s">
        <v>70</v>
      </c>
      <c r="C55" s="23">
        <v>2025</v>
      </c>
      <c r="D55" s="23" t="s">
        <v>72</v>
      </c>
      <c r="E55" s="23" t="s">
        <v>78</v>
      </c>
      <c r="F55" s="23" t="s">
        <v>79</v>
      </c>
      <c r="G55" s="24">
        <v>3029</v>
      </c>
      <c r="H55" s="24"/>
      <c r="I55" s="24"/>
      <c r="J55" s="24">
        <v>23440</v>
      </c>
      <c r="K55" s="23" t="s">
        <v>80</v>
      </c>
      <c r="L55" s="23" t="s">
        <v>44</v>
      </c>
    </row>
  </sheetData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D19"/>
  <sheetViews>
    <sheetView showGridLines="0" workbookViewId="0">
      <selection activeCell="A1" sqref="A1"/>
    </sheetView>
  </sheetViews>
  <sheetFormatPr defaultColWidth="9" defaultRowHeight="14"/>
  <cols>
    <col min="1" max="1" width="27" customWidth="1"/>
    <col min="2" max="3" width="14" customWidth="1"/>
    <col min="4" max="5" width="42" customWidth="1"/>
    <col min="6" max="30" width="17" customWidth="1"/>
  </cols>
  <sheetData>
    <row r="1" ht="39" spans="1:30">
      <c r="A1" s="1" t="s">
        <v>47</v>
      </c>
      <c r="B1" s="1" t="s">
        <v>48</v>
      </c>
      <c r="C1" s="1" t="s">
        <v>49</v>
      </c>
      <c r="D1" s="1" t="s">
        <v>51</v>
      </c>
      <c r="E1" s="1" t="s">
        <v>52</v>
      </c>
      <c r="F1" s="1" t="s">
        <v>81</v>
      </c>
      <c r="G1" s="1" t="s">
        <v>82</v>
      </c>
      <c r="H1" s="1" t="s">
        <v>83</v>
      </c>
      <c r="I1" s="1" t="s">
        <v>84</v>
      </c>
      <c r="J1" s="1" t="s">
        <v>85</v>
      </c>
      <c r="K1" s="1" t="s">
        <v>86</v>
      </c>
      <c r="L1" s="1" t="s">
        <v>87</v>
      </c>
      <c r="M1" s="1" t="s">
        <v>88</v>
      </c>
      <c r="N1" s="1" t="s">
        <v>89</v>
      </c>
      <c r="O1" s="1" t="s">
        <v>90</v>
      </c>
      <c r="P1" s="1" t="s">
        <v>91</v>
      </c>
      <c r="Q1" s="1" t="s">
        <v>92</v>
      </c>
      <c r="R1" s="1" t="s">
        <v>93</v>
      </c>
      <c r="S1" s="1" t="s">
        <v>94</v>
      </c>
      <c r="T1" s="1" t="s">
        <v>95</v>
      </c>
      <c r="U1" s="1" t="s">
        <v>96</v>
      </c>
      <c r="V1" s="1" t="s">
        <v>97</v>
      </c>
      <c r="W1" s="1" t="s">
        <v>98</v>
      </c>
      <c r="X1" s="1" t="s">
        <v>99</v>
      </c>
      <c r="Y1" s="1" t="s">
        <v>100</v>
      </c>
      <c r="Z1" s="1" t="s">
        <v>101</v>
      </c>
      <c r="AA1" s="1" t="s">
        <v>102</v>
      </c>
      <c r="AB1" s="1" t="s">
        <v>103</v>
      </c>
      <c r="AC1" s="1" t="s">
        <v>104</v>
      </c>
      <c r="AD1" s="1" t="s">
        <v>105</v>
      </c>
    </row>
    <row r="2" spans="1:30">
      <c r="A2" s="2" t="s">
        <v>58</v>
      </c>
      <c r="B2" s="2" t="s">
        <v>59</v>
      </c>
      <c r="C2" s="2">
        <v>2018</v>
      </c>
      <c r="D2" s="2" t="s">
        <v>61</v>
      </c>
      <c r="E2" s="2" t="s">
        <v>62</v>
      </c>
      <c r="F2" s="9">
        <f>'Source Counts'!G2</f>
        <v>12839</v>
      </c>
      <c r="G2" s="9">
        <f>'Source Counts'!G10</f>
        <v>4684</v>
      </c>
      <c r="H2" s="9">
        <f>'Source Counts'!G18</f>
        <v>4516</v>
      </c>
      <c r="I2" s="9">
        <f>'Source Counts'!H2</f>
        <v>31617</v>
      </c>
      <c r="J2" s="9">
        <f>'Source Counts'!H10</f>
        <v>15373</v>
      </c>
      <c r="K2" s="9">
        <f>'Source Counts'!H18</f>
        <v>14837</v>
      </c>
      <c r="L2" s="9">
        <f t="shared" ref="L2:L9" si="0">F2+I2</f>
        <v>44456</v>
      </c>
      <c r="M2" s="9">
        <f t="shared" ref="M2:M9" si="1">G2+J2</f>
        <v>20057</v>
      </c>
      <c r="N2" s="9">
        <f t="shared" ref="N2:N9" si="2">H2+K2</f>
        <v>19353</v>
      </c>
      <c r="O2" s="10">
        <f t="shared" ref="O2:O19" si="3">G2/F2</f>
        <v>0.364825921021886</v>
      </c>
      <c r="P2" s="10">
        <f t="shared" ref="P2:P19" si="4">J2/I2</f>
        <v>0.486225764620299</v>
      </c>
      <c r="Q2" s="11">
        <f t="shared" ref="Q2:Q19" si="5">(O2-P2)*100</f>
        <v>-12.1399843598413</v>
      </c>
      <c r="R2" s="10">
        <f t="shared" ref="R2:R19" si="6">H2/G2</f>
        <v>0.964133219470538</v>
      </c>
      <c r="S2" s="10">
        <f t="shared" ref="S2:S19" si="7">K2/J2</f>
        <v>0.965133675925324</v>
      </c>
      <c r="T2" s="11">
        <f t="shared" ref="T2:T19" si="8">(R2-S2)*100</f>
        <v>-0.100045645478564</v>
      </c>
      <c r="U2" s="10">
        <f t="shared" ref="U2:U19" si="9">H2/F2</f>
        <v>0.351740789781136</v>
      </c>
      <c r="V2" s="10">
        <f t="shared" ref="V2:V19" si="10">K2/I2</f>
        <v>0.469272859537591</v>
      </c>
      <c r="W2" s="11">
        <f t="shared" ref="W2:W19" si="11">(U2-V2)*100</f>
        <v>-11.7532069756455</v>
      </c>
      <c r="X2" s="10">
        <f t="shared" ref="X2:X19" si="12">F2/L2</f>
        <v>0.288802411373043</v>
      </c>
      <c r="Y2" s="10">
        <f t="shared" ref="Y2:Y19" si="13">G2/M2</f>
        <v>0.233534426883382</v>
      </c>
      <c r="Z2" s="10">
        <f t="shared" ref="Z2:Z19" si="14">H2/N2</f>
        <v>0.233348834805973</v>
      </c>
      <c r="AA2" s="11">
        <f t="shared" ref="AA2:AA19" si="15">(Y2-X2)*100</f>
        <v>-5.52679844896607</v>
      </c>
      <c r="AB2" s="11">
        <f t="shared" ref="AB2:AB19" si="16">(Z2-Y2)*100</f>
        <v>-0.0185592077409119</v>
      </c>
      <c r="AC2" s="11">
        <f t="shared" ref="AC2:AC19" si="17">(Z2-X2)*100</f>
        <v>-5.54535765670698</v>
      </c>
      <c r="AD2" s="11">
        <f t="shared" ref="AD2:AD19" si="18">Z2/X2</f>
        <v>0.807987833953917</v>
      </c>
    </row>
    <row r="3" spans="1:30">
      <c r="A3" s="5" t="s">
        <v>58</v>
      </c>
      <c r="B3" s="5" t="s">
        <v>64</v>
      </c>
      <c r="C3" s="5">
        <v>2019</v>
      </c>
      <c r="D3" s="5" t="s">
        <v>61</v>
      </c>
      <c r="E3" s="5" t="s">
        <v>62</v>
      </c>
      <c r="F3" s="14">
        <f>'Source Counts'!G3</f>
        <v>12526</v>
      </c>
      <c r="G3" s="14">
        <f>'Source Counts'!G11</f>
        <v>4584</v>
      </c>
      <c r="H3" s="14">
        <f>'Source Counts'!G19</f>
        <v>4425</v>
      </c>
      <c r="I3" s="14">
        <f>'Source Counts'!H3</f>
        <v>32444</v>
      </c>
      <c r="J3" s="14">
        <f>'Source Counts'!H11</f>
        <v>15578</v>
      </c>
      <c r="K3" s="14">
        <f>'Source Counts'!H19</f>
        <v>15055</v>
      </c>
      <c r="L3" s="14">
        <f t="shared" si="0"/>
        <v>44970</v>
      </c>
      <c r="M3" s="14">
        <f t="shared" si="1"/>
        <v>20162</v>
      </c>
      <c r="N3" s="14">
        <f t="shared" si="2"/>
        <v>19480</v>
      </c>
      <c r="O3" s="15">
        <f t="shared" si="3"/>
        <v>0.365958805684177</v>
      </c>
      <c r="P3" s="15">
        <f t="shared" si="4"/>
        <v>0.480150413019356</v>
      </c>
      <c r="Q3" s="16">
        <f t="shared" si="5"/>
        <v>-11.4191607335179</v>
      </c>
      <c r="R3" s="15">
        <f t="shared" si="6"/>
        <v>0.965314136125654</v>
      </c>
      <c r="S3" s="15">
        <f t="shared" si="7"/>
        <v>0.96642701245346</v>
      </c>
      <c r="T3" s="16">
        <f t="shared" si="8"/>
        <v>-0.111287632780555</v>
      </c>
      <c r="U3" s="15">
        <f t="shared" si="9"/>
        <v>0.353265208366597</v>
      </c>
      <c r="V3" s="15">
        <f t="shared" si="10"/>
        <v>0.464030329182592</v>
      </c>
      <c r="W3" s="16">
        <f t="shared" si="11"/>
        <v>-11.0765120815994</v>
      </c>
      <c r="X3" s="15">
        <f t="shared" si="12"/>
        <v>0.278541249722037</v>
      </c>
      <c r="Y3" s="15">
        <f t="shared" si="13"/>
        <v>0.227358396984426</v>
      </c>
      <c r="Z3" s="15">
        <f t="shared" si="14"/>
        <v>0.227156057494867</v>
      </c>
      <c r="AA3" s="16">
        <f t="shared" si="15"/>
        <v>-5.11828527376108</v>
      </c>
      <c r="AB3" s="16">
        <f t="shared" si="16"/>
        <v>-0.0202339489559611</v>
      </c>
      <c r="AC3" s="16">
        <f t="shared" si="17"/>
        <v>-5.13851922271704</v>
      </c>
      <c r="AD3" s="16">
        <f t="shared" si="18"/>
        <v>0.815520350115292</v>
      </c>
    </row>
    <row r="4" spans="1:30">
      <c r="A4" s="5" t="s">
        <v>58</v>
      </c>
      <c r="B4" s="5" t="s">
        <v>65</v>
      </c>
      <c r="C4" s="5">
        <v>2020</v>
      </c>
      <c r="D4" s="5" t="s">
        <v>61</v>
      </c>
      <c r="E4" s="5" t="s">
        <v>62</v>
      </c>
      <c r="F4" s="14">
        <f>'Source Counts'!G4</f>
        <v>12457</v>
      </c>
      <c r="G4" s="14">
        <f>'Source Counts'!G12</f>
        <v>4826</v>
      </c>
      <c r="H4" s="14">
        <f>'Source Counts'!G20</f>
        <v>4650</v>
      </c>
      <c r="I4" s="14">
        <f>'Source Counts'!H4</f>
        <v>32267</v>
      </c>
      <c r="J4" s="14">
        <f>'Source Counts'!H12</f>
        <v>15657</v>
      </c>
      <c r="K4" s="14">
        <f>'Source Counts'!H20</f>
        <v>15132</v>
      </c>
      <c r="L4" s="14">
        <f t="shared" si="0"/>
        <v>44724</v>
      </c>
      <c r="M4" s="14">
        <f t="shared" si="1"/>
        <v>20483</v>
      </c>
      <c r="N4" s="14">
        <f t="shared" si="2"/>
        <v>19782</v>
      </c>
      <c r="O4" s="15">
        <f t="shared" si="3"/>
        <v>0.387412699686923</v>
      </c>
      <c r="P4" s="15">
        <f t="shared" si="4"/>
        <v>0.485232590572411</v>
      </c>
      <c r="Q4" s="16">
        <f t="shared" si="5"/>
        <v>-9.78198908854884</v>
      </c>
      <c r="R4" s="15">
        <f t="shared" si="6"/>
        <v>0.96353087443017</v>
      </c>
      <c r="S4" s="15">
        <f t="shared" si="7"/>
        <v>0.966468672159418</v>
      </c>
      <c r="T4" s="16">
        <f t="shared" si="8"/>
        <v>-0.293779772924763</v>
      </c>
      <c r="U4" s="15">
        <f t="shared" si="9"/>
        <v>0.373284097294694</v>
      </c>
      <c r="V4" s="15">
        <f t="shared" si="10"/>
        <v>0.468962097498993</v>
      </c>
      <c r="W4" s="16">
        <f t="shared" si="11"/>
        <v>-9.5678000204299</v>
      </c>
      <c r="X4" s="15">
        <f t="shared" si="12"/>
        <v>0.278530542885252</v>
      </c>
      <c r="Y4" s="15">
        <f t="shared" si="13"/>
        <v>0.23561001806376</v>
      </c>
      <c r="Z4" s="15">
        <f t="shared" si="14"/>
        <v>0.235062177737337</v>
      </c>
      <c r="AA4" s="16">
        <f t="shared" si="15"/>
        <v>-4.29205248214916</v>
      </c>
      <c r="AB4" s="16">
        <f t="shared" si="16"/>
        <v>-0.0547840326423216</v>
      </c>
      <c r="AC4" s="16">
        <f t="shared" si="17"/>
        <v>-4.34683651479148</v>
      </c>
      <c r="AD4" s="16">
        <f t="shared" si="18"/>
        <v>0.84393680959498</v>
      </c>
    </row>
    <row r="5" spans="1:30">
      <c r="A5" s="5" t="s">
        <v>58</v>
      </c>
      <c r="B5" s="5" t="s">
        <v>66</v>
      </c>
      <c r="C5" s="5">
        <v>2021</v>
      </c>
      <c r="D5" s="5" t="s">
        <v>61</v>
      </c>
      <c r="E5" s="5" t="s">
        <v>62</v>
      </c>
      <c r="F5" s="14">
        <f>'Source Counts'!G5</f>
        <v>15304</v>
      </c>
      <c r="G5" s="14">
        <f>'Source Counts'!G13</f>
        <v>5119</v>
      </c>
      <c r="H5" s="14">
        <f>'Source Counts'!G21</f>
        <v>4901</v>
      </c>
      <c r="I5" s="14">
        <f>'Source Counts'!H5</f>
        <v>36874</v>
      </c>
      <c r="J5" s="14">
        <f>'Source Counts'!H13</f>
        <v>15843</v>
      </c>
      <c r="K5" s="14">
        <f>'Source Counts'!H21</f>
        <v>15192</v>
      </c>
      <c r="L5" s="14">
        <f t="shared" si="0"/>
        <v>52178</v>
      </c>
      <c r="M5" s="14">
        <f t="shared" si="1"/>
        <v>20962</v>
      </c>
      <c r="N5" s="14">
        <f t="shared" si="2"/>
        <v>20093</v>
      </c>
      <c r="O5" s="15">
        <f t="shared" si="3"/>
        <v>0.334487715629901</v>
      </c>
      <c r="P5" s="15">
        <f t="shared" si="4"/>
        <v>0.4296523295547</v>
      </c>
      <c r="Q5" s="16">
        <f t="shared" si="5"/>
        <v>-9.51646139247991</v>
      </c>
      <c r="R5" s="15">
        <f t="shared" si="6"/>
        <v>0.957413557335417</v>
      </c>
      <c r="S5" s="15">
        <f t="shared" si="7"/>
        <v>0.958909297481538</v>
      </c>
      <c r="T5" s="16">
        <f t="shared" si="8"/>
        <v>-0.149574014612053</v>
      </c>
      <c r="U5" s="15">
        <f t="shared" si="9"/>
        <v>0.320243073706221</v>
      </c>
      <c r="V5" s="15">
        <f t="shared" si="10"/>
        <v>0.411997613494603</v>
      </c>
      <c r="W5" s="16">
        <f t="shared" si="11"/>
        <v>-9.17545397883827</v>
      </c>
      <c r="X5" s="15">
        <f t="shared" si="12"/>
        <v>0.293303691210855</v>
      </c>
      <c r="Y5" s="15">
        <f t="shared" si="13"/>
        <v>0.244203797347581</v>
      </c>
      <c r="Z5" s="15">
        <f t="shared" si="14"/>
        <v>0.243915791569203</v>
      </c>
      <c r="AA5" s="16">
        <f t="shared" si="15"/>
        <v>-4.90998938632738</v>
      </c>
      <c r="AB5" s="16">
        <f t="shared" si="16"/>
        <v>-0.028800577837812</v>
      </c>
      <c r="AC5" s="16">
        <f t="shared" si="17"/>
        <v>-4.93878996416519</v>
      </c>
      <c r="AD5" s="16">
        <f t="shared" si="18"/>
        <v>0.831615144569909</v>
      </c>
    </row>
    <row r="6" spans="1:30">
      <c r="A6" s="5" t="s">
        <v>58</v>
      </c>
      <c r="B6" s="5" t="s">
        <v>67</v>
      </c>
      <c r="C6" s="5">
        <v>2022</v>
      </c>
      <c r="D6" s="5" t="s">
        <v>61</v>
      </c>
      <c r="E6" s="5" t="s">
        <v>62</v>
      </c>
      <c r="F6" s="14">
        <f>'Source Counts'!G6</f>
        <v>13379</v>
      </c>
      <c r="G6" s="14">
        <f>'Source Counts'!G14</f>
        <v>5124</v>
      </c>
      <c r="H6" s="14">
        <f>'Source Counts'!G22</f>
        <v>4887</v>
      </c>
      <c r="I6" s="14">
        <f>'Source Counts'!H6</f>
        <v>33237</v>
      </c>
      <c r="J6" s="14">
        <f>'Source Counts'!H14</f>
        <v>15994</v>
      </c>
      <c r="K6" s="14">
        <f>'Source Counts'!H22</f>
        <v>15293</v>
      </c>
      <c r="L6" s="14">
        <f t="shared" si="0"/>
        <v>46616</v>
      </c>
      <c r="M6" s="14">
        <f t="shared" si="1"/>
        <v>21118</v>
      </c>
      <c r="N6" s="14">
        <f t="shared" si="2"/>
        <v>20180</v>
      </c>
      <c r="O6" s="15">
        <f t="shared" si="3"/>
        <v>0.382988265191718</v>
      </c>
      <c r="P6" s="15">
        <f t="shared" si="4"/>
        <v>0.481210698919878</v>
      </c>
      <c r="Q6" s="16">
        <f t="shared" si="5"/>
        <v>-9.82224337281601</v>
      </c>
      <c r="R6" s="15">
        <f t="shared" si="6"/>
        <v>0.953747072599532</v>
      </c>
      <c r="S6" s="15">
        <f t="shared" si="7"/>
        <v>0.956171064149056</v>
      </c>
      <c r="T6" s="16">
        <f t="shared" si="8"/>
        <v>-0.242399154952433</v>
      </c>
      <c r="U6" s="15">
        <f t="shared" si="9"/>
        <v>0.365273936766574</v>
      </c>
      <c r="V6" s="15">
        <f t="shared" si="10"/>
        <v>0.460119746066131</v>
      </c>
      <c r="W6" s="16">
        <f t="shared" si="11"/>
        <v>-9.48458092995566</v>
      </c>
      <c r="X6" s="15">
        <f t="shared" si="12"/>
        <v>0.287004461987301</v>
      </c>
      <c r="Y6" s="15">
        <f t="shared" si="13"/>
        <v>0.242636613315655</v>
      </c>
      <c r="Z6" s="15">
        <f t="shared" si="14"/>
        <v>0.24217046580773</v>
      </c>
      <c r="AA6" s="16">
        <f t="shared" si="15"/>
        <v>-4.43678486716456</v>
      </c>
      <c r="AB6" s="16">
        <f t="shared" si="16"/>
        <v>-0.0466147507924453</v>
      </c>
      <c r="AC6" s="16">
        <f t="shared" si="17"/>
        <v>-4.48339961795701</v>
      </c>
      <c r="AD6" s="16">
        <f t="shared" si="18"/>
        <v>0.843786414088733</v>
      </c>
    </row>
    <row r="7" spans="1:30">
      <c r="A7" s="5" t="s">
        <v>58</v>
      </c>
      <c r="B7" s="5" t="s">
        <v>68</v>
      </c>
      <c r="C7" s="5">
        <v>2023</v>
      </c>
      <c r="D7" s="5" t="s">
        <v>61</v>
      </c>
      <c r="E7" s="5" t="s">
        <v>62</v>
      </c>
      <c r="F7" s="14">
        <f>'Source Counts'!G7</f>
        <v>12555</v>
      </c>
      <c r="G7" s="14">
        <f>'Source Counts'!G15</f>
        <v>5099</v>
      </c>
      <c r="H7" s="14">
        <f>'Source Counts'!G23</f>
        <v>4897</v>
      </c>
      <c r="I7" s="14">
        <f>'Source Counts'!H7</f>
        <v>31994</v>
      </c>
      <c r="J7" s="14">
        <f>'Source Counts'!H15</f>
        <v>16339</v>
      </c>
      <c r="K7" s="14">
        <f>'Source Counts'!H23</f>
        <v>15647</v>
      </c>
      <c r="L7" s="14">
        <f t="shared" si="0"/>
        <v>44549</v>
      </c>
      <c r="M7" s="14">
        <f t="shared" si="1"/>
        <v>21438</v>
      </c>
      <c r="N7" s="14">
        <f t="shared" si="2"/>
        <v>20544</v>
      </c>
      <c r="O7" s="15">
        <f t="shared" si="3"/>
        <v>0.406133014735165</v>
      </c>
      <c r="P7" s="15">
        <f t="shared" si="4"/>
        <v>0.510689504282053</v>
      </c>
      <c r="Q7" s="16">
        <f t="shared" si="5"/>
        <v>-10.4556489546888</v>
      </c>
      <c r="R7" s="15">
        <f t="shared" si="6"/>
        <v>0.960384389095901</v>
      </c>
      <c r="S7" s="15">
        <f t="shared" si="7"/>
        <v>0.957647346838852</v>
      </c>
      <c r="T7" s="16">
        <f t="shared" si="8"/>
        <v>0.27370422570494</v>
      </c>
      <c r="U7" s="15">
        <f t="shared" si="9"/>
        <v>0.390043807248108</v>
      </c>
      <c r="V7" s="15">
        <f t="shared" si="10"/>
        <v>0.489060448834156</v>
      </c>
      <c r="W7" s="16">
        <f t="shared" si="11"/>
        <v>-9.90166415860481</v>
      </c>
      <c r="X7" s="15">
        <f t="shared" si="12"/>
        <v>0.281824507845294</v>
      </c>
      <c r="Y7" s="15">
        <f t="shared" si="13"/>
        <v>0.237848679914171</v>
      </c>
      <c r="Z7" s="15">
        <f t="shared" si="14"/>
        <v>0.238366433021807</v>
      </c>
      <c r="AA7" s="16">
        <f t="shared" si="15"/>
        <v>-4.39758279311228</v>
      </c>
      <c r="AB7" s="16">
        <f t="shared" si="16"/>
        <v>0.0517753107635743</v>
      </c>
      <c r="AC7" s="16">
        <f t="shared" si="17"/>
        <v>-4.34580748234871</v>
      </c>
      <c r="AD7" s="16">
        <f t="shared" si="18"/>
        <v>0.845797389461447</v>
      </c>
    </row>
    <row r="8" spans="1:30">
      <c r="A8" s="5" t="s">
        <v>58</v>
      </c>
      <c r="B8" s="5" t="s">
        <v>69</v>
      </c>
      <c r="C8" s="5">
        <v>2024</v>
      </c>
      <c r="D8" s="5" t="s">
        <v>61</v>
      </c>
      <c r="E8" s="5" t="s">
        <v>62</v>
      </c>
      <c r="F8" s="14">
        <f>'Source Counts'!G8</f>
        <v>12278</v>
      </c>
      <c r="G8" s="14">
        <f>'Source Counts'!G16</f>
        <v>5010</v>
      </c>
      <c r="H8" s="14">
        <f>'Source Counts'!G24</f>
        <v>4794</v>
      </c>
      <c r="I8" s="14">
        <f>'Source Counts'!H8</f>
        <v>31771</v>
      </c>
      <c r="J8" s="14">
        <f>'Source Counts'!H16</f>
        <v>16633</v>
      </c>
      <c r="K8" s="14">
        <f>'Source Counts'!H24</f>
        <v>15978</v>
      </c>
      <c r="L8" s="14">
        <f t="shared" si="0"/>
        <v>44049</v>
      </c>
      <c r="M8" s="14">
        <f t="shared" si="1"/>
        <v>21643</v>
      </c>
      <c r="N8" s="14">
        <f t="shared" si="2"/>
        <v>20772</v>
      </c>
      <c r="O8" s="15">
        <f t="shared" si="3"/>
        <v>0.408046913178042</v>
      </c>
      <c r="P8" s="15">
        <f t="shared" si="4"/>
        <v>0.523527745428221</v>
      </c>
      <c r="Q8" s="16">
        <f t="shared" si="5"/>
        <v>-11.5480832250179</v>
      </c>
      <c r="R8" s="15">
        <f t="shared" si="6"/>
        <v>0.95688622754491</v>
      </c>
      <c r="S8" s="15">
        <f t="shared" si="7"/>
        <v>0.960620453315698</v>
      </c>
      <c r="T8" s="16">
        <f t="shared" si="8"/>
        <v>-0.373422577078752</v>
      </c>
      <c r="U8" s="15">
        <f t="shared" si="9"/>
        <v>0.390454471412282</v>
      </c>
      <c r="V8" s="15">
        <f t="shared" si="10"/>
        <v>0.502911460136603</v>
      </c>
      <c r="W8" s="16">
        <f t="shared" si="11"/>
        <v>-11.245698872432</v>
      </c>
      <c r="X8" s="15">
        <f t="shared" si="12"/>
        <v>0.278735045063452</v>
      </c>
      <c r="Y8" s="15">
        <f t="shared" si="13"/>
        <v>0.231483620570161</v>
      </c>
      <c r="Z8" s="15">
        <f t="shared" si="14"/>
        <v>0.230791450028885</v>
      </c>
      <c r="AA8" s="16">
        <f t="shared" si="15"/>
        <v>-4.72514244932908</v>
      </c>
      <c r="AB8" s="16">
        <f t="shared" si="16"/>
        <v>-0.069217054127621</v>
      </c>
      <c r="AC8" s="16">
        <f t="shared" si="17"/>
        <v>-4.7943595034567</v>
      </c>
      <c r="AD8" s="16">
        <f t="shared" si="18"/>
        <v>0.82799581221065</v>
      </c>
    </row>
    <row r="9" spans="1:30">
      <c r="A9" s="5" t="s">
        <v>58</v>
      </c>
      <c r="B9" s="5" t="s">
        <v>70</v>
      </c>
      <c r="C9" s="5">
        <v>2025</v>
      </c>
      <c r="D9" s="5" t="s">
        <v>61</v>
      </c>
      <c r="E9" s="5" t="s">
        <v>62</v>
      </c>
      <c r="F9" s="14">
        <f>'Source Counts'!G9</f>
        <v>12386</v>
      </c>
      <c r="G9" s="14">
        <f>'Source Counts'!G17</f>
        <v>4787</v>
      </c>
      <c r="H9" s="14">
        <f>'Source Counts'!G25</f>
        <v>4606</v>
      </c>
      <c r="I9" s="14">
        <f>'Source Counts'!H9</f>
        <v>33238</v>
      </c>
      <c r="J9" s="14">
        <f>'Source Counts'!H17</f>
        <v>16741</v>
      </c>
      <c r="K9" s="14">
        <f>'Source Counts'!H25</f>
        <v>16212</v>
      </c>
      <c r="L9" s="14">
        <f t="shared" si="0"/>
        <v>45624</v>
      </c>
      <c r="M9" s="14">
        <f t="shared" si="1"/>
        <v>21528</v>
      </c>
      <c r="N9" s="14">
        <f t="shared" si="2"/>
        <v>20818</v>
      </c>
      <c r="O9" s="15">
        <f t="shared" si="3"/>
        <v>0.386484740836428</v>
      </c>
      <c r="P9" s="15">
        <f t="shared" si="4"/>
        <v>0.503670497623202</v>
      </c>
      <c r="Q9" s="16">
        <f t="shared" si="5"/>
        <v>-11.7185756786774</v>
      </c>
      <c r="R9" s="15">
        <f t="shared" si="6"/>
        <v>0.962189262586171</v>
      </c>
      <c r="S9" s="15">
        <f t="shared" si="7"/>
        <v>0.968400931843976</v>
      </c>
      <c r="T9" s="16">
        <f t="shared" si="8"/>
        <v>-0.621166925780503</v>
      </c>
      <c r="U9" s="15">
        <f t="shared" si="9"/>
        <v>0.37187146778621</v>
      </c>
      <c r="V9" s="15">
        <f t="shared" si="10"/>
        <v>0.487754979240628</v>
      </c>
      <c r="W9" s="16">
        <f t="shared" si="11"/>
        <v>-11.5883511454418</v>
      </c>
      <c r="X9" s="15">
        <f t="shared" si="12"/>
        <v>0.271479922847624</v>
      </c>
      <c r="Y9" s="15">
        <f t="shared" si="13"/>
        <v>0.222361575622445</v>
      </c>
      <c r="Z9" s="15">
        <f t="shared" si="14"/>
        <v>0.221250840618695</v>
      </c>
      <c r="AA9" s="16">
        <f t="shared" si="15"/>
        <v>-4.91183472251789</v>
      </c>
      <c r="AB9" s="16">
        <f t="shared" si="16"/>
        <v>-0.111073500374984</v>
      </c>
      <c r="AC9" s="16">
        <f t="shared" si="17"/>
        <v>-5.02290822289287</v>
      </c>
      <c r="AD9" s="16">
        <f t="shared" si="18"/>
        <v>0.81498049026218</v>
      </c>
    </row>
    <row r="10" spans="1:30">
      <c r="A10" s="5" t="s">
        <v>73</v>
      </c>
      <c r="B10" s="5" t="s">
        <v>65</v>
      </c>
      <c r="C10" s="5">
        <v>2020</v>
      </c>
      <c r="D10" s="5" t="s">
        <v>74</v>
      </c>
      <c r="E10" s="5" t="s">
        <v>75</v>
      </c>
      <c r="F10" s="14">
        <f>'Source Counts'!G26</f>
        <v>7421</v>
      </c>
      <c r="G10" s="14">
        <f>'Source Counts'!G32</f>
        <v>2647</v>
      </c>
      <c r="H10" s="14">
        <f>'Source Counts'!G38</f>
        <v>2545</v>
      </c>
      <c r="I10" s="14">
        <f>'Source Counts'!J26-'Source Counts'!G26</f>
        <v>45609</v>
      </c>
      <c r="J10" s="14">
        <f>'Source Counts'!J32-'Source Counts'!G32</f>
        <v>20458</v>
      </c>
      <c r="K10" s="14">
        <f>'Source Counts'!J38-'Source Counts'!G38</f>
        <v>19694</v>
      </c>
      <c r="L10" s="14">
        <f>'Source Counts'!J26</f>
        <v>53030</v>
      </c>
      <c r="M10" s="14">
        <f>'Source Counts'!J32</f>
        <v>23105</v>
      </c>
      <c r="N10" s="14">
        <f>'Source Counts'!J38</f>
        <v>22239</v>
      </c>
      <c r="O10" s="15">
        <f t="shared" si="3"/>
        <v>0.356690472982078</v>
      </c>
      <c r="P10" s="15">
        <f t="shared" si="4"/>
        <v>0.448551820912539</v>
      </c>
      <c r="Q10" s="16">
        <f t="shared" si="5"/>
        <v>-9.18613479304613</v>
      </c>
      <c r="R10" s="15">
        <f t="shared" si="6"/>
        <v>0.961465810351341</v>
      </c>
      <c r="S10" s="15">
        <f t="shared" si="7"/>
        <v>0.96265519601134</v>
      </c>
      <c r="T10" s="16">
        <f t="shared" si="8"/>
        <v>-0.118938565999915</v>
      </c>
      <c r="U10" s="15">
        <f t="shared" si="9"/>
        <v>0.342945694650317</v>
      </c>
      <c r="V10" s="15">
        <f t="shared" si="10"/>
        <v>0.431800741081804</v>
      </c>
      <c r="W10" s="16">
        <f t="shared" si="11"/>
        <v>-8.88550464314874</v>
      </c>
      <c r="X10" s="15">
        <f t="shared" si="12"/>
        <v>0.139939656798039</v>
      </c>
      <c r="Y10" s="15">
        <f t="shared" si="13"/>
        <v>0.114563947197576</v>
      </c>
      <c r="Z10" s="15">
        <f t="shared" si="14"/>
        <v>0.114438598857862</v>
      </c>
      <c r="AA10" s="16">
        <f t="shared" si="15"/>
        <v>-2.53757096004626</v>
      </c>
      <c r="AB10" s="16">
        <f t="shared" si="16"/>
        <v>-0.0125348339713977</v>
      </c>
      <c r="AC10" s="16">
        <f t="shared" si="17"/>
        <v>-2.55010579401765</v>
      </c>
      <c r="AD10" s="16">
        <f t="shared" si="18"/>
        <v>0.817771041292607</v>
      </c>
    </row>
    <row r="11" spans="1:30">
      <c r="A11" s="5" t="s">
        <v>73</v>
      </c>
      <c r="B11" s="5" t="s">
        <v>66</v>
      </c>
      <c r="C11" s="5">
        <v>2021</v>
      </c>
      <c r="D11" s="5" t="s">
        <v>74</v>
      </c>
      <c r="E11" s="5" t="s">
        <v>75</v>
      </c>
      <c r="F11" s="14">
        <f>'Source Counts'!G27</f>
        <v>9616</v>
      </c>
      <c r="G11" s="14">
        <f>'Source Counts'!G33</f>
        <v>2928</v>
      </c>
      <c r="H11" s="14">
        <f>'Source Counts'!G39</f>
        <v>2804</v>
      </c>
      <c r="I11" s="14">
        <f>'Source Counts'!J27-'Source Counts'!G27</f>
        <v>52827</v>
      </c>
      <c r="J11" s="14">
        <f>'Source Counts'!J33-'Source Counts'!G33</f>
        <v>20783</v>
      </c>
      <c r="K11" s="14">
        <f>'Source Counts'!J39-'Source Counts'!G39</f>
        <v>19862</v>
      </c>
      <c r="L11" s="14">
        <f>'Source Counts'!J27</f>
        <v>62443</v>
      </c>
      <c r="M11" s="14">
        <f>'Source Counts'!J33</f>
        <v>23711</v>
      </c>
      <c r="N11" s="14">
        <f>'Source Counts'!J39</f>
        <v>22666</v>
      </c>
      <c r="O11" s="15">
        <f t="shared" si="3"/>
        <v>0.304492512479201</v>
      </c>
      <c r="P11" s="15">
        <f t="shared" si="4"/>
        <v>0.393416245480531</v>
      </c>
      <c r="Q11" s="16">
        <f t="shared" si="5"/>
        <v>-8.89237330013294</v>
      </c>
      <c r="R11" s="15">
        <f t="shared" si="6"/>
        <v>0.957650273224044</v>
      </c>
      <c r="S11" s="15">
        <f t="shared" si="7"/>
        <v>0.955684934802483</v>
      </c>
      <c r="T11" s="16">
        <f t="shared" si="8"/>
        <v>0.196533842156088</v>
      </c>
      <c r="U11" s="15">
        <f t="shared" si="9"/>
        <v>0.291597337770383</v>
      </c>
      <c r="V11" s="15">
        <f t="shared" si="10"/>
        <v>0.375981978912299</v>
      </c>
      <c r="W11" s="16">
        <f t="shared" si="11"/>
        <v>-8.43846411419159</v>
      </c>
      <c r="X11" s="15">
        <f t="shared" si="12"/>
        <v>0.153996444757619</v>
      </c>
      <c r="Y11" s="15">
        <f t="shared" si="13"/>
        <v>0.123486989161149</v>
      </c>
      <c r="Z11" s="15">
        <f t="shared" si="14"/>
        <v>0.123709520868261</v>
      </c>
      <c r="AA11" s="16">
        <f t="shared" si="15"/>
        <v>-3.05094555964701</v>
      </c>
      <c r="AB11" s="16">
        <f t="shared" si="16"/>
        <v>0.0222531707111992</v>
      </c>
      <c r="AC11" s="16">
        <f t="shared" si="17"/>
        <v>-3.02869238893581</v>
      </c>
      <c r="AD11" s="16">
        <f t="shared" si="18"/>
        <v>0.803327122668138</v>
      </c>
    </row>
    <row r="12" spans="1:30">
      <c r="A12" s="5" t="s">
        <v>73</v>
      </c>
      <c r="B12" s="5" t="s">
        <v>67</v>
      </c>
      <c r="C12" s="5">
        <v>2022</v>
      </c>
      <c r="D12" s="5" t="s">
        <v>74</v>
      </c>
      <c r="E12" s="5" t="s">
        <v>75</v>
      </c>
      <c r="F12" s="14">
        <f>'Source Counts'!G28</f>
        <v>7712</v>
      </c>
      <c r="G12" s="14">
        <f>'Source Counts'!G34</f>
        <v>2667</v>
      </c>
      <c r="H12" s="14">
        <f>'Source Counts'!G40</f>
        <v>2543</v>
      </c>
      <c r="I12" s="14">
        <f>'Source Counts'!J28-'Source Counts'!G28</f>
        <v>47477</v>
      </c>
      <c r="J12" s="14">
        <f>'Source Counts'!J34-'Source Counts'!G34</f>
        <v>21143</v>
      </c>
      <c r="K12" s="14">
        <f>'Source Counts'!J40-'Source Counts'!G40</f>
        <v>20167</v>
      </c>
      <c r="L12" s="14">
        <f>'Source Counts'!J28</f>
        <v>55189</v>
      </c>
      <c r="M12" s="14">
        <f>'Source Counts'!J34</f>
        <v>23810</v>
      </c>
      <c r="N12" s="14">
        <f>'Source Counts'!J40</f>
        <v>22710</v>
      </c>
      <c r="O12" s="15">
        <f t="shared" si="3"/>
        <v>0.34582468879668</v>
      </c>
      <c r="P12" s="15">
        <f t="shared" si="4"/>
        <v>0.445331423636708</v>
      </c>
      <c r="Q12" s="16">
        <f t="shared" si="5"/>
        <v>-9.95067348400278</v>
      </c>
      <c r="R12" s="15">
        <f t="shared" si="6"/>
        <v>0.953505811773528</v>
      </c>
      <c r="S12" s="15">
        <f t="shared" si="7"/>
        <v>0.953838149742231</v>
      </c>
      <c r="T12" s="16">
        <f t="shared" si="8"/>
        <v>-0.0332337968703134</v>
      </c>
      <c r="U12" s="15">
        <f t="shared" si="9"/>
        <v>0.329745850622407</v>
      </c>
      <c r="V12" s="15">
        <f t="shared" si="10"/>
        <v>0.424774101143712</v>
      </c>
      <c r="W12" s="16">
        <f t="shared" si="11"/>
        <v>-9.5028250521305</v>
      </c>
      <c r="X12" s="15">
        <f t="shared" si="12"/>
        <v>0.139737991266376</v>
      </c>
      <c r="Y12" s="15">
        <f t="shared" si="13"/>
        <v>0.112011759764805</v>
      </c>
      <c r="Z12" s="15">
        <f t="shared" si="14"/>
        <v>0.111977102597974</v>
      </c>
      <c r="AA12" s="16">
        <f t="shared" si="15"/>
        <v>-2.77262315015708</v>
      </c>
      <c r="AB12" s="16">
        <f t="shared" si="16"/>
        <v>-0.00346571668302514</v>
      </c>
      <c r="AC12" s="16">
        <f t="shared" si="17"/>
        <v>-2.77608886684011</v>
      </c>
      <c r="AD12" s="16">
        <f t="shared" si="18"/>
        <v>0.801336140466755</v>
      </c>
    </row>
    <row r="13" spans="1:30">
      <c r="A13" s="5" t="s">
        <v>73</v>
      </c>
      <c r="B13" s="5" t="s">
        <v>68</v>
      </c>
      <c r="C13" s="5">
        <v>2023</v>
      </c>
      <c r="D13" s="5" t="s">
        <v>74</v>
      </c>
      <c r="E13" s="5" t="s">
        <v>75</v>
      </c>
      <c r="F13" s="14">
        <f>'Source Counts'!G29</f>
        <v>7260</v>
      </c>
      <c r="G13" s="14">
        <f>'Source Counts'!G35</f>
        <v>2720</v>
      </c>
      <c r="H13" s="14">
        <f>'Source Counts'!G41</f>
        <v>2606</v>
      </c>
      <c r="I13" s="14">
        <f>'Source Counts'!J29-'Source Counts'!G29</f>
        <v>45317</v>
      </c>
      <c r="J13" s="14">
        <f>'Source Counts'!J35-'Source Counts'!G35</f>
        <v>21294</v>
      </c>
      <c r="K13" s="14">
        <f>'Source Counts'!J41-'Source Counts'!G41</f>
        <v>20374</v>
      </c>
      <c r="L13" s="14">
        <f>'Source Counts'!J29</f>
        <v>52577</v>
      </c>
      <c r="M13" s="14">
        <f>'Source Counts'!J35</f>
        <v>24014</v>
      </c>
      <c r="N13" s="14">
        <f>'Source Counts'!J41</f>
        <v>22980</v>
      </c>
      <c r="O13" s="15">
        <f t="shared" si="3"/>
        <v>0.37465564738292</v>
      </c>
      <c r="P13" s="15">
        <f t="shared" si="4"/>
        <v>0.469889886797449</v>
      </c>
      <c r="Q13" s="16">
        <f t="shared" si="5"/>
        <v>-9.5234239414529</v>
      </c>
      <c r="R13" s="15">
        <f t="shared" si="6"/>
        <v>0.958088235294118</v>
      </c>
      <c r="S13" s="15">
        <f t="shared" si="7"/>
        <v>0.956795341410726</v>
      </c>
      <c r="T13" s="16">
        <f t="shared" si="8"/>
        <v>0.129289388339171</v>
      </c>
      <c r="U13" s="15">
        <f t="shared" si="9"/>
        <v>0.358953168044077</v>
      </c>
      <c r="V13" s="15">
        <f t="shared" si="10"/>
        <v>0.449588454663813</v>
      </c>
      <c r="W13" s="16">
        <f t="shared" si="11"/>
        <v>-9.06352866197356</v>
      </c>
      <c r="X13" s="15">
        <f t="shared" si="12"/>
        <v>0.138083192270384</v>
      </c>
      <c r="Y13" s="15">
        <f t="shared" si="13"/>
        <v>0.113267260764554</v>
      </c>
      <c r="Z13" s="15">
        <f t="shared" si="14"/>
        <v>0.113402959094865</v>
      </c>
      <c r="AA13" s="16">
        <f t="shared" si="15"/>
        <v>-2.48159315058304</v>
      </c>
      <c r="AB13" s="16">
        <f t="shared" si="16"/>
        <v>0.0135698330311088</v>
      </c>
      <c r="AC13" s="16">
        <f t="shared" si="17"/>
        <v>-2.46802331755193</v>
      </c>
      <c r="AD13" s="16">
        <f t="shared" si="18"/>
        <v>0.821265479384397</v>
      </c>
    </row>
    <row r="14" spans="1:30">
      <c r="A14" s="5" t="s">
        <v>73</v>
      </c>
      <c r="B14" s="5" t="s">
        <v>69</v>
      </c>
      <c r="C14" s="5">
        <v>2024</v>
      </c>
      <c r="D14" s="5" t="s">
        <v>74</v>
      </c>
      <c r="E14" s="5" t="s">
        <v>75</v>
      </c>
      <c r="F14" s="14">
        <f>'Source Counts'!G30</f>
        <v>7146</v>
      </c>
      <c r="G14" s="14">
        <f>'Source Counts'!G36</f>
        <v>2669</v>
      </c>
      <c r="H14" s="14">
        <f>'Source Counts'!G42</f>
        <v>2545</v>
      </c>
      <c r="I14" s="14">
        <f>'Source Counts'!J30-'Source Counts'!G30</f>
        <v>44800</v>
      </c>
      <c r="J14" s="14">
        <f>'Source Counts'!J36-'Source Counts'!G36</f>
        <v>21503</v>
      </c>
      <c r="K14" s="14">
        <f>'Source Counts'!J42-'Source Counts'!G42</f>
        <v>20611</v>
      </c>
      <c r="L14" s="14">
        <f>'Source Counts'!J30</f>
        <v>51946</v>
      </c>
      <c r="M14" s="14">
        <f>'Source Counts'!J36</f>
        <v>24172</v>
      </c>
      <c r="N14" s="14">
        <f>'Source Counts'!J42</f>
        <v>23156</v>
      </c>
      <c r="O14" s="15">
        <f t="shared" si="3"/>
        <v>0.37349566190876</v>
      </c>
      <c r="P14" s="15">
        <f t="shared" si="4"/>
        <v>0.479977678571429</v>
      </c>
      <c r="Q14" s="16">
        <f t="shared" si="5"/>
        <v>-10.6482016662668</v>
      </c>
      <c r="R14" s="15">
        <f t="shared" si="6"/>
        <v>0.953540651929562</v>
      </c>
      <c r="S14" s="15">
        <f t="shared" si="7"/>
        <v>0.958517416174487</v>
      </c>
      <c r="T14" s="16">
        <f t="shared" si="8"/>
        <v>-0.497676424492566</v>
      </c>
      <c r="U14" s="15">
        <f t="shared" si="9"/>
        <v>0.356143296949342</v>
      </c>
      <c r="V14" s="15">
        <f t="shared" si="10"/>
        <v>0.460066964285714</v>
      </c>
      <c r="W14" s="16">
        <f t="shared" si="11"/>
        <v>-10.3923667336372</v>
      </c>
      <c r="X14" s="15">
        <f t="shared" si="12"/>
        <v>0.137565933854387</v>
      </c>
      <c r="Y14" s="15">
        <f t="shared" si="13"/>
        <v>0.11041701141817</v>
      </c>
      <c r="Z14" s="15">
        <f t="shared" si="14"/>
        <v>0.109906719640698</v>
      </c>
      <c r="AA14" s="16">
        <f t="shared" si="15"/>
        <v>-2.71489224362175</v>
      </c>
      <c r="AB14" s="16">
        <f t="shared" si="16"/>
        <v>-0.0510291777471916</v>
      </c>
      <c r="AC14" s="16">
        <f t="shared" si="17"/>
        <v>-2.76592142136894</v>
      </c>
      <c r="AD14" s="16">
        <f t="shared" si="18"/>
        <v>0.798938491247648</v>
      </c>
    </row>
    <row r="15" spans="1:30">
      <c r="A15" s="5" t="s">
        <v>73</v>
      </c>
      <c r="B15" s="5" t="s">
        <v>70</v>
      </c>
      <c r="C15" s="5">
        <v>2025</v>
      </c>
      <c r="D15" s="5" t="s">
        <v>74</v>
      </c>
      <c r="E15" s="5" t="s">
        <v>75</v>
      </c>
      <c r="F15" s="14">
        <f>'Source Counts'!G31</f>
        <v>7530</v>
      </c>
      <c r="G15" s="14">
        <f>'Source Counts'!G37</f>
        <v>2615</v>
      </c>
      <c r="H15" s="14">
        <f>'Source Counts'!G43</f>
        <v>2498</v>
      </c>
      <c r="I15" s="14">
        <f>'Source Counts'!J31-'Source Counts'!G31</f>
        <v>47169</v>
      </c>
      <c r="J15" s="14">
        <f>'Source Counts'!J37-'Source Counts'!G37</f>
        <v>21685</v>
      </c>
      <c r="K15" s="14">
        <f>'Source Counts'!J43-'Source Counts'!G43</f>
        <v>20942</v>
      </c>
      <c r="L15" s="14">
        <f>'Source Counts'!J31</f>
        <v>54699</v>
      </c>
      <c r="M15" s="14">
        <f>'Source Counts'!J37</f>
        <v>24300</v>
      </c>
      <c r="N15" s="14">
        <f>'Source Counts'!J43</f>
        <v>23440</v>
      </c>
      <c r="O15" s="15">
        <f t="shared" si="3"/>
        <v>0.347277556440903</v>
      </c>
      <c r="P15" s="15">
        <f t="shared" si="4"/>
        <v>0.459729907354406</v>
      </c>
      <c r="Q15" s="16">
        <f t="shared" si="5"/>
        <v>-11.2452350913503</v>
      </c>
      <c r="R15" s="15">
        <f t="shared" si="6"/>
        <v>0.955258126195029</v>
      </c>
      <c r="S15" s="15">
        <f t="shared" si="7"/>
        <v>0.965736684344017</v>
      </c>
      <c r="T15" s="16">
        <f t="shared" si="8"/>
        <v>-1.04785581489879</v>
      </c>
      <c r="U15" s="15">
        <f t="shared" si="9"/>
        <v>0.331739707835325</v>
      </c>
      <c r="V15" s="15">
        <f t="shared" si="10"/>
        <v>0.443978036422226</v>
      </c>
      <c r="W15" s="16">
        <f t="shared" si="11"/>
        <v>-11.2238328586901</v>
      </c>
      <c r="X15" s="15">
        <f t="shared" si="12"/>
        <v>0.137662480118467</v>
      </c>
      <c r="Y15" s="15">
        <f t="shared" si="13"/>
        <v>0.10761316872428</v>
      </c>
      <c r="Z15" s="15">
        <f t="shared" si="14"/>
        <v>0.106569965870307</v>
      </c>
      <c r="AA15" s="16">
        <f t="shared" si="15"/>
        <v>-3.00493113941867</v>
      </c>
      <c r="AB15" s="16">
        <f t="shared" si="16"/>
        <v>-0.104320285397268</v>
      </c>
      <c r="AC15" s="16">
        <f t="shared" si="17"/>
        <v>-3.10925142481594</v>
      </c>
      <c r="AD15" s="16">
        <f t="shared" si="18"/>
        <v>0.774139517017255</v>
      </c>
    </row>
    <row r="16" spans="1:30">
      <c r="A16" s="5" t="s">
        <v>77</v>
      </c>
      <c r="B16" s="5" t="s">
        <v>67</v>
      </c>
      <c r="C16" s="5">
        <v>2022</v>
      </c>
      <c r="D16" s="5" t="s">
        <v>78</v>
      </c>
      <c r="E16" s="5" t="s">
        <v>79</v>
      </c>
      <c r="F16" s="14">
        <f>'Source Counts'!G44</f>
        <v>6940</v>
      </c>
      <c r="G16" s="14">
        <f>'Source Counts'!G48</f>
        <v>2752</v>
      </c>
      <c r="H16" s="14">
        <f>'Source Counts'!G52</f>
        <v>2639</v>
      </c>
      <c r="I16" s="14">
        <f>'Source Counts'!J44-'Source Counts'!G44</f>
        <v>48249</v>
      </c>
      <c r="J16" s="14">
        <f>'Source Counts'!J48-'Source Counts'!G48</f>
        <v>21058</v>
      </c>
      <c r="K16" s="14">
        <f>'Source Counts'!J52-'Source Counts'!G52</f>
        <v>20071</v>
      </c>
      <c r="L16" s="14">
        <f>'Source Counts'!J44</f>
        <v>55189</v>
      </c>
      <c r="M16" s="14">
        <f>'Source Counts'!J48</f>
        <v>23810</v>
      </c>
      <c r="N16" s="14">
        <f>'Source Counts'!J52</f>
        <v>22710</v>
      </c>
      <c r="O16" s="15">
        <f t="shared" si="3"/>
        <v>0.396541786743516</v>
      </c>
      <c r="P16" s="15">
        <f t="shared" si="4"/>
        <v>0.436444278637899</v>
      </c>
      <c r="Q16" s="16">
        <f t="shared" si="5"/>
        <v>-3.99024918943834</v>
      </c>
      <c r="R16" s="15">
        <f t="shared" si="6"/>
        <v>0.958938953488372</v>
      </c>
      <c r="S16" s="15">
        <f t="shared" si="7"/>
        <v>0.953129451989743</v>
      </c>
      <c r="T16" s="16">
        <f t="shared" si="8"/>
        <v>0.580950149862947</v>
      </c>
      <c r="U16" s="15">
        <f t="shared" si="9"/>
        <v>0.380259365994236</v>
      </c>
      <c r="V16" s="15">
        <f t="shared" si="10"/>
        <v>0.415987896122199</v>
      </c>
      <c r="W16" s="16">
        <f t="shared" si="11"/>
        <v>-3.57285301279631</v>
      </c>
      <c r="X16" s="15">
        <f t="shared" si="12"/>
        <v>0.12574969649749</v>
      </c>
      <c r="Y16" s="15">
        <f t="shared" si="13"/>
        <v>0.115581688366233</v>
      </c>
      <c r="Z16" s="15">
        <f t="shared" si="14"/>
        <v>0.116204315279613</v>
      </c>
      <c r="AA16" s="16">
        <f t="shared" si="15"/>
        <v>-1.01680081312578</v>
      </c>
      <c r="AB16" s="16">
        <f t="shared" si="16"/>
        <v>0.0622626913379831</v>
      </c>
      <c r="AC16" s="16">
        <f t="shared" si="17"/>
        <v>-0.954538121787793</v>
      </c>
      <c r="AD16" s="16">
        <f t="shared" si="18"/>
        <v>0.924092212675293</v>
      </c>
    </row>
    <row r="17" spans="1:30">
      <c r="A17" s="5" t="s">
        <v>77</v>
      </c>
      <c r="B17" s="5" t="s">
        <v>68</v>
      </c>
      <c r="C17" s="5">
        <v>2023</v>
      </c>
      <c r="D17" s="5" t="s">
        <v>78</v>
      </c>
      <c r="E17" s="5" t="s">
        <v>79</v>
      </c>
      <c r="F17" s="14">
        <f>'Source Counts'!G45</f>
        <v>7129</v>
      </c>
      <c r="G17" s="14">
        <f>'Source Counts'!G49</f>
        <v>3010</v>
      </c>
      <c r="H17" s="14">
        <f>'Source Counts'!G53</f>
        <v>2896</v>
      </c>
      <c r="I17" s="14">
        <f>'Source Counts'!J45-'Source Counts'!G45</f>
        <v>45448</v>
      </c>
      <c r="J17" s="14">
        <f>'Source Counts'!J49-'Source Counts'!G49</f>
        <v>21004</v>
      </c>
      <c r="K17" s="14">
        <f>'Source Counts'!J53-'Source Counts'!G53</f>
        <v>20084</v>
      </c>
      <c r="L17" s="14">
        <f>'Source Counts'!J45</f>
        <v>52577</v>
      </c>
      <c r="M17" s="14">
        <f>'Source Counts'!J49</f>
        <v>24014</v>
      </c>
      <c r="N17" s="14">
        <f>'Source Counts'!J53</f>
        <v>22980</v>
      </c>
      <c r="O17" s="15">
        <f t="shared" si="3"/>
        <v>0.422219105063824</v>
      </c>
      <c r="P17" s="15">
        <f t="shared" si="4"/>
        <v>0.462154550255237</v>
      </c>
      <c r="Q17" s="16">
        <f t="shared" si="5"/>
        <v>-3.9935445191413</v>
      </c>
      <c r="R17" s="15">
        <f t="shared" si="6"/>
        <v>0.962126245847176</v>
      </c>
      <c r="S17" s="15">
        <f t="shared" si="7"/>
        <v>0.956198819272519</v>
      </c>
      <c r="T17" s="16">
        <f t="shared" si="8"/>
        <v>0.592742657465661</v>
      </c>
      <c r="U17" s="15">
        <f t="shared" si="9"/>
        <v>0.406228082480011</v>
      </c>
      <c r="V17" s="15">
        <f t="shared" si="10"/>
        <v>0.44191163527548</v>
      </c>
      <c r="W17" s="16">
        <f t="shared" si="11"/>
        <v>-3.56835527954684</v>
      </c>
      <c r="X17" s="15">
        <f t="shared" si="12"/>
        <v>0.135591608498012</v>
      </c>
      <c r="Y17" s="15">
        <f t="shared" si="13"/>
        <v>0.125343549596069</v>
      </c>
      <c r="Z17" s="15">
        <f t="shared" si="14"/>
        <v>0.126022628372498</v>
      </c>
      <c r="AA17" s="16">
        <f t="shared" si="15"/>
        <v>-1.02480589019435</v>
      </c>
      <c r="AB17" s="16">
        <f t="shared" si="16"/>
        <v>0.0679078776428865</v>
      </c>
      <c r="AC17" s="16">
        <f t="shared" si="17"/>
        <v>-0.95689801255146</v>
      </c>
      <c r="AD17" s="16">
        <f t="shared" si="18"/>
        <v>0.929427932661077</v>
      </c>
    </row>
    <row r="18" spans="1:30">
      <c r="A18" s="5" t="s">
        <v>77</v>
      </c>
      <c r="B18" s="5" t="s">
        <v>69</v>
      </c>
      <c r="C18" s="5">
        <v>2024</v>
      </c>
      <c r="D18" s="5" t="s">
        <v>78</v>
      </c>
      <c r="E18" s="5" t="s">
        <v>79</v>
      </c>
      <c r="F18" s="14">
        <f>'Source Counts'!G46</f>
        <v>7474</v>
      </c>
      <c r="G18" s="14">
        <f>'Source Counts'!G50</f>
        <v>3029</v>
      </c>
      <c r="H18" s="14">
        <f>'Source Counts'!G54</f>
        <v>2892</v>
      </c>
      <c r="I18" s="14">
        <f>'Source Counts'!J46-'Source Counts'!G46</f>
        <v>44472</v>
      </c>
      <c r="J18" s="14">
        <f>'Source Counts'!J50-'Source Counts'!G50</f>
        <v>21143</v>
      </c>
      <c r="K18" s="14">
        <f>'Source Counts'!J54-'Source Counts'!G54</f>
        <v>20264</v>
      </c>
      <c r="L18" s="14">
        <f>'Source Counts'!J46</f>
        <v>51946</v>
      </c>
      <c r="M18" s="14">
        <f>'Source Counts'!J50</f>
        <v>24172</v>
      </c>
      <c r="N18" s="14">
        <f>'Source Counts'!J54</f>
        <v>23156</v>
      </c>
      <c r="O18" s="15">
        <f t="shared" si="3"/>
        <v>0.405271608241905</v>
      </c>
      <c r="P18" s="15">
        <f t="shared" si="4"/>
        <v>0.4754227379025</v>
      </c>
      <c r="Q18" s="16">
        <f t="shared" si="5"/>
        <v>-7.01511296605952</v>
      </c>
      <c r="R18" s="15">
        <f t="shared" si="6"/>
        <v>0.954770551337075</v>
      </c>
      <c r="S18" s="15">
        <f t="shared" si="7"/>
        <v>0.958425956581374</v>
      </c>
      <c r="T18" s="16">
        <f t="shared" si="8"/>
        <v>-0.365540524429953</v>
      </c>
      <c r="U18" s="15">
        <f t="shared" si="9"/>
        <v>0.386941396842387</v>
      </c>
      <c r="V18" s="15">
        <f t="shared" si="10"/>
        <v>0.45565749235474</v>
      </c>
      <c r="W18" s="16">
        <f t="shared" si="11"/>
        <v>-6.87160955123531</v>
      </c>
      <c r="X18" s="15">
        <f t="shared" si="12"/>
        <v>0.143880183267239</v>
      </c>
      <c r="Y18" s="15">
        <f t="shared" si="13"/>
        <v>0.125310276352805</v>
      </c>
      <c r="Z18" s="15">
        <f t="shared" si="14"/>
        <v>0.124892036621178</v>
      </c>
      <c r="AA18" s="16">
        <f t="shared" si="15"/>
        <v>-1.85699069144342</v>
      </c>
      <c r="AB18" s="16">
        <f t="shared" si="16"/>
        <v>-0.0418239731626802</v>
      </c>
      <c r="AC18" s="16">
        <f t="shared" si="17"/>
        <v>-1.8988146646061</v>
      </c>
      <c r="AD18" s="16">
        <f t="shared" si="18"/>
        <v>0.868028061857602</v>
      </c>
    </row>
    <row r="19" spans="1:30">
      <c r="A19" s="5" t="s">
        <v>77</v>
      </c>
      <c r="B19" s="5" t="s">
        <v>70</v>
      </c>
      <c r="C19" s="5">
        <v>2025</v>
      </c>
      <c r="D19" s="5" t="s">
        <v>78</v>
      </c>
      <c r="E19" s="5" t="s">
        <v>79</v>
      </c>
      <c r="F19" s="14">
        <f>'Source Counts'!G47</f>
        <v>8251</v>
      </c>
      <c r="G19" s="14">
        <f>'Source Counts'!G51</f>
        <v>3151</v>
      </c>
      <c r="H19" s="14">
        <f>'Source Counts'!G55</f>
        <v>3029</v>
      </c>
      <c r="I19" s="14">
        <f>'Source Counts'!J47-'Source Counts'!G47</f>
        <v>46448</v>
      </c>
      <c r="J19" s="14">
        <f>'Source Counts'!J51-'Source Counts'!G51</f>
        <v>21149</v>
      </c>
      <c r="K19" s="14">
        <f>'Source Counts'!J55-'Source Counts'!G55</f>
        <v>20411</v>
      </c>
      <c r="L19" s="14">
        <f>'Source Counts'!J47</f>
        <v>54699</v>
      </c>
      <c r="M19" s="14">
        <f>'Source Counts'!J51</f>
        <v>24300</v>
      </c>
      <c r="N19" s="14">
        <f>'Source Counts'!J55</f>
        <v>23440</v>
      </c>
      <c r="O19" s="15">
        <f t="shared" si="3"/>
        <v>0.381893103866198</v>
      </c>
      <c r="P19" s="15">
        <f t="shared" si="4"/>
        <v>0.455326386496728</v>
      </c>
      <c r="Q19" s="16">
        <f t="shared" si="5"/>
        <v>-7.34332826305295</v>
      </c>
      <c r="R19" s="15">
        <f t="shared" si="6"/>
        <v>0.9612821326563</v>
      </c>
      <c r="S19" s="15">
        <f t="shared" si="7"/>
        <v>0.965104733084307</v>
      </c>
      <c r="T19" s="16">
        <f t="shared" si="8"/>
        <v>-0.382260042800697</v>
      </c>
      <c r="U19" s="15">
        <f t="shared" si="9"/>
        <v>0.367107017331233</v>
      </c>
      <c r="V19" s="15">
        <f t="shared" si="10"/>
        <v>0.439437650706166</v>
      </c>
      <c r="W19" s="16">
        <f t="shared" si="11"/>
        <v>-7.23306333749334</v>
      </c>
      <c r="X19" s="15">
        <f t="shared" si="12"/>
        <v>0.150843708294484</v>
      </c>
      <c r="Y19" s="15">
        <f t="shared" si="13"/>
        <v>0.129670781893004</v>
      </c>
      <c r="Z19" s="15">
        <f t="shared" si="14"/>
        <v>0.129223549488055</v>
      </c>
      <c r="AA19" s="16">
        <f t="shared" si="15"/>
        <v>-2.11729264014802</v>
      </c>
      <c r="AB19" s="16">
        <f t="shared" si="16"/>
        <v>-0.044723240494951</v>
      </c>
      <c r="AC19" s="16">
        <f t="shared" si="17"/>
        <v>-2.16201588064297</v>
      </c>
      <c r="AD19" s="16">
        <f t="shared" si="18"/>
        <v>0.856671789291856</v>
      </c>
    </row>
  </sheetData>
  <pageMargins left="0.7" right="0.7" top="0.75" bottom="0.75" header="0.3" footer="0.3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W4"/>
  <sheetViews>
    <sheetView showGridLines="0" workbookViewId="0">
      <selection activeCell="A1" sqref="A1"/>
    </sheetView>
  </sheetViews>
  <sheetFormatPr defaultColWidth="9" defaultRowHeight="14" outlineLevelRow="3"/>
  <cols>
    <col min="1" max="1" width="27" customWidth="1"/>
    <col min="2" max="2" width="17" customWidth="1"/>
    <col min="3" max="4" width="44" customWidth="1"/>
    <col min="5" max="23" width="17" customWidth="1"/>
  </cols>
  <sheetData>
    <row r="1" ht="26" spans="1:23">
      <c r="A1" s="1" t="s">
        <v>47</v>
      </c>
      <c r="B1" s="1" t="s">
        <v>48</v>
      </c>
      <c r="C1" s="1" t="s">
        <v>51</v>
      </c>
      <c r="D1" s="1" t="s">
        <v>52</v>
      </c>
      <c r="E1" s="1" t="s">
        <v>106</v>
      </c>
      <c r="F1" s="1" t="s">
        <v>107</v>
      </c>
      <c r="G1" s="1" t="s">
        <v>108</v>
      </c>
      <c r="H1" s="1" t="s">
        <v>109</v>
      </c>
      <c r="I1" s="1" t="s">
        <v>110</v>
      </c>
      <c r="J1" s="1" t="s">
        <v>111</v>
      </c>
      <c r="K1" s="1" t="s">
        <v>90</v>
      </c>
      <c r="L1" s="1" t="s">
        <v>91</v>
      </c>
      <c r="M1" s="1" t="s">
        <v>92</v>
      </c>
      <c r="N1" s="1" t="s">
        <v>96</v>
      </c>
      <c r="O1" s="1" t="s">
        <v>97</v>
      </c>
      <c r="P1" s="1" t="s">
        <v>98</v>
      </c>
      <c r="Q1" s="1" t="s">
        <v>93</v>
      </c>
      <c r="R1" s="1" t="s">
        <v>94</v>
      </c>
      <c r="S1" s="1" t="s">
        <v>95</v>
      </c>
      <c r="T1" s="1" t="s">
        <v>99</v>
      </c>
      <c r="U1" s="1" t="s">
        <v>100</v>
      </c>
      <c r="V1" s="1" t="s">
        <v>101</v>
      </c>
      <c r="W1" s="1" t="s">
        <v>105</v>
      </c>
    </row>
    <row r="2" spans="1:23">
      <c r="A2" s="2" t="s">
        <v>58</v>
      </c>
      <c r="B2" s="2" t="s">
        <v>70</v>
      </c>
      <c r="C2" s="2" t="s">
        <v>61</v>
      </c>
      <c r="D2" s="2" t="s">
        <v>62</v>
      </c>
      <c r="E2" s="9">
        <f>'Annual Analysis'!F9</f>
        <v>12386</v>
      </c>
      <c r="F2" s="9">
        <f>'Annual Analysis'!G9</f>
        <v>4787</v>
      </c>
      <c r="G2" s="9">
        <f>'Annual Analysis'!H9</f>
        <v>4606</v>
      </c>
      <c r="H2" s="9">
        <f>'Annual Analysis'!I9</f>
        <v>33238</v>
      </c>
      <c r="I2" s="9">
        <f>'Annual Analysis'!J9</f>
        <v>16741</v>
      </c>
      <c r="J2" s="9">
        <f>'Annual Analysis'!K9</f>
        <v>16212</v>
      </c>
      <c r="K2" s="10">
        <f>'Annual Analysis'!O9</f>
        <v>0.386484740836428</v>
      </c>
      <c r="L2" s="10">
        <f>'Annual Analysis'!P9</f>
        <v>0.503670497623202</v>
      </c>
      <c r="M2" s="11">
        <f>'Annual Analysis'!Q9</f>
        <v>-11.7185756786774</v>
      </c>
      <c r="N2" s="10">
        <f>'Annual Analysis'!U9</f>
        <v>0.37187146778621</v>
      </c>
      <c r="O2" s="10">
        <f>'Annual Analysis'!V9</f>
        <v>0.487754979240628</v>
      </c>
      <c r="P2" s="11">
        <f>'Annual Analysis'!W9</f>
        <v>-11.5883511454418</v>
      </c>
      <c r="Q2" s="10">
        <f>'Annual Analysis'!R9</f>
        <v>0.962189262586171</v>
      </c>
      <c r="R2" s="10">
        <f>'Annual Analysis'!S9</f>
        <v>0.968400931843976</v>
      </c>
      <c r="S2" s="11">
        <f>'Annual Analysis'!T9</f>
        <v>-0.621166925780503</v>
      </c>
      <c r="T2" s="10">
        <f>'Annual Analysis'!X9</f>
        <v>0.271479922847624</v>
      </c>
      <c r="U2" s="10">
        <f>'Annual Analysis'!Y9</f>
        <v>0.222361575622445</v>
      </c>
      <c r="V2" s="10">
        <f>'Annual Analysis'!Z9</f>
        <v>0.221250840618695</v>
      </c>
      <c r="W2" s="11">
        <f>'Annual Analysis'!AD9</f>
        <v>0.81498049026218</v>
      </c>
    </row>
    <row r="3" spans="1:23">
      <c r="A3" s="5" t="s">
        <v>73</v>
      </c>
      <c r="B3" s="5" t="s">
        <v>70</v>
      </c>
      <c r="C3" s="5" t="s">
        <v>74</v>
      </c>
      <c r="D3" s="5" t="s">
        <v>75</v>
      </c>
      <c r="E3" s="14">
        <f>'Annual Analysis'!F15</f>
        <v>7530</v>
      </c>
      <c r="F3" s="14">
        <f>'Annual Analysis'!G15</f>
        <v>2615</v>
      </c>
      <c r="G3" s="14">
        <f>'Annual Analysis'!H15</f>
        <v>2498</v>
      </c>
      <c r="H3" s="14">
        <f>'Annual Analysis'!I15</f>
        <v>47169</v>
      </c>
      <c r="I3" s="14">
        <f>'Annual Analysis'!J15</f>
        <v>21685</v>
      </c>
      <c r="J3" s="14">
        <f>'Annual Analysis'!K15</f>
        <v>20942</v>
      </c>
      <c r="K3" s="15">
        <f>'Annual Analysis'!O15</f>
        <v>0.347277556440903</v>
      </c>
      <c r="L3" s="15">
        <f>'Annual Analysis'!P15</f>
        <v>0.459729907354406</v>
      </c>
      <c r="M3" s="16">
        <f>'Annual Analysis'!Q15</f>
        <v>-11.2452350913503</v>
      </c>
      <c r="N3" s="15">
        <f>'Annual Analysis'!U15</f>
        <v>0.331739707835325</v>
      </c>
      <c r="O3" s="15">
        <f>'Annual Analysis'!V15</f>
        <v>0.443978036422226</v>
      </c>
      <c r="P3" s="16">
        <f>'Annual Analysis'!W15</f>
        <v>-11.2238328586901</v>
      </c>
      <c r="Q3" s="15">
        <f>'Annual Analysis'!R15</f>
        <v>0.955258126195029</v>
      </c>
      <c r="R3" s="15">
        <f>'Annual Analysis'!S15</f>
        <v>0.965736684344017</v>
      </c>
      <c r="S3" s="16">
        <f>'Annual Analysis'!T15</f>
        <v>-1.04785581489879</v>
      </c>
      <c r="T3" s="15">
        <f>'Annual Analysis'!X15</f>
        <v>0.137662480118467</v>
      </c>
      <c r="U3" s="15">
        <f>'Annual Analysis'!Y15</f>
        <v>0.10761316872428</v>
      </c>
      <c r="V3" s="15">
        <f>'Annual Analysis'!Z15</f>
        <v>0.106569965870307</v>
      </c>
      <c r="W3" s="16">
        <f>'Annual Analysis'!AD15</f>
        <v>0.774139517017255</v>
      </c>
    </row>
    <row r="4" spans="1:23">
      <c r="A4" s="5" t="s">
        <v>77</v>
      </c>
      <c r="B4" s="5" t="s">
        <v>70</v>
      </c>
      <c r="C4" s="5" t="s">
        <v>78</v>
      </c>
      <c r="D4" s="5" t="s">
        <v>79</v>
      </c>
      <c r="E4" s="14">
        <f>'Annual Analysis'!F19</f>
        <v>8251</v>
      </c>
      <c r="F4" s="14">
        <f>'Annual Analysis'!G19</f>
        <v>3151</v>
      </c>
      <c r="G4" s="14">
        <f>'Annual Analysis'!H19</f>
        <v>3029</v>
      </c>
      <c r="H4" s="14">
        <f>'Annual Analysis'!I19</f>
        <v>46448</v>
      </c>
      <c r="I4" s="14">
        <f>'Annual Analysis'!J19</f>
        <v>21149</v>
      </c>
      <c r="J4" s="14">
        <f>'Annual Analysis'!K19</f>
        <v>20411</v>
      </c>
      <c r="K4" s="15">
        <f>'Annual Analysis'!O19</f>
        <v>0.381893103866198</v>
      </c>
      <c r="L4" s="15">
        <f>'Annual Analysis'!P19</f>
        <v>0.455326386496728</v>
      </c>
      <c r="M4" s="16">
        <f>'Annual Analysis'!Q19</f>
        <v>-7.34332826305295</v>
      </c>
      <c r="N4" s="15">
        <f>'Annual Analysis'!U19</f>
        <v>0.367107017331233</v>
      </c>
      <c r="O4" s="15">
        <f>'Annual Analysis'!V19</f>
        <v>0.439437650706166</v>
      </c>
      <c r="P4" s="16">
        <f>'Annual Analysis'!W19</f>
        <v>-7.23306333749334</v>
      </c>
      <c r="Q4" s="15">
        <f>'Annual Analysis'!R19</f>
        <v>0.9612821326563</v>
      </c>
      <c r="R4" s="15">
        <f>'Annual Analysis'!S19</f>
        <v>0.965104733084307</v>
      </c>
      <c r="S4" s="16">
        <f>'Annual Analysis'!T19</f>
        <v>-0.382260042800697</v>
      </c>
      <c r="T4" s="15">
        <f>'Annual Analysis'!X19</f>
        <v>0.150843708294484</v>
      </c>
      <c r="U4" s="15">
        <f>'Annual Analysis'!Y19</f>
        <v>0.129670781893004</v>
      </c>
      <c r="V4" s="15">
        <f>'Annual Analysis'!Z19</f>
        <v>0.129223549488055</v>
      </c>
      <c r="W4" s="16">
        <f>'Annual Analysis'!AD19</f>
        <v>0.856671789291856</v>
      </c>
    </row>
  </sheetData>
  <pageMargins left="0.7" right="0.7" top="0.75" bottom="0.75" header="0.3" footer="0.3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4"/>
  <sheetViews>
    <sheetView showGridLines="0" workbookViewId="0">
      <selection activeCell="A1" sqref="A1"/>
    </sheetView>
  </sheetViews>
  <sheetFormatPr defaultColWidth="9" defaultRowHeight="14" outlineLevelRow="3"/>
  <cols>
    <col min="1" max="1" width="28" customWidth="1"/>
    <col min="2" max="2" width="45" customWidth="1"/>
    <col min="3" max="3" width="15" customWidth="1"/>
    <col min="4" max="5" width="17" customWidth="1"/>
    <col min="6" max="6" width="18" customWidth="1"/>
    <col min="7" max="7" width="25" customWidth="1"/>
    <col min="8" max="8" width="28" customWidth="1"/>
    <col min="9" max="9" width="29" customWidth="1"/>
    <col min="10" max="11" width="23" customWidth="1"/>
  </cols>
  <sheetData>
    <row r="1" ht="26" spans="1:11">
      <c r="A1" s="1" t="s">
        <v>47</v>
      </c>
      <c r="B1" s="1" t="s">
        <v>51</v>
      </c>
      <c r="C1" s="1" t="s">
        <v>48</v>
      </c>
      <c r="D1" s="1" t="s">
        <v>112</v>
      </c>
      <c r="E1" s="1" t="s">
        <v>113</v>
      </c>
      <c r="F1" s="1" t="s">
        <v>114</v>
      </c>
      <c r="G1" s="1" t="s">
        <v>102</v>
      </c>
      <c r="H1" s="1" t="s">
        <v>103</v>
      </c>
      <c r="I1" s="1" t="s">
        <v>104</v>
      </c>
      <c r="J1" s="1" t="s">
        <v>115</v>
      </c>
      <c r="K1" s="1" t="s">
        <v>116</v>
      </c>
    </row>
    <row r="2" spans="1:11">
      <c r="A2" s="2" t="s">
        <v>58</v>
      </c>
      <c r="B2" s="2" t="s">
        <v>61</v>
      </c>
      <c r="C2" s="2" t="s">
        <v>70</v>
      </c>
      <c r="D2" s="10">
        <f>'Latest Metrics'!T2</f>
        <v>0.271479922847624</v>
      </c>
      <c r="E2" s="10">
        <f>'Latest Metrics'!U2</f>
        <v>0.222361575622445</v>
      </c>
      <c r="F2" s="10">
        <f>'Latest Metrics'!V2</f>
        <v>0.221250840618695</v>
      </c>
      <c r="G2" s="11">
        <f>(E2-D2)*100</f>
        <v>-4.91183472251789</v>
      </c>
      <c r="H2" s="11">
        <f>(F2-E2)*100</f>
        <v>-0.111073500374984</v>
      </c>
      <c r="I2" s="11">
        <f>(F2-D2)*100</f>
        <v>-5.02290822289287</v>
      </c>
      <c r="J2" s="10">
        <f>ABS(G2)/ABS(I2)</f>
        <v>0.977886615592787</v>
      </c>
      <c r="K2" s="10">
        <f>ABS(H2)/ABS(I2)</f>
        <v>0.0221133844072135</v>
      </c>
    </row>
    <row r="3" spans="1:11">
      <c r="A3" s="5" t="s">
        <v>73</v>
      </c>
      <c r="B3" s="5" t="s">
        <v>74</v>
      </c>
      <c r="C3" s="5" t="s">
        <v>70</v>
      </c>
      <c r="D3" s="15">
        <f>'Latest Metrics'!T3</f>
        <v>0.137662480118467</v>
      </c>
      <c r="E3" s="15">
        <f>'Latest Metrics'!U3</f>
        <v>0.10761316872428</v>
      </c>
      <c r="F3" s="15">
        <f>'Latest Metrics'!V3</f>
        <v>0.106569965870307</v>
      </c>
      <c r="G3" s="16">
        <f>(E3-D3)*100</f>
        <v>-3.00493113941867</v>
      </c>
      <c r="H3" s="16">
        <f>(F3-E3)*100</f>
        <v>-0.104320285397268</v>
      </c>
      <c r="I3" s="16">
        <f>(F3-D3)*100</f>
        <v>-3.10925142481594</v>
      </c>
      <c r="J3" s="15">
        <f>ABS(G3)/ABS(I3)</f>
        <v>0.966448424027515</v>
      </c>
      <c r="K3" s="15">
        <f>ABS(H3)/ABS(I3)</f>
        <v>0.0335515759724846</v>
      </c>
    </row>
    <row r="4" spans="1:11">
      <c r="A4" s="5" t="s">
        <v>77</v>
      </c>
      <c r="B4" s="5" t="s">
        <v>78</v>
      </c>
      <c r="C4" s="5" t="s">
        <v>70</v>
      </c>
      <c r="D4" s="15">
        <f>'Latest Metrics'!T4</f>
        <v>0.150843708294484</v>
      </c>
      <c r="E4" s="15">
        <f>'Latest Metrics'!U4</f>
        <v>0.129670781893004</v>
      </c>
      <c r="F4" s="15">
        <f>'Latest Metrics'!V4</f>
        <v>0.129223549488055</v>
      </c>
      <c r="G4" s="16">
        <f>(E4-D4)*100</f>
        <v>-2.11729264014802</v>
      </c>
      <c r="H4" s="16">
        <f>(F4-E4)*100</f>
        <v>-0.044723240494951</v>
      </c>
      <c r="I4" s="16">
        <f>(F4-D4)*100</f>
        <v>-2.16201588064297</v>
      </c>
      <c r="J4" s="15">
        <f>ABS(G4)/ABS(I4)</f>
        <v>0.979314101762448</v>
      </c>
      <c r="K4" s="15">
        <f>ABS(H4)/ABS(I4)</f>
        <v>0.0206858982375516</v>
      </c>
    </row>
  </sheetData>
  <pageMargins left="0.7" right="0.7" top="0.75" bottom="0.75" header="0.3" footer="0.3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4"/>
  <sheetViews>
    <sheetView showGridLines="0" workbookViewId="0">
      <selection activeCell="A1" sqref="A1"/>
    </sheetView>
  </sheetViews>
  <sheetFormatPr defaultColWidth="9" defaultRowHeight="14" outlineLevelRow="3"/>
  <cols>
    <col min="1" max="1" width="28" customWidth="1"/>
    <col min="2" max="3" width="45" customWidth="1"/>
    <col min="4" max="21" width="22" customWidth="1"/>
  </cols>
  <sheetData>
    <row r="1" ht="26" spans="1:21">
      <c r="A1" s="1" t="s">
        <v>47</v>
      </c>
      <c r="B1" s="1" t="s">
        <v>51</v>
      </c>
      <c r="C1" s="1" t="s">
        <v>52</v>
      </c>
      <c r="D1" s="1" t="s">
        <v>48</v>
      </c>
      <c r="E1" s="1" t="s">
        <v>117</v>
      </c>
      <c r="F1" s="1" t="s">
        <v>118</v>
      </c>
      <c r="G1" s="1" t="s">
        <v>119</v>
      </c>
      <c r="H1" s="1" t="s">
        <v>120</v>
      </c>
      <c r="I1" s="1" t="s">
        <v>121</v>
      </c>
      <c r="J1" s="1" t="s">
        <v>122</v>
      </c>
      <c r="K1" s="1" t="s">
        <v>123</v>
      </c>
      <c r="L1" s="1" t="s">
        <v>124</v>
      </c>
      <c r="M1" s="1" t="s">
        <v>125</v>
      </c>
      <c r="N1" s="1" t="s">
        <v>126</v>
      </c>
      <c r="O1" s="1" t="s">
        <v>127</v>
      </c>
      <c r="P1" s="1" t="s">
        <v>128</v>
      </c>
      <c r="Q1" s="1" t="s">
        <v>129</v>
      </c>
      <c r="R1" s="1" t="s">
        <v>130</v>
      </c>
      <c r="S1" s="1" t="s">
        <v>131</v>
      </c>
      <c r="T1" s="1" t="s">
        <v>132</v>
      </c>
      <c r="U1" s="1" t="s">
        <v>133</v>
      </c>
    </row>
    <row r="2" spans="1:21">
      <c r="A2" s="2" t="s">
        <v>58</v>
      </c>
      <c r="B2" s="2" t="s">
        <v>61</v>
      </c>
      <c r="C2" s="2" t="s">
        <v>62</v>
      </c>
      <c r="D2" s="2" t="s">
        <v>70</v>
      </c>
      <c r="E2" s="10">
        <f>'Latest Metrics'!K2</f>
        <v>0.386484740836428</v>
      </c>
      <c r="F2" s="10">
        <f>'Latest Metrics'!L2</f>
        <v>0.503670497623202</v>
      </c>
      <c r="G2" s="10">
        <f>'Latest Metrics'!Q2</f>
        <v>0.962189262586171</v>
      </c>
      <c r="H2" s="10">
        <f>'Latest Metrics'!R2</f>
        <v>0.968400931843976</v>
      </c>
      <c r="I2" s="10">
        <f>'Latest Metrics'!N2</f>
        <v>0.37187146778621</v>
      </c>
      <c r="J2" s="10">
        <f>'Latest Metrics'!O2</f>
        <v>0.487754979240628</v>
      </c>
      <c r="K2" s="11">
        <f>'Latest Metrics'!P2</f>
        <v>-11.5883511454418</v>
      </c>
      <c r="L2" s="10">
        <f>F2*G2</f>
        <v>0.484626344694479</v>
      </c>
      <c r="M2" s="11">
        <f>(L2-J2)*100</f>
        <v>-0.312863454614937</v>
      </c>
      <c r="N2" s="10">
        <f>(ABS(K2)-ABS(M2))/ABS(K2)</f>
        <v>0.973001900728733</v>
      </c>
      <c r="O2" s="10">
        <f>E2*H2</f>
        <v>0.374272183169475</v>
      </c>
      <c r="P2" s="11">
        <f>(O2-J2)*100</f>
        <v>-11.3482796071154</v>
      </c>
      <c r="Q2" s="10">
        <f>(ABS(K2)-ABS(P2))/ABS(K2)</f>
        <v>0.0207166261458056</v>
      </c>
      <c r="R2" s="11">
        <f>((F2-E2)*(G2+H2)/2)*100</f>
        <v>11.3118836489711</v>
      </c>
      <c r="S2" s="11">
        <f>((H2-G2)*(E2+F2)/2)*100</f>
        <v>0.27646749647069</v>
      </c>
      <c r="T2" s="10">
        <f>R2/(R2+S2)</f>
        <v>0.976142637291464</v>
      </c>
      <c r="U2" s="10">
        <f>S2/(R2+S2)</f>
        <v>0.0238573627085365</v>
      </c>
    </row>
    <row r="3" spans="1:21">
      <c r="A3" s="5" t="s">
        <v>73</v>
      </c>
      <c r="B3" s="5" t="s">
        <v>74</v>
      </c>
      <c r="C3" s="5" t="s">
        <v>75</v>
      </c>
      <c r="D3" s="5" t="s">
        <v>70</v>
      </c>
      <c r="E3" s="15">
        <f>'Latest Metrics'!K3</f>
        <v>0.347277556440903</v>
      </c>
      <c r="F3" s="15">
        <f>'Latest Metrics'!L3</f>
        <v>0.459729907354406</v>
      </c>
      <c r="G3" s="15">
        <f>'Latest Metrics'!Q3</f>
        <v>0.955258126195029</v>
      </c>
      <c r="H3" s="15">
        <f>'Latest Metrics'!R3</f>
        <v>0.965736684344017</v>
      </c>
      <c r="I3" s="15">
        <f>'Latest Metrics'!N3</f>
        <v>0.331739707835325</v>
      </c>
      <c r="J3" s="15">
        <f>'Latest Metrics'!O3</f>
        <v>0.443978036422226</v>
      </c>
      <c r="K3" s="16">
        <f>'Latest Metrics'!P3</f>
        <v>-11.2238328586901</v>
      </c>
      <c r="L3" s="15">
        <f>F3*G3</f>
        <v>0.439160729855185</v>
      </c>
      <c r="M3" s="16">
        <f>(L3-J3)*100</f>
        <v>-0.481730656704193</v>
      </c>
      <c r="N3" s="15">
        <f>(ABS(K3)-ABS(M3))/ABS(K3)</f>
        <v>0.957079665853077</v>
      </c>
      <c r="O3" s="15">
        <f>E3*H3</f>
        <v>0.33537867590433</v>
      </c>
      <c r="P3" s="16">
        <f>(O3-J3)*100</f>
        <v>-10.8599360517897</v>
      </c>
      <c r="Q3" s="15">
        <f>(ABS(K3)-ABS(P3))/ABS(K3)</f>
        <v>0.032421794896803</v>
      </c>
      <c r="R3" s="16">
        <f>((F3-E3)*(G3+H3)/2)*100</f>
        <v>10.8010191268878</v>
      </c>
      <c r="S3" s="16">
        <f>((H3-G3)*(E3+F3)/2)*100</f>
        <v>0.42281373180232</v>
      </c>
      <c r="T3" s="15">
        <f>R3/(R3+S3)</f>
        <v>0.962328935478137</v>
      </c>
      <c r="U3" s="15">
        <f>S3/(R3+S3)</f>
        <v>0.0376710645218629</v>
      </c>
    </row>
    <row r="4" spans="1:21">
      <c r="A4" s="5" t="s">
        <v>77</v>
      </c>
      <c r="B4" s="5" t="s">
        <v>78</v>
      </c>
      <c r="C4" s="5" t="s">
        <v>79</v>
      </c>
      <c r="D4" s="5" t="s">
        <v>70</v>
      </c>
      <c r="E4" s="15">
        <f>'Latest Metrics'!K4</f>
        <v>0.381893103866198</v>
      </c>
      <c r="F4" s="15">
        <f>'Latest Metrics'!L4</f>
        <v>0.455326386496728</v>
      </c>
      <c r="G4" s="15">
        <f>'Latest Metrics'!Q4</f>
        <v>0.9612821326563</v>
      </c>
      <c r="H4" s="15">
        <f>'Latest Metrics'!R4</f>
        <v>0.965104733084307</v>
      </c>
      <c r="I4" s="15">
        <f>'Latest Metrics'!N4</f>
        <v>0.367107017331233</v>
      </c>
      <c r="J4" s="15">
        <f>'Latest Metrics'!O4</f>
        <v>0.439437650706166</v>
      </c>
      <c r="K4" s="16">
        <f>'Latest Metrics'!P4</f>
        <v>-7.23306333749334</v>
      </c>
      <c r="L4" s="15">
        <f>F4*G4</f>
        <v>0.437697119866261</v>
      </c>
      <c r="M4" s="16">
        <f>(L4-J4)*100</f>
        <v>-0.174053083990527</v>
      </c>
      <c r="N4" s="15">
        <f>(ABS(K4)-ABS(M4))/ABS(K4)</f>
        <v>0.97593646344996</v>
      </c>
      <c r="O4" s="15">
        <f>E4*H4</f>
        <v>0.368566842073524</v>
      </c>
      <c r="P4" s="16">
        <f>(O4-J4)*100</f>
        <v>-7.08708086326416</v>
      </c>
      <c r="Q4" s="15">
        <f>(ABS(K4)-ABS(P4))/ABS(K4)</f>
        <v>0.0201826622300497</v>
      </c>
      <c r="R4" s="16">
        <f>((F4-E4)*(G4+H4)/2)*100</f>
        <v>7.07304555838349</v>
      </c>
      <c r="S4" s="16">
        <f>((H4-G4)*(E4+F4)/2)*100</f>
        <v>0.160017779109855</v>
      </c>
      <c r="T4" s="15">
        <f>R4/(R4+S4)</f>
        <v>0.977876900609955</v>
      </c>
      <c r="U4" s="15">
        <f>S4/(R4+S4)</f>
        <v>0.0221230993900449</v>
      </c>
    </row>
  </sheetData>
  <pageMargins left="0.7" right="0.7" top="0.75" bottom="0.75" header="0.3" footer="0.3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10"/>
  <sheetViews>
    <sheetView showGridLines="0" workbookViewId="0">
      <selection activeCell="A1" sqref="A1"/>
    </sheetView>
  </sheetViews>
  <sheetFormatPr defaultColWidth="9" defaultRowHeight="14"/>
  <cols>
    <col min="1" max="1" width="28" customWidth="1"/>
    <col min="2" max="2" width="44" customWidth="1"/>
    <col min="3" max="3" width="48" customWidth="1"/>
    <col min="4" max="4" width="39" customWidth="1"/>
    <col min="5" max="5" width="11" customWidth="1"/>
    <col min="6" max="7" width="12" customWidth="1"/>
    <col min="8" max="9" width="17" customWidth="1"/>
    <col min="10" max="11" width="19" customWidth="1"/>
    <col min="12" max="12" width="14" customWidth="1"/>
  </cols>
  <sheetData>
    <row r="1" spans="1:12">
      <c r="A1" s="1" t="s">
        <v>47</v>
      </c>
      <c r="B1" s="1" t="s">
        <v>51</v>
      </c>
      <c r="C1" s="1" t="s">
        <v>52</v>
      </c>
      <c r="D1" s="1" t="s">
        <v>134</v>
      </c>
      <c r="E1" s="1" t="s">
        <v>135</v>
      </c>
      <c r="F1" s="1" t="s">
        <v>136</v>
      </c>
      <c r="G1" s="1" t="s">
        <v>137</v>
      </c>
      <c r="H1" s="1" t="s">
        <v>138</v>
      </c>
      <c r="I1" s="1" t="s">
        <v>139</v>
      </c>
      <c r="J1" s="1" t="s">
        <v>140</v>
      </c>
      <c r="K1" s="1" t="s">
        <v>141</v>
      </c>
      <c r="L1" s="1" t="s">
        <v>142</v>
      </c>
    </row>
    <row r="2" spans="1:12">
      <c r="A2" s="2" t="s">
        <v>58</v>
      </c>
      <c r="B2" s="2" t="s">
        <v>61</v>
      </c>
      <c r="C2" s="2" t="s">
        <v>62</v>
      </c>
      <c r="D2" s="2" t="s">
        <v>17</v>
      </c>
      <c r="E2" s="17">
        <f>COUNT('Annual Analysis'!C2:C9)</f>
        <v>8</v>
      </c>
      <c r="F2" s="17">
        <f>'Annual Analysis'!C2</f>
        <v>2018</v>
      </c>
      <c r="G2" s="17">
        <f>'Annual Analysis'!C9</f>
        <v>2025</v>
      </c>
      <c r="H2" s="11">
        <f>'Annual Analysis'!Q2</f>
        <v>-12.1399843598413</v>
      </c>
      <c r="I2" s="11">
        <f>'Annual Analysis'!Q9</f>
        <v>-11.7185756786774</v>
      </c>
      <c r="J2" s="11">
        <f t="shared" ref="J2:J10" si="0">I2-H2</f>
        <v>0.421408681163859</v>
      </c>
      <c r="K2" s="11">
        <f>SLOPE('Annual Analysis'!Q2:Q9,'Annual Analysis'!C2:C9)</f>
        <v>-0.000256110334624021</v>
      </c>
      <c r="L2" s="18">
        <f>RSQ('Annual Analysis'!Q2:Q9,'Annual Analysis'!C2:C9)</f>
        <v>3.75287599616231e-7</v>
      </c>
    </row>
    <row r="3" spans="1:12">
      <c r="A3" s="5" t="s">
        <v>58</v>
      </c>
      <c r="B3" s="5" t="s">
        <v>61</v>
      </c>
      <c r="C3" s="5" t="s">
        <v>62</v>
      </c>
      <c r="D3" s="5" t="s">
        <v>143</v>
      </c>
      <c r="E3" s="19">
        <f>COUNT('Annual Analysis'!C2:C9)</f>
        <v>8</v>
      </c>
      <c r="F3" s="19">
        <f>'Annual Analysis'!C2</f>
        <v>2018</v>
      </c>
      <c r="G3" s="19">
        <f>'Annual Analysis'!C9</f>
        <v>2025</v>
      </c>
      <c r="H3" s="16">
        <f>'Annual Analysis'!W2</f>
        <v>-11.7532069756455</v>
      </c>
      <c r="I3" s="16">
        <f>'Annual Analysis'!W9</f>
        <v>-11.5883511454418</v>
      </c>
      <c r="J3" s="16">
        <f t="shared" si="0"/>
        <v>0.164855830203692</v>
      </c>
      <c r="K3" s="16">
        <f>SLOPE('Annual Analysis'!W2:W9,'Annual Analysis'!C2:C9)</f>
        <v>-0.0119364584330891</v>
      </c>
      <c r="L3" s="20">
        <f>RSQ('Annual Analysis'!W2:W9,'Annual Analysis'!C2:C9)</f>
        <v>0.000782173727742152</v>
      </c>
    </row>
    <row r="4" spans="1:12">
      <c r="A4" s="5" t="s">
        <v>58</v>
      </c>
      <c r="B4" s="5" t="s">
        <v>61</v>
      </c>
      <c r="C4" s="5" t="s">
        <v>62</v>
      </c>
      <c r="D4" s="5" t="s">
        <v>21</v>
      </c>
      <c r="E4" s="19">
        <f>COUNT('Annual Analysis'!C2:C9)</f>
        <v>8</v>
      </c>
      <c r="F4" s="19">
        <f>'Annual Analysis'!C2</f>
        <v>2018</v>
      </c>
      <c r="G4" s="19">
        <f>'Annual Analysis'!C9</f>
        <v>2025</v>
      </c>
      <c r="H4" s="16">
        <f>'Annual Analysis'!T2</f>
        <v>-0.100045645478564</v>
      </c>
      <c r="I4" s="16">
        <f>'Annual Analysis'!T9</f>
        <v>-0.621166925780503</v>
      </c>
      <c r="J4" s="16">
        <f t="shared" si="0"/>
        <v>-0.521121280301939</v>
      </c>
      <c r="K4" s="16">
        <f>SLOPE('Annual Analysis'!T2:T9,'Annual Analysis'!C2:C9)</f>
        <v>-0.0398678193816171</v>
      </c>
      <c r="L4" s="20">
        <f>RSQ('Annual Analysis'!T2:T9,'Annual Analysis'!C2:C9)</f>
        <v>0.144242501211761</v>
      </c>
    </row>
    <row r="5" spans="1:12">
      <c r="A5" s="5" t="s">
        <v>73</v>
      </c>
      <c r="B5" s="5" t="s">
        <v>74</v>
      </c>
      <c r="C5" s="5" t="s">
        <v>75</v>
      </c>
      <c r="D5" s="5" t="s">
        <v>17</v>
      </c>
      <c r="E5" s="19">
        <f>COUNT('Annual Analysis'!C10:C15)</f>
        <v>6</v>
      </c>
      <c r="F5" s="19">
        <f>'Annual Analysis'!C10</f>
        <v>2020</v>
      </c>
      <c r="G5" s="19">
        <f>'Annual Analysis'!C15</f>
        <v>2025</v>
      </c>
      <c r="H5" s="16">
        <f>'Annual Analysis'!Q10</f>
        <v>-9.18613479304613</v>
      </c>
      <c r="I5" s="16">
        <f>'Annual Analysis'!Q15</f>
        <v>-11.2452350913503</v>
      </c>
      <c r="J5" s="16">
        <f t="shared" si="0"/>
        <v>-2.05910029830421</v>
      </c>
      <c r="K5" s="16">
        <f>SLOPE('Annual Analysis'!Q10:Q15,'Annual Analysis'!C10:C15)</f>
        <v>-0.432449629924939</v>
      </c>
      <c r="L5" s="20">
        <f>RSQ('Annual Analysis'!Q10:Q15,'Annual Analysis'!C10:C15)</f>
        <v>0.810400178101705</v>
      </c>
    </row>
    <row r="6" spans="1:12">
      <c r="A6" s="5" t="s">
        <v>73</v>
      </c>
      <c r="B6" s="5" t="s">
        <v>74</v>
      </c>
      <c r="C6" s="5" t="s">
        <v>75</v>
      </c>
      <c r="D6" s="5" t="s">
        <v>143</v>
      </c>
      <c r="E6" s="19">
        <f>COUNT('Annual Analysis'!C10:C15)</f>
        <v>6</v>
      </c>
      <c r="F6" s="19">
        <f>'Annual Analysis'!C10</f>
        <v>2020</v>
      </c>
      <c r="G6" s="19">
        <f>'Annual Analysis'!C15</f>
        <v>2025</v>
      </c>
      <c r="H6" s="16">
        <f>'Annual Analysis'!W10</f>
        <v>-8.88550464314874</v>
      </c>
      <c r="I6" s="16">
        <f>'Annual Analysis'!W15</f>
        <v>-11.2238328586901</v>
      </c>
      <c r="J6" s="16">
        <f t="shared" si="0"/>
        <v>-2.33832821554137</v>
      </c>
      <c r="K6" s="16">
        <f>SLOPE('Annual Analysis'!W10:W15,'Annual Analysis'!C10:C15)</f>
        <v>-0.488972929882478</v>
      </c>
      <c r="L6" s="20">
        <f>RSQ('Annual Analysis'!W10:W15,'Annual Analysis'!C10:C15)</f>
        <v>0.771964867004095</v>
      </c>
    </row>
    <row r="7" spans="1:12">
      <c r="A7" s="5" t="s">
        <v>73</v>
      </c>
      <c r="B7" s="5" t="s">
        <v>74</v>
      </c>
      <c r="C7" s="5" t="s">
        <v>75</v>
      </c>
      <c r="D7" s="5" t="s">
        <v>21</v>
      </c>
      <c r="E7" s="19">
        <f>COUNT('Annual Analysis'!C10:C15)</f>
        <v>6</v>
      </c>
      <c r="F7" s="19">
        <f>'Annual Analysis'!C10</f>
        <v>2020</v>
      </c>
      <c r="G7" s="19">
        <f>'Annual Analysis'!C15</f>
        <v>2025</v>
      </c>
      <c r="H7" s="16">
        <f>'Annual Analysis'!T10</f>
        <v>-0.118938565999915</v>
      </c>
      <c r="I7" s="16">
        <f>'Annual Analysis'!T15</f>
        <v>-1.04785581489879</v>
      </c>
      <c r="J7" s="16">
        <f t="shared" si="0"/>
        <v>-0.928917248898875</v>
      </c>
      <c r="K7" s="16">
        <f>SLOPE('Annual Analysis'!T10:T15,'Annual Analysis'!C10:C15)</f>
        <v>-0.18756268169231</v>
      </c>
      <c r="L7" s="20">
        <f>RSQ('Annual Analysis'!T10:T15,'Annual Analysis'!C10:C15)</f>
        <v>0.55835855082208</v>
      </c>
    </row>
    <row r="8" spans="1:12">
      <c r="A8" s="5" t="s">
        <v>77</v>
      </c>
      <c r="B8" s="5" t="s">
        <v>78</v>
      </c>
      <c r="C8" s="5" t="s">
        <v>79</v>
      </c>
      <c r="D8" s="5" t="s">
        <v>17</v>
      </c>
      <c r="E8" s="19">
        <f>COUNT('Annual Analysis'!C16:C19)</f>
        <v>4</v>
      </c>
      <c r="F8" s="19">
        <f>'Annual Analysis'!C16</f>
        <v>2022</v>
      </c>
      <c r="G8" s="19">
        <f>'Annual Analysis'!C19</f>
        <v>2025</v>
      </c>
      <c r="H8" s="16">
        <f>'Annual Analysis'!Q16</f>
        <v>-3.99024918943834</v>
      </c>
      <c r="I8" s="16">
        <f>'Annual Analysis'!Q19</f>
        <v>-7.34332826305295</v>
      </c>
      <c r="J8" s="16">
        <f t="shared" si="0"/>
        <v>-3.35307907361461</v>
      </c>
      <c r="K8" s="16">
        <f>SLOPE('Annual Analysis'!Q16:Q19,'Annual Analysis'!C16:C19)</f>
        <v>-1.30808056677621</v>
      </c>
      <c r="L8" s="20">
        <f>RSQ('Annual Analysis'!Q16:Q19,'Annual Analysis'!C16:C19)</f>
        <v>0.837702626727186</v>
      </c>
    </row>
    <row r="9" spans="1:12">
      <c r="A9" s="5" t="s">
        <v>77</v>
      </c>
      <c r="B9" s="5" t="s">
        <v>78</v>
      </c>
      <c r="C9" s="5" t="s">
        <v>79</v>
      </c>
      <c r="D9" s="5" t="s">
        <v>143</v>
      </c>
      <c r="E9" s="19">
        <f>COUNT('Annual Analysis'!C16:C19)</f>
        <v>4</v>
      </c>
      <c r="F9" s="19">
        <f>'Annual Analysis'!C16</f>
        <v>2022</v>
      </c>
      <c r="G9" s="19">
        <f>'Annual Analysis'!C19</f>
        <v>2025</v>
      </c>
      <c r="H9" s="16">
        <f>'Annual Analysis'!W16</f>
        <v>-3.57285301279631</v>
      </c>
      <c r="I9" s="16">
        <f>'Annual Analysis'!W19</f>
        <v>-7.23306333749334</v>
      </c>
      <c r="J9" s="16">
        <f t="shared" si="0"/>
        <v>-3.66021032469703</v>
      </c>
      <c r="K9" s="16">
        <f>SLOPE('Annual Analysis'!W16:W19,'Annual Analysis'!C16:C19)</f>
        <v>-1.42838852457796</v>
      </c>
      <c r="L9" s="20">
        <f>RSQ('Annual Analysis'!W16:W19,'Annual Analysis'!C16:C19)</f>
        <v>0.837023386576349</v>
      </c>
    </row>
    <row r="10" spans="1:12">
      <c r="A10" s="5" t="s">
        <v>77</v>
      </c>
      <c r="B10" s="5" t="s">
        <v>78</v>
      </c>
      <c r="C10" s="5" t="s">
        <v>79</v>
      </c>
      <c r="D10" s="5" t="s">
        <v>21</v>
      </c>
      <c r="E10" s="19">
        <f>COUNT('Annual Analysis'!C16:C19)</f>
        <v>4</v>
      </c>
      <c r="F10" s="19">
        <f>'Annual Analysis'!C16</f>
        <v>2022</v>
      </c>
      <c r="G10" s="19">
        <f>'Annual Analysis'!C19</f>
        <v>2025</v>
      </c>
      <c r="H10" s="16">
        <f>'Annual Analysis'!T16</f>
        <v>0.580950149862947</v>
      </c>
      <c r="I10" s="16">
        <f>'Annual Analysis'!T19</f>
        <v>-0.382260042800697</v>
      </c>
      <c r="J10" s="16">
        <f t="shared" si="0"/>
        <v>-0.963210192663644</v>
      </c>
      <c r="K10" s="16">
        <f>SLOPE('Annual Analysis'!T16:T19,'Annual Analysis'!C16:C19)</f>
        <v>-0.384791375988655</v>
      </c>
      <c r="L10" s="20">
        <f>RSQ('Annual Analysis'!T16:T19,'Annual Analysis'!C16:C19)</f>
        <v>0.801870812271475</v>
      </c>
    </row>
  </sheetData>
  <pageMargins left="0.7" right="0.7" top="0.75" bottom="0.75" header="0.3" footer="0.3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3"/>
  <sheetViews>
    <sheetView showGridLines="0" workbookViewId="0">
      <selection activeCell="A1" sqref="A1"/>
    </sheetView>
  </sheetViews>
  <sheetFormatPr defaultColWidth="9" defaultRowHeight="14" outlineLevelRow="2"/>
  <cols>
    <col min="1" max="1" width="65" customWidth="1"/>
    <col min="2" max="2" width="15" customWidth="1"/>
    <col min="3" max="4" width="22" customWidth="1"/>
    <col min="5" max="5" width="24" customWidth="1"/>
    <col min="6" max="7" width="21" customWidth="1"/>
    <col min="8" max="8" width="23" customWidth="1"/>
    <col min="9" max="9" width="30" customWidth="1"/>
    <col min="10" max="10" width="20" customWidth="1"/>
    <col min="11" max="12" width="18" customWidth="1"/>
    <col min="13" max="13" width="21" customWidth="1"/>
  </cols>
  <sheetData>
    <row r="1" spans="1:13">
      <c r="A1" s="1" t="s">
        <v>144</v>
      </c>
      <c r="B1" s="1" t="s">
        <v>48</v>
      </c>
      <c r="C1" s="1" t="s">
        <v>145</v>
      </c>
      <c r="D1" s="1" t="s">
        <v>146</v>
      </c>
      <c r="E1" s="1" t="s">
        <v>147</v>
      </c>
      <c r="F1" s="1" t="s">
        <v>148</v>
      </c>
      <c r="G1" s="1" t="s">
        <v>149</v>
      </c>
      <c r="H1" s="1" t="s">
        <v>150</v>
      </c>
      <c r="I1" s="1" t="s">
        <v>104</v>
      </c>
      <c r="J1" s="1" t="s">
        <v>105</v>
      </c>
      <c r="K1" s="1" t="s">
        <v>17</v>
      </c>
      <c r="L1" s="1" t="s">
        <v>25</v>
      </c>
      <c r="M1" s="1" t="s">
        <v>21</v>
      </c>
    </row>
    <row r="2" spans="1:13">
      <c r="A2" s="2" t="s">
        <v>151</v>
      </c>
      <c r="B2" s="2" t="s">
        <v>70</v>
      </c>
      <c r="C2" s="9">
        <f>'Annual Analysis'!L9</f>
        <v>45624</v>
      </c>
      <c r="D2" s="9">
        <f>'Annual Analysis'!M9</f>
        <v>21528</v>
      </c>
      <c r="E2" s="9">
        <f>'Annual Analysis'!N9</f>
        <v>20818</v>
      </c>
      <c r="F2" s="10">
        <f>'Annual Analysis'!X9</f>
        <v>0.271479922847624</v>
      </c>
      <c r="G2" s="10">
        <f>'Annual Analysis'!Y9</f>
        <v>0.222361575622445</v>
      </c>
      <c r="H2" s="10">
        <f>'Annual Analysis'!Z9</f>
        <v>0.221250840618695</v>
      </c>
      <c r="I2" s="11">
        <f>'Annual Analysis'!AC9</f>
        <v>-5.02290822289287</v>
      </c>
      <c r="J2" s="11">
        <f>'Annual Analysis'!AD9</f>
        <v>0.81498049026218</v>
      </c>
      <c r="K2" s="10">
        <f>'Annual Analysis'!O9</f>
        <v>0.386484740836428</v>
      </c>
      <c r="L2" s="10">
        <f>'Annual Analysis'!U9</f>
        <v>0.37187146778621</v>
      </c>
      <c r="M2" s="10">
        <f>'Annual Analysis'!R9</f>
        <v>0.962189262586171</v>
      </c>
    </row>
    <row r="3" spans="1:13">
      <c r="A3" s="5" t="s">
        <v>152</v>
      </c>
      <c r="B3" s="5" t="s">
        <v>70</v>
      </c>
      <c r="C3" s="14">
        <f>'Source Counts'!J9</f>
        <v>54699</v>
      </c>
      <c r="D3" s="14">
        <f>'Source Counts'!J17</f>
        <v>24300</v>
      </c>
      <c r="E3" s="14">
        <f>'Source Counts'!J25</f>
        <v>23440</v>
      </c>
      <c r="F3" s="15">
        <f>'Annual Analysis'!F9/C3</f>
        <v>0.226439240205488</v>
      </c>
      <c r="G3" s="15">
        <f>'Annual Analysis'!G9/D3</f>
        <v>0.196995884773663</v>
      </c>
      <c r="H3" s="15">
        <f>'Annual Analysis'!H9/E3</f>
        <v>0.196501706484642</v>
      </c>
      <c r="I3" s="16">
        <f>(H3-F3)*100</f>
        <v>-2.99375337208466</v>
      </c>
      <c r="J3" s="16">
        <f>H3/F3</f>
        <v>0.867789992168853</v>
      </c>
      <c r="K3" s="15">
        <f>'Annual Analysis'!O9</f>
        <v>0.386484740836428</v>
      </c>
      <c r="L3" s="15">
        <f>'Annual Analysis'!U9</f>
        <v>0.37187146778621</v>
      </c>
      <c r="M3" s="15">
        <f>'Annual Analysis'!R9</f>
        <v>0.962189262586171</v>
      </c>
    </row>
  </sheetData>
  <pageMargins left="0.7" right="0.7" top="0.75" bottom="0.75" header="0.3" footer="0.3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W10"/>
  <sheetViews>
    <sheetView showGridLines="0" workbookViewId="0">
      <selection activeCell="A1" sqref="A1"/>
    </sheetView>
  </sheetViews>
  <sheetFormatPr defaultColWidth="9" defaultRowHeight="14"/>
  <cols>
    <col min="1" max="1" width="28" customWidth="1"/>
    <col min="2" max="2" width="15" customWidth="1"/>
    <col min="3" max="3" width="39" customWidth="1"/>
    <col min="4" max="4" width="43" customWidth="1"/>
    <col min="5" max="5" width="48" customWidth="1"/>
    <col min="6" max="6" width="17" customWidth="1"/>
    <col min="7" max="7" width="18" customWidth="1"/>
    <col min="8" max="8" width="15" customWidth="1"/>
    <col min="9" max="9" width="21" customWidth="1"/>
    <col min="10" max="10" width="22" customWidth="1"/>
    <col min="11" max="11" width="20" customWidth="1"/>
    <col min="12" max="12" width="21" customWidth="1"/>
    <col min="13" max="13" width="18" customWidth="1"/>
    <col min="14" max="14" width="24" customWidth="1"/>
    <col min="15" max="15" width="25" customWidth="1"/>
    <col min="16" max="16" width="27" customWidth="1"/>
    <col min="17" max="17" width="23" customWidth="1"/>
    <col min="18" max="18" width="24" customWidth="1"/>
    <col min="19" max="19" width="75" customWidth="1"/>
    <col min="22" max="23" width="22" customWidth="1"/>
  </cols>
  <sheetData>
    <row r="1" spans="1:23">
      <c r="A1" s="1" t="s">
        <v>47</v>
      </c>
      <c r="B1" s="1" t="s">
        <v>48</v>
      </c>
      <c r="C1" s="1" t="s">
        <v>134</v>
      </c>
      <c r="D1" s="1" t="s">
        <v>51</v>
      </c>
      <c r="E1" s="1" t="s">
        <v>52</v>
      </c>
      <c r="F1" s="1" t="s">
        <v>153</v>
      </c>
      <c r="G1" s="1" t="s">
        <v>154</v>
      </c>
      <c r="H1" s="1" t="s">
        <v>155</v>
      </c>
      <c r="I1" s="1" t="s">
        <v>156</v>
      </c>
      <c r="J1" s="1" t="s">
        <v>157</v>
      </c>
      <c r="K1" s="1" t="s">
        <v>158</v>
      </c>
      <c r="L1" s="1" t="s">
        <v>159</v>
      </c>
      <c r="M1" s="1" t="s">
        <v>160</v>
      </c>
      <c r="N1" s="1" t="s">
        <v>161</v>
      </c>
      <c r="O1" s="1" t="s">
        <v>162</v>
      </c>
      <c r="P1" s="1" t="s">
        <v>163</v>
      </c>
      <c r="Q1" s="1" t="s">
        <v>164</v>
      </c>
      <c r="R1" s="1" t="s">
        <v>165</v>
      </c>
      <c r="S1" s="1" t="s">
        <v>166</v>
      </c>
      <c r="T1" s="8"/>
      <c r="U1" s="8"/>
      <c r="V1" s="1" t="s">
        <v>167</v>
      </c>
      <c r="W1" s="1" t="s">
        <v>168</v>
      </c>
    </row>
    <row r="2" ht="25" spans="1:23">
      <c r="A2" s="2" t="s">
        <v>58</v>
      </c>
      <c r="B2" s="2" t="s">
        <v>70</v>
      </c>
      <c r="C2" s="2" t="s">
        <v>17</v>
      </c>
      <c r="D2" s="2" t="s">
        <v>61</v>
      </c>
      <c r="E2" s="2" t="s">
        <v>62</v>
      </c>
      <c r="F2" s="9">
        <f>'Latest Metrics'!F2</f>
        <v>4787</v>
      </c>
      <c r="G2" s="9">
        <f>'Latest Metrics'!E2</f>
        <v>12386</v>
      </c>
      <c r="H2" s="10">
        <f t="shared" ref="H2:H10" si="0">F2/G2</f>
        <v>0.386484740836428</v>
      </c>
      <c r="I2" s="10">
        <f t="shared" ref="I2:I10" si="1">(H2+$W$2^2/(2*G2))/(1+$W$2^2/G2)-$W$2*SQRT(H2*(1-H2)/G2+$W$2^2/(4*G2^2))/(1+$W$2^2/G2)</f>
        <v>0.377945654678582</v>
      </c>
      <c r="J2" s="10">
        <f t="shared" ref="J2:J10" si="2">(H2+$W$2^2/(2*G2))/(1+$W$2^2/G2)+$W$2*SQRT(H2*(1-H2)/G2+$W$2^2/(4*G2^2))/(1+$W$2^2/G2)</f>
        <v>0.395094217595324</v>
      </c>
      <c r="K2" s="9">
        <f>'Latest Metrics'!I2</f>
        <v>16741</v>
      </c>
      <c r="L2" s="9">
        <f>'Latest Metrics'!H2</f>
        <v>33238</v>
      </c>
      <c r="M2" s="10">
        <f t="shared" ref="M2:M10" si="3">K2/L2</f>
        <v>0.503670497623202</v>
      </c>
      <c r="N2" s="10">
        <f t="shared" ref="N2:N10" si="4">(M2+$W$2^2/(2*L2))/(1+$W$2^2/L2)-$W$2*SQRT(M2*(1-M2)/L2+$W$2^2/(4*L2^2))/(1+$W$2^2/L2)</f>
        <v>0.498295254288467</v>
      </c>
      <c r="O2" s="10">
        <f t="shared" ref="O2:O10" si="5">(M2+$W$2^2/(2*L2))/(1+$W$2^2/L2)+$W$2*SQRT(M2*(1-M2)/L2+$W$2^2/(4*L2^2))/(1+$W$2^2/L2)</f>
        <v>0.509044892625544</v>
      </c>
      <c r="P2" s="11">
        <f t="shared" ref="P2:P10" si="6">(H2-M2)*100</f>
        <v>-11.7185756786774</v>
      </c>
      <c r="Q2" s="11">
        <f t="shared" ref="Q2:Q10" si="7">P2-SQRT((H2-I2)^2+(O2-M2)^2)*100</f>
        <v>-12.7275361043251</v>
      </c>
      <c r="R2" s="11">
        <f t="shared" ref="R2:R10" si="8">P2+SQRT((J2-H2)^2+(M2-N2)^2)*100</f>
        <v>-10.7036060684447</v>
      </c>
      <c r="S2" s="2" t="s">
        <v>169</v>
      </c>
      <c r="T2" s="8"/>
      <c r="U2" s="8"/>
      <c r="V2" s="12" t="s">
        <v>170</v>
      </c>
      <c r="W2" s="13">
        <v>1.95996398454005</v>
      </c>
    </row>
    <row r="3" ht="25" spans="1:23">
      <c r="A3" s="5" t="s">
        <v>58</v>
      </c>
      <c r="B3" s="5" t="s">
        <v>70</v>
      </c>
      <c r="C3" s="5" t="s">
        <v>143</v>
      </c>
      <c r="D3" s="5" t="s">
        <v>61</v>
      </c>
      <c r="E3" s="5" t="s">
        <v>62</v>
      </c>
      <c r="F3" s="14">
        <f>'Latest Metrics'!G2</f>
        <v>4606</v>
      </c>
      <c r="G3" s="14">
        <f>'Latest Metrics'!E2</f>
        <v>12386</v>
      </c>
      <c r="H3" s="15">
        <f t="shared" si="0"/>
        <v>0.37187146778621</v>
      </c>
      <c r="I3" s="15">
        <f t="shared" si="1"/>
        <v>0.363400976845461</v>
      </c>
      <c r="J3" s="15">
        <f t="shared" si="2"/>
        <v>0.380421410991444</v>
      </c>
      <c r="K3" s="14">
        <f>'Latest Metrics'!J2</f>
        <v>16212</v>
      </c>
      <c r="L3" s="14">
        <f>'Latest Metrics'!H2</f>
        <v>33238</v>
      </c>
      <c r="M3" s="15">
        <f t="shared" si="3"/>
        <v>0.487754979240628</v>
      </c>
      <c r="N3" s="15">
        <f t="shared" si="4"/>
        <v>0.482383042209515</v>
      </c>
      <c r="O3" s="15">
        <f t="shared" si="5"/>
        <v>0.493129746364236</v>
      </c>
      <c r="P3" s="16">
        <f t="shared" si="6"/>
        <v>-11.5883511454418</v>
      </c>
      <c r="Q3" s="16">
        <f t="shared" si="7"/>
        <v>-12.5915327761066</v>
      </c>
      <c r="R3" s="16">
        <f t="shared" si="8"/>
        <v>-10.5786024822638</v>
      </c>
      <c r="S3" s="5" t="s">
        <v>169</v>
      </c>
      <c r="T3" s="8"/>
      <c r="U3" s="8"/>
      <c r="V3" s="8"/>
      <c r="W3" s="8"/>
    </row>
    <row r="4" ht="25" spans="1:23">
      <c r="A4" s="5" t="s">
        <v>58</v>
      </c>
      <c r="B4" s="5" t="s">
        <v>70</v>
      </c>
      <c r="C4" s="5" t="s">
        <v>21</v>
      </c>
      <c r="D4" s="5" t="s">
        <v>61</v>
      </c>
      <c r="E4" s="5" t="s">
        <v>62</v>
      </c>
      <c r="F4" s="14">
        <f>'Latest Metrics'!G2</f>
        <v>4606</v>
      </c>
      <c r="G4" s="14">
        <f>'Latest Metrics'!F2</f>
        <v>4787</v>
      </c>
      <c r="H4" s="15">
        <f t="shared" si="0"/>
        <v>0.962189262586171</v>
      </c>
      <c r="I4" s="15">
        <f t="shared" si="1"/>
        <v>0.956404891408217</v>
      </c>
      <c r="J4" s="15">
        <f t="shared" si="2"/>
        <v>0.967232435778404</v>
      </c>
      <c r="K4" s="14">
        <f>'Latest Metrics'!J2</f>
        <v>16212</v>
      </c>
      <c r="L4" s="14">
        <f>'Latest Metrics'!I2</f>
        <v>16741</v>
      </c>
      <c r="M4" s="15">
        <f t="shared" si="3"/>
        <v>0.968400931843976</v>
      </c>
      <c r="N4" s="15">
        <f t="shared" si="4"/>
        <v>0.965641746007225</v>
      </c>
      <c r="O4" s="15">
        <f t="shared" si="5"/>
        <v>0.97094520458099</v>
      </c>
      <c r="P4" s="16">
        <f t="shared" si="6"/>
        <v>-0.621166925780503</v>
      </c>
      <c r="Q4" s="16">
        <f t="shared" si="7"/>
        <v>-1.25308680744792</v>
      </c>
      <c r="R4" s="16">
        <f t="shared" si="8"/>
        <v>-0.0463043132495975</v>
      </c>
      <c r="S4" s="5" t="s">
        <v>169</v>
      </c>
      <c r="T4" s="8"/>
      <c r="U4" s="8"/>
      <c r="V4" s="8"/>
      <c r="W4" s="8"/>
    </row>
    <row r="5" ht="25" spans="1:23">
      <c r="A5" s="5" t="s">
        <v>73</v>
      </c>
      <c r="B5" s="5" t="s">
        <v>70</v>
      </c>
      <c r="C5" s="5" t="s">
        <v>17</v>
      </c>
      <c r="D5" s="5" t="s">
        <v>74</v>
      </c>
      <c r="E5" s="5" t="s">
        <v>75</v>
      </c>
      <c r="F5" s="14">
        <f>'Latest Metrics'!F3</f>
        <v>2615</v>
      </c>
      <c r="G5" s="14">
        <f>'Latest Metrics'!E3</f>
        <v>7530</v>
      </c>
      <c r="H5" s="15">
        <f t="shared" si="0"/>
        <v>0.347277556440903</v>
      </c>
      <c r="I5" s="15">
        <f t="shared" si="1"/>
        <v>0.336604304518594</v>
      </c>
      <c r="J5" s="15">
        <f t="shared" si="2"/>
        <v>0.358106552808097</v>
      </c>
      <c r="K5" s="14">
        <f>'Latest Metrics'!I3</f>
        <v>21685</v>
      </c>
      <c r="L5" s="14">
        <f>'Latest Metrics'!H3</f>
        <v>47169</v>
      </c>
      <c r="M5" s="15">
        <f t="shared" si="3"/>
        <v>0.459729907354406</v>
      </c>
      <c r="N5" s="15">
        <f t="shared" si="4"/>
        <v>0.455235812432354</v>
      </c>
      <c r="O5" s="15">
        <f t="shared" si="5"/>
        <v>0.464230560961406</v>
      </c>
      <c r="P5" s="16">
        <f t="shared" si="6"/>
        <v>-11.2452350913503</v>
      </c>
      <c r="Q5" s="16">
        <f t="shared" si="7"/>
        <v>-12.4035709212687</v>
      </c>
      <c r="R5" s="16">
        <f t="shared" si="8"/>
        <v>-10.0727844463801</v>
      </c>
      <c r="S5" s="5" t="s">
        <v>169</v>
      </c>
      <c r="T5" s="8"/>
      <c r="U5" s="8"/>
      <c r="V5" s="8"/>
      <c r="W5" s="8"/>
    </row>
    <row r="6" ht="25" spans="1:23">
      <c r="A6" s="5" t="s">
        <v>73</v>
      </c>
      <c r="B6" s="5" t="s">
        <v>70</v>
      </c>
      <c r="C6" s="5" t="s">
        <v>143</v>
      </c>
      <c r="D6" s="5" t="s">
        <v>74</v>
      </c>
      <c r="E6" s="5" t="s">
        <v>75</v>
      </c>
      <c r="F6" s="14">
        <f>'Latest Metrics'!G3</f>
        <v>2498</v>
      </c>
      <c r="G6" s="14">
        <f>'Latest Metrics'!E3</f>
        <v>7530</v>
      </c>
      <c r="H6" s="15">
        <f t="shared" si="0"/>
        <v>0.331739707835325</v>
      </c>
      <c r="I6" s="15">
        <f t="shared" si="1"/>
        <v>0.321193243661334</v>
      </c>
      <c r="J6" s="15">
        <f t="shared" si="2"/>
        <v>0.342457761758594</v>
      </c>
      <c r="K6" s="14">
        <f>'Latest Metrics'!J3</f>
        <v>20942</v>
      </c>
      <c r="L6" s="14">
        <f>'Latest Metrics'!H3</f>
        <v>47169</v>
      </c>
      <c r="M6" s="15">
        <f t="shared" si="3"/>
        <v>0.443978036422226</v>
      </c>
      <c r="N6" s="15">
        <f t="shared" si="4"/>
        <v>0.43949897626466</v>
      </c>
      <c r="O6" s="15">
        <f t="shared" si="5"/>
        <v>0.448466220730872</v>
      </c>
      <c r="P6" s="16">
        <f t="shared" si="6"/>
        <v>-11.2238328586901</v>
      </c>
      <c r="Q6" s="16">
        <f t="shared" si="7"/>
        <v>-12.3700078233515</v>
      </c>
      <c r="R6" s="16">
        <f t="shared" si="8"/>
        <v>-10.0622018510238</v>
      </c>
      <c r="S6" s="5" t="s">
        <v>169</v>
      </c>
      <c r="T6" s="8"/>
      <c r="U6" s="8"/>
      <c r="V6" s="8"/>
      <c r="W6" s="8"/>
    </row>
    <row r="7" ht="25" spans="1:23">
      <c r="A7" s="5" t="s">
        <v>73</v>
      </c>
      <c r="B7" s="5" t="s">
        <v>70</v>
      </c>
      <c r="C7" s="5" t="s">
        <v>21</v>
      </c>
      <c r="D7" s="5" t="s">
        <v>74</v>
      </c>
      <c r="E7" s="5" t="s">
        <v>75</v>
      </c>
      <c r="F7" s="14">
        <f>'Latest Metrics'!G3</f>
        <v>2498</v>
      </c>
      <c r="G7" s="14">
        <f>'Latest Metrics'!F3</f>
        <v>2615</v>
      </c>
      <c r="H7" s="15">
        <f t="shared" si="0"/>
        <v>0.955258126195029</v>
      </c>
      <c r="I7" s="15">
        <f t="shared" si="1"/>
        <v>0.94664430079492</v>
      </c>
      <c r="J7" s="15">
        <f t="shared" si="2"/>
        <v>0.962536356926988</v>
      </c>
      <c r="K7" s="14">
        <f>'Latest Metrics'!J3</f>
        <v>20942</v>
      </c>
      <c r="L7" s="14">
        <f>'Latest Metrics'!I3</f>
        <v>21685</v>
      </c>
      <c r="M7" s="15">
        <f t="shared" si="3"/>
        <v>0.965736684344017</v>
      </c>
      <c r="N7" s="15">
        <f t="shared" si="4"/>
        <v>0.963231905603465</v>
      </c>
      <c r="O7" s="15">
        <f t="shared" si="5"/>
        <v>0.968076483475345</v>
      </c>
      <c r="P7" s="16">
        <f t="shared" si="6"/>
        <v>-1.04785581489879</v>
      </c>
      <c r="Q7" s="16">
        <f t="shared" si="7"/>
        <v>-1.94045117674263</v>
      </c>
      <c r="R7" s="16">
        <f t="shared" si="8"/>
        <v>-0.278137950179825</v>
      </c>
      <c r="S7" s="5" t="s">
        <v>169</v>
      </c>
      <c r="T7" s="8"/>
      <c r="U7" s="8"/>
      <c r="V7" s="8"/>
      <c r="W7" s="8"/>
    </row>
    <row r="8" ht="25" spans="1:23">
      <c r="A8" s="5" t="s">
        <v>77</v>
      </c>
      <c r="B8" s="5" t="s">
        <v>70</v>
      </c>
      <c r="C8" s="5" t="s">
        <v>17</v>
      </c>
      <c r="D8" s="5" t="s">
        <v>78</v>
      </c>
      <c r="E8" s="5" t="s">
        <v>79</v>
      </c>
      <c r="F8" s="14">
        <f>'Latest Metrics'!F4</f>
        <v>3151</v>
      </c>
      <c r="G8" s="14">
        <f>'Latest Metrics'!E4</f>
        <v>8251</v>
      </c>
      <c r="H8" s="15">
        <f t="shared" si="0"/>
        <v>0.381893103866198</v>
      </c>
      <c r="I8" s="15">
        <f t="shared" si="1"/>
        <v>0.371467073715188</v>
      </c>
      <c r="J8" s="15">
        <f t="shared" si="2"/>
        <v>0.392429058061225</v>
      </c>
      <c r="K8" s="14">
        <f>'Latest Metrics'!I4</f>
        <v>21149</v>
      </c>
      <c r="L8" s="14">
        <f>'Latest Metrics'!H4</f>
        <v>46448</v>
      </c>
      <c r="M8" s="15">
        <f t="shared" si="3"/>
        <v>0.455326386496728</v>
      </c>
      <c r="N8" s="15">
        <f t="shared" si="4"/>
        <v>0.450801351770793</v>
      </c>
      <c r="O8" s="15">
        <f t="shared" si="5"/>
        <v>0.459858810029705</v>
      </c>
      <c r="P8" s="16">
        <f t="shared" si="6"/>
        <v>-7.34332826305295</v>
      </c>
      <c r="Q8" s="16">
        <f t="shared" si="7"/>
        <v>-8.48018783130247</v>
      </c>
      <c r="R8" s="16">
        <f t="shared" si="8"/>
        <v>-6.19667107770666</v>
      </c>
      <c r="S8" s="5" t="s">
        <v>169</v>
      </c>
      <c r="T8" s="8"/>
      <c r="U8" s="8"/>
      <c r="V8" s="8"/>
      <c r="W8" s="8"/>
    </row>
    <row r="9" ht="25" spans="1:23">
      <c r="A9" s="5" t="s">
        <v>77</v>
      </c>
      <c r="B9" s="5" t="s">
        <v>70</v>
      </c>
      <c r="C9" s="5" t="s">
        <v>143</v>
      </c>
      <c r="D9" s="5" t="s">
        <v>78</v>
      </c>
      <c r="E9" s="5" t="s">
        <v>79</v>
      </c>
      <c r="F9" s="14">
        <f>'Latest Metrics'!G4</f>
        <v>3029</v>
      </c>
      <c r="G9" s="14">
        <f>'Latest Metrics'!E4</f>
        <v>8251</v>
      </c>
      <c r="H9" s="15">
        <f t="shared" si="0"/>
        <v>0.367107017331233</v>
      </c>
      <c r="I9" s="15">
        <f t="shared" si="1"/>
        <v>0.35677054715907</v>
      </c>
      <c r="J9" s="15">
        <f t="shared" si="2"/>
        <v>0.377567173203001</v>
      </c>
      <c r="K9" s="14">
        <f>'Latest Metrics'!J4</f>
        <v>20411</v>
      </c>
      <c r="L9" s="14">
        <f>'Latest Metrics'!H4</f>
        <v>46448</v>
      </c>
      <c r="M9" s="15">
        <f t="shared" si="3"/>
        <v>0.439437650706166</v>
      </c>
      <c r="N9" s="15">
        <f t="shared" si="4"/>
        <v>0.434929221027207</v>
      </c>
      <c r="O9" s="15">
        <f t="shared" si="5"/>
        <v>0.443956097114864</v>
      </c>
      <c r="P9" s="16">
        <f t="shared" si="6"/>
        <v>-7.23306333749334</v>
      </c>
      <c r="Q9" s="16">
        <f t="shared" si="7"/>
        <v>-8.36115452870215</v>
      </c>
      <c r="R9" s="16">
        <f t="shared" si="8"/>
        <v>-6.09402515098774</v>
      </c>
      <c r="S9" s="5" t="s">
        <v>169</v>
      </c>
      <c r="T9" s="8"/>
      <c r="U9" s="8"/>
      <c r="V9" s="8"/>
      <c r="W9" s="8"/>
    </row>
    <row r="10" ht="25" spans="1:23">
      <c r="A10" s="5" t="s">
        <v>77</v>
      </c>
      <c r="B10" s="5" t="s">
        <v>70</v>
      </c>
      <c r="C10" s="5" t="s">
        <v>21</v>
      </c>
      <c r="D10" s="5" t="s">
        <v>78</v>
      </c>
      <c r="E10" s="5" t="s">
        <v>79</v>
      </c>
      <c r="F10" s="14">
        <f>'Latest Metrics'!G4</f>
        <v>3029</v>
      </c>
      <c r="G10" s="14">
        <f>'Latest Metrics'!F4</f>
        <v>3151</v>
      </c>
      <c r="H10" s="15">
        <f t="shared" si="0"/>
        <v>0.9612821326563</v>
      </c>
      <c r="I10" s="15">
        <f t="shared" si="1"/>
        <v>0.953965122938101</v>
      </c>
      <c r="J10" s="15">
        <f t="shared" si="2"/>
        <v>0.967475791904783</v>
      </c>
      <c r="K10" s="14">
        <f>'Latest Metrics'!J4</f>
        <v>20411</v>
      </c>
      <c r="L10" s="14">
        <f>'Latest Metrics'!I4</f>
        <v>21149</v>
      </c>
      <c r="M10" s="15">
        <f t="shared" si="3"/>
        <v>0.965104733084307</v>
      </c>
      <c r="N10" s="15">
        <f t="shared" si="4"/>
        <v>0.962545768275424</v>
      </c>
      <c r="O10" s="15">
        <f t="shared" si="5"/>
        <v>0.967494767332921</v>
      </c>
      <c r="P10" s="16">
        <f t="shared" si="6"/>
        <v>-0.382260042800697</v>
      </c>
      <c r="Q10" s="16">
        <f t="shared" si="7"/>
        <v>-1.15200607186329</v>
      </c>
      <c r="R10" s="16">
        <f t="shared" si="8"/>
        <v>0.287887073729916</v>
      </c>
      <c r="S10" s="5" t="s">
        <v>169</v>
      </c>
      <c r="T10" s="8"/>
      <c r="U10" s="8"/>
      <c r="V10" s="8"/>
      <c r="W10" s="8"/>
    </row>
  </sheetData>
  <pageMargins left="0.7" right="0.7" top="0.75" bottom="0.75" header="0.3" footer="0.3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30"/>
  <sheetViews>
    <sheetView showGridLines="0" workbookViewId="0">
      <selection activeCell="A1" sqref="A1"/>
    </sheetView>
  </sheetViews>
  <sheetFormatPr defaultColWidth="9" defaultRowHeight="14" outlineLevelCol="3"/>
  <cols>
    <col min="1" max="1" width="28" customWidth="1"/>
    <col min="2" max="2" width="62" customWidth="1"/>
    <col min="3" max="3" width="28" customWidth="1"/>
    <col min="4" max="4" width="14" customWidth="1"/>
  </cols>
  <sheetData>
    <row r="1" spans="1:4">
      <c r="A1" s="1" t="s">
        <v>171</v>
      </c>
      <c r="B1" s="1" t="s">
        <v>172</v>
      </c>
      <c r="C1" s="1" t="s">
        <v>173</v>
      </c>
      <c r="D1" s="1" t="s">
        <v>174</v>
      </c>
    </row>
    <row r="2" spans="1:4">
      <c r="A2" s="2" t="s">
        <v>175</v>
      </c>
      <c r="B2" s="2" t="s">
        <v>176</v>
      </c>
      <c r="C2" s="3">
        <f>ABS('Annual Analysis'!U2-'Annual Analysis'!O2*'Annual Analysis'!R2)</f>
        <v>0</v>
      </c>
      <c r="D2" s="4" t="str">
        <f t="shared" ref="D2:D19" si="0">IF(C2&lt;=0.000001,"PASS","CHECK")</f>
        <v>PASS</v>
      </c>
    </row>
    <row r="3" spans="1:4">
      <c r="A3" s="5" t="s">
        <v>175</v>
      </c>
      <c r="B3" s="5" t="s">
        <v>177</v>
      </c>
      <c r="C3" s="6">
        <f>ABS('Annual Analysis'!U3-'Annual Analysis'!O3*'Annual Analysis'!R3)</f>
        <v>0</v>
      </c>
      <c r="D3" s="7" t="str">
        <f t="shared" si="0"/>
        <v>PASS</v>
      </c>
    </row>
    <row r="4" spans="1:4">
      <c r="A4" s="5" t="s">
        <v>175</v>
      </c>
      <c r="B4" s="5" t="s">
        <v>178</v>
      </c>
      <c r="C4" s="6">
        <f>ABS('Annual Analysis'!U4-'Annual Analysis'!O4*'Annual Analysis'!R4)</f>
        <v>0</v>
      </c>
      <c r="D4" s="7" t="str">
        <f t="shared" si="0"/>
        <v>PASS</v>
      </c>
    </row>
    <row r="5" spans="1:4">
      <c r="A5" s="5" t="s">
        <v>175</v>
      </c>
      <c r="B5" s="5" t="s">
        <v>179</v>
      </c>
      <c r="C5" s="6">
        <f>ABS('Annual Analysis'!U5-'Annual Analysis'!O5*'Annual Analysis'!R5)</f>
        <v>0</v>
      </c>
      <c r="D5" s="7" t="str">
        <f t="shared" si="0"/>
        <v>PASS</v>
      </c>
    </row>
    <row r="6" spans="1:4">
      <c r="A6" s="5" t="s">
        <v>175</v>
      </c>
      <c r="B6" s="5" t="s">
        <v>180</v>
      </c>
      <c r="C6" s="6">
        <f>ABS('Annual Analysis'!U6-'Annual Analysis'!O6*'Annual Analysis'!R6)</f>
        <v>0</v>
      </c>
      <c r="D6" s="7" t="str">
        <f t="shared" si="0"/>
        <v>PASS</v>
      </c>
    </row>
    <row r="7" spans="1:4">
      <c r="A7" s="5" t="s">
        <v>175</v>
      </c>
      <c r="B7" s="5" t="s">
        <v>181</v>
      </c>
      <c r="C7" s="6">
        <f>ABS('Annual Analysis'!U7-'Annual Analysis'!O7*'Annual Analysis'!R7)</f>
        <v>0</v>
      </c>
      <c r="D7" s="7" t="str">
        <f t="shared" si="0"/>
        <v>PASS</v>
      </c>
    </row>
    <row r="8" spans="1:4">
      <c r="A8" s="5" t="s">
        <v>175</v>
      </c>
      <c r="B8" s="5" t="s">
        <v>182</v>
      </c>
      <c r="C8" s="6">
        <f>ABS('Annual Analysis'!U8-'Annual Analysis'!O8*'Annual Analysis'!R8)</f>
        <v>0</v>
      </c>
      <c r="D8" s="7" t="str">
        <f t="shared" si="0"/>
        <v>PASS</v>
      </c>
    </row>
    <row r="9" spans="1:4">
      <c r="A9" s="5" t="s">
        <v>175</v>
      </c>
      <c r="B9" s="5" t="s">
        <v>183</v>
      </c>
      <c r="C9" s="6">
        <f>ABS('Annual Analysis'!U9-'Annual Analysis'!O9*'Annual Analysis'!R9)</f>
        <v>0</v>
      </c>
      <c r="D9" s="7" t="str">
        <f t="shared" si="0"/>
        <v>PASS</v>
      </c>
    </row>
    <row r="10" spans="1:4">
      <c r="A10" s="5" t="s">
        <v>175</v>
      </c>
      <c r="B10" s="5" t="s">
        <v>184</v>
      </c>
      <c r="C10" s="6">
        <f>ABS('Annual Analysis'!U10-'Annual Analysis'!O10*'Annual Analysis'!R10)</f>
        <v>0</v>
      </c>
      <c r="D10" s="7" t="str">
        <f t="shared" si="0"/>
        <v>PASS</v>
      </c>
    </row>
    <row r="11" spans="1:4">
      <c r="A11" s="5" t="s">
        <v>175</v>
      </c>
      <c r="B11" s="5" t="s">
        <v>185</v>
      </c>
      <c r="C11" s="6">
        <f>ABS('Annual Analysis'!U11-'Annual Analysis'!O11*'Annual Analysis'!R11)</f>
        <v>0</v>
      </c>
      <c r="D11" s="7" t="str">
        <f t="shared" si="0"/>
        <v>PASS</v>
      </c>
    </row>
    <row r="12" spans="1:4">
      <c r="A12" s="5" t="s">
        <v>175</v>
      </c>
      <c r="B12" s="5" t="s">
        <v>186</v>
      </c>
      <c r="C12" s="6">
        <f>ABS('Annual Analysis'!U12-'Annual Analysis'!O12*'Annual Analysis'!R12)</f>
        <v>0</v>
      </c>
      <c r="D12" s="7" t="str">
        <f t="shared" si="0"/>
        <v>PASS</v>
      </c>
    </row>
    <row r="13" spans="1:4">
      <c r="A13" s="5" t="s">
        <v>175</v>
      </c>
      <c r="B13" s="5" t="s">
        <v>187</v>
      </c>
      <c r="C13" s="6">
        <f>ABS('Annual Analysis'!U13-'Annual Analysis'!O13*'Annual Analysis'!R13)</f>
        <v>0</v>
      </c>
      <c r="D13" s="7" t="str">
        <f t="shared" si="0"/>
        <v>PASS</v>
      </c>
    </row>
    <row r="14" spans="1:4">
      <c r="A14" s="5" t="s">
        <v>175</v>
      </c>
      <c r="B14" s="5" t="s">
        <v>188</v>
      </c>
      <c r="C14" s="6">
        <f>ABS('Annual Analysis'!U14-'Annual Analysis'!O14*'Annual Analysis'!R14)</f>
        <v>0</v>
      </c>
      <c r="D14" s="7" t="str">
        <f t="shared" si="0"/>
        <v>PASS</v>
      </c>
    </row>
    <row r="15" spans="1:4">
      <c r="A15" s="5" t="s">
        <v>175</v>
      </c>
      <c r="B15" s="5" t="s">
        <v>189</v>
      </c>
      <c r="C15" s="6">
        <f>ABS('Annual Analysis'!U15-'Annual Analysis'!O15*'Annual Analysis'!R15)</f>
        <v>0</v>
      </c>
      <c r="D15" s="7" t="str">
        <f t="shared" si="0"/>
        <v>PASS</v>
      </c>
    </row>
    <row r="16" spans="1:4">
      <c r="A16" s="5" t="s">
        <v>175</v>
      </c>
      <c r="B16" s="5" t="s">
        <v>190</v>
      </c>
      <c r="C16" s="6">
        <f>ABS('Annual Analysis'!U16-'Annual Analysis'!O16*'Annual Analysis'!R16)</f>
        <v>0</v>
      </c>
      <c r="D16" s="7" t="str">
        <f t="shared" si="0"/>
        <v>PASS</v>
      </c>
    </row>
    <row r="17" spans="1:4">
      <c r="A17" s="5" t="s">
        <v>175</v>
      </c>
      <c r="B17" s="5" t="s">
        <v>191</v>
      </c>
      <c r="C17" s="6">
        <f>ABS('Annual Analysis'!U17-'Annual Analysis'!O17*'Annual Analysis'!R17)</f>
        <v>0</v>
      </c>
      <c r="D17" s="7" t="str">
        <f t="shared" si="0"/>
        <v>PASS</v>
      </c>
    </row>
    <row r="18" spans="1:4">
      <c r="A18" s="5" t="s">
        <v>175</v>
      </c>
      <c r="B18" s="5" t="s">
        <v>192</v>
      </c>
      <c r="C18" s="6">
        <f>ABS('Annual Analysis'!U18-'Annual Analysis'!O18*'Annual Analysis'!R18)</f>
        <v>0</v>
      </c>
      <c r="D18" s="7" t="str">
        <f t="shared" si="0"/>
        <v>PASS</v>
      </c>
    </row>
    <row r="19" spans="1:4">
      <c r="A19" s="5" t="s">
        <v>175</v>
      </c>
      <c r="B19" s="5" t="s">
        <v>193</v>
      </c>
      <c r="C19" s="6">
        <f>ABS('Annual Analysis'!U19-'Annual Analysis'!O19*'Annual Analysis'!R19)</f>
        <v>0</v>
      </c>
      <c r="D19" s="7" t="str">
        <f t="shared" si="0"/>
        <v>PASS</v>
      </c>
    </row>
    <row r="20" spans="1:4">
      <c r="A20" s="5" t="s">
        <v>194</v>
      </c>
      <c r="B20" s="5" t="s">
        <v>195</v>
      </c>
      <c r="C20" s="6">
        <f>IF(AND('Reference Intervals'!I2&lt;='Reference Intervals'!H2,'Reference Intervals'!H2&lt;='Reference Intervals'!J2,'Reference Intervals'!N2&lt;='Reference Intervals'!M2,'Reference Intervals'!M2&lt;='Reference Intervals'!O2),0,1)</f>
        <v>0</v>
      </c>
      <c r="D20" s="7" t="str">
        <f t="shared" ref="D20:D28" si="1">IF(C20=0,"PASS","CHECK")</f>
        <v>PASS</v>
      </c>
    </row>
    <row r="21" spans="1:4">
      <c r="A21" s="5" t="s">
        <v>194</v>
      </c>
      <c r="B21" s="5" t="s">
        <v>196</v>
      </c>
      <c r="C21" s="6">
        <f>IF(AND('Reference Intervals'!I3&lt;='Reference Intervals'!H3,'Reference Intervals'!H3&lt;='Reference Intervals'!J3,'Reference Intervals'!N3&lt;='Reference Intervals'!M3,'Reference Intervals'!M3&lt;='Reference Intervals'!O3),0,1)</f>
        <v>0</v>
      </c>
      <c r="D21" s="7" t="str">
        <f t="shared" si="1"/>
        <v>PASS</v>
      </c>
    </row>
    <row r="22" spans="1:4">
      <c r="A22" s="5" t="s">
        <v>194</v>
      </c>
      <c r="B22" s="5" t="s">
        <v>197</v>
      </c>
      <c r="C22" s="6">
        <f>IF(AND('Reference Intervals'!I4&lt;='Reference Intervals'!H4,'Reference Intervals'!H4&lt;='Reference Intervals'!J4,'Reference Intervals'!N4&lt;='Reference Intervals'!M4,'Reference Intervals'!M4&lt;='Reference Intervals'!O4),0,1)</f>
        <v>0</v>
      </c>
      <c r="D22" s="7" t="str">
        <f t="shared" si="1"/>
        <v>PASS</v>
      </c>
    </row>
    <row r="23" spans="1:4">
      <c r="A23" s="5" t="s">
        <v>194</v>
      </c>
      <c r="B23" s="5" t="s">
        <v>198</v>
      </c>
      <c r="C23" s="6">
        <f>IF(AND('Reference Intervals'!I5&lt;='Reference Intervals'!H5,'Reference Intervals'!H5&lt;='Reference Intervals'!J5,'Reference Intervals'!N5&lt;='Reference Intervals'!M5,'Reference Intervals'!M5&lt;='Reference Intervals'!O5),0,1)</f>
        <v>0</v>
      </c>
      <c r="D23" s="7" t="str">
        <f t="shared" si="1"/>
        <v>PASS</v>
      </c>
    </row>
    <row r="24" spans="1:4">
      <c r="A24" s="5" t="s">
        <v>194</v>
      </c>
      <c r="B24" s="5" t="s">
        <v>199</v>
      </c>
      <c r="C24" s="6">
        <f>IF(AND('Reference Intervals'!I6&lt;='Reference Intervals'!H6,'Reference Intervals'!H6&lt;='Reference Intervals'!J6,'Reference Intervals'!N6&lt;='Reference Intervals'!M6,'Reference Intervals'!M6&lt;='Reference Intervals'!O6),0,1)</f>
        <v>0</v>
      </c>
      <c r="D24" s="7" t="str">
        <f t="shared" si="1"/>
        <v>PASS</v>
      </c>
    </row>
    <row r="25" spans="1:4">
      <c r="A25" s="5" t="s">
        <v>194</v>
      </c>
      <c r="B25" s="5" t="s">
        <v>200</v>
      </c>
      <c r="C25" s="6">
        <f>IF(AND('Reference Intervals'!I7&lt;='Reference Intervals'!H7,'Reference Intervals'!H7&lt;='Reference Intervals'!J7,'Reference Intervals'!N7&lt;='Reference Intervals'!M7,'Reference Intervals'!M7&lt;='Reference Intervals'!O7),0,1)</f>
        <v>0</v>
      </c>
      <c r="D25" s="7" t="str">
        <f t="shared" si="1"/>
        <v>PASS</v>
      </c>
    </row>
    <row r="26" spans="1:4">
      <c r="A26" s="5" t="s">
        <v>194</v>
      </c>
      <c r="B26" s="5" t="s">
        <v>201</v>
      </c>
      <c r="C26" s="6">
        <f>IF(AND('Reference Intervals'!I8&lt;='Reference Intervals'!H8,'Reference Intervals'!H8&lt;='Reference Intervals'!J8,'Reference Intervals'!N8&lt;='Reference Intervals'!M8,'Reference Intervals'!M8&lt;='Reference Intervals'!O8),0,1)</f>
        <v>0</v>
      </c>
      <c r="D26" s="7" t="str">
        <f t="shared" si="1"/>
        <v>PASS</v>
      </c>
    </row>
    <row r="27" spans="1:4">
      <c r="A27" s="5" t="s">
        <v>194</v>
      </c>
      <c r="B27" s="5" t="s">
        <v>202</v>
      </c>
      <c r="C27" s="6">
        <f>IF(AND('Reference Intervals'!I9&lt;='Reference Intervals'!H9,'Reference Intervals'!H9&lt;='Reference Intervals'!J9,'Reference Intervals'!N9&lt;='Reference Intervals'!M9,'Reference Intervals'!M9&lt;='Reference Intervals'!O9),0,1)</f>
        <v>0</v>
      </c>
      <c r="D27" s="7" t="str">
        <f t="shared" si="1"/>
        <v>PASS</v>
      </c>
    </row>
    <row r="28" spans="1:4">
      <c r="A28" s="5" t="s">
        <v>194</v>
      </c>
      <c r="B28" s="5" t="s">
        <v>203</v>
      </c>
      <c r="C28" s="6">
        <f>IF(AND('Reference Intervals'!I10&lt;='Reference Intervals'!H10,'Reference Intervals'!H10&lt;='Reference Intervals'!J10,'Reference Intervals'!N10&lt;='Reference Intervals'!M10,'Reference Intervals'!M10&lt;='Reference Intervals'!O10),0,1)</f>
        <v>0</v>
      </c>
      <c r="D28" s="7" t="str">
        <f t="shared" si="1"/>
        <v>PASS</v>
      </c>
    </row>
    <row r="29" spans="1:4">
      <c r="A29" s="5"/>
      <c r="B29" s="5"/>
      <c r="C29" s="6"/>
      <c r="D29" s="7"/>
    </row>
    <row r="30" spans="1:4">
      <c r="A30" s="5" t="s">
        <v>204</v>
      </c>
      <c r="B30" s="5" t="s">
        <v>205</v>
      </c>
      <c r="C30" s="6">
        <f>MAX(C2:C29)</f>
        <v>0</v>
      </c>
      <c r="D30" s="7" t="str">
        <f>IF(C30&lt;=0.000001,"PASS","CHECK")</f>
        <v>PASS</v>
      </c>
    </row>
  </sheetData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10</vt:i4>
      </vt:variant>
    </vt:vector>
  </HeadingPairs>
  <TitlesOfParts>
    <vt:vector size="10" baseType="lpstr">
      <vt:lpstr>README</vt:lpstr>
      <vt:lpstr>Source Counts</vt:lpstr>
      <vt:lpstr>Annual Analysis</vt:lpstr>
      <vt:lpstr>Latest Metrics</vt:lpstr>
      <vt:lpstr>Stage Contributions</vt:lpstr>
      <vt:lpstr>Stage Equalization</vt:lpstr>
      <vt:lpstr>Trend Slopes</vt:lpstr>
      <vt:lpstr>EO Sensitivity</vt:lpstr>
      <vt:lpstr>Reference Intervals</vt:lpstr>
      <vt:lpstr>Checks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EDU</cp:lastModifiedBy>
  <dcterms:created xsi:type="dcterms:W3CDTF">2026-08-14T11:24:00Z</dcterms:created>
  <dcterms:modified xsi:type="dcterms:W3CDTF">2026-08-15T02:26:49Z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9E3D490645C244AB928DC4759D62F8E1_13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