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ahah\OneDrive\Desktop\Syreon Middle East\Edwards medical devices MCDA\Publication\Submission to BMC\"/>
    </mc:Choice>
  </mc:AlternateContent>
  <xr:revisionPtr revIDLastSave="0" documentId="8_{D302ECDE-C58A-4CA0-ABAB-21C938AB420C}" xr6:coauthVersionLast="47" xr6:coauthVersionMax="47" xr10:uidLastSave="{00000000-0000-0000-0000-000000000000}"/>
  <bookViews>
    <workbookView xWindow="-110" yWindow="-110" windowWidth="19420" windowHeight="10300" tabRatio="816" firstSheet="1" activeTab="1" xr2:uid="{00000000-000D-0000-FFFF-FFFF00000000}"/>
  </bookViews>
  <sheets>
    <sheet name="Price advantage" sheetId="7" state="veryHidden" r:id="rId1"/>
    <sheet name="Cover" sheetId="18" r:id="rId2"/>
    <sheet name="Scoring Functions" sheetId="8" r:id="rId3"/>
    <sheet name="SMART Ranking" sheetId="2" state="veryHidden" r:id="rId4"/>
    <sheet name="Order of criteria" sheetId="4" r:id="rId5"/>
    <sheet name="Criteria weights" sheetId="6" state="veryHidden" r:id="rId6"/>
    <sheet name="Weights" sheetId="15" r:id="rId7"/>
    <sheet name="Assessing options" sheetId="16" r:id="rId8"/>
    <sheet name="Graph" sheetId="17" r:id="rId9"/>
  </sheets>
  <definedNames>
    <definedName name="MinPrice">'Assessing options'!$A$11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5" l="1"/>
  <c r="C5" i="16"/>
  <c r="D11" i="15"/>
  <c r="D21" i="8"/>
  <c r="D20" i="8"/>
  <c r="D19" i="8"/>
  <c r="D9" i="8"/>
  <c r="D8" i="8"/>
  <c r="D7" i="8"/>
  <c r="D31" i="8"/>
  <c r="D30" i="8"/>
  <c r="D3" i="8"/>
  <c r="D4" i="8"/>
  <c r="D5" i="8"/>
  <c r="D6" i="8"/>
  <c r="D10" i="8"/>
  <c r="D11" i="8"/>
  <c r="D12" i="8"/>
  <c r="D13" i="8"/>
  <c r="D14" i="8"/>
  <c r="D15" i="8"/>
  <c r="D16" i="8"/>
  <c r="D17" i="8"/>
  <c r="D18" i="8"/>
  <c r="D24" i="8"/>
  <c r="D25" i="8"/>
  <c r="D26" i="8"/>
  <c r="D27" i="8"/>
  <c r="D22" i="8"/>
  <c r="D23" i="8"/>
  <c r="D29" i="8"/>
  <c r="D28" i="8"/>
  <c r="B13" i="2" l="1"/>
  <c r="E20" i="6" l="1"/>
  <c r="E21" i="6"/>
  <c r="E22" i="6"/>
  <c r="E19" i="6"/>
  <c r="H3" i="17" l="1"/>
  <c r="G3" i="17"/>
  <c r="D3" i="17"/>
  <c r="F3" i="17"/>
  <c r="D10" i="15" l="1"/>
  <c r="E13" i="2" l="1"/>
  <c r="D13" i="2"/>
  <c r="B11" i="2"/>
  <c r="E11" i="2" l="1"/>
  <c r="B12" i="2"/>
  <c r="B10" i="2"/>
  <c r="B9" i="2"/>
  <c r="B8" i="2"/>
  <c r="B7" i="2"/>
  <c r="B6" i="2"/>
  <c r="B5" i="2"/>
  <c r="D6" i="2"/>
  <c r="D7" i="2"/>
  <c r="D8" i="2"/>
  <c r="D9" i="2"/>
  <c r="D10" i="2"/>
  <c r="D11" i="2"/>
  <c r="D12" i="2"/>
  <c r="D5" i="2"/>
  <c r="D2" i="8"/>
  <c r="E6" i="2" l="1"/>
  <c r="E7" i="2"/>
  <c r="E12" i="2"/>
  <c r="E10" i="2"/>
  <c r="E8" i="2"/>
  <c r="E5" i="2"/>
  <c r="E9" i="2"/>
  <c r="B19" i="15"/>
  <c r="B17" i="6"/>
  <c r="B12" i="15"/>
  <c r="B11" i="15"/>
  <c r="B13" i="15"/>
  <c r="B11" i="6"/>
  <c r="B12" i="6"/>
  <c r="B10" i="6"/>
  <c r="B14" i="15"/>
  <c r="B13" i="6"/>
  <c r="B15" i="15"/>
  <c r="B16" i="15"/>
  <c r="B14" i="6"/>
  <c r="B17" i="15"/>
  <c r="B15" i="6"/>
  <c r="B18" i="6"/>
  <c r="C18" i="6" s="1"/>
  <c r="B18" i="15"/>
  <c r="B16" i="6"/>
  <c r="B6" i="4"/>
  <c r="B7" i="4"/>
  <c r="B11" i="4"/>
  <c r="B13" i="4"/>
  <c r="B10" i="4"/>
  <c r="B5" i="4"/>
  <c r="B8" i="4"/>
  <c r="B12" i="4"/>
  <c r="C12" i="4" s="1"/>
  <c r="B10" i="16" s="1"/>
  <c r="B9" i="4"/>
  <c r="C11" i="6" l="1"/>
  <c r="C7" i="4"/>
  <c r="B5" i="16" s="1"/>
  <c r="C5" i="4"/>
  <c r="B3" i="16" s="1"/>
  <c r="C10" i="6"/>
  <c r="C16" i="6"/>
  <c r="C13" i="6"/>
  <c r="C17" i="6"/>
  <c r="C8" i="4"/>
  <c r="B6" i="16" s="1"/>
  <c r="C11" i="15"/>
  <c r="G11" i="15" s="1"/>
  <c r="C12" i="6"/>
  <c r="C14" i="6"/>
  <c r="C9" i="4"/>
  <c r="B7" i="16" s="1"/>
  <c r="C6" i="4"/>
  <c r="B4" i="16" s="1"/>
  <c r="C13" i="4"/>
  <c r="C11" i="4"/>
  <c r="B9" i="16" s="1"/>
  <c r="C15" i="6"/>
  <c r="C10" i="4"/>
  <c r="B8" i="16" s="1"/>
  <c r="E18" i="6"/>
  <c r="G10" i="15"/>
  <c r="I10" i="15" s="1"/>
  <c r="E17" i="6" l="1"/>
  <c r="E16" i="6" s="1"/>
  <c r="E15" i="6" s="1"/>
  <c r="E14" i="6" s="1"/>
  <c r="E3" i="17"/>
  <c r="C15" i="17"/>
  <c r="E13" i="6" l="1"/>
  <c r="H11" i="7"/>
  <c r="K11" i="7"/>
  <c r="G11" i="7"/>
  <c r="K9" i="7"/>
  <c r="E12" i="6" l="1"/>
  <c r="G9" i="7"/>
  <c r="J9" i="7"/>
  <c r="J11" i="7"/>
  <c r="M9" i="7"/>
  <c r="I9" i="7"/>
  <c r="M11" i="7"/>
  <c r="I11" i="7"/>
  <c r="N10" i="7"/>
  <c r="L9" i="7"/>
  <c r="H9" i="7"/>
  <c r="L11" i="7"/>
  <c r="E11" i="6" l="1"/>
  <c r="C7" i="17"/>
  <c r="E10" i="6" l="1"/>
  <c r="C9" i="17"/>
  <c r="C8" i="17"/>
  <c r="C4" i="17"/>
  <c r="C10" i="17"/>
  <c r="C6" i="17"/>
  <c r="C5" i="17"/>
  <c r="C11" i="17"/>
  <c r="E8" i="6" l="1"/>
  <c r="F3" i="6"/>
  <c r="D3" i="15"/>
  <c r="F18" i="6" l="1"/>
  <c r="F11" i="6"/>
  <c r="F16" i="6"/>
  <c r="F17" i="6"/>
  <c r="F15" i="6"/>
  <c r="F14" i="6"/>
  <c r="F13" i="6"/>
  <c r="F12" i="6"/>
  <c r="F10" i="6"/>
  <c r="C13" i="17"/>
  <c r="C12" i="17"/>
  <c r="F11" i="15" l="1"/>
  <c r="C14" i="17"/>
  <c r="D4" i="15"/>
  <c r="B15" i="4" l="1"/>
  <c r="C15" i="4" s="1"/>
  <c r="B20" i="15"/>
  <c r="C20" i="15" s="1"/>
  <c r="G20" i="15" s="1"/>
  <c r="I20" i="15" s="1"/>
  <c r="B21" i="15"/>
  <c r="C21" i="15" s="1"/>
  <c r="G21" i="15" s="1"/>
  <c r="I21" i="15" s="1"/>
  <c r="B16" i="4"/>
  <c r="C16" i="4" s="1"/>
  <c r="B22" i="15"/>
  <c r="C22" i="15" s="1"/>
  <c r="D22" i="15" s="1"/>
  <c r="B14" i="4"/>
  <c r="C14" i="4" s="1"/>
  <c r="I11" i="15"/>
  <c r="C13" i="15" l="1"/>
  <c r="C15" i="15"/>
  <c r="C17" i="15"/>
  <c r="C18" i="15"/>
  <c r="G18" i="15" s="1"/>
  <c r="C14" i="15"/>
  <c r="C19" i="15"/>
  <c r="G19" i="15" s="1"/>
  <c r="C16" i="15"/>
  <c r="C12" i="15"/>
  <c r="H11" i="6"/>
  <c r="H10" i="6"/>
  <c r="H13" i="6"/>
  <c r="H16" i="6"/>
  <c r="H14" i="6"/>
  <c r="H12" i="6"/>
  <c r="H17" i="6"/>
  <c r="H15" i="6"/>
  <c r="G12" i="15" l="1"/>
  <c r="I12" i="15" s="1"/>
  <c r="F12" i="15"/>
  <c r="G13" i="15"/>
  <c r="I13" i="15" s="1"/>
  <c r="F13" i="15"/>
  <c r="G16" i="15"/>
  <c r="I16" i="15" s="1"/>
  <c r="F16" i="15"/>
  <c r="I19" i="15"/>
  <c r="F19" i="15"/>
  <c r="I18" i="15"/>
  <c r="F18" i="15"/>
  <c r="G17" i="15"/>
  <c r="I17" i="15" s="1"/>
  <c r="F17" i="15"/>
  <c r="G14" i="15"/>
  <c r="I14" i="15" s="1"/>
  <c r="F14" i="15"/>
  <c r="G15" i="15"/>
  <c r="I15" i="15" s="1"/>
  <c r="F15" i="15"/>
  <c r="G17" i="6"/>
  <c r="G9" i="15" l="1"/>
  <c r="G24" i="15" s="1"/>
  <c r="G16" i="6"/>
  <c r="G15" i="6" s="1"/>
  <c r="G14" i="6" s="1"/>
  <c r="G13" i="6" s="1"/>
  <c r="G12" i="6" s="1"/>
  <c r="G11" i="6" s="1"/>
  <c r="G10" i="6" s="1"/>
  <c r="G18" i="6" s="1"/>
  <c r="F20" i="15" s="1"/>
  <c r="D20" i="15" s="1"/>
  <c r="D9" i="15"/>
  <c r="G23" i="15"/>
  <c r="D19" i="15"/>
  <c r="D17" i="15"/>
  <c r="D14" i="15"/>
  <c r="C9" i="16" l="1"/>
  <c r="D15" i="15"/>
  <c r="D12" i="15"/>
  <c r="C4" i="16" s="1"/>
  <c r="D16" i="15"/>
  <c r="D18" i="15"/>
  <c r="C10" i="16" s="1"/>
  <c r="F21" i="15"/>
  <c r="D21" i="15" s="1"/>
  <c r="C6" i="16" l="1"/>
  <c r="C7" i="16"/>
  <c r="C3" i="16"/>
  <c r="C8" i="16"/>
  <c r="K9" i="16" l="1"/>
  <c r="L9" i="16" s="1"/>
  <c r="N9" i="16"/>
  <c r="O9" i="16" s="1"/>
  <c r="E6" i="16"/>
  <c r="F6" i="16" s="1"/>
  <c r="N8" i="16"/>
  <c r="O8" i="16" s="1"/>
  <c r="N6" i="16"/>
  <c r="O6" i="16" s="1"/>
  <c r="N3" i="16"/>
  <c r="H8" i="16"/>
  <c r="N4" i="16"/>
  <c r="O4" i="16" s="1"/>
  <c r="H5" i="16"/>
  <c r="E5" i="16"/>
  <c r="F5" i="16" s="1"/>
  <c r="I5" i="16" s="1"/>
  <c r="K7" i="16"/>
  <c r="L7" i="16" s="1"/>
  <c r="Q10" i="16"/>
  <c r="Q5" i="16"/>
  <c r="R5" i="16" s="1"/>
  <c r="Q3" i="16"/>
  <c r="R3" i="16" s="1"/>
  <c r="K8" i="16"/>
  <c r="L8" i="16" s="1"/>
  <c r="H4" i="16"/>
  <c r="H7" i="16"/>
  <c r="K5" i="16"/>
  <c r="L5" i="16" s="1"/>
  <c r="Q7" i="16"/>
  <c r="H10" i="16"/>
  <c r="Q8" i="16"/>
  <c r="R8" i="16" s="1"/>
  <c r="E3" i="16"/>
  <c r="F3" i="16" s="1"/>
  <c r="H6" i="16"/>
  <c r="E10" i="16"/>
  <c r="F10" i="16" s="1"/>
  <c r="N5" i="16"/>
  <c r="O5" i="16" s="1"/>
  <c r="K10" i="16"/>
  <c r="L10" i="16" s="1"/>
  <c r="E7" i="16"/>
  <c r="F7" i="16" s="1"/>
  <c r="N10" i="16"/>
  <c r="O10" i="16" s="1"/>
  <c r="Q4" i="16"/>
  <c r="R4" i="16" s="1"/>
  <c r="K4" i="16"/>
  <c r="L4" i="16" s="1"/>
  <c r="H9" i="16"/>
  <c r="N7" i="16"/>
  <c r="O7" i="16" s="1"/>
  <c r="E9" i="16"/>
  <c r="H3" i="16"/>
  <c r="E4" i="16"/>
  <c r="F4" i="16" s="1"/>
  <c r="Q9" i="16"/>
  <c r="R9" i="16" s="1"/>
  <c r="K6" i="16"/>
  <c r="L6" i="16" s="1"/>
  <c r="E8" i="16"/>
  <c r="F8" i="16" s="1"/>
  <c r="Q6" i="16"/>
  <c r="R6" i="16" s="1"/>
  <c r="K3" i="16"/>
  <c r="L3" i="16" s="1"/>
  <c r="R7" i="16"/>
  <c r="I10" i="16"/>
  <c r="R10" i="16"/>
  <c r="I3" i="16" l="1"/>
  <c r="I7" i="16"/>
  <c r="I8" i="16"/>
  <c r="I6" i="16"/>
  <c r="I4" i="16"/>
  <c r="M11" i="16"/>
  <c r="O3" i="16"/>
  <c r="D11" i="16"/>
  <c r="J11" i="16"/>
  <c r="P11" i="16"/>
  <c r="R11" i="16" s="1"/>
  <c r="F9" i="16"/>
  <c r="G11" i="16" s="1"/>
  <c r="I9" i="16" l="1"/>
  <c r="F8" i="17"/>
  <c r="F9" i="17"/>
  <c r="F10" i="17"/>
  <c r="F12" i="17"/>
  <c r="F5" i="17"/>
  <c r="F14" i="17"/>
  <c r="F7" i="17"/>
  <c r="F11" i="17"/>
  <c r="F4" i="17"/>
  <c r="F13" i="17"/>
  <c r="F6" i="17"/>
  <c r="H11" i="17"/>
  <c r="H5" i="17"/>
  <c r="H13" i="17"/>
  <c r="H6" i="17"/>
  <c r="H14" i="17"/>
  <c r="H9" i="17"/>
  <c r="H10" i="17"/>
  <c r="H7" i="17"/>
  <c r="H15" i="17"/>
  <c r="H8" i="17"/>
  <c r="H4" i="17"/>
  <c r="E14" i="17"/>
  <c r="E4" i="17"/>
  <c r="E6" i="17"/>
  <c r="E9" i="17"/>
  <c r="E13" i="17"/>
  <c r="E10" i="17"/>
  <c r="E5" i="17"/>
  <c r="E8" i="17"/>
  <c r="E7" i="17"/>
  <c r="E12" i="17"/>
  <c r="E11" i="17"/>
  <c r="D10" i="17" l="1"/>
  <c r="D5" i="17" l="1"/>
  <c r="D11" i="17"/>
  <c r="D4" i="17"/>
  <c r="D6" i="17"/>
  <c r="D12" i="17"/>
  <c r="D14" i="17"/>
  <c r="D9" i="17"/>
  <c r="D8" i="17"/>
  <c r="D7" i="17"/>
  <c r="D13" i="17"/>
  <c r="G4" i="17" l="1"/>
  <c r="G14" i="17"/>
  <c r="G10" i="17"/>
  <c r="G15" i="17"/>
  <c r="G11" i="17"/>
  <c r="G5" i="17"/>
  <c r="G6" i="17"/>
  <c r="G9" i="17"/>
  <c r="G7" i="17"/>
  <c r="G13" i="17"/>
  <c r="G8" i="17"/>
  <c r="A11" i="16"/>
  <c r="O11" i="16" l="1"/>
  <c r="G12" i="17"/>
  <c r="L11" i="16"/>
  <c r="F15" i="17"/>
  <c r="F11" i="16"/>
  <c r="D15" i="17"/>
  <c r="H12" i="17"/>
  <c r="I11" i="16"/>
  <c r="E15" i="17"/>
</calcChain>
</file>

<file path=xl/sharedStrings.xml><?xml version="1.0" encoding="utf-8"?>
<sst xmlns="http://schemas.openxmlformats.org/spreadsheetml/2006/main" count="104" uniqueCount="85">
  <si>
    <t>Rank</t>
  </si>
  <si>
    <t>weight</t>
  </si>
  <si>
    <t>median</t>
  </si>
  <si>
    <t>Maximum extra price allowed compared to the cheapest option (%)</t>
  </si>
  <si>
    <t>The weight of the Price criterion</t>
  </si>
  <si>
    <t>This means that the combined weights of all other criteria will be</t>
  </si>
  <si>
    <t>options</t>
  </si>
  <si>
    <t>EXCLUSION</t>
  </si>
  <si>
    <t>Maximum extra price they are willing to pay compared to the cheapest option (%)</t>
  </si>
  <si>
    <t>Score (%)</t>
  </si>
  <si>
    <t>In this example, we see seven products with different prices. The cheapest product is the first from the left, and it will get 100% of the points according to the price criterion. Any product with a price higher than the cutoff point (red line) will get 0% of points according to the price criterion. The products with prices in between the cheapest and the cutoff point will get points based on a simple linear function.</t>
  </si>
  <si>
    <t>Cutoff point</t>
  </si>
  <si>
    <t>Options</t>
  </si>
  <si>
    <t>Criterion</t>
  </si>
  <si>
    <t>Weight of criterion</t>
  </si>
  <si>
    <t>Assessment</t>
  </si>
  <si>
    <t>Points</t>
  </si>
  <si>
    <t>Score within weights (%)</t>
  </si>
  <si>
    <t>Overall score</t>
  </si>
  <si>
    <r>
      <t xml:space="preserve">(e.g. +100% means </t>
    </r>
    <r>
      <rPr>
        <b/>
        <sz val="11"/>
        <color theme="1"/>
        <rFont val="Calibri"/>
        <family val="2"/>
        <charset val="238"/>
        <scheme val="minor"/>
      </rPr>
      <t>double price</t>
    </r>
    <r>
      <rPr>
        <sz val="11"/>
        <color theme="1"/>
        <rFont val="Calibri"/>
        <family val="2"/>
        <scheme val="minor"/>
      </rPr>
      <t xml:space="preserve">, +200% means </t>
    </r>
    <r>
      <rPr>
        <b/>
        <sz val="11"/>
        <color theme="1"/>
        <rFont val="Calibri"/>
        <family val="2"/>
        <charset val="238"/>
        <scheme val="minor"/>
      </rPr>
      <t>triple price</t>
    </r>
    <r>
      <rPr>
        <sz val="11"/>
        <color theme="1"/>
        <rFont val="Calibri"/>
        <family val="2"/>
        <scheme val="minor"/>
      </rPr>
      <t xml:space="preserve"> of the reference product)</t>
    </r>
  </si>
  <si>
    <t>Distribution of non-price criteria based on the SMART method (overall)</t>
  </si>
  <si>
    <t>SMART weighting</t>
  </si>
  <si>
    <t>Manually set weights</t>
  </si>
  <si>
    <t>Please select!</t>
  </si>
  <si>
    <t>Criteria number and intended definition</t>
  </si>
  <si>
    <t>Criteria name</t>
  </si>
  <si>
    <t xml:space="preserve">Weight increase compared to previous </t>
  </si>
  <si>
    <t>Now please enter the ranking of each criterion to the orange cell</t>
  </si>
  <si>
    <t>1. To assure fulfilling the technical specifications</t>
  </si>
  <si>
    <t>Technical characteristics of the medical device</t>
  </si>
  <si>
    <t>Fulfills 100% of the technical specefications required</t>
  </si>
  <si>
    <t>Fulfills 90%-&lt;100% of the technical specefications required</t>
  </si>
  <si>
    <t>Fulfills 80%-&lt;90% of the technical specefications required</t>
  </si>
  <si>
    <t>CFG certificate from FDA</t>
  </si>
  <si>
    <t>3. To assure previous use in countries with good standards of quality</t>
  </si>
  <si>
    <t>Use in reference countries</t>
  </si>
  <si>
    <t>4. To assure previous use in tenders (must provide import approval in case of imported products)</t>
  </si>
  <si>
    <t>Previous use in tenders</t>
  </si>
  <si>
    <t>5. To assure the relaiability of the supplier</t>
  </si>
  <si>
    <t>Supply reliability</t>
  </si>
  <si>
    <t>Did not supply previously</t>
  </si>
  <si>
    <t xml:space="preserve">7. To assure supplier flexibility </t>
  </si>
  <si>
    <t>Instant replacement within product variety (within surgery OR on shelf stock)</t>
  </si>
  <si>
    <t>Supplier provides instant replacement within product variety (During surgery on on shelf stock)</t>
  </si>
  <si>
    <t>Supplier does not provide product replacement for different sizes/ types</t>
  </si>
  <si>
    <t>Country of origin</t>
  </si>
  <si>
    <t>Non reference countries for both</t>
  </si>
  <si>
    <t>European CE certificate + free sale certificate from a reference country</t>
  </si>
  <si>
    <t>Canadian free sale certificate + ((medical device active license + MDSAP certificate) or medical device establishment license )</t>
  </si>
  <si>
    <t>European CE certificate only (for local products only)</t>
  </si>
  <si>
    <t>2. To assure manufacturing in a country with good standards of quality</t>
  </si>
  <si>
    <t>Supplier has an efficient pharmacovigilance system</t>
  </si>
  <si>
    <t>Supplier has a moderate quality pharmacovigilance system</t>
  </si>
  <si>
    <t>Supplier has a low quality pharmacovigilance system</t>
  </si>
  <si>
    <t xml:space="preserve">No pharmacovigilance system </t>
  </si>
  <si>
    <t>6. To assure having a proper recall and pharmacovigilance system for sold products</t>
  </si>
  <si>
    <t>Pharmacovigilance</t>
  </si>
  <si>
    <t>Refund/Replacement within product variety</t>
  </si>
  <si>
    <t>9. to assure replacement of unwanted or expired products</t>
  </si>
  <si>
    <t>Fulfills &lt;70% of the technical specefications required</t>
  </si>
  <si>
    <t>Fulfills 70%-&lt;80% of the technical specefications required</t>
  </si>
  <si>
    <t>Final weight</t>
  </si>
  <si>
    <t>Possible scoring elements</t>
  </si>
  <si>
    <t>Supplier fulfilled &lt; 50% of the committed requirements in the last 3 years</t>
  </si>
  <si>
    <t>Supplier fulfilled 50% - 70% of the committed requirements in the last 3 years</t>
  </si>
  <si>
    <t>Supplier fulfilled 70% - 90% of the committed requirements in the last 3 years</t>
  </si>
  <si>
    <t>Supplier fulfilled more than 90% of the committed requirements in the last 3 years</t>
  </si>
  <si>
    <t>Listed in the UPA platform</t>
  </si>
  <si>
    <t>Supplied to governmental or non-governmental organizations in the previous 2 years</t>
  </si>
  <si>
    <t xml:space="preserve">Reference country of the legal manufacturer or actual manufacturer </t>
  </si>
  <si>
    <t>Reference countries for both legal and actual manufacturer or local product</t>
  </si>
  <si>
    <t>The product was present in the stagnant report 4 times in the last year</t>
  </si>
  <si>
    <t>The product was present in the stagnant report 3 times subsequently in the last year</t>
  </si>
  <si>
    <t>The product was present in the stagnant report 2 times subsequently in the last year</t>
  </si>
  <si>
    <t>The product was present in the stagnant report 1 time or less in the last year</t>
  </si>
  <si>
    <t>Comparator 1</t>
  </si>
  <si>
    <t>Comparator 2</t>
  </si>
  <si>
    <t>Comparator 3</t>
  </si>
  <si>
    <t>Comparator 4</t>
  </si>
  <si>
    <t>Comparator 5</t>
  </si>
  <si>
    <t>Version 2.0</t>
  </si>
  <si>
    <t>Developed 3 March 2022</t>
  </si>
  <si>
    <t xml:space="preserve">Multi-criteria Decision Analysis (MCDA) tool </t>
  </si>
  <si>
    <t>for purchasing implantable medical devices</t>
  </si>
  <si>
    <t xml:space="preserve">Total distribution of weights of all criteria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</si>
</sst>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[$AED]\ #,##0"/>
    <numFmt numFmtId="167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/>
    <xf numFmtId="1" fontId="0" fillId="4" borderId="0" xfId="0" applyNumberFormat="1" applyFill="1" applyAlignment="1">
      <alignment horizontal="center"/>
    </xf>
    <xf numFmtId="0" fontId="0" fillId="2" borderId="1" xfId="0" applyFill="1" applyBorder="1"/>
    <xf numFmtId="2" fontId="0" fillId="2" borderId="0" xfId="0" applyNumberFormat="1" applyFill="1"/>
    <xf numFmtId="164" fontId="2" fillId="4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 applyBorder="1"/>
    <xf numFmtId="0" fontId="2" fillId="2" borderId="0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right" vertical="top"/>
    </xf>
    <xf numFmtId="0" fontId="2" fillId="2" borderId="0" xfId="0" applyFont="1" applyFill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/>
    <xf numFmtId="0" fontId="6" fillId="0" borderId="0" xfId="0" applyFont="1" applyFill="1"/>
    <xf numFmtId="0" fontId="0" fillId="6" borderId="0" xfId="0" applyFill="1"/>
    <xf numFmtId="0" fontId="0" fillId="6" borderId="0" xfId="0" applyFill="1" applyBorder="1"/>
    <xf numFmtId="1" fontId="2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9" fontId="2" fillId="6" borderId="0" xfId="0" applyNumberFormat="1" applyFont="1" applyFill="1"/>
    <xf numFmtId="9" fontId="2" fillId="0" borderId="0" xfId="0" applyNumberFormat="1" applyFont="1" applyFill="1" applyAlignment="1">
      <alignment horizontal="right"/>
    </xf>
    <xf numFmtId="0" fontId="2" fillId="2" borderId="0" xfId="0" applyFont="1" applyFill="1" applyAlignment="1"/>
    <xf numFmtId="0" fontId="0" fillId="6" borderId="0" xfId="0" applyFill="1" applyAlignment="1">
      <alignment horizontal="right"/>
    </xf>
    <xf numFmtId="0" fontId="5" fillId="2" borderId="0" xfId="0" applyFont="1" applyFill="1"/>
    <xf numFmtId="0" fontId="0" fillId="2" borderId="0" xfId="0" applyFill="1" applyAlignment="1">
      <alignment wrapText="1"/>
    </xf>
    <xf numFmtId="9" fontId="4" fillId="2" borderId="0" xfId="1" applyFont="1" applyFill="1"/>
    <xf numFmtId="2" fontId="2" fillId="6" borderId="0" xfId="1" applyNumberFormat="1" applyFont="1" applyFill="1"/>
    <xf numFmtId="2" fontId="0" fillId="6" borderId="0" xfId="1" applyNumberFormat="1" applyFont="1" applyFill="1"/>
    <xf numFmtId="2" fontId="2" fillId="6" borderId="0" xfId="1" applyNumberFormat="1" applyFont="1" applyFill="1" applyAlignment="1">
      <alignment horizontal="right"/>
    </xf>
    <xf numFmtId="0" fontId="3" fillId="2" borderId="0" xfId="0" applyFont="1" applyFill="1" applyAlignment="1">
      <alignment wrapText="1"/>
    </xf>
    <xf numFmtId="2" fontId="2" fillId="6" borderId="0" xfId="0" applyNumberFormat="1" applyFont="1" applyFill="1"/>
    <xf numFmtId="0" fontId="2" fillId="5" borderId="0" xfId="0" applyFont="1" applyFill="1" applyAlignment="1">
      <alignment horizontal="center"/>
    </xf>
    <xf numFmtId="2" fontId="2" fillId="5" borderId="0" xfId="0" applyNumberFormat="1" applyFont="1" applyFill="1"/>
    <xf numFmtId="2" fontId="2" fillId="5" borderId="0" xfId="0" applyNumberFormat="1" applyFont="1" applyFill="1" applyAlignment="1">
      <alignment horizontal="right"/>
    </xf>
    <xf numFmtId="0" fontId="8" fillId="2" borderId="0" xfId="0" applyFont="1" applyFill="1"/>
    <xf numFmtId="2" fontId="2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164" fontId="2" fillId="7" borderId="0" xfId="1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166" fontId="4" fillId="2" borderId="0" xfId="0" applyNumberFormat="1" applyFont="1" applyFill="1"/>
    <xf numFmtId="0" fontId="9" fillId="8" borderId="1" xfId="0" applyFont="1" applyFill="1" applyBorder="1"/>
    <xf numFmtId="9" fontId="2" fillId="8" borderId="0" xfId="1" applyFont="1" applyFill="1"/>
    <xf numFmtId="0" fontId="0" fillId="2" borderId="0" xfId="0" applyFill="1"/>
    <xf numFmtId="0" fontId="0" fillId="6" borderId="0" xfId="0" applyFill="1" applyBorder="1"/>
    <xf numFmtId="164" fontId="2" fillId="6" borderId="0" xfId="1" applyNumberFormat="1" applyFont="1" applyFill="1" applyAlignment="1">
      <alignment horizontal="right"/>
    </xf>
    <xf numFmtId="0" fontId="0" fillId="6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quotePrefix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0" xfId="0" applyFon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5" xfId="0" quotePrefix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6" xfId="0" applyFill="1" applyBorder="1" applyAlignment="1">
      <alignment horizontal="left" vertical="center" wrapText="1"/>
    </xf>
    <xf numFmtId="0" fontId="0" fillId="2" borderId="6" xfId="0" applyFill="1" applyBorder="1"/>
    <xf numFmtId="0" fontId="0" fillId="2" borderId="5" xfId="0" quotePrefix="1" applyFill="1" applyBorder="1" applyAlignment="1">
      <alignment horizontal="left" vertical="center"/>
    </xf>
    <xf numFmtId="0" fontId="0" fillId="2" borderId="6" xfId="0" quotePrefix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4" fillId="6" borderId="0" xfId="0" applyFont="1" applyFill="1"/>
    <xf numFmtId="9" fontId="0" fillId="2" borderId="8" xfId="0" applyNumberFormat="1" applyFill="1" applyBorder="1" applyProtection="1">
      <protection locked="0"/>
    </xf>
    <xf numFmtId="9" fontId="0" fillId="2" borderId="9" xfId="0" applyNumberFormat="1" applyFill="1" applyBorder="1" applyProtection="1">
      <protection locked="0"/>
    </xf>
    <xf numFmtId="9" fontId="0" fillId="2" borderId="10" xfId="0" applyNumberFormat="1" applyFill="1" applyBorder="1" applyProtection="1">
      <protection locked="0"/>
    </xf>
    <xf numFmtId="167" fontId="2" fillId="6" borderId="0" xfId="1" applyNumberFormat="1" applyFont="1" applyFill="1" applyAlignment="1" applyProtection="1">
      <alignment horizontal="right"/>
      <protection locked="0"/>
    </xf>
    <xf numFmtId="0" fontId="0" fillId="2" borderId="0" xfId="0" applyFill="1" applyProtection="1"/>
    <xf numFmtId="0" fontId="0" fillId="0" borderId="0" xfId="0" applyFill="1" applyProtection="1"/>
    <xf numFmtId="0" fontId="0" fillId="0" borderId="0" xfId="0" applyProtection="1"/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vertical="center" wrapText="1"/>
    </xf>
    <xf numFmtId="2" fontId="0" fillId="0" borderId="11" xfId="0" applyNumberFormat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vertical="center" wrapText="1"/>
    </xf>
    <xf numFmtId="2" fontId="0" fillId="6" borderId="4" xfId="0" applyNumberFormat="1" applyFill="1" applyBorder="1" applyAlignment="1" applyProtection="1">
      <alignment horizontal="center" vertical="center"/>
    </xf>
    <xf numFmtId="9" fontId="0" fillId="6" borderId="11" xfId="1" applyFont="1" applyFill="1" applyBorder="1" applyAlignment="1" applyProtection="1">
      <alignment horizontal="right" vertical="center"/>
    </xf>
    <xf numFmtId="0" fontId="0" fillId="5" borderId="15" xfId="0" applyFill="1" applyBorder="1" applyAlignment="1" applyProtection="1">
      <alignment vertical="center" wrapText="1"/>
    </xf>
    <xf numFmtId="9" fontId="0" fillId="6" borderId="9" xfId="1" applyFont="1" applyFill="1" applyBorder="1" applyAlignment="1" applyProtection="1">
      <alignment horizontal="right" vertical="center"/>
    </xf>
    <xf numFmtId="0" fontId="4" fillId="0" borderId="0" xfId="0" applyFont="1" applyProtection="1"/>
    <xf numFmtId="0" fontId="10" fillId="0" borderId="19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165" fontId="10" fillId="0" borderId="20" xfId="0" applyNumberFormat="1" applyFont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vertical="center" wrapText="1"/>
      <protection locked="0"/>
    </xf>
    <xf numFmtId="0" fontId="0" fillId="5" borderId="15" xfId="0" applyFill="1" applyBorder="1" applyAlignment="1" applyProtection="1">
      <alignment vertical="center" wrapText="1"/>
      <protection locked="0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2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17" xfId="0" quotePrefix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13" xfId="0" quotePrefix="1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0" borderId="13" xfId="0" quotePrefix="1" applyFill="1" applyBorder="1" applyAlignment="1">
      <alignment horizontal="left" vertical="center" wrapText="1"/>
    </xf>
    <xf numFmtId="0" fontId="0" fillId="0" borderId="15" xfId="0" quotePrefix="1" applyFill="1" applyBorder="1" applyAlignment="1">
      <alignment horizontal="left" vertical="center" wrapText="1"/>
    </xf>
    <xf numFmtId="0" fontId="0" fillId="0" borderId="16" xfId="0" quotePrefix="1" applyFill="1" applyBorder="1" applyAlignment="1">
      <alignment horizontal="left" vertical="center" wrapText="1"/>
    </xf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10"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E36C09"/>
      <color rgb="FFFF9E1D"/>
      <color rgb="FF7F7F7F"/>
      <color rgb="FFFFB24B"/>
      <color rgb="FFCC3300"/>
      <color rgb="FFF37739"/>
      <color rgb="FFFF3300"/>
      <color rgb="FFFF0000"/>
      <color rgb="FF8992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0"/>
            </a:pPr>
            <a:r>
              <a:rPr lang="en-US" sz="1400" b="0"/>
              <a:t>Example of scoring the Price criterion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'Price advantage'!$F$10</c:f>
              <c:strCache>
                <c:ptCount val="1"/>
                <c:pt idx="0">
                  <c:v>Options</c:v>
                </c:pt>
              </c:strCache>
            </c:strRef>
          </c:tx>
          <c:spPr>
            <a:solidFill>
              <a:srgbClr val="7F7F7F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'Price advantage'!$G$9:$M$9</c:f>
              <c:numCache>
                <c:formatCode>0%</c:formatCode>
                <c:ptCount val="7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'Price advantage'!$G$10:$M$10</c:f>
              <c:numCache>
                <c:formatCode>[$AED]\ #,##0</c:formatCode>
                <c:ptCount val="7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5C-4223-A646-E2670F5B5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33280"/>
        <c:axId val="87639552"/>
      </c:barChart>
      <c:lineChart>
        <c:grouping val="standard"/>
        <c:varyColors val="0"/>
        <c:ser>
          <c:idx val="1"/>
          <c:order val="1"/>
          <c:tx>
            <c:strRef>
              <c:f>'Price advantage'!$F$11</c:f>
              <c:strCache>
                <c:ptCount val="1"/>
                <c:pt idx="0">
                  <c:v>Cutoff point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'Price advantage'!$G$9:$M$9</c:f>
              <c:numCache>
                <c:formatCode>0%</c:formatCode>
                <c:ptCount val="7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'Price advantage'!$G$11:$M$11</c:f>
              <c:numCache>
                <c:formatCode>[$AED]\ #,##0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5C-4223-A646-E2670F5B5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33280"/>
        <c:axId val="87639552"/>
      </c:lineChart>
      <c:catAx>
        <c:axId val="87633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Percentage of points according to the Price criterion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87639552"/>
        <c:crosses val="autoZero"/>
        <c:auto val="1"/>
        <c:lblAlgn val="ctr"/>
        <c:lblOffset val="100"/>
        <c:noMultiLvlLbl val="0"/>
      </c:catAx>
      <c:valAx>
        <c:axId val="87639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Price</a:t>
                </a:r>
              </a:p>
            </c:rich>
          </c:tx>
          <c:overlay val="0"/>
        </c:title>
        <c:numFmt formatCode="&quot;$&quot;#,##0" sourceLinked="0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87633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7"/>
          <c:order val="1"/>
          <c:tx>
            <c:strRef>
              <c:f>Graph!$C$11</c:f>
              <c:strCache>
                <c:ptCount val="1"/>
                <c:pt idx="0">
                  <c:v>Refund/Replacement within product variety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  <c:extLst xmlns:c15="http://schemas.microsoft.com/office/drawing/2012/chart"/>
            </c:strRef>
          </c:cat>
          <c:val>
            <c:numRef>
              <c:f>Graph!$D$11:$H$11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D6CA-4312-B333-060963472FE8}"/>
            </c:ext>
          </c:extLst>
        </c:ser>
        <c:ser>
          <c:idx val="6"/>
          <c:order val="2"/>
          <c:tx>
            <c:strRef>
              <c:f>Graph!$C$10</c:f>
              <c:strCache>
                <c:ptCount val="1"/>
                <c:pt idx="0">
                  <c:v>Pharmacovigilance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Graph!$D$10:$H$10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CA-4312-B333-060963472FE8}"/>
            </c:ext>
          </c:extLst>
        </c:ser>
        <c:ser>
          <c:idx val="5"/>
          <c:order val="3"/>
          <c:tx>
            <c:strRef>
              <c:f>Graph!$C$9</c:f>
              <c:strCache>
                <c:ptCount val="1"/>
                <c:pt idx="0">
                  <c:v>Instant replacement within product variety (within surgery OR on shelf stock)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Graph!$D$9:$H$9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CA-4312-B333-060963472FE8}"/>
            </c:ext>
          </c:extLst>
        </c:ser>
        <c:ser>
          <c:idx val="4"/>
          <c:order val="4"/>
          <c:tx>
            <c:strRef>
              <c:f>Graph!$C$8</c:f>
              <c:strCache>
                <c:ptCount val="1"/>
                <c:pt idx="0">
                  <c:v>Use in reference countries</c:v>
                </c:pt>
              </c:strCache>
            </c:strRef>
          </c:tx>
          <c:spPr>
            <a:solidFill>
              <a:srgbClr val="7F7F7F"/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Graph!$D$8:$H$8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CA-4312-B333-060963472FE8}"/>
            </c:ext>
          </c:extLst>
        </c:ser>
        <c:ser>
          <c:idx val="3"/>
          <c:order val="5"/>
          <c:tx>
            <c:strRef>
              <c:f>Graph!$C$7</c:f>
              <c:strCache>
                <c:ptCount val="1"/>
                <c:pt idx="0">
                  <c:v>Previous use in tenders</c:v>
                </c:pt>
              </c:strCache>
            </c:strRef>
          </c:tx>
          <c:spPr>
            <a:solidFill>
              <a:srgbClr val="FF3300"/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Graph!$D$7:$H$7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CA-4312-B333-060963472FE8}"/>
            </c:ext>
          </c:extLst>
        </c:ser>
        <c:ser>
          <c:idx val="2"/>
          <c:order val="6"/>
          <c:tx>
            <c:strRef>
              <c:f>Graph!$C$6</c:f>
              <c:strCache>
                <c:ptCount val="1"/>
                <c:pt idx="0">
                  <c:v>Country of origin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Graph!$D$6:$H$6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6CA-4312-B333-060963472FE8}"/>
            </c:ext>
          </c:extLst>
        </c:ser>
        <c:ser>
          <c:idx val="1"/>
          <c:order val="7"/>
          <c:tx>
            <c:strRef>
              <c:f>Graph!$C$5</c:f>
              <c:strCache>
                <c:ptCount val="1"/>
                <c:pt idx="0">
                  <c:v>Supply reliability</c:v>
                </c:pt>
              </c:strCache>
            </c:strRef>
          </c:tx>
          <c:spPr>
            <a:solidFill>
              <a:srgbClr val="FFB24B"/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Graph!$D$5:$H$5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6CA-4312-B333-060963472FE8}"/>
            </c:ext>
          </c:extLst>
        </c:ser>
        <c:ser>
          <c:idx val="0"/>
          <c:order val="8"/>
          <c:tx>
            <c:strRef>
              <c:f>Graph!$C$4</c:f>
              <c:strCache>
                <c:ptCount val="1"/>
                <c:pt idx="0">
                  <c:v>Technical characteristics of the medical device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Graph!$D$3:$H$3</c:f>
              <c:strCache>
                <c:ptCount val="5"/>
                <c:pt idx="0">
                  <c:v>Comparator 1</c:v>
                </c:pt>
                <c:pt idx="1">
                  <c:v>Comparator 2</c:v>
                </c:pt>
                <c:pt idx="2">
                  <c:v>Comparator 3</c:v>
                </c:pt>
                <c:pt idx="3">
                  <c:v>Comparator 4</c:v>
                </c:pt>
                <c:pt idx="4">
                  <c:v>Comparator 5</c:v>
                </c:pt>
              </c:strCache>
            </c:strRef>
          </c:cat>
          <c:val>
            <c:numRef>
              <c:f>Graph!$D$4:$H$4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6CA-4312-B333-060963472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663424"/>
        <c:axId val="96664960"/>
        <c:extLst>
          <c:ext xmlns:c15="http://schemas.microsoft.com/office/drawing/2012/chart" uri="{02D57815-91ED-43cb-92C2-25804820EDAC}">
            <c15:filteredBarSeries>
              <c15:ser>
                <c:idx val="11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Graph!$C$15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rgbClr val="E36C09"/>
                  </a:solidFill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Graph!$D$3:$H$3</c15:sqref>
                        </c15:formulaRef>
                      </c:ext>
                    </c:extLst>
                    <c:strCache>
                      <c:ptCount val="5"/>
                      <c:pt idx="0">
                        <c:v>Comparator 1</c:v>
                      </c:pt>
                      <c:pt idx="1">
                        <c:v>Comparator 2</c:v>
                      </c:pt>
                      <c:pt idx="2">
                        <c:v>Comparator 3</c:v>
                      </c:pt>
                      <c:pt idx="3">
                        <c:v>Comparator 4</c:v>
                      </c:pt>
                      <c:pt idx="4">
                        <c:v>Comparator 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Graph!$D$15:$H$15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6CA-4312-B333-060963472FE8}"/>
                  </c:ext>
                </c:extLst>
              </c15:ser>
            </c15:filteredBarSeries>
          </c:ext>
        </c:extLst>
      </c:barChart>
      <c:catAx>
        <c:axId val="9666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664960"/>
        <c:crosses val="autoZero"/>
        <c:auto val="1"/>
        <c:lblAlgn val="ctr"/>
        <c:lblOffset val="100"/>
        <c:noMultiLvlLbl val="0"/>
      </c:catAx>
      <c:valAx>
        <c:axId val="96664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Sum of scores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666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6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596264</xdr:colOff>
      <xdr:row>5</xdr:row>
      <xdr:rowOff>162242</xdr:rowOff>
    </xdr:from>
    <xdr:to>
      <xdr:col>13</xdr:col>
      <xdr:colOff>561339</xdr:colOff>
      <xdr:row>21</xdr:row>
      <xdr:rowOff>41276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294266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82DA91-A0C0-4792-88B2-D0EA8DE8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2666" cy="939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0</xdr:row>
      <xdr:rowOff>152400</xdr:rowOff>
    </xdr:from>
    <xdr:to>
      <xdr:col>27</xdr:col>
      <xdr:colOff>219075</xdr:colOff>
      <xdr:row>33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rgb="FF7F7F7F"/>
  </sheetPr>
  <dimension ref="B1:X21"/>
  <sheetViews>
    <sheetView workbookViewId="0">
      <selection activeCell="B13" sqref="B13"/>
    </sheetView>
  </sheetViews>
  <sheetFormatPr defaultColWidth="8.81640625" defaultRowHeight="14.5" x14ac:dyDescent="0.35"/>
  <cols>
    <col min="1" max="1" width="4.54296875" style="1" customWidth="1"/>
    <col min="2" max="2" width="74.81640625" style="1" customWidth="1"/>
    <col min="3" max="5" width="8.81640625" style="1"/>
    <col min="6" max="6" width="8.81640625" style="1" customWidth="1"/>
    <col min="7" max="14" width="8.81640625" style="1"/>
    <col min="15" max="15" width="11.81640625" style="1" customWidth="1"/>
    <col min="16" max="24" width="8.81640625" style="1" customWidth="1"/>
    <col min="25" max="16384" width="8.81640625" style="1"/>
  </cols>
  <sheetData>
    <row r="1" spans="2:24" x14ac:dyDescent="0.35">
      <c r="F1" s="32"/>
    </row>
    <row r="2" spans="2:24" x14ac:dyDescent="0.35">
      <c r="B2" s="8" t="s">
        <v>3</v>
      </c>
      <c r="C2" s="45">
        <v>1</v>
      </c>
      <c r="F2" s="99" t="s">
        <v>10</v>
      </c>
      <c r="G2" s="99"/>
      <c r="H2" s="99"/>
      <c r="I2" s="99"/>
      <c r="J2" s="99"/>
      <c r="K2" s="99"/>
      <c r="L2" s="99"/>
      <c r="M2" s="99"/>
      <c r="N2" s="99"/>
    </row>
    <row r="3" spans="2:24" ht="30" customHeight="1" x14ac:dyDescent="0.35">
      <c r="B3" s="12" t="s">
        <v>19</v>
      </c>
      <c r="F3" s="99"/>
      <c r="G3" s="99"/>
      <c r="H3" s="99"/>
      <c r="I3" s="99"/>
      <c r="J3" s="99"/>
      <c r="K3" s="99"/>
      <c r="L3" s="99"/>
      <c r="M3" s="99"/>
      <c r="N3" s="99"/>
    </row>
    <row r="4" spans="2:24" x14ac:dyDescent="0.35">
      <c r="B4" s="8"/>
      <c r="F4" s="99"/>
      <c r="G4" s="99"/>
      <c r="H4" s="99"/>
      <c r="I4" s="99"/>
      <c r="J4" s="99"/>
      <c r="K4" s="99"/>
      <c r="L4" s="99"/>
      <c r="M4" s="99"/>
      <c r="N4" s="99"/>
    </row>
    <row r="5" spans="2:24" x14ac:dyDescent="0.35">
      <c r="B5" s="9"/>
      <c r="F5" s="99"/>
      <c r="G5" s="99"/>
      <c r="H5" s="99"/>
      <c r="I5" s="99"/>
      <c r="J5" s="99"/>
      <c r="K5" s="99"/>
      <c r="L5" s="99"/>
      <c r="M5" s="99"/>
      <c r="N5" s="99"/>
    </row>
    <row r="7" spans="2:24" x14ac:dyDescent="0.35"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2:24" ht="14.15" customHeight="1" x14ac:dyDescent="0.35"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2:24" x14ac:dyDescent="0.35">
      <c r="B9" s="26"/>
      <c r="F9" s="15"/>
      <c r="G9" s="28">
        <f t="shared" ref="G9:M9" si="0">MAX(1-(G10-$G$10)/($G$10*$C$2),0)</f>
        <v>1</v>
      </c>
      <c r="H9" s="28">
        <f t="shared" si="0"/>
        <v>0.5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15"/>
      <c r="X9" s="15"/>
    </row>
    <row r="10" spans="2:24" x14ac:dyDescent="0.35">
      <c r="F10" s="15" t="s">
        <v>12</v>
      </c>
      <c r="G10" s="43">
        <v>10</v>
      </c>
      <c r="H10" s="43">
        <v>15</v>
      </c>
      <c r="I10" s="43">
        <v>20</v>
      </c>
      <c r="J10" s="43">
        <v>25</v>
      </c>
      <c r="K10" s="43">
        <v>30</v>
      </c>
      <c r="L10" s="43">
        <v>40</v>
      </c>
      <c r="M10" s="43">
        <v>50</v>
      </c>
      <c r="N10" s="43">
        <f>G10*(1+C2)</f>
        <v>20</v>
      </c>
      <c r="X10" s="15"/>
    </row>
    <row r="11" spans="2:24" x14ac:dyDescent="0.35">
      <c r="F11" s="15" t="s">
        <v>11</v>
      </c>
      <c r="G11" s="43">
        <f t="shared" ref="G11:M11" si="1">$G$10*(1+$C$2)</f>
        <v>20</v>
      </c>
      <c r="H11" s="43">
        <f t="shared" si="1"/>
        <v>20</v>
      </c>
      <c r="I11" s="43">
        <f t="shared" si="1"/>
        <v>20</v>
      </c>
      <c r="J11" s="43">
        <f t="shared" si="1"/>
        <v>20</v>
      </c>
      <c r="K11" s="43">
        <f t="shared" si="1"/>
        <v>20</v>
      </c>
      <c r="L11" s="43">
        <f t="shared" si="1"/>
        <v>20</v>
      </c>
      <c r="M11" s="43">
        <f t="shared" si="1"/>
        <v>20</v>
      </c>
      <c r="N11" s="43"/>
      <c r="X11" s="15"/>
    </row>
    <row r="12" spans="2:24" x14ac:dyDescent="0.35"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2:24" x14ac:dyDescent="0.35"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2:24" x14ac:dyDescent="0.35"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2:24" x14ac:dyDescent="0.35"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2:24" x14ac:dyDescent="0.35">
      <c r="B16" s="27"/>
    </row>
    <row r="18" spans="2:2" x14ac:dyDescent="0.35">
      <c r="B18" s="27"/>
    </row>
    <row r="19" spans="2:2" x14ac:dyDescent="0.35">
      <c r="B19" s="27"/>
    </row>
    <row r="20" spans="2:2" x14ac:dyDescent="0.35">
      <c r="B20" s="27"/>
    </row>
    <row r="21" spans="2:2" x14ac:dyDescent="0.35">
      <c r="B21" s="27"/>
    </row>
  </sheetData>
  <protectedRanges>
    <protectedRange algorithmName="SHA-512" hashValue="HipK4I8PEJOdEMGfBl89KRx+9n/gXByG9I9BoZqo45RYf9sxXd0ZWZWMe10a9u3WcHnYpBU+K7s3vOaVIkoTvQ==" saltValue="4BObsVc8H7Gg0cf1kVvChA==" spinCount="100000" sqref="C2" name="Range1"/>
  </protectedRanges>
  <mergeCells count="1">
    <mergeCell ref="F2:N5"/>
  </mergeCells>
  <pageMargins left="0.7" right="0.7" top="0.75" bottom="0.75" header="0.3" footer="0.3"/>
  <pageSetup paperSize="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BFEB-28FC-4AE6-A8BD-9EF2077CAA39}">
  <sheetPr>
    <tabColor theme="5"/>
  </sheetPr>
  <dimension ref="A7:F12"/>
  <sheetViews>
    <sheetView showGridLines="0" showRowColHeaders="0" tabSelected="1" workbookViewId="0">
      <selection activeCell="F11" sqref="F11"/>
    </sheetView>
  </sheetViews>
  <sheetFormatPr defaultRowHeight="14.5" x14ac:dyDescent="0.35"/>
  <cols>
    <col min="1" max="16384" width="8.7265625" style="46"/>
  </cols>
  <sheetData>
    <row r="7" spans="1:6" s="97" customFormat="1" ht="23.5" x14ac:dyDescent="0.55000000000000004">
      <c r="E7" s="97" t="s">
        <v>82</v>
      </c>
    </row>
    <row r="8" spans="1:6" s="97" customFormat="1" ht="23.5" x14ac:dyDescent="0.55000000000000004">
      <c r="F8" s="94" t="s">
        <v>83</v>
      </c>
    </row>
    <row r="10" spans="1:6" x14ac:dyDescent="0.35">
      <c r="B10" s="95"/>
    </row>
    <row r="11" spans="1:6" ht="26" x14ac:dyDescent="0.6">
      <c r="A11" s="96" t="s">
        <v>80</v>
      </c>
    </row>
    <row r="12" spans="1:6" ht="26" x14ac:dyDescent="0.6">
      <c r="A12" s="96" t="s">
        <v>81</v>
      </c>
    </row>
  </sheetData>
  <sheetProtection algorithmName="SHA-512" hashValue="fMUXvEv6z1V7IM4TtfWwlMfmIQzsPUkP3p9CpkGGdeQUsbFSfyC3y9KNSsLhtDlSQK8yy1obLiihpZ3C3cg7TQ==" saltValue="8PlF5X4VMtAWAOuae2i1tA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E36C09"/>
  </sheetPr>
  <dimension ref="A1:E31"/>
  <sheetViews>
    <sheetView showGridLines="0" showRowColHeaders="0" topLeftCell="B1" zoomScale="70" zoomScaleNormal="70" workbookViewId="0">
      <selection activeCell="B1" sqref="B1"/>
    </sheetView>
  </sheetViews>
  <sheetFormatPr defaultColWidth="8.81640625" defaultRowHeight="14.5" x14ac:dyDescent="0.35"/>
  <cols>
    <col min="1" max="1" width="23" style="46" hidden="1" customWidth="1"/>
    <col min="2" max="2" width="23.453125" style="46" customWidth="1"/>
    <col min="3" max="3" width="72.54296875" style="46" bestFit="1" customWidth="1"/>
    <col min="4" max="4" width="57.81640625" style="46" hidden="1" customWidth="1"/>
    <col min="5" max="5" width="14.1796875" style="46" customWidth="1"/>
    <col min="6" max="16384" width="8.81640625" style="10"/>
  </cols>
  <sheetData>
    <row r="1" spans="1:5" s="55" customFormat="1" ht="29.5" thickBot="1" x14ac:dyDescent="0.4">
      <c r="A1" s="11" t="s">
        <v>24</v>
      </c>
      <c r="B1" s="65" t="s">
        <v>25</v>
      </c>
      <c r="C1" s="66" t="s">
        <v>62</v>
      </c>
      <c r="D1" s="67" t="s">
        <v>6</v>
      </c>
      <c r="E1" s="68" t="s">
        <v>9</v>
      </c>
    </row>
    <row r="2" spans="1:5" ht="15" customHeight="1" x14ac:dyDescent="0.35">
      <c r="A2" s="105" t="s">
        <v>28</v>
      </c>
      <c r="B2" s="102" t="s">
        <v>29</v>
      </c>
      <c r="C2" s="57" t="s">
        <v>59</v>
      </c>
      <c r="D2" s="58" t="str">
        <f t="shared" ref="D2:D31" si="0">IF(C2="","",C2)</f>
        <v>Fulfills &lt;70% of the technical specefications required</v>
      </c>
      <c r="E2" s="70" t="s">
        <v>7</v>
      </c>
    </row>
    <row r="3" spans="1:5" x14ac:dyDescent="0.35">
      <c r="A3" s="106"/>
      <c r="B3" s="103"/>
      <c r="C3" s="56" t="s">
        <v>60</v>
      </c>
      <c r="D3" s="5" t="str">
        <f t="shared" si="0"/>
        <v>Fulfills 70%-&lt;80% of the technical specefications required</v>
      </c>
      <c r="E3" s="71">
        <v>0.1</v>
      </c>
    </row>
    <row r="4" spans="1:5" x14ac:dyDescent="0.35">
      <c r="A4" s="106"/>
      <c r="B4" s="103"/>
      <c r="C4" s="56" t="s">
        <v>32</v>
      </c>
      <c r="D4" s="5" t="str">
        <f t="shared" si="0"/>
        <v>Fulfills 80%-&lt;90% of the technical specefications required</v>
      </c>
      <c r="E4" s="71">
        <v>0.6</v>
      </c>
    </row>
    <row r="5" spans="1:5" x14ac:dyDescent="0.35">
      <c r="A5" s="106"/>
      <c r="B5" s="103"/>
      <c r="C5" s="56" t="s">
        <v>31</v>
      </c>
      <c r="D5" s="5" t="str">
        <f t="shared" si="0"/>
        <v>Fulfills 90%-&lt;100% of the technical specefications required</v>
      </c>
      <c r="E5" s="71">
        <v>0.8</v>
      </c>
    </row>
    <row r="6" spans="1:5" ht="15" thickBot="1" x14ac:dyDescent="0.4">
      <c r="A6" s="106"/>
      <c r="B6" s="104"/>
      <c r="C6" s="59" t="s">
        <v>30</v>
      </c>
      <c r="D6" s="60" t="str">
        <f t="shared" si="0"/>
        <v>Fulfills 100% of the technical specefications required</v>
      </c>
      <c r="E6" s="72">
        <v>1</v>
      </c>
    </row>
    <row r="7" spans="1:5" ht="15" customHeight="1" x14ac:dyDescent="0.35">
      <c r="A7" s="100" t="s">
        <v>50</v>
      </c>
      <c r="B7" s="107" t="s">
        <v>45</v>
      </c>
      <c r="C7" s="61" t="s">
        <v>46</v>
      </c>
      <c r="D7" s="58" t="str">
        <f t="shared" si="0"/>
        <v>Non reference countries for both</v>
      </c>
      <c r="E7" s="70">
        <v>0.4</v>
      </c>
    </row>
    <row r="8" spans="1:5" x14ac:dyDescent="0.35">
      <c r="A8" s="101"/>
      <c r="B8" s="108"/>
      <c r="C8" s="53" t="s">
        <v>69</v>
      </c>
      <c r="D8" s="5" t="str">
        <f t="shared" si="0"/>
        <v xml:space="preserve">Reference country of the legal manufacturer or actual manufacturer </v>
      </c>
      <c r="E8" s="71">
        <v>0.8</v>
      </c>
    </row>
    <row r="9" spans="1:5" ht="15" thickBot="1" x14ac:dyDescent="0.4">
      <c r="A9" s="101"/>
      <c r="B9" s="109"/>
      <c r="C9" s="62" t="s">
        <v>70</v>
      </c>
      <c r="D9" s="60" t="str">
        <f t="shared" si="0"/>
        <v>Reference countries for both legal and actual manufacturer or local product</v>
      </c>
      <c r="E9" s="72">
        <v>1</v>
      </c>
    </row>
    <row r="10" spans="1:5" x14ac:dyDescent="0.35">
      <c r="A10" s="100" t="s">
        <v>34</v>
      </c>
      <c r="B10" s="110" t="s">
        <v>35</v>
      </c>
      <c r="C10" s="61" t="s">
        <v>49</v>
      </c>
      <c r="D10" s="58" t="str">
        <f t="shared" si="0"/>
        <v>European CE certificate only (for local products only)</v>
      </c>
      <c r="E10" s="71">
        <v>0.5</v>
      </c>
    </row>
    <row r="11" spans="1:5" x14ac:dyDescent="0.35">
      <c r="A11" s="101"/>
      <c r="B11" s="111"/>
      <c r="C11" s="54" t="s">
        <v>47</v>
      </c>
      <c r="D11" s="5" t="str">
        <f t="shared" si="0"/>
        <v>European CE certificate + free sale certificate from a reference country</v>
      </c>
      <c r="E11" s="71">
        <v>0.75</v>
      </c>
    </row>
    <row r="12" spans="1:5" ht="30.5" customHeight="1" x14ac:dyDescent="0.35">
      <c r="A12" s="101"/>
      <c r="B12" s="111"/>
      <c r="C12" s="56" t="s">
        <v>48</v>
      </c>
      <c r="D12" s="5" t="str">
        <f t="shared" si="0"/>
        <v>Canadian free sale certificate + ((medical device active license + MDSAP certificate) or medical device establishment license )</v>
      </c>
      <c r="E12" s="71">
        <v>0.8</v>
      </c>
    </row>
    <row r="13" spans="1:5" ht="15" thickBot="1" x14ac:dyDescent="0.4">
      <c r="A13" s="101"/>
      <c r="B13" s="112"/>
      <c r="C13" s="63" t="s">
        <v>33</v>
      </c>
      <c r="D13" s="60" t="str">
        <f t="shared" si="0"/>
        <v>CFG certificate from FDA</v>
      </c>
      <c r="E13" s="71">
        <v>1</v>
      </c>
    </row>
    <row r="14" spans="1:5" ht="15" customHeight="1" x14ac:dyDescent="0.35">
      <c r="A14" s="100" t="s">
        <v>38</v>
      </c>
      <c r="B14" s="102" t="s">
        <v>39</v>
      </c>
      <c r="C14" s="61" t="s">
        <v>63</v>
      </c>
      <c r="D14" s="58" t="str">
        <f t="shared" si="0"/>
        <v>Supplier fulfilled &lt; 50% of the committed requirements in the last 3 years</v>
      </c>
      <c r="E14" s="70">
        <v>0.1</v>
      </c>
    </row>
    <row r="15" spans="1:5" x14ac:dyDescent="0.35">
      <c r="A15" s="101"/>
      <c r="B15" s="103"/>
      <c r="C15" s="54" t="s">
        <v>40</v>
      </c>
      <c r="D15" s="5" t="str">
        <f t="shared" si="0"/>
        <v>Did not supply previously</v>
      </c>
      <c r="E15" s="71">
        <v>0.5</v>
      </c>
    </row>
    <row r="16" spans="1:5" ht="15" thickBot="1" x14ac:dyDescent="0.4">
      <c r="A16" s="101"/>
      <c r="B16" s="103"/>
      <c r="C16" s="54" t="s">
        <v>64</v>
      </c>
      <c r="D16" s="5" t="str">
        <f t="shared" si="0"/>
        <v>Supplier fulfilled 50% - 70% of the committed requirements in the last 3 years</v>
      </c>
      <c r="E16" s="72">
        <v>0.6</v>
      </c>
    </row>
    <row r="17" spans="1:5" x14ac:dyDescent="0.35">
      <c r="A17" s="101"/>
      <c r="B17" s="103"/>
      <c r="C17" s="54" t="s">
        <v>65</v>
      </c>
      <c r="D17" s="5" t="str">
        <f t="shared" si="0"/>
        <v>Supplier fulfilled 70% - 90% of the committed requirements in the last 3 years</v>
      </c>
      <c r="E17" s="70">
        <v>0.8</v>
      </c>
    </row>
    <row r="18" spans="1:5" ht="15" thickBot="1" x14ac:dyDescent="0.4">
      <c r="A18" s="101"/>
      <c r="B18" s="104"/>
      <c r="C18" s="63" t="s">
        <v>66</v>
      </c>
      <c r="D18" s="60" t="str">
        <f t="shared" si="0"/>
        <v>Supplier fulfilled more than 90% of the committed requirements in the last 3 years</v>
      </c>
      <c r="E18" s="71">
        <v>1</v>
      </c>
    </row>
    <row r="19" spans="1:5" x14ac:dyDescent="0.35">
      <c r="A19" s="105" t="s">
        <v>36</v>
      </c>
      <c r="B19" s="102" t="s">
        <v>37</v>
      </c>
      <c r="C19" s="61" t="s">
        <v>40</v>
      </c>
      <c r="D19" s="58" t="str">
        <f t="shared" si="0"/>
        <v>Did not supply previously</v>
      </c>
      <c r="E19" s="71">
        <v>0.45</v>
      </c>
    </row>
    <row r="20" spans="1:5" x14ac:dyDescent="0.35">
      <c r="A20" s="106"/>
      <c r="B20" s="103"/>
      <c r="C20" s="54" t="s">
        <v>68</v>
      </c>
      <c r="D20" s="5" t="str">
        <f t="shared" si="0"/>
        <v>Supplied to governmental or non-governmental organizations in the previous 2 years</v>
      </c>
      <c r="E20" s="71">
        <v>0.7</v>
      </c>
    </row>
    <row r="21" spans="1:5" ht="15" thickBot="1" x14ac:dyDescent="0.4">
      <c r="A21" s="106"/>
      <c r="B21" s="104"/>
      <c r="C21" s="63" t="s">
        <v>67</v>
      </c>
      <c r="D21" s="60" t="str">
        <f t="shared" si="0"/>
        <v>Listed in the UPA platform</v>
      </c>
      <c r="E21" s="71">
        <v>1</v>
      </c>
    </row>
    <row r="22" spans="1:5" ht="28.75" customHeight="1" x14ac:dyDescent="0.35">
      <c r="A22" s="100" t="s">
        <v>41</v>
      </c>
      <c r="B22" s="102" t="s">
        <v>42</v>
      </c>
      <c r="C22" s="57" t="s">
        <v>44</v>
      </c>
      <c r="D22" s="58" t="str">
        <f t="shared" si="0"/>
        <v>Supplier does not provide product replacement for different sizes/ types</v>
      </c>
      <c r="E22" s="70">
        <v>0.15</v>
      </c>
    </row>
    <row r="23" spans="1:5" ht="29.5" thickBot="1" x14ac:dyDescent="0.4">
      <c r="A23" s="101"/>
      <c r="B23" s="104"/>
      <c r="C23" s="59" t="s">
        <v>43</v>
      </c>
      <c r="D23" s="60" t="str">
        <f t="shared" si="0"/>
        <v>Supplier provides instant replacement within product variety (During surgery on on shelf stock)</v>
      </c>
      <c r="E23" s="71">
        <v>1</v>
      </c>
    </row>
    <row r="24" spans="1:5" ht="15" customHeight="1" x14ac:dyDescent="0.35">
      <c r="A24" s="100" t="s">
        <v>55</v>
      </c>
      <c r="B24" s="102" t="s">
        <v>56</v>
      </c>
      <c r="C24" s="64" t="s">
        <v>54</v>
      </c>
      <c r="D24" s="58" t="str">
        <f t="shared" si="0"/>
        <v xml:space="preserve">No pharmacovigilance system </v>
      </c>
      <c r="E24" s="71" t="s">
        <v>7</v>
      </c>
    </row>
    <row r="25" spans="1:5" x14ac:dyDescent="0.35">
      <c r="A25" s="101"/>
      <c r="B25" s="103"/>
      <c r="C25" s="54" t="s">
        <v>53</v>
      </c>
      <c r="D25" s="5" t="str">
        <f t="shared" si="0"/>
        <v>Supplier has a low quality pharmacovigilance system</v>
      </c>
      <c r="E25" s="71">
        <v>0.2</v>
      </c>
    </row>
    <row r="26" spans="1:5" x14ac:dyDescent="0.35">
      <c r="A26" s="101"/>
      <c r="B26" s="103"/>
      <c r="C26" s="54" t="s">
        <v>52</v>
      </c>
      <c r="D26" s="5" t="str">
        <f t="shared" si="0"/>
        <v>Supplier has a moderate quality pharmacovigilance system</v>
      </c>
      <c r="E26" s="71">
        <v>0.7</v>
      </c>
    </row>
    <row r="27" spans="1:5" ht="15" thickBot="1" x14ac:dyDescent="0.4">
      <c r="A27" s="101"/>
      <c r="B27" s="104"/>
      <c r="C27" s="62" t="s">
        <v>51</v>
      </c>
      <c r="D27" s="60" t="str">
        <f t="shared" si="0"/>
        <v>Supplier has an efficient pharmacovigilance system</v>
      </c>
      <c r="E27" s="71">
        <v>1</v>
      </c>
    </row>
    <row r="28" spans="1:5" ht="15" customHeight="1" x14ac:dyDescent="0.35">
      <c r="A28" s="100" t="s">
        <v>58</v>
      </c>
      <c r="B28" s="102" t="s">
        <v>57</v>
      </c>
      <c r="C28" s="61" t="s">
        <v>71</v>
      </c>
      <c r="D28" s="58" t="str">
        <f t="shared" si="0"/>
        <v>The product was present in the stagnant report 4 times in the last year</v>
      </c>
      <c r="E28" s="70">
        <v>0.2</v>
      </c>
    </row>
    <row r="29" spans="1:5" x14ac:dyDescent="0.35">
      <c r="A29" s="101"/>
      <c r="B29" s="103"/>
      <c r="C29" s="53" t="s">
        <v>72</v>
      </c>
      <c r="D29" s="5" t="str">
        <f t="shared" si="0"/>
        <v>The product was present in the stagnant report 3 times subsequently in the last year</v>
      </c>
      <c r="E29" s="71">
        <v>0.5</v>
      </c>
    </row>
    <row r="30" spans="1:5" x14ac:dyDescent="0.35">
      <c r="A30" s="101"/>
      <c r="B30" s="103"/>
      <c r="C30" s="53" t="s">
        <v>73</v>
      </c>
      <c r="D30" s="5" t="str">
        <f t="shared" si="0"/>
        <v>The product was present in the stagnant report 2 times subsequently in the last year</v>
      </c>
      <c r="E30" s="71">
        <v>0.7</v>
      </c>
    </row>
    <row r="31" spans="1:5" ht="15" thickBot="1" x14ac:dyDescent="0.4">
      <c r="A31" s="101"/>
      <c r="B31" s="104"/>
      <c r="C31" s="62" t="s">
        <v>74</v>
      </c>
      <c r="D31" s="60" t="str">
        <f t="shared" si="0"/>
        <v>The product was present in the stagnant report 1 time or less in the last year</v>
      </c>
      <c r="E31" s="72">
        <v>1</v>
      </c>
    </row>
  </sheetData>
  <sheetProtection algorithmName="SHA-512" hashValue="v1yJ6uZwdqEiklUEGRGZXwZGtHS4aJ5QVAnIoYkt7WyARCiBfPIcOBfRBs2TsnGjPELpvE6Zl9X6iuBcNeQ89w==" saltValue="/OcMdF8ynPiG7vvnsI8gLw==" spinCount="100000" sheet="1" objects="1" scenarios="1"/>
  <mergeCells count="16">
    <mergeCell ref="A28:A31"/>
    <mergeCell ref="B28:B31"/>
    <mergeCell ref="A22:A23"/>
    <mergeCell ref="A2:A6"/>
    <mergeCell ref="B7:B9"/>
    <mergeCell ref="B10:B13"/>
    <mergeCell ref="B2:B6"/>
    <mergeCell ref="A19:A21"/>
    <mergeCell ref="A14:A18"/>
    <mergeCell ref="B14:B18"/>
    <mergeCell ref="B19:B21"/>
    <mergeCell ref="B22:B23"/>
    <mergeCell ref="B24:B27"/>
    <mergeCell ref="A7:A9"/>
    <mergeCell ref="A10:A13"/>
    <mergeCell ref="A24:A27"/>
  </mergeCells>
  <conditionalFormatting sqref="E6">
    <cfRule type="dataBar" priority="27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{F2E3B861-2E30-4FBD-92C6-6C882515E675}</x14:id>
        </ext>
      </extLst>
    </cfRule>
  </conditionalFormatting>
  <conditionalFormatting sqref="E2">
    <cfRule type="dataBar" priority="6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{0FD7E31A-B13C-4321-B744-85148E59F8E4}</x14:id>
        </ext>
      </extLst>
    </cfRule>
  </conditionalFormatting>
  <conditionalFormatting sqref="E2">
    <cfRule type="dataBar" priority="7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{CD439F29-6507-4024-93BF-A3788639F6C4}</x14:id>
        </ext>
      </extLst>
    </cfRule>
  </conditionalFormatting>
  <conditionalFormatting sqref="E28:E31">
    <cfRule type="dataBar" priority="67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{2F8F9DB6-315D-424C-80D2-A925BF6754D3}</x14:id>
        </ext>
      </extLst>
    </cfRule>
  </conditionalFormatting>
  <conditionalFormatting sqref="E3:E6">
    <cfRule type="dataBar" priority="69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{6C45A271-FEAB-443B-A6C3-27E981A61936}</x14:id>
        </ext>
      </extLst>
    </cfRule>
  </conditionalFormatting>
  <conditionalFormatting sqref="E7:E9">
    <cfRule type="dataBar" priority="70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{810A866D-9396-4F08-8562-76ADF02D570A}</x14:id>
        </ext>
      </extLst>
    </cfRule>
  </conditionalFormatting>
  <conditionalFormatting sqref="E10:E13">
    <cfRule type="dataBar" priority="5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{6CFFBE7F-CB3D-48D8-A9A0-D4AD8BF08D29}</x14:id>
        </ext>
      </extLst>
    </cfRule>
  </conditionalFormatting>
  <conditionalFormatting sqref="E19:E21">
    <cfRule type="dataBar" priority="4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{5BDE8B42-D445-4737-98FB-62D464C97C58}</x14:id>
        </ext>
      </extLst>
    </cfRule>
  </conditionalFormatting>
  <conditionalFormatting sqref="E24:E27">
    <cfRule type="dataBar" priority="3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{0BEE9B59-D77C-4E9D-B1C1-EEEC040F2F19}</x14:id>
        </ext>
      </extLst>
    </cfRule>
  </conditionalFormatting>
  <conditionalFormatting sqref="E14:E18">
    <cfRule type="dataBar" priority="2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{F7A084D9-9550-4B9C-903E-901E58B5E6D8}</x14:id>
        </ext>
      </extLst>
    </cfRule>
  </conditionalFormatting>
  <conditionalFormatting sqref="E22:E23">
    <cfRule type="dataBar" priority="1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{343D55E9-098F-4A9A-938B-A502BB12A0F2}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2E3B861-2E30-4FBD-92C6-6C882515E67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dataBar" id="{0FD7E31A-B13C-4321-B744-85148E59F8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E2</xm:sqref>
        </x14:conditionalFormatting>
        <x14:conditionalFormatting xmlns:xm="http://schemas.microsoft.com/office/excel/2006/main">
          <x14:cfRule type="dataBar" id="{CD439F29-6507-4024-93BF-A3788639F6C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E2</xm:sqref>
        </x14:conditionalFormatting>
        <x14:conditionalFormatting xmlns:xm="http://schemas.microsoft.com/office/excel/2006/main">
          <x14:cfRule type="dataBar" id="{2F8F9DB6-315D-424C-80D2-A925BF6754D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E28:E31</xm:sqref>
        </x14:conditionalFormatting>
        <x14:conditionalFormatting xmlns:xm="http://schemas.microsoft.com/office/excel/2006/main">
          <x14:cfRule type="dataBar" id="{6C45A271-FEAB-443B-A6C3-27E981A6193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E3:E6</xm:sqref>
        </x14:conditionalFormatting>
        <x14:conditionalFormatting xmlns:xm="http://schemas.microsoft.com/office/excel/2006/main">
          <x14:cfRule type="dataBar" id="{810A866D-9396-4F08-8562-76ADF02D570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E7:E9</xm:sqref>
        </x14:conditionalFormatting>
        <x14:conditionalFormatting xmlns:xm="http://schemas.microsoft.com/office/excel/2006/main">
          <x14:cfRule type="dataBar" id="{6CFFBE7F-CB3D-48D8-A9A0-D4AD8BF08D2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E10:E13</xm:sqref>
        </x14:conditionalFormatting>
        <x14:conditionalFormatting xmlns:xm="http://schemas.microsoft.com/office/excel/2006/main">
          <x14:cfRule type="dataBar" id="{5BDE8B42-D445-4737-98FB-62D464C97C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E19:E21</xm:sqref>
        </x14:conditionalFormatting>
        <x14:conditionalFormatting xmlns:xm="http://schemas.microsoft.com/office/excel/2006/main">
          <x14:cfRule type="dataBar" id="{0BEE9B59-D77C-4E9D-B1C1-EEEC040F2F1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E24:E27</xm:sqref>
        </x14:conditionalFormatting>
        <x14:conditionalFormatting xmlns:xm="http://schemas.microsoft.com/office/excel/2006/main">
          <x14:cfRule type="dataBar" id="{F7A084D9-9550-4B9C-903E-901E58B5E6D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E14:E18</xm:sqref>
        </x14:conditionalFormatting>
        <x14:conditionalFormatting xmlns:xm="http://schemas.microsoft.com/office/excel/2006/main">
          <x14:cfRule type="dataBar" id="{343D55E9-098F-4A9A-938B-A502BB12A0F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E22:E23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E36C09"/>
  </sheetPr>
  <dimension ref="B3:I13"/>
  <sheetViews>
    <sheetView zoomScale="145" zoomScaleNormal="145" workbookViewId="0">
      <selection activeCell="B6" sqref="B6"/>
    </sheetView>
  </sheetViews>
  <sheetFormatPr defaultColWidth="8.81640625" defaultRowHeight="14.5" x14ac:dyDescent="0.35"/>
  <cols>
    <col min="1" max="1" width="8.81640625" style="1"/>
    <col min="2" max="2" width="71.1796875" style="1" bestFit="1" customWidth="1"/>
    <col min="3" max="3" width="10.81640625" style="1" customWidth="1"/>
    <col min="4" max="5" width="9.1796875" style="1" hidden="1" customWidth="1"/>
    <col min="6" max="8" width="8.81640625" style="1" hidden="1" customWidth="1"/>
    <col min="9" max="9" width="9.1796875" style="1" hidden="1" customWidth="1"/>
    <col min="10" max="11" width="8.81640625" style="1" customWidth="1"/>
    <col min="12" max="16384" width="8.81640625" style="1"/>
  </cols>
  <sheetData>
    <row r="3" spans="2:9" x14ac:dyDescent="0.35">
      <c r="B3" s="16" t="s">
        <v>27</v>
      </c>
      <c r="C3" s="16"/>
    </row>
    <row r="4" spans="2:9" x14ac:dyDescent="0.35">
      <c r="C4" s="42" t="s">
        <v>0</v>
      </c>
    </row>
    <row r="5" spans="2:9" x14ac:dyDescent="0.35">
      <c r="B5" s="18" t="str">
        <f>'Scoring Functions'!B2</f>
        <v>Technical characteristics of the medical device</v>
      </c>
      <c r="C5" s="44">
        <v>1</v>
      </c>
      <c r="D5" s="1">
        <f>IF(C5="","",C5+I5/25)</f>
        <v>1.04</v>
      </c>
      <c r="E5" s="1" t="str">
        <f>B5</f>
        <v>Technical characteristics of the medical device</v>
      </c>
      <c r="I5" s="1">
        <v>1</v>
      </c>
    </row>
    <row r="6" spans="2:9" x14ac:dyDescent="0.35">
      <c r="B6" s="18" t="str">
        <f>'Scoring Functions'!B7</f>
        <v>Country of origin</v>
      </c>
      <c r="C6" s="44">
        <v>2</v>
      </c>
      <c r="D6" s="1">
        <f t="shared" ref="D6:D12" si="0">IF(C6="","",C6+I6/25)</f>
        <v>2.08</v>
      </c>
      <c r="E6" s="1" t="str">
        <f t="shared" ref="E6:E13" si="1">B6</f>
        <v>Country of origin</v>
      </c>
      <c r="I6" s="1">
        <v>2</v>
      </c>
    </row>
    <row r="7" spans="2:9" x14ac:dyDescent="0.35">
      <c r="B7" s="18" t="str">
        <f>'Scoring Functions'!B10</f>
        <v>Use in reference countries</v>
      </c>
      <c r="C7" s="44">
        <v>3</v>
      </c>
      <c r="D7" s="1">
        <f t="shared" si="0"/>
        <v>3.12</v>
      </c>
      <c r="E7" s="1" t="str">
        <f t="shared" si="1"/>
        <v>Use in reference countries</v>
      </c>
      <c r="I7" s="1">
        <v>3</v>
      </c>
    </row>
    <row r="8" spans="2:9" x14ac:dyDescent="0.35">
      <c r="B8" s="18" t="str">
        <f>'Scoring Functions'!B19</f>
        <v>Previous use in tenders</v>
      </c>
      <c r="C8" s="44">
        <v>5</v>
      </c>
      <c r="D8" s="1">
        <f t="shared" si="0"/>
        <v>5.16</v>
      </c>
      <c r="E8" s="1" t="str">
        <f t="shared" si="1"/>
        <v>Previous use in tenders</v>
      </c>
      <c r="I8" s="1">
        <v>4</v>
      </c>
    </row>
    <row r="9" spans="2:9" x14ac:dyDescent="0.35">
      <c r="B9" s="18" t="str">
        <f>'Scoring Functions'!B14</f>
        <v>Supply reliability</v>
      </c>
      <c r="C9" s="44">
        <v>4</v>
      </c>
      <c r="D9" s="1">
        <f t="shared" si="0"/>
        <v>4.2</v>
      </c>
      <c r="E9" s="1" t="str">
        <f t="shared" si="1"/>
        <v>Supply reliability</v>
      </c>
      <c r="I9" s="1">
        <v>5</v>
      </c>
    </row>
    <row r="10" spans="2:9" x14ac:dyDescent="0.35">
      <c r="B10" s="18" t="str">
        <f>'Scoring Functions'!B24</f>
        <v>Pharmacovigilance</v>
      </c>
      <c r="C10" s="44">
        <v>7</v>
      </c>
      <c r="D10" s="1">
        <f t="shared" si="0"/>
        <v>7.24</v>
      </c>
      <c r="E10" s="1" t="str">
        <f t="shared" si="1"/>
        <v>Pharmacovigilance</v>
      </c>
      <c r="I10" s="1">
        <v>6</v>
      </c>
    </row>
    <row r="11" spans="2:9" x14ac:dyDescent="0.35">
      <c r="B11" s="18" t="str">
        <f>'Scoring Functions'!B22</f>
        <v>Instant replacement within product variety (within surgery OR on shelf stock)</v>
      </c>
      <c r="C11" s="44">
        <v>6</v>
      </c>
      <c r="D11" s="1">
        <f t="shared" si="0"/>
        <v>6.28</v>
      </c>
      <c r="E11" s="1" t="str">
        <f t="shared" si="1"/>
        <v>Instant replacement within product variety (within surgery OR on shelf stock)</v>
      </c>
      <c r="I11" s="1">
        <v>7</v>
      </c>
    </row>
    <row r="12" spans="2:9" x14ac:dyDescent="0.35">
      <c r="B12" s="18" t="e">
        <f>'Scoring Functions'!#REF!</f>
        <v>#REF!</v>
      </c>
      <c r="C12" s="44"/>
      <c r="D12" s="1" t="str">
        <f t="shared" si="0"/>
        <v/>
      </c>
      <c r="E12" s="1" t="e">
        <f t="shared" si="1"/>
        <v>#REF!</v>
      </c>
      <c r="I12" s="1">
        <v>8</v>
      </c>
    </row>
    <row r="13" spans="2:9" x14ac:dyDescent="0.35">
      <c r="B13" s="47" t="str">
        <f>'Scoring Functions'!B28</f>
        <v>Refund/Replacement within product variety</v>
      </c>
      <c r="C13" s="44">
        <v>8</v>
      </c>
      <c r="D13" s="1">
        <f t="shared" ref="D13" si="2">IF(C13="","",C13+I13/25)</f>
        <v>8.36</v>
      </c>
      <c r="E13" s="1" t="str">
        <f t="shared" si="1"/>
        <v>Refund/Replacement within product variety</v>
      </c>
      <c r="I13" s="1">
        <v>9</v>
      </c>
    </row>
  </sheetData>
  <conditionalFormatting sqref="B5:B12">
    <cfRule type="containsBlanks" dxfId="9" priority="3">
      <formula>LEN(TRIM(B5))=0</formula>
    </cfRule>
  </conditionalFormatting>
  <conditionalFormatting sqref="B13">
    <cfRule type="containsBlanks" dxfId="8" priority="1">
      <formula>LEN(TRIM(B13))=0</formula>
    </cfRule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/>
  </sheetPr>
  <dimension ref="B3:K16"/>
  <sheetViews>
    <sheetView showGridLines="0" showRowColHeaders="0" zoomScale="141" workbookViewId="0">
      <selection activeCell="C2" sqref="C2"/>
    </sheetView>
  </sheetViews>
  <sheetFormatPr defaultColWidth="8.81640625" defaultRowHeight="14.5" x14ac:dyDescent="0.35"/>
  <cols>
    <col min="1" max="2" width="8.81640625" style="1"/>
    <col min="3" max="3" width="68.54296875" style="1" customWidth="1"/>
    <col min="4" max="10" width="8.81640625" style="1"/>
    <col min="11" max="11" width="0" style="1" hidden="1" customWidth="1"/>
    <col min="12" max="16384" width="8.81640625" style="1"/>
  </cols>
  <sheetData>
    <row r="3" spans="2:11" x14ac:dyDescent="0.35">
      <c r="C3" s="16"/>
    </row>
    <row r="4" spans="2:11" x14ac:dyDescent="0.35">
      <c r="B4" s="13" t="s">
        <v>0</v>
      </c>
      <c r="C4" s="98" t="s">
        <v>13</v>
      </c>
    </row>
    <row r="5" spans="2:11" x14ac:dyDescent="0.35">
      <c r="B5" s="19">
        <f>IFERROR(SMALL('SMART Ranking'!$D$5:$D$13,K5),"")</f>
        <v>1.04</v>
      </c>
      <c r="C5" s="17" t="str">
        <f>IF(B5="","",VLOOKUP(B5,'SMART Ranking'!$D$5:$E$13,2,FALSE))</f>
        <v>Technical characteristics of the medical device</v>
      </c>
      <c r="K5" s="1">
        <v>1</v>
      </c>
    </row>
    <row r="6" spans="2:11" x14ac:dyDescent="0.35">
      <c r="B6" s="19">
        <f>IFERROR(SMALL('SMART Ranking'!$D$5:$D$13,K6),"")</f>
        <v>2.08</v>
      </c>
      <c r="C6" s="17" t="str">
        <f>IF(B6="","",VLOOKUP(B6,'SMART Ranking'!$D$5:$E$13,2,FALSE))</f>
        <v>Country of origin</v>
      </c>
      <c r="K6" s="1">
        <v>2</v>
      </c>
    </row>
    <row r="7" spans="2:11" x14ac:dyDescent="0.35">
      <c r="B7" s="19">
        <f>IFERROR(SMALL('SMART Ranking'!$D$5:$D$13,K7),"")</f>
        <v>3.12</v>
      </c>
      <c r="C7" s="17" t="str">
        <f>IF(B7="","",VLOOKUP(B7,'SMART Ranking'!$D$5:$E$13,2,FALSE))</f>
        <v>Use in reference countries</v>
      </c>
      <c r="K7" s="1">
        <v>3</v>
      </c>
    </row>
    <row r="8" spans="2:11" x14ac:dyDescent="0.35">
      <c r="B8" s="19">
        <f>IFERROR(SMALL('SMART Ranking'!$D$5:$D$13,K8),"")</f>
        <v>4.2</v>
      </c>
      <c r="C8" s="17" t="str">
        <f>IF(B8="","",VLOOKUP(B8,'SMART Ranking'!$D$5:$E$13,2,FALSE))</f>
        <v>Supply reliability</v>
      </c>
      <c r="K8" s="1">
        <v>4</v>
      </c>
    </row>
    <row r="9" spans="2:11" x14ac:dyDescent="0.35">
      <c r="B9" s="19">
        <f>IFERROR(SMALL('SMART Ranking'!$D$5:$D$13,K9),"")</f>
        <v>5.16</v>
      </c>
      <c r="C9" s="17" t="str">
        <f>IF(B9="","",VLOOKUP(B9,'SMART Ranking'!$D$5:$E$13,2,FALSE))</f>
        <v>Previous use in tenders</v>
      </c>
      <c r="K9" s="1">
        <v>5</v>
      </c>
    </row>
    <row r="10" spans="2:11" x14ac:dyDescent="0.35">
      <c r="B10" s="19">
        <f>IFERROR(SMALL('SMART Ranking'!$D$5:$D$13,K10),"")</f>
        <v>6.28</v>
      </c>
      <c r="C10" s="17" t="str">
        <f>IF(B10="","",VLOOKUP(B10,'SMART Ranking'!$D$5:$E$13,2,FALSE))</f>
        <v>Instant replacement within product variety (within surgery OR on shelf stock)</v>
      </c>
      <c r="K10" s="1">
        <v>6</v>
      </c>
    </row>
    <row r="11" spans="2:11" x14ac:dyDescent="0.35">
      <c r="B11" s="19">
        <f>IFERROR(SMALL('SMART Ranking'!$D$5:$D$13,K11),"")</f>
        <v>7.24</v>
      </c>
      <c r="C11" s="17" t="str">
        <f>IF(B11="","",VLOOKUP(B11,'SMART Ranking'!$D$5:$E$13,2,FALSE))</f>
        <v>Pharmacovigilance</v>
      </c>
      <c r="K11" s="1">
        <v>7</v>
      </c>
    </row>
    <row r="12" spans="2:11" x14ac:dyDescent="0.35">
      <c r="B12" s="19">
        <f>IFERROR(SMALL('SMART Ranking'!$D$5:$D$13,K12),"")</f>
        <v>8.36</v>
      </c>
      <c r="C12" s="17" t="str">
        <f>IF(B12="","",VLOOKUP(B12,'SMART Ranking'!$D$5:$E$13,2,FALSE))</f>
        <v>Refund/Replacement within product variety</v>
      </c>
      <c r="K12" s="1">
        <v>8</v>
      </c>
    </row>
    <row r="13" spans="2:11" x14ac:dyDescent="0.35">
      <c r="B13" s="19" t="str">
        <f>IFERROR(SMALL('SMART Ranking'!$D$5:$D$13,K13),"")</f>
        <v/>
      </c>
      <c r="C13" s="69" t="str">
        <f>IF(B13="","",VLOOKUP(B13,'SMART Ranking'!$D$5:$E$13,2,FALSE))</f>
        <v/>
      </c>
      <c r="K13" s="1">
        <v>9</v>
      </c>
    </row>
    <row r="14" spans="2:11" x14ac:dyDescent="0.35">
      <c r="B14" s="19" t="str">
        <f>IFERROR(SMALL('SMART Ranking'!$D$5:$D$12,K14),"")</f>
        <v/>
      </c>
      <c r="C14" s="17" t="str">
        <f>IF(B14="","",VLOOKUP(B14,'SMART Ranking'!$D$5:$E$12,2,FALSE))</f>
        <v/>
      </c>
      <c r="K14" s="1">
        <v>10</v>
      </c>
    </row>
    <row r="15" spans="2:11" x14ac:dyDescent="0.35">
      <c r="B15" s="19" t="str">
        <f>IFERROR(SMALL('SMART Ranking'!$D$5:$D$12,K15),"")</f>
        <v/>
      </c>
      <c r="C15" s="69" t="str">
        <f>IF(B15="","",VLOOKUP(B15,'SMART Ranking'!$D$5:$E$12,2,FALSE))</f>
        <v/>
      </c>
      <c r="K15" s="1">
        <v>11</v>
      </c>
    </row>
    <row r="16" spans="2:11" x14ac:dyDescent="0.35">
      <c r="B16" s="4" t="str">
        <f>IFERROR(SMALL('SMART Ranking'!$D$5:$D$12,K16),"")</f>
        <v/>
      </c>
      <c r="C16" s="2" t="str">
        <f>IF(B16="","",VLOOKUP(B16,'SMART Ranking'!$D$5:$E$12,2,FALSE))</f>
        <v/>
      </c>
      <c r="K16" s="1">
        <v>12</v>
      </c>
    </row>
  </sheetData>
  <sheetProtection algorithmName="SHA-512" hashValue="XpRcXJV4B6MBwax3X9RHdaAxftAsx2t3q0lXf9rAQj6mWH8biNt4z4/AETLrKNBqVUFsCIKgxQyQB37o1S3z1g==" saltValue="qH0gGBcLiEXSN/T6+HEgAg==" spinCount="100000" sheet="1" objects="1" scenarios="1"/>
  <conditionalFormatting sqref="B5:C16">
    <cfRule type="containsBlanks" dxfId="7" priority="1">
      <formula>LEN(TRIM(B5))=0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>
    <tabColor rgb="FF7F7F7F"/>
  </sheetPr>
  <dimension ref="B3:M22"/>
  <sheetViews>
    <sheetView topLeftCell="B1" zoomScale="85" zoomScaleNormal="85" workbookViewId="0">
      <selection activeCell="C8" sqref="C8:F17"/>
    </sheetView>
  </sheetViews>
  <sheetFormatPr defaultColWidth="8.81640625" defaultRowHeight="14.5" x14ac:dyDescent="0.35"/>
  <cols>
    <col min="1" max="1" width="8.81640625" style="1"/>
    <col min="2" max="2" width="44.54296875" style="1" customWidth="1"/>
    <col min="3" max="3" width="80.1796875" style="1" customWidth="1"/>
    <col min="4" max="4" width="13.81640625" style="1" customWidth="1"/>
    <col min="5" max="5" width="13.81640625" style="1" hidden="1" customWidth="1"/>
    <col min="6" max="6" width="15.81640625" style="1" customWidth="1"/>
    <col min="7" max="7" width="9.1796875" style="1" hidden="1" customWidth="1"/>
    <col min="8" max="8" width="3.1796875" style="1" hidden="1" customWidth="1"/>
    <col min="9" max="12" width="9.1796875" style="1" customWidth="1"/>
    <col min="13" max="13" width="9.1796875" style="1" hidden="1" customWidth="1"/>
    <col min="14" max="16384" width="8.81640625" style="1"/>
  </cols>
  <sheetData>
    <row r="3" spans="2:13" x14ac:dyDescent="0.35">
      <c r="C3" s="8" t="s">
        <v>8</v>
      </c>
      <c r="D3" s="8"/>
      <c r="E3" s="8"/>
      <c r="F3" s="22">
        <f>'Price advantage'!C2</f>
        <v>1</v>
      </c>
    </row>
    <row r="4" spans="2:13" x14ac:dyDescent="0.35">
      <c r="C4" s="21"/>
      <c r="D4" s="21"/>
      <c r="E4" s="21"/>
    </row>
    <row r="5" spans="2:13" hidden="1" x14ac:dyDescent="0.35"/>
    <row r="6" spans="2:13" hidden="1" x14ac:dyDescent="0.35">
      <c r="F6" s="24"/>
    </row>
    <row r="7" spans="2:13" x14ac:dyDescent="0.35">
      <c r="C7" s="13"/>
      <c r="D7" s="13"/>
      <c r="E7" s="13"/>
      <c r="F7" s="13"/>
    </row>
    <row r="8" spans="2:13" ht="58" x14ac:dyDescent="0.35">
      <c r="C8" s="51" t="s">
        <v>20</v>
      </c>
      <c r="D8" s="39" t="s">
        <v>26</v>
      </c>
      <c r="E8" s="41">
        <f>SUM(E10:E18)</f>
        <v>2.4861360909310011</v>
      </c>
      <c r="F8" s="23" t="s">
        <v>61</v>
      </c>
      <c r="J8" s="26"/>
    </row>
    <row r="9" spans="2:13" hidden="1" x14ac:dyDescent="0.35">
      <c r="B9" s="3" t="s">
        <v>0</v>
      </c>
      <c r="G9" s="1" t="s">
        <v>1</v>
      </c>
      <c r="H9" s="1" t="s">
        <v>2</v>
      </c>
    </row>
    <row r="10" spans="2:13" x14ac:dyDescent="0.35">
      <c r="B10" s="4">
        <f>IFERROR(SMALL('SMART Ranking'!$D$5:$D$13,M10),"")</f>
        <v>1.04</v>
      </c>
      <c r="C10" s="49" t="str">
        <f>IF(B10="","",CONCATENATE("Weight of the ", VLOOKUP(B10,'SMART Ranking'!$D$5:$E$13,2,FALSE), " criterion"))</f>
        <v>Weight of the Technical characteristics of the medical device criterion</v>
      </c>
      <c r="D10" s="40">
        <v>0.51</v>
      </c>
      <c r="E10" s="40">
        <f t="shared" ref="E10:E16" si="0">IF(C11&lt;&gt;"",E11*(1+D10),IF(C10&lt;&gt;"",10%,""))</f>
        <v>0.73158151283100026</v>
      </c>
      <c r="F10" s="48">
        <f>IF(C10="","",E10/$E$8)</f>
        <v>0.29426446746004148</v>
      </c>
      <c r="G10" s="5" t="e">
        <f t="shared" ref="G10:G16" si="1">IF(C10="","",IF(C11="",10,G11*H10))</f>
        <v>#REF!</v>
      </c>
      <c r="H10" s="5" t="e">
        <f>IF(#REF!="",1,#REF!)</f>
        <v>#REF!</v>
      </c>
      <c r="J10" s="26"/>
      <c r="M10" s="1">
        <v>1</v>
      </c>
    </row>
    <row r="11" spans="2:13" x14ac:dyDescent="0.35">
      <c r="B11" s="4">
        <f>IFERROR(SMALL('SMART Ranking'!$D$5:$D$13,M11),"")</f>
        <v>2.08</v>
      </c>
      <c r="C11" s="49" t="str">
        <f>IF(B11="","",CONCATENATE("Weight of the ", VLOOKUP(B11,'SMART Ranking'!$D$5:$E$13,2,FALSE), " criterion"))</f>
        <v>Weight of the Country of origin criterion</v>
      </c>
      <c r="D11" s="40">
        <v>0.31</v>
      </c>
      <c r="E11" s="40">
        <f t="shared" si="0"/>
        <v>0.4844910681000002</v>
      </c>
      <c r="F11" s="48">
        <f>IF(C11="","",E11/$E$8)</f>
        <v>0.1948771307682394</v>
      </c>
      <c r="G11" s="5" t="e">
        <f t="shared" si="1"/>
        <v>#REF!</v>
      </c>
      <c r="H11" s="5" t="e">
        <f>IF(#REF!="",1,#REF!)</f>
        <v>#REF!</v>
      </c>
      <c r="M11" s="1">
        <v>2</v>
      </c>
    </row>
    <row r="12" spans="2:13" x14ac:dyDescent="0.35">
      <c r="B12" s="4">
        <f>IFERROR(SMALL('SMART Ranking'!$D$5:$D$13,M12),"")</f>
        <v>3.12</v>
      </c>
      <c r="C12" s="49" t="str">
        <f>IF(B12="","",CONCATENATE("Weight of the ", VLOOKUP(B12,'SMART Ranking'!$D$5:$E$13,2,FALSE), " criterion"))</f>
        <v>Weight of the Use in reference countries criterion</v>
      </c>
      <c r="D12" s="40">
        <v>0.27</v>
      </c>
      <c r="E12" s="40">
        <f t="shared" si="0"/>
        <v>0.36984051000000012</v>
      </c>
      <c r="F12" s="48">
        <f t="shared" ref="F12:F18" si="2">IF(C12="","",E12/$E$8)</f>
        <v>0.14876116852537358</v>
      </c>
      <c r="G12" s="5" t="e">
        <f t="shared" si="1"/>
        <v>#REF!</v>
      </c>
      <c r="H12" s="5" t="e">
        <f>IF(#REF!="",1,#REF!)</f>
        <v>#REF!</v>
      </c>
      <c r="M12" s="1">
        <v>3</v>
      </c>
    </row>
    <row r="13" spans="2:13" x14ac:dyDescent="0.35">
      <c r="B13" s="4">
        <f>IFERROR(SMALL('SMART Ranking'!$D$5:$D$13,M13),"")</f>
        <v>4.2</v>
      </c>
      <c r="C13" s="49" t="str">
        <f>IF(B13="","",CONCATENATE("Weight of the ", VLOOKUP(B13,'SMART Ranking'!$D$5:$E$13,2,FALSE), " criterion"))</f>
        <v>Weight of the Supply reliability criterion</v>
      </c>
      <c r="D13" s="40">
        <v>0.3</v>
      </c>
      <c r="E13" s="40">
        <f t="shared" si="0"/>
        <v>0.29121300000000011</v>
      </c>
      <c r="F13" s="48">
        <f t="shared" si="2"/>
        <v>0.11713477836643589</v>
      </c>
      <c r="G13" s="5" t="e">
        <f t="shared" si="1"/>
        <v>#REF!</v>
      </c>
      <c r="H13" s="5" t="e">
        <f>IF(#REF!="",1,#REF!)</f>
        <v>#REF!</v>
      </c>
      <c r="M13" s="1">
        <v>4</v>
      </c>
    </row>
    <row r="14" spans="2:13" x14ac:dyDescent="0.35">
      <c r="B14" s="4">
        <f>IFERROR(SMALL('SMART Ranking'!$D$5:$D$13,M14),"")</f>
        <v>5.16</v>
      </c>
      <c r="C14" s="49" t="str">
        <f>IF(B14="","",CONCATENATE("Weight of the ", VLOOKUP(B14,'SMART Ranking'!$D$5:$E$13,2,FALSE), " criterion"))</f>
        <v>Weight of the Previous use in tenders criterion</v>
      </c>
      <c r="D14" s="40">
        <v>0.31</v>
      </c>
      <c r="E14" s="40">
        <f t="shared" si="0"/>
        <v>0.22401000000000007</v>
      </c>
      <c r="F14" s="48">
        <f t="shared" si="2"/>
        <v>9.0103675666489136E-2</v>
      </c>
      <c r="G14" s="5" t="e">
        <f t="shared" si="1"/>
        <v>#REF!</v>
      </c>
      <c r="H14" s="5" t="e">
        <f>IF(#REF!="",1,#REF!)</f>
        <v>#REF!</v>
      </c>
      <c r="M14" s="1">
        <v>5</v>
      </c>
    </row>
    <row r="15" spans="2:13" x14ac:dyDescent="0.35">
      <c r="B15" s="4">
        <f>IFERROR(SMALL('SMART Ranking'!$D$5:$D$13,M15),"")</f>
        <v>6.28</v>
      </c>
      <c r="C15" s="49" t="str">
        <f>IF(B15="","",CONCATENATE("Weight of the ", VLOOKUP(B15,'SMART Ranking'!$D$5:$E$13,2,FALSE), " criterion"))</f>
        <v>Weight of the Instant replacement within product variety (within surgery OR on shelf stock) criterion</v>
      </c>
      <c r="D15" s="40">
        <v>0.5</v>
      </c>
      <c r="E15" s="40">
        <f t="shared" si="0"/>
        <v>0.17100000000000004</v>
      </c>
      <c r="F15" s="48">
        <f t="shared" si="2"/>
        <v>6.8781431806480248E-2</v>
      </c>
      <c r="G15" s="5" t="e">
        <f t="shared" si="1"/>
        <v>#REF!</v>
      </c>
      <c r="H15" s="5" t="e">
        <f>IF(#REF!="",1,#REF!)</f>
        <v>#REF!</v>
      </c>
      <c r="M15" s="1">
        <v>6</v>
      </c>
    </row>
    <row r="16" spans="2:13" x14ac:dyDescent="0.35">
      <c r="B16" s="4">
        <f>IFERROR(SMALL('SMART Ranking'!$D$5:$D$13,M16),"")</f>
        <v>7.24</v>
      </c>
      <c r="C16" s="49" t="str">
        <f>IF(B16="","",CONCATENATE("Weight of the ", VLOOKUP(B16,'SMART Ranking'!$D$5:$E$13,2,FALSE), " criterion"))</f>
        <v>Weight of the Pharmacovigilance criterion</v>
      </c>
      <c r="D16" s="40">
        <v>0.14000000000000001</v>
      </c>
      <c r="E16" s="40">
        <f t="shared" si="0"/>
        <v>0.11400000000000002</v>
      </c>
      <c r="F16" s="48">
        <f t="shared" si="2"/>
        <v>4.5854287870986832E-2</v>
      </c>
      <c r="G16" s="5" t="e">
        <f t="shared" si="1"/>
        <v>#REF!</v>
      </c>
      <c r="H16" s="5" t="e">
        <f>IF(#REF!="",1,#REF!)</f>
        <v>#REF!</v>
      </c>
      <c r="M16" s="1">
        <v>7</v>
      </c>
    </row>
    <row r="17" spans="2:13" x14ac:dyDescent="0.35">
      <c r="B17" s="4">
        <f>IFERROR(SMALL('SMART Ranking'!$D$5:$D$13,M17),"")</f>
        <v>8.36</v>
      </c>
      <c r="C17" s="49" t="str">
        <f>IF(B17="","",CONCATENATE("Weight of the ", VLOOKUP(B17,'SMART Ranking'!$D$5:$E$13,2,FALSE), " criterion"))</f>
        <v>Weight of the Refund/Replacement within product variety criterion</v>
      </c>
      <c r="D17" s="40"/>
      <c r="E17" s="40">
        <f>IF(C18&lt;&gt;"",E18*(1+D17),IF(C17&lt;&gt;"",10%,""))</f>
        <v>0.1</v>
      </c>
      <c r="F17" s="48">
        <f t="shared" si="2"/>
        <v>4.0223059535953357E-2</v>
      </c>
      <c r="G17" s="5" t="e">
        <f>IF(C17="","",IF(#REF!="",10,#REF!*H17))</f>
        <v>#REF!</v>
      </c>
      <c r="H17" s="5" t="e">
        <f>IF(#REF!="",1,#REF!)</f>
        <v>#REF!</v>
      </c>
      <c r="M17" s="1">
        <v>8</v>
      </c>
    </row>
    <row r="18" spans="2:13" x14ac:dyDescent="0.35">
      <c r="B18" s="4" t="str">
        <f>IFERROR(SMALL('SMART Ranking'!$D$5:$D$13,M18),"")</f>
        <v/>
      </c>
      <c r="C18" s="49" t="str">
        <f>IF(B18="","",CONCATENATE("Weight of the ", VLOOKUP(B18,'SMART Ranking'!$D$5:$E$13,2,FALSE), " criterion"))</f>
        <v/>
      </c>
      <c r="E18" s="40" t="str">
        <f t="shared" ref="E18:E22" si="3">IF(C19&lt;&gt;"",E19*(1+D18),IF(C18&lt;&gt;"",10%,""))</f>
        <v/>
      </c>
      <c r="F18" s="48" t="str">
        <f t="shared" si="2"/>
        <v/>
      </c>
      <c r="G18" s="15" t="e">
        <f>SUM(G10:G17)</f>
        <v>#REF!</v>
      </c>
      <c r="H18" s="15"/>
      <c r="I18" s="15"/>
      <c r="J18" s="15"/>
      <c r="K18" s="15"/>
      <c r="L18" s="15"/>
      <c r="M18" s="1">
        <v>9</v>
      </c>
    </row>
    <row r="19" spans="2:13" x14ac:dyDescent="0.35">
      <c r="C19" s="52"/>
      <c r="E19" s="40" t="str">
        <f t="shared" si="3"/>
        <v/>
      </c>
    </row>
    <row r="20" spans="2:13" x14ac:dyDescent="0.35">
      <c r="E20" s="40" t="str">
        <f t="shared" si="3"/>
        <v/>
      </c>
    </row>
    <row r="21" spans="2:13" x14ac:dyDescent="0.35">
      <c r="E21" s="40" t="str">
        <f t="shared" si="3"/>
        <v/>
      </c>
    </row>
    <row r="22" spans="2:13" x14ac:dyDescent="0.35">
      <c r="E22" s="40" t="str">
        <f t="shared" si="3"/>
        <v/>
      </c>
    </row>
  </sheetData>
  <conditionalFormatting sqref="B10:C18">
    <cfRule type="containsBlanks" dxfId="6" priority="9">
      <formula>LEN(TRIM(B10))=0</formula>
    </cfRule>
  </conditionalFormatting>
  <conditionalFormatting sqref="F10:F18">
    <cfRule type="containsBlanks" dxfId="5" priority="8">
      <formula>LEN(TRIM(F10))=0</formula>
    </cfRule>
  </conditionalFormatting>
  <conditionalFormatting sqref="E18:E22 D10:E17">
    <cfRule type="containsBlanks" dxfId="4" priority="2">
      <formula>LEN(TRIM(D10))=0</formula>
    </cfRule>
  </conditionalFormatting>
  <conditionalFormatting sqref="F8:F18">
    <cfRule type="dataBar" priority="29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{3321F534-AE80-4991-B5EF-FC3D93DA46B2}</x14:id>
        </ext>
      </extLst>
    </cfRule>
  </conditionalFormatting>
  <conditionalFormatting sqref="E18:E22 D10:E17">
    <cfRule type="dataBar" priority="30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{D925BAB7-6FDE-45D9-B7DD-A9E9676A93C7}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21F534-AE80-4991-B5EF-FC3D93DA46B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F8:F18</xm:sqref>
        </x14:conditionalFormatting>
        <x14:conditionalFormatting xmlns:xm="http://schemas.microsoft.com/office/excel/2006/main">
          <x14:cfRule type="dataBar" id="{D925BAB7-6FDE-45D9-B7DD-A9E9676A93C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E18:E22 D10:E17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">
    <tabColor rgb="FFE36C09"/>
  </sheetPr>
  <dimension ref="B1:I24"/>
  <sheetViews>
    <sheetView showGridLines="0" showRowColHeaders="0" topLeftCell="A5" zoomScale="115" zoomScaleNormal="115" workbookViewId="0">
      <selection activeCell="D13" sqref="D13"/>
    </sheetView>
  </sheetViews>
  <sheetFormatPr defaultColWidth="8.81640625" defaultRowHeight="14.5" x14ac:dyDescent="0.35"/>
  <cols>
    <col min="1" max="1" width="8.81640625" style="1"/>
    <col min="2" max="2" width="8.81640625" style="1" hidden="1" customWidth="1"/>
    <col min="3" max="3" width="76.81640625" style="1" bestFit="1" customWidth="1"/>
    <col min="4" max="4" width="20.1796875" style="1" customWidth="1"/>
    <col min="5" max="5" width="9.1796875" style="1" hidden="1" customWidth="1"/>
    <col min="6" max="7" width="20.1796875" style="1" hidden="1" customWidth="1"/>
    <col min="8" max="8" width="9.1796875" style="1" hidden="1" customWidth="1"/>
    <col min="9" max="16384" width="8.81640625" style="1"/>
  </cols>
  <sheetData>
    <row r="1" spans="2:9" hidden="1" x14ac:dyDescent="0.35"/>
    <row r="2" spans="2:9" hidden="1" x14ac:dyDescent="0.35"/>
    <row r="3" spans="2:9" hidden="1" x14ac:dyDescent="0.35">
      <c r="C3" s="8" t="s">
        <v>4</v>
      </c>
      <c r="D3" s="29">
        <f>'Price advantage'!C4*100</f>
        <v>0</v>
      </c>
    </row>
    <row r="4" spans="2:9" hidden="1" x14ac:dyDescent="0.35">
      <c r="C4" s="20" t="s">
        <v>5</v>
      </c>
      <c r="D4" s="30">
        <f>'Price advantage'!C5*100</f>
        <v>0</v>
      </c>
    </row>
    <row r="5" spans="2:9" x14ac:dyDescent="0.35">
      <c r="D5" s="6"/>
    </row>
    <row r="6" spans="2:9" x14ac:dyDescent="0.35">
      <c r="C6" s="8"/>
      <c r="F6" s="34" t="s">
        <v>21</v>
      </c>
      <c r="G6" s="37"/>
    </row>
    <row r="8" spans="2:9" x14ac:dyDescent="0.35">
      <c r="C8" s="50" t="s">
        <v>84</v>
      </c>
      <c r="D8" s="38"/>
      <c r="F8" s="13" t="s">
        <v>21</v>
      </c>
      <c r="G8" s="13" t="s">
        <v>22</v>
      </c>
      <c r="H8" s="1" t="s">
        <v>23</v>
      </c>
    </row>
    <row r="9" spans="2:9" hidden="1" x14ac:dyDescent="0.35">
      <c r="B9" s="3" t="s">
        <v>0</v>
      </c>
      <c r="D9" s="31">
        <f t="shared" ref="D9:D21" si="0">IF(OR($F$6="Please select!",$F$6="",$F$6=$F$8),F9,G9)</f>
        <v>100</v>
      </c>
      <c r="F9" s="33">
        <v>100</v>
      </c>
      <c r="G9" s="35">
        <f>SUM(G10:G21)</f>
        <v>0</v>
      </c>
      <c r="I9" s="37"/>
    </row>
    <row r="10" spans="2:9" hidden="1" x14ac:dyDescent="0.35">
      <c r="B10" s="3"/>
      <c r="C10" s="25"/>
      <c r="D10" s="31">
        <f>IF(OR($F$6="Please select!",$F$6="",$F$6=$F$8),F10,G10)</f>
        <v>0</v>
      </c>
      <c r="F10" s="33">
        <v>0</v>
      </c>
      <c r="G10" s="36" t="str">
        <f>IF(C10="","","-")</f>
        <v/>
      </c>
      <c r="I10" s="37" t="str">
        <f>IF($F$6=$G$8, IF(OR(G10=0,G10="-"),"This criterion is currently excluded!",IF(G10&lt;0,"Please assign only non-negative values to criteria weights!","")),"")</f>
        <v/>
      </c>
    </row>
    <row r="11" spans="2:9" x14ac:dyDescent="0.35">
      <c r="B11" s="4">
        <f>IFERROR(SMALL('SMART Ranking'!$D$5:$D$13,H11),"")</f>
        <v>1.04</v>
      </c>
      <c r="C11" s="49" t="str">
        <f>IF(B11="","",CONCATENATE("Calculated weight of the ",VLOOKUP(B11,'SMART Ranking'!$D$5:$E$13,2,FALSE), " criterion"))</f>
        <v>Calculated weight of the Technical characteristics of the medical device criterion</v>
      </c>
      <c r="D11" s="73">
        <f t="shared" si="0"/>
        <v>29.426446746004149</v>
      </c>
      <c r="F11" s="33">
        <f>IF(C11="","",100*'Criteria weights'!F10)</f>
        <v>29.426446746004149</v>
      </c>
      <c r="G11" s="36" t="str">
        <f t="shared" ref="G11:G21" si="1">IF(C11="","","-")</f>
        <v>-</v>
      </c>
      <c r="H11" s="1">
        <v>1</v>
      </c>
      <c r="I11" s="37" t="str">
        <f t="shared" ref="I11:I21" si="2">IF($F$6=$G$8, IF(OR(G11=0,G11="-"),"This criterion is currently excluded!",IF(G11&lt;0,"Please assign only non-negative values to criteria weights!","")),"")</f>
        <v/>
      </c>
    </row>
    <row r="12" spans="2:9" x14ac:dyDescent="0.35">
      <c r="B12" s="4">
        <f>IFERROR(SMALL('SMART Ranking'!$D$5:$D$13,H12),"")</f>
        <v>2.08</v>
      </c>
      <c r="C12" s="49" t="str">
        <f>IF(B12="","",CONCATENATE("Calculated weight of the ",VLOOKUP(B12,'SMART Ranking'!$D$5:$E$13,2,FALSE), " criterion"))</f>
        <v>Calculated weight of the Country of origin criterion</v>
      </c>
      <c r="D12" s="73">
        <f t="shared" si="0"/>
        <v>19.48771307682394</v>
      </c>
      <c r="F12" s="33">
        <f>IF(C12="","",100*'Criteria weights'!F11)</f>
        <v>19.48771307682394</v>
      </c>
      <c r="G12" s="36" t="str">
        <f t="shared" si="1"/>
        <v>-</v>
      </c>
      <c r="H12" s="1">
        <v>2</v>
      </c>
      <c r="I12" s="37" t="str">
        <f t="shared" si="2"/>
        <v/>
      </c>
    </row>
    <row r="13" spans="2:9" x14ac:dyDescent="0.35">
      <c r="B13" s="4">
        <f>IFERROR(SMALL('SMART Ranking'!$D$5:$D$13,H13),"")</f>
        <v>3.12</v>
      </c>
      <c r="C13" s="49" t="str">
        <f>IF(B13="","",CONCATENATE("Calculated weight of the ",VLOOKUP(B13,'SMART Ranking'!$D$5:$E$13,2,FALSE), " criterion"))</f>
        <v>Calculated weight of the Use in reference countries criterion</v>
      </c>
      <c r="D13" s="73">
        <f t="shared" si="0"/>
        <v>14.876116852537358</v>
      </c>
      <c r="F13" s="33">
        <f>IF(C13="","",100*'Criteria weights'!F12)</f>
        <v>14.876116852537358</v>
      </c>
      <c r="G13" s="36" t="str">
        <f t="shared" si="1"/>
        <v>-</v>
      </c>
      <c r="H13" s="1">
        <v>3</v>
      </c>
      <c r="I13" s="37" t="str">
        <f t="shared" si="2"/>
        <v/>
      </c>
    </row>
    <row r="14" spans="2:9" x14ac:dyDescent="0.35">
      <c r="B14" s="4">
        <f>IFERROR(SMALL('SMART Ranking'!$D$5:$D$13,H14),"")</f>
        <v>4.2</v>
      </c>
      <c r="C14" s="49" t="str">
        <f>IF(B14="","",CONCATENATE("Calculated weight of the ",VLOOKUP(B14,'SMART Ranking'!$D$5:$E$13,2,FALSE), " criterion"))</f>
        <v>Calculated weight of the Supply reliability criterion</v>
      </c>
      <c r="D14" s="73">
        <f t="shared" si="0"/>
        <v>11.713477836643589</v>
      </c>
      <c r="F14" s="33">
        <f>IF(C14="","",100*'Criteria weights'!F13)</f>
        <v>11.713477836643589</v>
      </c>
      <c r="G14" s="36" t="str">
        <f t="shared" si="1"/>
        <v>-</v>
      </c>
      <c r="H14" s="1">
        <v>4</v>
      </c>
      <c r="I14" s="37" t="str">
        <f t="shared" si="2"/>
        <v/>
      </c>
    </row>
    <row r="15" spans="2:9" x14ac:dyDescent="0.35">
      <c r="B15" s="4">
        <f>IFERROR(SMALL('SMART Ranking'!$D$5:$D$13,H15),"")</f>
        <v>5.16</v>
      </c>
      <c r="C15" s="49" t="str">
        <f>IF(B15="","",CONCATENATE("Calculated weight of the ",VLOOKUP(B15,'SMART Ranking'!$D$5:$E$13,2,FALSE), " criterion"))</f>
        <v>Calculated weight of the Previous use in tenders criterion</v>
      </c>
      <c r="D15" s="73">
        <f t="shared" si="0"/>
        <v>9.0103675666489131</v>
      </c>
      <c r="F15" s="33">
        <f>IF(C15="","",100*'Criteria weights'!F14)</f>
        <v>9.0103675666489131</v>
      </c>
      <c r="G15" s="36" t="str">
        <f t="shared" si="1"/>
        <v>-</v>
      </c>
      <c r="H15" s="1">
        <v>5</v>
      </c>
      <c r="I15" s="37" t="str">
        <f t="shared" si="2"/>
        <v/>
      </c>
    </row>
    <row r="16" spans="2:9" x14ac:dyDescent="0.35">
      <c r="B16" s="4">
        <f>IFERROR(SMALL('SMART Ranking'!$D$5:$D$13,H16),"")</f>
        <v>6.28</v>
      </c>
      <c r="C16" s="49" t="str">
        <f>IF(B16="","",CONCATENATE("Calculated weight of the ",VLOOKUP(B16,'SMART Ranking'!$D$5:$E$13,2,FALSE), " criterion"))</f>
        <v>Calculated weight of the Instant replacement within product variety (within surgery OR on shelf stock) criterion</v>
      </c>
      <c r="D16" s="73">
        <f t="shared" si="0"/>
        <v>6.8781431806480251</v>
      </c>
      <c r="F16" s="33">
        <f>IF(C16="","",100*'Criteria weights'!F15)</f>
        <v>6.8781431806480251</v>
      </c>
      <c r="G16" s="36" t="str">
        <f t="shared" si="1"/>
        <v>-</v>
      </c>
      <c r="H16" s="1">
        <v>6</v>
      </c>
      <c r="I16" s="37" t="str">
        <f t="shared" si="2"/>
        <v/>
      </c>
    </row>
    <row r="17" spans="2:9" x14ac:dyDescent="0.35">
      <c r="B17" s="4">
        <f>IFERROR(SMALL('SMART Ranking'!$D$5:$D$13,H17),"")</f>
        <v>7.24</v>
      </c>
      <c r="C17" s="49" t="str">
        <f>IF(B17="","",CONCATENATE("Calculated weight of the ",VLOOKUP(B17,'SMART Ranking'!$D$5:$E$13,2,FALSE), " criterion"))</f>
        <v>Calculated weight of the Pharmacovigilance criterion</v>
      </c>
      <c r="D17" s="73">
        <f t="shared" si="0"/>
        <v>4.5854287870986834</v>
      </c>
      <c r="F17" s="33">
        <f>IF(C17="","",100*'Criteria weights'!F16)</f>
        <v>4.5854287870986834</v>
      </c>
      <c r="G17" s="36" t="str">
        <f t="shared" si="1"/>
        <v>-</v>
      </c>
      <c r="H17" s="1">
        <v>7</v>
      </c>
      <c r="I17" s="37" t="str">
        <f t="shared" si="2"/>
        <v/>
      </c>
    </row>
    <row r="18" spans="2:9" x14ac:dyDescent="0.35">
      <c r="B18" s="4">
        <f>IFERROR(SMALL('SMART Ranking'!$D$5:$D$13,H18),"")</f>
        <v>8.36</v>
      </c>
      <c r="C18" s="49" t="str">
        <f>IF(B18="","",CONCATENATE("Calculated weight of the ",VLOOKUP(B18,'SMART Ranking'!$D$5:$E$13,2,FALSE), " criterion"))</f>
        <v>Calculated weight of the Refund/Replacement within product variety criterion</v>
      </c>
      <c r="D18" s="73">
        <f t="shared" si="0"/>
        <v>4.0223059535953354</v>
      </c>
      <c r="F18" s="33">
        <f>IF(C18="","",100*'Criteria weights'!F17)</f>
        <v>4.0223059535953354</v>
      </c>
      <c r="G18" s="36" t="str">
        <f t="shared" si="1"/>
        <v>-</v>
      </c>
      <c r="H18" s="1">
        <v>8</v>
      </c>
      <c r="I18" s="37" t="str">
        <f t="shared" si="2"/>
        <v/>
      </c>
    </row>
    <row r="19" spans="2:9" x14ac:dyDescent="0.35">
      <c r="B19" s="4" t="str">
        <f>IFERROR(SMALL('SMART Ranking'!$D$5:$D$13,H19),"")</f>
        <v/>
      </c>
      <c r="C19" s="49" t="str">
        <f>IF(B19="","",CONCATENATE("Calculated weight of the ",VLOOKUP(B19,'SMART Ranking'!$D$5:$E$13,2,FALSE), " criterion"))</f>
        <v/>
      </c>
      <c r="D19" s="73" t="str">
        <f t="shared" si="0"/>
        <v/>
      </c>
      <c r="F19" s="33" t="str">
        <f>IF(C19="","",100*'Criteria weights'!F18)</f>
        <v/>
      </c>
      <c r="G19" s="36" t="str">
        <f t="shared" si="1"/>
        <v/>
      </c>
      <c r="H19" s="1">
        <v>9</v>
      </c>
      <c r="I19" s="37" t="str">
        <f t="shared" si="2"/>
        <v/>
      </c>
    </row>
    <row r="20" spans="2:9" x14ac:dyDescent="0.35">
      <c r="B20" s="4" t="str">
        <f>IFERROR(SMALL('SMART Ranking'!$D$5:$D$12,H20),"")</f>
        <v/>
      </c>
      <c r="C20" s="25" t="str">
        <f>IF(B20="","",CONCATENATE("Calculated weight of the ",VLOOKUP(B20,'SMART Ranking'!$D$5:$E$12,2,FALSE)," criterion"))</f>
        <v/>
      </c>
      <c r="D20" s="31" t="str">
        <f t="shared" si="0"/>
        <v/>
      </c>
      <c r="F20" s="33" t="str">
        <f>IF(C20="","",(100-$D$3)*'Criteria weights'!#REF!)</f>
        <v/>
      </c>
      <c r="G20" s="46" t="str">
        <f t="shared" si="1"/>
        <v/>
      </c>
      <c r="H20" s="1">
        <v>10</v>
      </c>
      <c r="I20" s="37" t="str">
        <f t="shared" si="2"/>
        <v/>
      </c>
    </row>
    <row r="21" spans="2:9" x14ac:dyDescent="0.35">
      <c r="B21" s="4" t="str">
        <f>IFERROR(SMALL('SMART Ranking'!$D$5:$D$12,H21),"")</f>
        <v/>
      </c>
      <c r="C21" s="25" t="str">
        <f>IF(B21="","",CONCATENATE("Calculated weight of the ",VLOOKUP(B21,'SMART Ranking'!$D$5:$E$12,2,FALSE)," criterion"))</f>
        <v/>
      </c>
      <c r="D21" s="31" t="str">
        <f t="shared" si="0"/>
        <v/>
      </c>
      <c r="F21" s="33" t="str">
        <f>IF(C21="","",(100-$D$3)*'Criteria weights'!#REF!)</f>
        <v/>
      </c>
      <c r="G21" s="46" t="str">
        <f t="shared" si="1"/>
        <v/>
      </c>
      <c r="H21" s="1">
        <v>11</v>
      </c>
      <c r="I21" s="37" t="str">
        <f t="shared" si="2"/>
        <v/>
      </c>
    </row>
    <row r="22" spans="2:9" x14ac:dyDescent="0.35">
      <c r="B22" s="4" t="str">
        <f>IFERROR(SMALL('SMART Ranking'!$D$5:$D$12,H22),"")</f>
        <v/>
      </c>
      <c r="C22" s="2" t="str">
        <f>IF(B22="","",CONCATENATE("Calculated weight of the ",VLOOKUP(B22,'SMART Ranking'!$D$5:$E$12,2,FALSE)," criterion"))</f>
        <v/>
      </c>
      <c r="D22" s="7" t="str">
        <f>IF(C22="","",(1-$D$3)*'Criteria weights'!#REF!)</f>
        <v/>
      </c>
      <c r="H22" s="1">
        <v>12</v>
      </c>
    </row>
    <row r="23" spans="2:9" x14ac:dyDescent="0.35">
      <c r="D23" s="14"/>
      <c r="E23" s="15"/>
      <c r="F23" s="15"/>
      <c r="G23" s="37" t="str">
        <f>IF(F6=G8, IF(G9&gt;100,"Please do not go over the sum of 100%!",IF(G9&lt;100,"Please distribute 100% of weights among criteria completely!","")),"")</f>
        <v/>
      </c>
      <c r="H23" s="15"/>
    </row>
    <row r="24" spans="2:9" x14ac:dyDescent="0.35">
      <c r="G24" s="37" t="str">
        <f>IF(F6=G8, IF(G9=100, "", CONCATENATE("Total weights to be distributed among criteria: ", IF(ISNUMBER(SEARCH(".", 1.1)), TEXT(100-G9, "0.00"), TEXT(100-G9, "0,00")), "%")),"")</f>
        <v/>
      </c>
    </row>
  </sheetData>
  <sheetProtection algorithmName="SHA-512" hashValue="+RRhBnoRtT4vNAyAWJVv13xKX2CqwAcoxyxietxj9qylmkuBkWonREf+AUPBu/0X/4YuOqByz5J4gP67SLQCDg==" saltValue="T9g0EDT3zeMBha4seKPSYQ==" spinCount="100000" sheet="1" objects="1" scenarios="1"/>
  <conditionalFormatting sqref="B11:D22">
    <cfRule type="containsBlanks" dxfId="3" priority="9">
      <formula>LEN(TRIM(B11))=0</formula>
    </cfRule>
  </conditionalFormatting>
  <conditionalFormatting sqref="C10">
    <cfRule type="containsBlanks" dxfId="2" priority="7">
      <formula>LEN(TRIM(C10))=0</formula>
    </cfRule>
  </conditionalFormatting>
  <conditionalFormatting sqref="D8:D21">
    <cfRule type="containsBlanks" dxfId="1" priority="6">
      <formula>LEN(TRIM(D8))=0</formula>
    </cfRule>
  </conditionalFormatting>
  <conditionalFormatting sqref="D8:D21">
    <cfRule type="dataBar" priority="27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{2AC11D27-A9E2-44C4-BD9E-A86D5DD7107E}</x14:id>
        </ext>
      </extLst>
    </cfRule>
  </conditionalFormatting>
  <conditionalFormatting sqref="F9:F21">
    <cfRule type="dataBar" priority="3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{E39B0519-43C8-44D8-B977-C33BAA87570C}</x14:id>
        </ext>
      </extLst>
    </cfRule>
  </conditionalFormatting>
  <conditionalFormatting sqref="G9:G19">
    <cfRule type="dataBar" priority="2">
      <dataBar>
        <cfvo type="min"/>
        <cfvo type="max"/>
        <color rgb="FF7F7F7F"/>
      </dataBar>
      <extLst>
        <ext xmlns:x14="http://schemas.microsoft.com/office/spreadsheetml/2009/9/main" uri="{B025F937-C7B1-47D3-B67F-A62EFF666E3E}">
          <x14:id>{AEF9EA3E-2428-4753-A396-B2B5D1FA706E}</x14:id>
        </ext>
      </extLst>
    </cfRule>
  </conditionalFormatting>
  <conditionalFormatting sqref="F9:G17 F18:F21 G18:G19">
    <cfRule type="containsBlanks" dxfId="0" priority="28">
      <formula>LEN(TRIM(F9))=0</formula>
    </cfRule>
  </conditionalFormatting>
  <dataValidations disablePrompts="1" count="1">
    <dataValidation type="list" allowBlank="1" showInputMessage="1" showErrorMessage="1" sqref="F6" xr:uid="{00000000-0002-0000-0B00-000000000000}">
      <formula1>$F$8:$H$8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C11D27-A9E2-44C4-BD9E-A86D5DD7107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D8:D21</xm:sqref>
        </x14:conditionalFormatting>
        <x14:conditionalFormatting xmlns:xm="http://schemas.microsoft.com/office/excel/2006/main">
          <x14:cfRule type="dataBar" id="{E39B0519-43C8-44D8-B977-C33BAA8757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F9:F21</xm:sqref>
        </x14:conditionalFormatting>
        <x14:conditionalFormatting xmlns:xm="http://schemas.microsoft.com/office/excel/2006/main">
          <x14:cfRule type="dataBar" id="{AEF9EA3E-2428-4753-A396-B2B5D1FA706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G9:G19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">
    <tabColor rgb="FFE36C09"/>
  </sheetPr>
  <dimension ref="A1:S11"/>
  <sheetViews>
    <sheetView showGridLines="0" zoomScale="70" zoomScaleNormal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7" sqref="B7"/>
    </sheetView>
  </sheetViews>
  <sheetFormatPr defaultRowHeight="14.5" x14ac:dyDescent="0.35"/>
  <cols>
    <col min="1" max="1" width="2" style="76" customWidth="1"/>
    <col min="2" max="2" width="30.81640625" style="76" customWidth="1"/>
    <col min="3" max="3" width="12" style="76" customWidth="1"/>
    <col min="4" max="4" width="36.81640625" style="76" customWidth="1"/>
    <col min="5" max="5" width="8.7265625" style="76"/>
    <col min="6" max="6" width="23.1796875" style="76" bestFit="1" customWidth="1"/>
    <col min="7" max="7" width="36.81640625" style="76" customWidth="1"/>
    <col min="8" max="8" width="8.7265625" style="76"/>
    <col min="9" max="9" width="23.1796875" style="76" bestFit="1" customWidth="1"/>
    <col min="10" max="10" width="36.81640625" style="76" customWidth="1"/>
    <col min="11" max="11" width="8.7265625" style="76"/>
    <col min="12" max="12" width="23.1796875" style="76" bestFit="1" customWidth="1"/>
    <col min="13" max="13" width="36.81640625" style="76" customWidth="1"/>
    <col min="14" max="14" width="8.7265625" style="76"/>
    <col min="15" max="15" width="23.1796875" style="76" bestFit="1" customWidth="1"/>
    <col min="16" max="16" width="36.81640625" style="76" customWidth="1"/>
    <col min="17" max="17" width="8.7265625" style="76"/>
    <col min="18" max="18" width="23.1796875" style="76" bestFit="1" customWidth="1"/>
    <col min="19" max="16384" width="8.7265625" style="76"/>
  </cols>
  <sheetData>
    <row r="1" spans="1:19" x14ac:dyDescent="0.35">
      <c r="A1" s="74"/>
      <c r="B1" s="118" t="s">
        <v>13</v>
      </c>
      <c r="C1" s="120" t="s">
        <v>14</v>
      </c>
      <c r="D1" s="122" t="s">
        <v>75</v>
      </c>
      <c r="E1" s="116"/>
      <c r="F1" s="117"/>
      <c r="G1" s="122" t="s">
        <v>76</v>
      </c>
      <c r="H1" s="116"/>
      <c r="I1" s="117"/>
      <c r="J1" s="122" t="s">
        <v>77</v>
      </c>
      <c r="K1" s="116"/>
      <c r="L1" s="117"/>
      <c r="M1" s="115" t="s">
        <v>78</v>
      </c>
      <c r="N1" s="116"/>
      <c r="O1" s="117"/>
      <c r="P1" s="115" t="s">
        <v>79</v>
      </c>
      <c r="Q1" s="116"/>
      <c r="R1" s="117"/>
      <c r="S1" s="75"/>
    </row>
    <row r="2" spans="1:19" ht="15" thickBot="1" x14ac:dyDescent="0.4">
      <c r="A2" s="74"/>
      <c r="B2" s="119"/>
      <c r="C2" s="121"/>
      <c r="D2" s="77" t="s">
        <v>15</v>
      </c>
      <c r="E2" s="78" t="s">
        <v>16</v>
      </c>
      <c r="F2" s="79" t="s">
        <v>17</v>
      </c>
      <c r="G2" s="77" t="s">
        <v>15</v>
      </c>
      <c r="H2" s="78" t="s">
        <v>16</v>
      </c>
      <c r="I2" s="79" t="s">
        <v>17</v>
      </c>
      <c r="J2" s="77" t="s">
        <v>15</v>
      </c>
      <c r="K2" s="78" t="s">
        <v>16</v>
      </c>
      <c r="L2" s="79" t="s">
        <v>17</v>
      </c>
      <c r="M2" s="80" t="s">
        <v>15</v>
      </c>
      <c r="N2" s="78" t="s">
        <v>16</v>
      </c>
      <c r="O2" s="79" t="s">
        <v>17</v>
      </c>
      <c r="P2" s="80" t="s">
        <v>15</v>
      </c>
      <c r="Q2" s="78" t="s">
        <v>16</v>
      </c>
      <c r="R2" s="79" t="s">
        <v>17</v>
      </c>
      <c r="S2" s="75"/>
    </row>
    <row r="3" spans="1:19" ht="30" customHeight="1" x14ac:dyDescent="0.35">
      <c r="B3" s="81" t="str">
        <f>'Order of criteria'!C5</f>
        <v>Technical characteristics of the medical device</v>
      </c>
      <c r="C3" s="82">
        <f>IF(B3="","",IF(ISNUMBER(SEARCH(B3,Weights!$C$11)),Weights!$D$11,IF(ISNUMBER(SEARCH(B3,Weights!$C$12)),Weights!$D$12, IF(ISNUMBER(SEARCH(B3,Weights!$C$13)),Weights!$D$13, IF(ISNUMBER(SEARCH(B3,Weights!$C$14)),Weights!$D$14,IF(ISNUMBER(SEARCH(B3,Weights!$C$15)),Weights!$D$15, IF(ISNUMBER(SEARCH(B3,Weights!$C$16)),Weights!$D$16,IF(ISNUMBER(SEARCH(B3,Weights!$C$17)),Weights!$D$17,IF(ISNUMBER(SEARCH(B3,Weights!$C$18)),Weights!$D$18, IF(ISNUMBER(SEARCH(B3,Weights!$C$19)),Weights!$D$19,IF(ISNUMBER(SEARCH(B3,Weights!$C$20)),Weights!$D$20,IF(ISNUMBER(SEARCH(B3,Weights!$C$21)),Weights!$D$21,0))))))))))))</f>
        <v>29.426446746004149</v>
      </c>
      <c r="D3" s="92"/>
      <c r="E3" s="84" t="e">
        <f>IF(OR($B$3="",$C$3=0,$C$3="-"),"",IF(VLOOKUP(D3,'Scoring Functions'!$C$2:$E$6,3,FALSE)="EXCLUSION","EXCLUDED",VLOOKUP(D3,'Scoring Functions'!$C$2:$E$6,3,FALSE)*$C3))</f>
        <v>#N/A</v>
      </c>
      <c r="F3" s="85" t="e">
        <f>IF(OR($B$3="",$C$3=0,$C$3="-"),"",IF(E3="EXCLUDED","EXCLUDED",E3/$C3))</f>
        <v>#N/A</v>
      </c>
      <c r="G3" s="83"/>
      <c r="H3" s="84" t="e">
        <f>IF(OR($B$3="",$C$3=0,$C$3="-"),"",IF(VLOOKUP(G3,'Scoring Functions'!$C$2:$E$6,3,FALSE)="EXCLUSION","EXCLUDED",VLOOKUP(G3,'Scoring Functions'!$C$2:$E$6,3,FALSE)*$C3))</f>
        <v>#N/A</v>
      </c>
      <c r="I3" s="85" t="e">
        <f>IF(OR($B$3="",$C$3=0,$C$3="-"),"",IF(H3="EXCLUDED","EXCLUDED",H3/$C3))</f>
        <v>#N/A</v>
      </c>
      <c r="J3" s="92"/>
      <c r="K3" s="84" t="e">
        <f>IF(OR($B$3="",$C$3=0,$C$3="-"),"",IF(VLOOKUP(J3,'Scoring Functions'!$C$2:$E$6,3,FALSE)="EXCLUSION","EXCLUDED",VLOOKUP(J3,'Scoring Functions'!$C$2:$E$6,3,FALSE)*$C3))</f>
        <v>#N/A</v>
      </c>
      <c r="L3" s="85" t="e">
        <f>IF(OR($B$3="",$C$3=0,$C$3="-"),"",IF(K3="EXCLUDED","EXCLUDED",K3/$C3))</f>
        <v>#N/A</v>
      </c>
      <c r="M3" s="92"/>
      <c r="N3" s="84" t="e">
        <f>IF(OR($B$3="",$C$3=0,$C$3="-"),"",IF(VLOOKUP(M3,'Scoring Functions'!$C$2:$E$6,3,FALSE)="EXCLUSION","EXCLUDED",VLOOKUP(M3,'Scoring Functions'!$C$2:$E$6,3,FALSE)*$C3))</f>
        <v>#N/A</v>
      </c>
      <c r="O3" s="85" t="e">
        <f>IF(OR($B$3="",$C$3=0,$C$3="-"),"",IF(N3="EXCLUDED","EXCLUDED",N3/$C3))</f>
        <v>#N/A</v>
      </c>
      <c r="P3" s="92"/>
      <c r="Q3" s="84" t="e">
        <f>IF(OR($B$3="",$C$3=0,$C$3="-"),"",IF(VLOOKUP(P3,'Scoring Functions'!$C$2:$E$6,3,FALSE)="EXCLUSION","EXCLUDED",VLOOKUP(P3,'Scoring Functions'!$C$2:$E$6,3,FALSE)*$C3))</f>
        <v>#N/A</v>
      </c>
      <c r="R3" s="85" t="e">
        <f>IF(OR($B$3="",$C$3=0,$C$3="-"),"",IF(Q3="EXCLUDED","EXCLUDED",Q3/$C3))</f>
        <v>#N/A</v>
      </c>
    </row>
    <row r="4" spans="1:19" x14ac:dyDescent="0.35">
      <c r="B4" s="81" t="str">
        <f>'Order of criteria'!C6</f>
        <v>Country of origin</v>
      </c>
      <c r="C4" s="82">
        <f>IF(B4="","",IF(ISNUMBER(SEARCH(B4,Weights!$C$11)),Weights!$D$11,IF(ISNUMBER(SEARCH(B4,Weights!$C$12)),Weights!$D$12, IF(ISNUMBER(SEARCH(B4,Weights!$C$13)),Weights!$D$13, IF(ISNUMBER(SEARCH(B4,Weights!$C$14)),Weights!$D$14,IF(ISNUMBER(SEARCH(B4,Weights!$C$15)),Weights!$D$15, IF(ISNUMBER(SEARCH(B4,Weights!$C$16)),Weights!$D$16,IF(ISNUMBER(SEARCH(B4,Weights!$C$17)),Weights!$D$17,IF(ISNUMBER(SEARCH(B4,Weights!$C$18)),Weights!$D$18, IF(ISNUMBER(SEARCH(B4,Weights!$C$19)),Weights!$D$19,IF(ISNUMBER(SEARCH(B4,Weights!$C$20)),Weights!$D$20,IF(ISNUMBER(SEARCH(B4,Weights!$C$21)),Weights!$D$21,0))))))))))))</f>
        <v>19.48771307682394</v>
      </c>
      <c r="D4" s="93"/>
      <c r="E4" s="84" t="e">
        <f>IF(OR($B$3="",$C$3=0,$C$3="-"),"",IF(VLOOKUP(D4,'Scoring Functions'!$C$7:$E$9,3,FALSE)="EXCLUSION","EXCLUDED",VLOOKUP(D4,'Scoring Functions'!$C$7:$E$9,3,FALSE)*$C4))</f>
        <v>#N/A</v>
      </c>
      <c r="F4" s="87" t="e">
        <f>IF(OR($B$4="",$C$4=0,$C$4="-"),"",IF(E4="EXCLUDED","EXCLUDED",E4/$C4))</f>
        <v>#N/A</v>
      </c>
      <c r="G4" s="86"/>
      <c r="H4" s="84" t="e">
        <f>IF(OR($B$3="",$C$3=0,$C$3="-"),"",IF(VLOOKUP(G4,'Scoring Functions'!$C$7:$E$9,3,FALSE)="EXCLUSION","EXCLUDED",VLOOKUP(G4,'Scoring Functions'!$C$7:$E$9,3,FALSE)*$C4))</f>
        <v>#N/A</v>
      </c>
      <c r="I4" s="85" t="e">
        <f>IF(OR($B$4="",$C$4=0,$C$4="-"),"",IF(H4="EXCLUDED","EXCLUDED",H4/$C4))</f>
        <v>#N/A</v>
      </c>
      <c r="J4" s="93"/>
      <c r="K4" s="84" t="e">
        <f>IF(OR($B$3="",$C$3=0,$C$3="-"),"",IF(VLOOKUP(J4,'Scoring Functions'!$C$7:$E$9,3,FALSE)="EXCLUSION","EXCLUDED",VLOOKUP(J4,'Scoring Functions'!$C$7:$E$9,3,FALSE)*$C4))</f>
        <v>#N/A</v>
      </c>
      <c r="L4" s="85" t="e">
        <f>IF(OR($B$4="",$C$4=0,$C$4="-"),"",IF(K4="EXCLUDED","EXCLUDED",K4/$C4))</f>
        <v>#N/A</v>
      </c>
      <c r="M4" s="93"/>
      <c r="N4" s="84" t="e">
        <f>IF(OR($B$3="",$C$3=0,$C$3="-"),"",IF(VLOOKUP(M4,'Scoring Functions'!$C$7:$E$9,3,FALSE)="EXCLUSION","EXCLUDED",VLOOKUP(M4,'Scoring Functions'!$C$7:$E$9,3,FALSE)*$C4))</f>
        <v>#N/A</v>
      </c>
      <c r="O4" s="85" t="e">
        <f>IF(OR($B$4="",$C$4=0,$C$4="-"),"",IF(N4="EXCLUDED","EXCLUDED",N4/$C4))</f>
        <v>#N/A</v>
      </c>
      <c r="P4" s="93"/>
      <c r="Q4" s="84" t="e">
        <f>IF(OR($B$3="",$C$3=0,$C$3="-"),"",IF(VLOOKUP(P4,'Scoring Functions'!$C$7:$E$9,3,FALSE)="EXCLUSION","EXCLUDED",VLOOKUP(P4,'Scoring Functions'!$C$7:$E$9,3,FALSE)*$C4))</f>
        <v>#N/A</v>
      </c>
      <c r="R4" s="87" t="e">
        <f>IF(OR($B$4="",$C$4=0,$C$4="-"),"",IF(Q4="EXCLUDED","EXCLUDED",Q4/$C4))</f>
        <v>#N/A</v>
      </c>
    </row>
    <row r="5" spans="1:19" x14ac:dyDescent="0.35">
      <c r="B5" s="81" t="str">
        <f>'Order of criteria'!C7</f>
        <v>Use in reference countries</v>
      </c>
      <c r="C5" s="82">
        <f>IF(B5="","",IF(ISNUMBER(SEARCH(B5,Weights!$C$11)),Weights!$D$11,IF(ISNUMBER(SEARCH(B5,Weights!$C$12)),Weights!$D$12, IF(ISNUMBER(SEARCH(B5,Weights!$C$13)),Weights!$D$13, IF(ISNUMBER(SEARCH(B5,Weights!$C$14)),Weights!$D$14,IF(ISNUMBER(SEARCH(B5,Weights!$C$15)),Weights!$D$15, IF(ISNUMBER(SEARCH(B5,Weights!$C$16)),Weights!$D$16,IF(ISNUMBER(SEARCH(B5,Weights!$C$17)),Weights!$D$17,IF(ISNUMBER(SEARCH(B5,Weights!$C$18)),Weights!$D$18, IF(ISNUMBER(SEARCH(B5,Weights!$C$19)),Weights!$D$19,IF(ISNUMBER(SEARCH(B5,Weights!$C$20)),Weights!$D$20,IF(ISNUMBER(SEARCH(B5,Weights!$C$21)),Weights!$D$21,0))))))))))))</f>
        <v>14.876116852537358</v>
      </c>
      <c r="D5" s="93"/>
      <c r="E5" s="84" t="e">
        <f>IF(OR($B$3="",$C$3=0,$C$3="-"),"",IF(VLOOKUP(D5,'Scoring Functions'!$C$10:$E$13,3,FALSE)="EXCLUSION","EXCLUDED",VLOOKUP(D5,'Scoring Functions'!$C$10:$E$13,3,FALSE)*$C5))</f>
        <v>#N/A</v>
      </c>
      <c r="F5" s="87" t="e">
        <f>IF(OR($B$5="",$C$5=0,$C$5="-"),"",IF(E5="EXCLUDED","EXCLUDED",E5/$C5))</f>
        <v>#N/A</v>
      </c>
      <c r="G5" s="86"/>
      <c r="H5" s="84" t="e">
        <f>IF(OR($B$3="",$C$3=0,$C$3="-"),"",IF(VLOOKUP(G5,'Scoring Functions'!$C$10:$E$13,3,FALSE)="EXCLUSION","EXCLUDED",VLOOKUP(G5,'Scoring Functions'!$C$10:$E$13,3,FALSE)*$C5))</f>
        <v>#N/A</v>
      </c>
      <c r="I5" s="85" t="e">
        <f>IF(OR($B$5="",$C$5=0,$C$5="-"),"",IF(H5="EXCLUDED","EXCLUDED",H5/$C5))</f>
        <v>#N/A</v>
      </c>
      <c r="J5" s="93"/>
      <c r="K5" s="84" t="e">
        <f>IF(OR($B$3="",$C$3=0,$C$3="-"),"",IF(VLOOKUP(J5,'Scoring Functions'!$C$10:$E$13,3,FALSE)="EXCLUSION","EXCLUDED",VLOOKUP(J5,'Scoring Functions'!$C$10:$E$13,3,FALSE)*$C5))</f>
        <v>#N/A</v>
      </c>
      <c r="L5" s="85" t="e">
        <f>IF(OR($B$5="",$C$5=0,$C$5="-"),"",IF(K5="EXCLUDED","EXCLUDED",K5/$C5))</f>
        <v>#N/A</v>
      </c>
      <c r="M5" s="93"/>
      <c r="N5" s="84" t="e">
        <f>IF(OR($B$3="",$C$3=0,$C$3="-"),"",IF(VLOOKUP(M5,'Scoring Functions'!$C$10:$E$13,3,FALSE)="EXCLUSION","EXCLUDED",VLOOKUP(M5,'Scoring Functions'!$C$10:$E$13,3,FALSE)*$C5))</f>
        <v>#N/A</v>
      </c>
      <c r="O5" s="85" t="e">
        <f>IF(OR($B$5="",$C$5=0,$C$5="-"),"",IF(N5="EXCLUDED","EXCLUDED",N5/$C5))</f>
        <v>#N/A</v>
      </c>
      <c r="P5" s="93"/>
      <c r="Q5" s="84" t="e">
        <f>IF(OR($B$3="",$C$3=0,$C$3="-"),"",IF(VLOOKUP(P5,'Scoring Functions'!$C$10:$E$13,3,FALSE)="EXCLUSION","EXCLUDED",VLOOKUP(P5,'Scoring Functions'!$C$10:$E$13,3,FALSE)*$C5))</f>
        <v>#N/A</v>
      </c>
      <c r="R5" s="87" t="e">
        <f>IF(OR($B$5="",$C$5=0,$C$5="-"),"",IF(Q5="EXCLUDED","EXCLUDED",Q5/$C5))</f>
        <v>#N/A</v>
      </c>
    </row>
    <row r="6" spans="1:19" x14ac:dyDescent="0.35">
      <c r="B6" s="81" t="str">
        <f>'Order of criteria'!C8</f>
        <v>Supply reliability</v>
      </c>
      <c r="C6" s="82">
        <f>IF(B6="","",IF(ISNUMBER(SEARCH(B6,Weights!$C$11)),Weights!$D$11,IF(ISNUMBER(SEARCH(B6,Weights!$C$12)),Weights!$D$12, IF(ISNUMBER(SEARCH(B6,Weights!$C$13)),Weights!$D$13, IF(ISNUMBER(SEARCH(B6,Weights!$C$14)),Weights!$D$14,IF(ISNUMBER(SEARCH(B6,Weights!$C$15)),Weights!$D$15, IF(ISNUMBER(SEARCH(B6,Weights!$C$16)),Weights!$D$16,IF(ISNUMBER(SEARCH(B6,Weights!$C$17)),Weights!$D$17,IF(ISNUMBER(SEARCH(B6,Weights!$C$18)),Weights!$D$18, IF(ISNUMBER(SEARCH(B6,Weights!$C$19)),Weights!$D$19,IF(ISNUMBER(SEARCH(B6,Weights!$C$20)),Weights!$D$20,IF(ISNUMBER(SEARCH(B6,Weights!$C$21)),Weights!$D$21,0))))))))))))</f>
        <v>11.713477836643589</v>
      </c>
      <c r="D6" s="93"/>
      <c r="E6" s="84" t="e">
        <f>IF(OR($B$3="",$C$3=0,$C$3="-"),"",IF(VLOOKUP(D6,'Scoring Functions'!$C$14:$E$18,3,FALSE)="EXCLUSION","EXCLUDED",VLOOKUP(D6,'Scoring Functions'!$C$14:$E$18,3,FALSE)*$C6))</f>
        <v>#N/A</v>
      </c>
      <c r="F6" s="87" t="e">
        <f>IF(OR($B$6="",$C$6=0,$C$6="-"),"",IF(E6="EXCLUDED","EXCLUDED",E6/$C6))</f>
        <v>#N/A</v>
      </c>
      <c r="G6" s="86"/>
      <c r="H6" s="84" t="e">
        <f>IF(OR($B$3="",$C$3=0,$C$3="-"),"",IF(VLOOKUP(G6,'Scoring Functions'!$C$14:$E$18,3,FALSE)="EXCLUSION","EXCLUDED",VLOOKUP(G6,'Scoring Functions'!$C$14:$E$18,3,FALSE)*$C6))</f>
        <v>#N/A</v>
      </c>
      <c r="I6" s="85" t="e">
        <f>IF(OR($B$6="",$C$6=0,$C$6="-"),"",IF(H6="EXCLUDED","EXCLUDED",H6/$C6))</f>
        <v>#N/A</v>
      </c>
      <c r="J6" s="93"/>
      <c r="K6" s="84" t="e">
        <f>IF(OR($B$3="",$C$3=0,$C$3="-"),"",IF(VLOOKUP(J6,'Scoring Functions'!$C$14:$E$18,3,FALSE)="EXCLUSION","EXCLUDED",VLOOKUP(J6,'Scoring Functions'!$C$14:$E$18,3,FALSE)*$C6))</f>
        <v>#N/A</v>
      </c>
      <c r="L6" s="85" t="e">
        <f>IF(OR($B$6="",$C$6=0,$C$6="-"),"",IF(K6="EXCLUDED","EXCLUDED",K6/$C6))</f>
        <v>#N/A</v>
      </c>
      <c r="M6" s="93"/>
      <c r="N6" s="84" t="e">
        <f>IF(OR($B$3="",$C$3=0,$C$3="-"),"",IF(VLOOKUP(M6,'Scoring Functions'!$C$14:$E$18,3,FALSE)="EXCLUSION","EXCLUDED",VLOOKUP(M6,'Scoring Functions'!$C$14:$E$18,3,FALSE)*$C6))</f>
        <v>#N/A</v>
      </c>
      <c r="O6" s="85" t="e">
        <f>IF(OR($B$6="",$C$6=0,$C$6="-"),"",IF(N6="EXCLUDED","EXCLUDED",N6/$C6))</f>
        <v>#N/A</v>
      </c>
      <c r="P6" s="93"/>
      <c r="Q6" s="84" t="e">
        <f>IF(OR($B$3="",$C$3=0,$C$3="-"),"",IF(VLOOKUP(P6,'Scoring Functions'!$C$14:$E$18,3,FALSE)="EXCLUSION","EXCLUDED",VLOOKUP(P6,'Scoring Functions'!$C$14:$E$18,3,FALSE)*$C6))</f>
        <v>#N/A</v>
      </c>
      <c r="R6" s="87" t="e">
        <f>IF(OR($B$6="",$C$6=0,$C$6="-"),"",IF(Q6="EXCLUDED","EXCLUDED",Q6/$C6))</f>
        <v>#N/A</v>
      </c>
    </row>
    <row r="7" spans="1:19" ht="43" customHeight="1" x14ac:dyDescent="0.35">
      <c r="B7" s="81" t="str">
        <f>'Order of criteria'!C9</f>
        <v>Previous use in tenders</v>
      </c>
      <c r="C7" s="82">
        <f>IF(B7="","",IF(ISNUMBER(SEARCH(B7,Weights!$C$11)),Weights!$D$11,IF(ISNUMBER(SEARCH(B7,Weights!$C$12)),Weights!$D$12, IF(ISNUMBER(SEARCH(B7,Weights!$C$13)),Weights!$D$13, IF(ISNUMBER(SEARCH(B7,Weights!$C$14)),Weights!$D$14,IF(ISNUMBER(SEARCH(B7,Weights!$C$15)),Weights!$D$15, IF(ISNUMBER(SEARCH(B7,Weights!$C$16)),Weights!$D$16,IF(ISNUMBER(SEARCH(B7,Weights!$C$17)),Weights!$D$17,IF(ISNUMBER(SEARCH(B7,Weights!$C$18)),Weights!$D$18, IF(ISNUMBER(SEARCH(B7,Weights!$C$19)),Weights!$D$19,IF(ISNUMBER(SEARCH(B7,Weights!$C$20)),Weights!$D$20,IF(ISNUMBER(SEARCH(B7,Weights!$C$21)),Weights!$D$21,0))))))))))))</f>
        <v>9.0103675666489131</v>
      </c>
      <c r="D7" s="93"/>
      <c r="E7" s="84" t="e">
        <f>IF(OR($B$3="",$C$3=0,$C$3="-"),"",IF(VLOOKUP(D7,'Scoring Functions'!$C$19:$E$21,3,FALSE)="EXCLUSION","EXCLUDED",VLOOKUP(D7,'Scoring Functions'!$C$19:$E$21,3,FALSE)*$C7))</f>
        <v>#N/A</v>
      </c>
      <c r="F7" s="87" t="e">
        <f>IF(OR($B$7="",$C$7=0,$C$7="-"),"",IF(E7="EXCLUDED","EXCLUDED",E7/$C7))</f>
        <v>#N/A</v>
      </c>
      <c r="G7" s="86"/>
      <c r="H7" s="84" t="e">
        <f>IF(OR($B$3="",$C$3=0,$C$3="-"),"",IF(VLOOKUP(G7,'Scoring Functions'!$C$19:$E$21,3,FALSE)="EXCLUSION","EXCLUDED",VLOOKUP(G7,'Scoring Functions'!$C$19:$E$21,3,FALSE)*$C7))</f>
        <v>#N/A</v>
      </c>
      <c r="I7" s="85" t="e">
        <f>IF(OR($B$7="",$C$7=0,$C$7="-"),"",IF(H7="EXCLUDED","EXCLUDED",H7/$C7))</f>
        <v>#N/A</v>
      </c>
      <c r="J7" s="93"/>
      <c r="K7" s="84" t="e">
        <f>IF(OR($B$3="",$C$3=0,$C$3="-"),"",IF(VLOOKUP(J7,'Scoring Functions'!$C$19:$E$21,3,FALSE)="EXCLUSION","EXCLUDED",VLOOKUP(J7,'Scoring Functions'!$C$19:$E$21,3,FALSE)*$C7))</f>
        <v>#N/A</v>
      </c>
      <c r="L7" s="85" t="e">
        <f>IF(OR($B$7="",$C$7=0,$C$7="-"),"",IF(K7="EXCLUDED","EXCLUDED",K7/$C7))</f>
        <v>#N/A</v>
      </c>
      <c r="M7" s="93"/>
      <c r="N7" s="84" t="e">
        <f>IF(OR($B$3="",$C$3=0,$C$3="-"),"",IF(VLOOKUP(M7,'Scoring Functions'!$C$19:$E$21,3,FALSE)="EXCLUSION","EXCLUDED",VLOOKUP(M7,'Scoring Functions'!$C$19:$E$21,3,FALSE)*$C7))</f>
        <v>#N/A</v>
      </c>
      <c r="O7" s="85" t="e">
        <f>IF(OR($B$7="",$C$7=0,$C$7="-"),"",IF(N7="EXCLUDED","EXCLUDED",N7/$C7))</f>
        <v>#N/A</v>
      </c>
      <c r="P7" s="93"/>
      <c r="Q7" s="84" t="e">
        <f>IF(OR($B$3="",$C$3=0,$C$3="-"),"",IF(VLOOKUP(P7,'Scoring Functions'!$C$19:$E$21,3,FALSE)="EXCLUSION","EXCLUDED",VLOOKUP(P7,'Scoring Functions'!$C$19:$E$21,3,FALSE)*$C7))</f>
        <v>#N/A</v>
      </c>
      <c r="R7" s="87" t="e">
        <f>IF(OR($B$7="",$C$7=0,$C$7="-"),"",IF(Q7="EXCLUDED","EXCLUDED",Q7/$C7))</f>
        <v>#N/A</v>
      </c>
    </row>
    <row r="8" spans="1:19" ht="44.15" customHeight="1" x14ac:dyDescent="0.35">
      <c r="B8" s="81" t="str">
        <f>'Order of criteria'!C10</f>
        <v>Instant replacement within product variety (within surgery OR on shelf stock)</v>
      </c>
      <c r="C8" s="82">
        <f>IF(B8="","",IF(ISNUMBER(SEARCH(B8,Weights!$C$11)),Weights!$D$11,IF(ISNUMBER(SEARCH(B8,Weights!$C$12)),Weights!$D$12, IF(ISNUMBER(SEARCH(B8,Weights!$C$13)),Weights!$D$13, IF(ISNUMBER(SEARCH(B8,Weights!$C$14)),Weights!$D$14,IF(ISNUMBER(SEARCH(B8,Weights!$C$15)),Weights!$D$15, IF(ISNUMBER(SEARCH(B8,Weights!$C$16)),Weights!$D$16,IF(ISNUMBER(SEARCH(B8,Weights!$C$17)),Weights!$D$17,IF(ISNUMBER(SEARCH(B8,Weights!$C$18)),Weights!$D$18, IF(ISNUMBER(SEARCH(B8,Weights!$C$19)),Weights!$D$19,IF(ISNUMBER(SEARCH(B8,Weights!$C$20)),Weights!$D$20,IF(ISNUMBER(SEARCH(B8,Weights!$C$21)),Weights!$D$21,0))))))))))))</f>
        <v>6.8781431806480251</v>
      </c>
      <c r="D8" s="93"/>
      <c r="E8" s="84" t="e">
        <f>IF(OR($B$3="",$C$3=0,$C$3="-"),"",IF(VLOOKUP(D8,'Scoring Functions'!$C$22:$E$23,3,FALSE)="EXCLUSION","EXCLUDED",VLOOKUP(D8,'Scoring Functions'!$C$22:$E$23,3,FALSE)*$C8))</f>
        <v>#N/A</v>
      </c>
      <c r="F8" s="87" t="e">
        <f>IF(OR($B$8="",$C$8=0,$C$8="-"),"",IF(E8="EXCLUDED","EXCLUDED",E8/$C8))</f>
        <v>#N/A</v>
      </c>
      <c r="G8" s="86"/>
      <c r="H8" s="84" t="e">
        <f>IF(OR($B$3="",$C$3=0,$C$3="-"),"",IF(VLOOKUP(G8,'Scoring Functions'!$C$22:$E$23,3,FALSE)="EXCLUSION","EXCLUDED",VLOOKUP(G8,'Scoring Functions'!$C$22:$E$23,3,FALSE)*$C8))</f>
        <v>#N/A</v>
      </c>
      <c r="I8" s="85" t="e">
        <f>IF(OR($B$8="",$C$8=0,$C$8="-"),"",IF(H8="EXCLUDED","EXCLUDED",H8/$C8))</f>
        <v>#N/A</v>
      </c>
      <c r="J8" s="93"/>
      <c r="K8" s="84" t="e">
        <f>IF(OR($B$3="",$C$3=0,$C$3="-"),"",IF(VLOOKUP(J8,'Scoring Functions'!$C$22:$E$23,3,FALSE)="EXCLUSION","EXCLUDED",VLOOKUP(J8,'Scoring Functions'!$C$22:$E$23,3,FALSE)*$C8))</f>
        <v>#N/A</v>
      </c>
      <c r="L8" s="85" t="e">
        <f>IF(OR($B$8="",$C$8=0,$C$8="-"),"",IF(K8="EXCLUDED","EXCLUDED",K8/$C8))</f>
        <v>#N/A</v>
      </c>
      <c r="M8" s="93"/>
      <c r="N8" s="84" t="e">
        <f>IF(OR($B$3="",$C$3=0,$C$3="-"),"",IF(VLOOKUP(M8,'Scoring Functions'!$C$22:$E$23,3,FALSE)="EXCLUSION","EXCLUDED",VLOOKUP(M8,'Scoring Functions'!$C$22:$E$23,3,FALSE)*$C8))</f>
        <v>#N/A</v>
      </c>
      <c r="O8" s="85" t="e">
        <f>IF(OR($B$8="",$C$8=0,$C$8="-"),"",IF(N8="EXCLUDED","EXCLUDED",N8/$C8))</f>
        <v>#N/A</v>
      </c>
      <c r="P8" s="93"/>
      <c r="Q8" s="84" t="e">
        <f>IF(OR($B$3="",$C$3=0,$C$3="-"),"",IF(VLOOKUP(P8,'Scoring Functions'!$C$22:$E$23,3,FALSE)="EXCLUSION","EXCLUDED",VLOOKUP(P8,'Scoring Functions'!$C$22:$E$23,3,FALSE)*$C8))</f>
        <v>#N/A</v>
      </c>
      <c r="R8" s="87" t="e">
        <f>IF(OR($B$8="",$C$8=0,$C$8="-"),"",IF(Q8="EXCLUDED","EXCLUDED",Q8/$C8))</f>
        <v>#N/A</v>
      </c>
    </row>
    <row r="9" spans="1:19" ht="46" customHeight="1" x14ac:dyDescent="0.35">
      <c r="B9" s="81" t="str">
        <f>'Order of criteria'!C11</f>
        <v>Pharmacovigilance</v>
      </c>
      <c r="C9" s="82">
        <f>IF(B9="","",IF(ISNUMBER(SEARCH(B9,Weights!$C$11)),Weights!$D$11,IF(ISNUMBER(SEARCH(B9,Weights!$C$12)),Weights!$D$12, IF(ISNUMBER(SEARCH(B9,Weights!$C$13)),Weights!$D$13, IF(ISNUMBER(SEARCH(B9,Weights!$C$14)),Weights!$D$14,IF(ISNUMBER(SEARCH(B9,Weights!$C$15)),Weights!$D$15, IF(ISNUMBER(SEARCH(B9,Weights!$C$16)),Weights!$D$16,IF(ISNUMBER(SEARCH(B9,Weights!$C$17)),Weights!$D$17,IF(ISNUMBER(SEARCH(B9,Weights!$C$18)),Weights!$D$18, IF(ISNUMBER(SEARCH(B9,Weights!$C$19)),Weights!$D$19,IF(ISNUMBER(SEARCH(B9,Weights!$C$20)),Weights!$D$20,IF(ISNUMBER(SEARCH(B9,Weights!$C$21)),Weights!$D$21,0))))))))))))</f>
        <v>4.5854287870986834</v>
      </c>
      <c r="D9" s="93"/>
      <c r="E9" s="84" t="e">
        <f>IF(OR($B$3="",$C$3=0,$C$3="-"),"",IF(VLOOKUP(D9,'Scoring Functions'!$C$24:$E$27,3,FALSE)="EXCLUSION","EXCLUDED",VLOOKUP(D9,'Scoring Functions'!$C$24:$E$27,3,FALSE)*$C9))</f>
        <v>#N/A</v>
      </c>
      <c r="F9" s="87" t="e">
        <f>IF(OR($B$9="",$C$9=0,$C$9="-"),"",IF(E9="EXCLUDED","EXCLUDED",E9/$C9))</f>
        <v>#N/A</v>
      </c>
      <c r="G9" s="86"/>
      <c r="H9" s="84" t="e">
        <f>IF(OR($B$3="",$C$3=0,$C$3="-"),"",IF(VLOOKUP(G9,'Scoring Functions'!$C$24:$E$27,3,FALSE)="EXCLUSION","EXCLUDED",VLOOKUP(G9,'Scoring Functions'!$C$24:$E$27,3,FALSE)*$C9))</f>
        <v>#N/A</v>
      </c>
      <c r="I9" s="85" t="e">
        <f>IF(OR($B$9="",$C$9=0,$C$9="-"),"",IF(H9="EXCLUDED","EXCLUDED",H9/$C9))</f>
        <v>#N/A</v>
      </c>
      <c r="J9" s="93"/>
      <c r="K9" s="84" t="e">
        <f>IF(OR($B$3="",$C$3=0,$C$3="-"),"",IF(VLOOKUP(J9,'Scoring Functions'!$C$24:$E$27,3,FALSE)="EXCLUSION","EXCLUDED",VLOOKUP(J9,'Scoring Functions'!$C$24:$E$27,3,FALSE)*$C9))</f>
        <v>#N/A</v>
      </c>
      <c r="L9" s="85" t="e">
        <f>IF(OR($B$9="",$C$9=0,$C$9="-"),"",IF(K9="EXCLUDED","EXCLUDED",K9/$C9))</f>
        <v>#N/A</v>
      </c>
      <c r="M9" s="93"/>
      <c r="N9" s="84" t="e">
        <f>IF(OR($B$3="",$C$3=0,$C$3="-"),"",IF(VLOOKUP(M9,'Scoring Functions'!$C$24:$E$27,3,FALSE)="EXCLUSION","EXCLUDED",VLOOKUP(M9,'Scoring Functions'!$C$24:$E$27,3,FALSE)*$C9))</f>
        <v>#N/A</v>
      </c>
      <c r="O9" s="85" t="e">
        <f>IF(OR($B$9="",$C$9=0,$C$9="-"),"",IF(N9="EXCLUDED","EXCLUDED",N9/$C9))</f>
        <v>#N/A</v>
      </c>
      <c r="P9" s="93"/>
      <c r="Q9" s="84" t="e">
        <f>IF(OR($B$3="",$C$3=0,$C$3="-"),"",IF(VLOOKUP(P9,'Scoring Functions'!$C$24:$E$27,3,FALSE)="EXCLUSION","EXCLUDED",VLOOKUP(P9,'Scoring Functions'!$C$24:$E$27,3,FALSE)*$C9))</f>
        <v>#N/A</v>
      </c>
      <c r="R9" s="87" t="e">
        <f>IF(OR($B$9="",$C$9=0,$C$9="-"),"",IF(Q9="EXCLUDED","EXCLUDED",Q9/$C9))</f>
        <v>#N/A</v>
      </c>
    </row>
    <row r="10" spans="1:19" ht="44.15" customHeight="1" thickBot="1" x14ac:dyDescent="0.4">
      <c r="B10" s="81" t="str">
        <f>'Order of criteria'!C12</f>
        <v>Refund/Replacement within product variety</v>
      </c>
      <c r="C10" s="82">
        <f>IF(B10="","",IF(ISNUMBER(SEARCH(B10,Weights!$C$11)),Weights!$D$11,IF(ISNUMBER(SEARCH(B10,Weights!$C$12)),Weights!$D$12, IF(ISNUMBER(SEARCH(B10,Weights!$C$13)),Weights!$D$13, IF(ISNUMBER(SEARCH(B10,Weights!$C$14)),Weights!$D$14,IF(ISNUMBER(SEARCH(B10,Weights!$C$15)),Weights!$D$15, IF(ISNUMBER(SEARCH(B10,Weights!$C$16)),Weights!$D$16,IF(ISNUMBER(SEARCH(B10,Weights!$C$17)),Weights!$D$17,IF(ISNUMBER(SEARCH(B10,Weights!$C$18)),Weights!$D$18, IF(ISNUMBER(SEARCH(B10,Weights!$C$19)),Weights!$D$19,IF(ISNUMBER(SEARCH(B10,Weights!$C$20)),Weights!$D$20,IF(ISNUMBER(SEARCH(B10,Weights!$C$21)),Weights!$D$21,0))))))))))))</f>
        <v>4.0223059535953354</v>
      </c>
      <c r="D10" s="93"/>
      <c r="E10" s="84" t="e">
        <f>IF(OR($B$3="",$C$3=0,$C$3="-"),"",IF(VLOOKUP(D10,'Scoring Functions'!$C$28:$E$31,3,FALSE)="EXCLUSION","EXCLUDED",VLOOKUP(D10,'Scoring Functions'!$C$28:$E$31,3,FALSE)*$C10))</f>
        <v>#N/A</v>
      </c>
      <c r="F10" s="87" t="e">
        <f>IF(OR($B$10="",$C$10=0,$C$10="-"),"",IF(E10="EXCLUDED","EXCLUDED",E10/$C10))</f>
        <v>#N/A</v>
      </c>
      <c r="G10" s="86"/>
      <c r="H10" s="84" t="e">
        <f>IF(OR($B$3="",$C$3=0,$C$3="-"),"",IF(VLOOKUP(G10,'Scoring Functions'!$C$28:$E$31,3,FALSE)="EXCLUSION","EXCLUDED",VLOOKUP(G10,'Scoring Functions'!$C$28:$E$31,3,FALSE)*$C10))</f>
        <v>#N/A</v>
      </c>
      <c r="I10" s="85" t="e">
        <f>IF(OR($B$10="",$C$10=0,$C$10="-"),"",IF(H10="EXCLUDED","EXCLUDED",H10/$C10))</f>
        <v>#N/A</v>
      </c>
      <c r="J10" s="93"/>
      <c r="K10" s="84" t="e">
        <f>IF(OR($B$3="",$C$3=0,$C$3="-"),"",IF(VLOOKUP(J10,'Scoring Functions'!$C$28:$E$31,3,FALSE)="EXCLUSION","EXCLUDED",VLOOKUP(J10,'Scoring Functions'!$C$28:$E$31,3,FALSE)*$C10))</f>
        <v>#N/A</v>
      </c>
      <c r="L10" s="85" t="e">
        <f>IF(OR($B$10="",$C$10=0,$C$10="-"),"",IF(K10="EXCLUDED","EXCLUDED",K10/$C10))</f>
        <v>#N/A</v>
      </c>
      <c r="M10" s="93"/>
      <c r="N10" s="84" t="e">
        <f>IF(OR($B$3="",$C$3=0,$C$3="-"),"",IF(VLOOKUP(M10,'Scoring Functions'!$C$28:$E$31,3,FALSE)="EXCLUSION","EXCLUDED",VLOOKUP(M10,'Scoring Functions'!$C$28:$E$31,3,FALSE)*$C10))</f>
        <v>#N/A</v>
      </c>
      <c r="O10" s="85" t="e">
        <f>IF(OR($B$10="",$C$10=0,$C$10="-"),"",IF(N10="EXCLUDED","EXCLUDED",N10/$C10))</f>
        <v>#N/A</v>
      </c>
      <c r="P10" s="93"/>
      <c r="Q10" s="84" t="e">
        <f>IF(OR($B$3="",$C$3=0,$C$3="-"),"",IF(VLOOKUP(P10,'Scoring Functions'!$C$28:$E$31,3,FALSE)="EXCLUSION","EXCLUDED",VLOOKUP(P10,'Scoring Functions'!$C$28:$E$31,3,FALSE)*$C10))</f>
        <v>#N/A</v>
      </c>
      <c r="R10" s="87" t="e">
        <f>IF(OR($B$10="",$C$10=0,$C$10="-"),"",IF(Q10="EXCLUDED","EXCLUDED",Q10/$C10))</f>
        <v>#N/A</v>
      </c>
    </row>
    <row r="11" spans="1:19" ht="16" thickBot="1" x14ac:dyDescent="0.4">
      <c r="A11" s="88" t="e">
        <f>MIN(IF(OR(#REF!="",#REF!&lt;=0,$D$11="OPTION IS EXCLUDED"),MAX(#REF!,#REF!,#REF!,#REF!),#REF!),IF(OR(#REF!="",#REF!&lt;=0,$G$11="OPTION IS EXCLUDED"),MAX(#REF!,#REF!,#REF!,#REF!),#REF!),IF(OR(#REF!="",#REF!&lt;=0,$J$11="OPTION IS EXCLUDED"),MAX(#REF!,#REF!,#REF!,#REF!),#REF!),IF(OR(#REF!="",#REF!&lt;=0,$M$11="OPTION IS EXCLUDED"),MAX(#REF!,#REF!,#REF!,#REF!),#REF!))</f>
        <v>#REF!</v>
      </c>
      <c r="B11" s="113" t="s">
        <v>18</v>
      </c>
      <c r="C11" s="114"/>
      <c r="D11" s="89" t="e">
        <f>IF(OR(E3="EXCLUDED",E6="EXCLUDED",E4="EXCLUDED",E7="EXCLUDED",E5="EXCLUDED",E8="EXCLUDED",E9="EXCLUDED",E10="EXCLUDED"),"OPTION IS EXCLUDED","")</f>
        <v>#N/A</v>
      </c>
      <c r="E11" s="90"/>
      <c r="F11" s="91" t="e">
        <f>IF(D11="OPTION IS EXCLUDED","",SUM(E3:E10))</f>
        <v>#N/A</v>
      </c>
      <c r="G11" s="89" t="e">
        <f>IF(OR(H3="EXCLUDED",H6="EXCLUDED",H4="EXCLUDED",H7="EXCLUDED",H5="EXCLUDED",H8="EXCLUDED",H9="EXCLUDED",H10="EXCLUDED"),"OPTION IS EXCLUDED","")</f>
        <v>#N/A</v>
      </c>
      <c r="H11" s="90"/>
      <c r="I11" s="91" t="e">
        <f>IF(G11="OPTION IS EXCLUDED","",SUM(H3:H10))</f>
        <v>#N/A</v>
      </c>
      <c r="J11" s="89" t="e">
        <f>IF(OR(K3="EXCLUDED",K6="EXCLUDED",K4="EXCLUDED",K7="EXCLUDED",K5="EXCLUDED",K8="EXCLUDED",K9="EXCLUDED",K10="EXCLUDED"),"OPTION IS EXCLUDED","")</f>
        <v>#N/A</v>
      </c>
      <c r="K11" s="90"/>
      <c r="L11" s="91" t="e">
        <f>IF(J11="OPTION IS EXCLUDED","",SUM(K3:K10))</f>
        <v>#N/A</v>
      </c>
      <c r="M11" s="89" t="e">
        <f>IF(OR(N3="EXCLUDED",N6="EXCLUDED",N4="EXCLUDED",N7="EXCLUDED",N5="EXCLUDED",N8="EXCLUDED",N9="EXCLUDED",N10="EXCLUDED"),"OPTION IS EXCLUDED","")</f>
        <v>#N/A</v>
      </c>
      <c r="N11" s="90"/>
      <c r="O11" s="91" t="e">
        <f>IF(M11="OPTION IS EXCLUDED","",SUM(N3:N10))</f>
        <v>#N/A</v>
      </c>
      <c r="P11" s="89" t="e">
        <f>IF(OR(Q3="EXCLUDED",Q6="EXCLUDED",Q4="EXCLUDED",Q7="EXCLUDED",Q5="EXCLUDED",Q8="EXCLUDED",Q9="EXCLUDED",Q10="EXCLUDED"),"OPTION IS EXCLUDED","")</f>
        <v>#N/A</v>
      </c>
      <c r="Q11" s="90"/>
      <c r="R11" s="91" t="e">
        <f>IF(P11="OPTION IS EXCLUDED","",SUM(Q3:Q10))</f>
        <v>#N/A</v>
      </c>
    </row>
  </sheetData>
  <sheetProtection algorithmName="SHA-512" hashValue="CapoQt/jJrkA7hhEmPftwIAIy1cxd0CnRYDrpJq+GHaBaAGOgCueWUJaqofuLJnlRLEjUmoEoTe4jsIw0kup0Q==" saltValue="RvJDM1AUQOf8j9L/jeL/XA==" spinCount="100000" sheet="1" objects="1" scenarios="1"/>
  <mergeCells count="8">
    <mergeCell ref="B11:C11"/>
    <mergeCell ref="P1:R1"/>
    <mergeCell ref="B1:B2"/>
    <mergeCell ref="C1:C2"/>
    <mergeCell ref="D1:F1"/>
    <mergeCell ref="G1:I1"/>
    <mergeCell ref="J1:L1"/>
    <mergeCell ref="M1:O1"/>
  </mergeCells>
  <conditionalFormatting sqref="L3:L10">
    <cfRule type="dataBar" priority="53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{917AF893-AE05-4D87-8040-9F41133E5B51}</x14:id>
        </ext>
      </extLst>
    </cfRule>
  </conditionalFormatting>
  <conditionalFormatting sqref="R3:R10">
    <cfRule type="dataBar" priority="54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{4B7462C0-F887-4343-8110-F726296FC9D0}</x14:id>
        </ext>
      </extLst>
    </cfRule>
  </conditionalFormatting>
  <conditionalFormatting sqref="F3:F10">
    <cfRule type="dataBar" priority="58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{EB45AE24-E838-439F-AB95-32FF7C1FB97F}</x14:id>
        </ext>
      </extLst>
    </cfRule>
  </conditionalFormatting>
  <conditionalFormatting sqref="L9">
    <cfRule type="dataBar" priority="3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{BD6C4CD4-8DBC-45E7-B47A-40590CF2ED50}</x14:id>
        </ext>
      </extLst>
    </cfRule>
  </conditionalFormatting>
  <conditionalFormatting sqref="I3:I10">
    <cfRule type="dataBar" priority="2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{9ABA1AC6-922F-430B-9C74-890AA8AFA1A4}</x14:id>
        </ext>
      </extLst>
    </cfRule>
  </conditionalFormatting>
  <conditionalFormatting sqref="O3:O10">
    <cfRule type="dataBar" priority="1">
      <dataBar>
        <cfvo type="min"/>
        <cfvo type="max"/>
        <color rgb="FFE36C09"/>
      </dataBar>
      <extLst>
        <ext xmlns:x14="http://schemas.microsoft.com/office/spreadsheetml/2009/9/main" uri="{B025F937-C7B1-47D3-B67F-A62EFF666E3E}">
          <x14:id>{818FD6FA-C96C-4BC9-85BE-5A2CD7902E88}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7AF893-AE05-4D87-8040-9F41133E5B5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L3:L10</xm:sqref>
        </x14:conditionalFormatting>
        <x14:conditionalFormatting xmlns:xm="http://schemas.microsoft.com/office/excel/2006/main">
          <x14:cfRule type="dataBar" id="{4B7462C0-F887-4343-8110-F726296FC9D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R3:R10</xm:sqref>
        </x14:conditionalFormatting>
        <x14:conditionalFormatting xmlns:xm="http://schemas.microsoft.com/office/excel/2006/main">
          <x14:cfRule type="dataBar" id="{EB45AE24-E838-439F-AB95-32FF7C1FB97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F3:F10</xm:sqref>
        </x14:conditionalFormatting>
        <x14:conditionalFormatting xmlns:xm="http://schemas.microsoft.com/office/excel/2006/main">
          <x14:cfRule type="dataBar" id="{BD6C4CD4-8DBC-45E7-B47A-40590CF2ED5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L9</xm:sqref>
        </x14:conditionalFormatting>
        <x14:conditionalFormatting xmlns:xm="http://schemas.microsoft.com/office/excel/2006/main">
          <x14:cfRule type="dataBar" id="{9ABA1AC6-922F-430B-9C74-890AA8AFA1A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I3:I10</xm:sqref>
        </x14:conditionalFormatting>
        <x14:conditionalFormatting xmlns:xm="http://schemas.microsoft.com/office/excel/2006/main">
          <x14:cfRule type="dataBar" id="{818FD6FA-C96C-4BC9-85BE-5A2CD7902E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O3:O10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DBEA4F4-B92B-4B8D-B8EA-A23C90737B30}">
          <x14:formula1>
            <xm:f>'Scoring Functions'!$C$10:$C$13</xm:f>
          </x14:formula1>
          <xm:sqref>M5 D5 J5 G5 P5</xm:sqref>
        </x14:dataValidation>
        <x14:dataValidation type="list" allowBlank="1" showInputMessage="1" showErrorMessage="1" xr:uid="{A0490720-7808-44CC-9A61-D06E8F4B4F39}">
          <x14:formula1>
            <xm:f>'Scoring Functions'!$C$22:$C$23</xm:f>
          </x14:formula1>
          <xm:sqref>D8 M8 G8 J8 P8</xm:sqref>
        </x14:dataValidation>
        <x14:dataValidation type="list" allowBlank="1" showInputMessage="1" showErrorMessage="1" xr:uid="{78277C2E-EFF7-47C7-A629-A34F45CEDA52}">
          <x14:formula1>
            <xm:f>'Scoring Functions'!$C$2:$C$6</xm:f>
          </x14:formula1>
          <xm:sqref>D5 J3 M3 G3 D3 G5 J5 M5 P5 P3</xm:sqref>
        </x14:dataValidation>
        <x14:dataValidation type="list" allowBlank="1" showInputMessage="1" showErrorMessage="1" xr:uid="{DCB76368-621B-4946-9CF3-B481375B1235}">
          <x14:formula1>
            <xm:f>'Scoring Functions'!$C$7:$C$9</xm:f>
          </x14:formula1>
          <xm:sqref>D4 G4 M4 J4 P4</xm:sqref>
        </x14:dataValidation>
        <x14:dataValidation type="list" allowBlank="1" showInputMessage="1" showErrorMessage="1" xr:uid="{7BE7A946-D62A-4C6B-956A-E5C71E29A113}">
          <x14:formula1>
            <xm:f>'Scoring Functions'!$C$19:$C$21</xm:f>
          </x14:formula1>
          <xm:sqref>D7 M7 J7 G7 M5 D5 G5 J5 P7 P5</xm:sqref>
        </x14:dataValidation>
        <x14:dataValidation type="list" allowBlank="1" showInputMessage="1" showErrorMessage="1" xr:uid="{673ACD6E-7E18-403A-ACDD-987FE1C35041}">
          <x14:formula1>
            <xm:f>'Scoring Functions'!$C$14:$C$18</xm:f>
          </x14:formula1>
          <xm:sqref>M6 J6 D6 G6 P6</xm:sqref>
        </x14:dataValidation>
        <x14:dataValidation type="list" allowBlank="1" showInputMessage="1" showErrorMessage="1" xr:uid="{D413D6AA-FBB1-42A1-AC28-813A3D513313}">
          <x14:formula1>
            <xm:f>'Scoring Functions'!$C$24:$C$27</xm:f>
          </x14:formula1>
          <xm:sqref>M9 D9 G9 P9 J9</xm:sqref>
        </x14:dataValidation>
        <x14:dataValidation type="list" allowBlank="1" showInputMessage="1" showErrorMessage="1" xr:uid="{06605886-D6D4-4039-850B-1EE88A6DD8EE}">
          <x14:formula1>
            <xm:f>'Scoring Functions'!$C$28:$C$31</xm:f>
          </x14:formula1>
          <xm:sqref>D10 G10 J10 M10 P10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>
    <tabColor rgb="FF7F7F7F"/>
  </sheetPr>
  <dimension ref="C3:H15"/>
  <sheetViews>
    <sheetView showGridLines="0" showRowColHeaders="0" zoomScale="55" zoomScaleNormal="55" workbookViewId="0">
      <selection activeCell="K36" sqref="K36"/>
    </sheetView>
  </sheetViews>
  <sheetFormatPr defaultColWidth="9.1796875" defaultRowHeight="14.5" x14ac:dyDescent="0.35"/>
  <cols>
    <col min="1" max="16384" width="9.1796875" style="1"/>
  </cols>
  <sheetData>
    <row r="3" spans="3:8" x14ac:dyDescent="0.35">
      <c r="D3" s="1" t="str">
        <f>'Assessing options'!D1</f>
        <v>Comparator 1</v>
      </c>
      <c r="E3" s="1" t="str">
        <f>'Assessing options'!G1</f>
        <v>Comparator 2</v>
      </c>
      <c r="F3" s="1" t="str">
        <f>'Assessing options'!J1</f>
        <v>Comparator 3</v>
      </c>
      <c r="G3" s="1" t="str">
        <f>'Assessing options'!M1</f>
        <v>Comparator 4</v>
      </c>
      <c r="H3" s="1" t="str">
        <f>'Assessing options'!P1</f>
        <v>Comparator 5</v>
      </c>
    </row>
    <row r="4" spans="3:8" x14ac:dyDescent="0.35">
      <c r="C4" s="1" t="str">
        <f>'Assessing options'!B3</f>
        <v>Technical characteristics of the medical device</v>
      </c>
      <c r="D4" s="1" t="e">
        <f>IF('Assessing options'!$D$11="OPTION IS EXCLUDED","",'Assessing options'!E3)</f>
        <v>#N/A</v>
      </c>
      <c r="E4" s="1" t="e">
        <f>IF('Assessing options'!$G$11="OPTION IS EXCLUDED","", 'Assessing options'!H3)</f>
        <v>#N/A</v>
      </c>
      <c r="F4" s="1" t="e">
        <f>IF('Assessing options'!$J$11="OPTION IS EXCLUDED","",'Assessing options'!K3)</f>
        <v>#N/A</v>
      </c>
      <c r="G4" s="1" t="e">
        <f>IF('Assessing options'!$M$11="OPTION IS EXCLUDED","",'Assessing options'!N3)</f>
        <v>#N/A</v>
      </c>
      <c r="H4" s="1" t="e">
        <f>IF('Assessing options'!$P$11="OPTION IS EXCLUDED","",'Assessing options'!Q3)</f>
        <v>#N/A</v>
      </c>
    </row>
    <row r="5" spans="3:8" x14ac:dyDescent="0.35">
      <c r="C5" s="1" t="str">
        <f>'Assessing options'!B6</f>
        <v>Supply reliability</v>
      </c>
      <c r="D5" s="1" t="e">
        <f>IF('Assessing options'!$D$11="OPTION IS EXCLUDED","",'Assessing options'!E6)</f>
        <v>#N/A</v>
      </c>
      <c r="E5" s="1" t="e">
        <f>IF('Assessing options'!$G$11="OPTION IS EXCLUDED","", 'Assessing options'!H6)</f>
        <v>#N/A</v>
      </c>
      <c r="F5" s="1" t="e">
        <f>IF('Assessing options'!$J$11="OPTION IS EXCLUDED","",'Assessing options'!K6)</f>
        <v>#N/A</v>
      </c>
      <c r="G5" s="1" t="e">
        <f>IF('Assessing options'!$M$11="OPTION IS EXCLUDED","",'Assessing options'!N6)</f>
        <v>#N/A</v>
      </c>
      <c r="H5" s="1" t="e">
        <f>IF('Assessing options'!$P$11="OPTION IS EXCLUDED","",'Assessing options'!Q6)</f>
        <v>#N/A</v>
      </c>
    </row>
    <row r="6" spans="3:8" x14ac:dyDescent="0.35">
      <c r="C6" s="1" t="str">
        <f>'Assessing options'!B4</f>
        <v>Country of origin</v>
      </c>
      <c r="D6" s="1" t="e">
        <f>IF('Assessing options'!$D$11="OPTION IS EXCLUDED","",'Assessing options'!E4)</f>
        <v>#N/A</v>
      </c>
      <c r="E6" s="1" t="e">
        <f>IF('Assessing options'!$G$11="OPTION IS EXCLUDED","", 'Assessing options'!H4)</f>
        <v>#N/A</v>
      </c>
      <c r="F6" s="1" t="e">
        <f>IF('Assessing options'!$J$11="OPTION IS EXCLUDED","",'Assessing options'!K4)</f>
        <v>#N/A</v>
      </c>
      <c r="G6" s="1" t="e">
        <f>IF('Assessing options'!$M$11="OPTION IS EXCLUDED","",'Assessing options'!N4)</f>
        <v>#N/A</v>
      </c>
      <c r="H6" s="1" t="e">
        <f>IF('Assessing options'!$P$11="OPTION IS EXCLUDED","",'Assessing options'!Q4)</f>
        <v>#N/A</v>
      </c>
    </row>
    <row r="7" spans="3:8" x14ac:dyDescent="0.35">
      <c r="C7" s="1" t="str">
        <f>'Assessing options'!B7</f>
        <v>Previous use in tenders</v>
      </c>
      <c r="D7" s="1" t="e">
        <f>IF('Assessing options'!$D$11="OPTION IS EXCLUDED","",'Assessing options'!E7)</f>
        <v>#N/A</v>
      </c>
      <c r="E7" s="1" t="e">
        <f>IF('Assessing options'!$G$11="OPTION IS EXCLUDED","", 'Assessing options'!H7)</f>
        <v>#N/A</v>
      </c>
      <c r="F7" s="1" t="e">
        <f>IF('Assessing options'!$J$11="OPTION IS EXCLUDED","",'Assessing options'!K7)</f>
        <v>#N/A</v>
      </c>
      <c r="G7" s="1" t="e">
        <f>IF('Assessing options'!$M$11="OPTION IS EXCLUDED","",'Assessing options'!N7)</f>
        <v>#N/A</v>
      </c>
      <c r="H7" s="1" t="e">
        <f>IF('Assessing options'!$P$11="OPTION IS EXCLUDED","",'Assessing options'!Q7)</f>
        <v>#N/A</v>
      </c>
    </row>
    <row r="8" spans="3:8" x14ac:dyDescent="0.35">
      <c r="C8" s="1" t="str">
        <f>'Assessing options'!B5</f>
        <v>Use in reference countries</v>
      </c>
      <c r="D8" s="1" t="e">
        <f>IF('Assessing options'!$D$11="OPTION IS EXCLUDED","",'Assessing options'!E5)</f>
        <v>#N/A</v>
      </c>
      <c r="E8" s="1" t="e">
        <f>IF('Assessing options'!$G$11="OPTION IS EXCLUDED","", 'Assessing options'!H5)</f>
        <v>#N/A</v>
      </c>
      <c r="F8" s="1" t="e">
        <f>IF('Assessing options'!$J$11="OPTION IS EXCLUDED","",'Assessing options'!K5)</f>
        <v>#N/A</v>
      </c>
      <c r="G8" s="1" t="e">
        <f>IF('Assessing options'!$M$11="OPTION IS EXCLUDED","",'Assessing options'!N5)</f>
        <v>#N/A</v>
      </c>
      <c r="H8" s="1" t="e">
        <f>IF('Assessing options'!$P$11="OPTION IS EXCLUDED","",'Assessing options'!Q5)</f>
        <v>#N/A</v>
      </c>
    </row>
    <row r="9" spans="3:8" x14ac:dyDescent="0.35">
      <c r="C9" s="1" t="str">
        <f>'Assessing options'!B8</f>
        <v>Instant replacement within product variety (within surgery OR on shelf stock)</v>
      </c>
      <c r="D9" s="1" t="e">
        <f>IF('Assessing options'!$D$11="OPTION IS EXCLUDED","",'Assessing options'!E8)</f>
        <v>#N/A</v>
      </c>
      <c r="E9" s="1" t="e">
        <f>IF('Assessing options'!$G$11="OPTION IS EXCLUDED","", 'Assessing options'!H8)</f>
        <v>#N/A</v>
      </c>
      <c r="F9" s="1" t="e">
        <f>IF('Assessing options'!$J$11="OPTION IS EXCLUDED","",'Assessing options'!K8)</f>
        <v>#N/A</v>
      </c>
      <c r="G9" s="1" t="e">
        <f>IF('Assessing options'!$M$11="OPTION IS EXCLUDED","",'Assessing options'!N8)</f>
        <v>#N/A</v>
      </c>
      <c r="H9" s="1" t="e">
        <f>IF('Assessing options'!$P$11="OPTION IS EXCLUDED","",'Assessing options'!Q8)</f>
        <v>#N/A</v>
      </c>
    </row>
    <row r="10" spans="3:8" x14ac:dyDescent="0.35">
      <c r="C10" s="1" t="str">
        <f>'Assessing options'!B9</f>
        <v>Pharmacovigilance</v>
      </c>
      <c r="D10" s="1" t="e">
        <f>IF('Assessing options'!$D$11="OPTION IS EXCLUDED","",'Assessing options'!E9)</f>
        <v>#N/A</v>
      </c>
      <c r="E10" s="1" t="e">
        <f>IF('Assessing options'!$G$11="OPTION IS EXCLUDED","", 'Assessing options'!H9)</f>
        <v>#N/A</v>
      </c>
      <c r="F10" s="1" t="e">
        <f>IF('Assessing options'!$J$11="OPTION IS EXCLUDED","",'Assessing options'!K9)</f>
        <v>#N/A</v>
      </c>
      <c r="G10" s="1" t="e">
        <f>IF('Assessing options'!$M$11="OPTION IS EXCLUDED","",'Assessing options'!N9)</f>
        <v>#N/A</v>
      </c>
      <c r="H10" s="1" t="e">
        <f>IF('Assessing options'!$P$11="OPTION IS EXCLUDED","",'Assessing options'!Q9)</f>
        <v>#N/A</v>
      </c>
    </row>
    <row r="11" spans="3:8" x14ac:dyDescent="0.35">
      <c r="C11" s="1" t="str">
        <f>'Assessing options'!B10</f>
        <v>Refund/Replacement within product variety</v>
      </c>
      <c r="D11" s="1" t="e">
        <f>IF('Assessing options'!$D$11="OPTION IS EXCLUDED","",'Assessing options'!E10)</f>
        <v>#N/A</v>
      </c>
      <c r="E11" s="1" t="e">
        <f>IF('Assessing options'!$G$11="OPTION IS EXCLUDED","", 'Assessing options'!H10)</f>
        <v>#N/A</v>
      </c>
      <c r="F11" s="1" t="e">
        <f>IF('Assessing options'!$J$11="OPTION IS EXCLUDED","",'Assessing options'!K10)</f>
        <v>#N/A</v>
      </c>
      <c r="G11" s="1" t="e">
        <f>IF('Assessing options'!$M$11="OPTION IS EXCLUDED","",'Assessing options'!N10)</f>
        <v>#N/A</v>
      </c>
      <c r="H11" s="1" t="e">
        <f>IF('Assessing options'!$P$11="OPTION IS EXCLUDED","",'Assessing options'!Q10)</f>
        <v>#N/A</v>
      </c>
    </row>
    <row r="12" spans="3:8" x14ac:dyDescent="0.35">
      <c r="C12" s="1" t="e">
        <f>'Assessing options'!#REF!</f>
        <v>#REF!</v>
      </c>
      <c r="D12" s="1" t="e">
        <f>IF('Assessing options'!$D$11="OPTION IS EXCLUDED","",'Assessing options'!#REF!)</f>
        <v>#N/A</v>
      </c>
      <c r="E12" s="1" t="e">
        <f>IF('Assessing options'!$G$11="OPTION IS EXCLUDED","", 'Assessing options'!#REF!)</f>
        <v>#N/A</v>
      </c>
      <c r="F12" s="1" t="e">
        <f>IF('Assessing options'!$J$11="OPTION IS EXCLUDED","",'Assessing options'!#REF!)</f>
        <v>#N/A</v>
      </c>
      <c r="G12" s="1" t="e">
        <f>IF('Assessing options'!$M$11="OPTION IS EXCLUDED","",'Assessing options'!#REF!)</f>
        <v>#N/A</v>
      </c>
      <c r="H12" s="1" t="e">
        <f>IF('Assessing options'!$P$11="OPTION IS EXCLUDED","",'Assessing options'!#REF!)</f>
        <v>#N/A</v>
      </c>
    </row>
    <row r="13" spans="3:8" x14ac:dyDescent="0.35">
      <c r="C13" s="1" t="e">
        <f>'Assessing options'!#REF!</f>
        <v>#REF!</v>
      </c>
      <c r="D13" s="1" t="e">
        <f>IF('Assessing options'!$D$11="OPTION IS EXCLUDED","",'Assessing options'!#REF!)</f>
        <v>#N/A</v>
      </c>
      <c r="E13" s="1" t="e">
        <f>IF('Assessing options'!$G$11="OPTION IS EXCLUDED","", 'Assessing options'!#REF!)</f>
        <v>#N/A</v>
      </c>
      <c r="F13" s="1" t="e">
        <f>IF('Assessing options'!$J$11="OPTION IS EXCLUDED","",'Assessing options'!#REF!)</f>
        <v>#N/A</v>
      </c>
      <c r="G13" s="1" t="e">
        <f>IF('Assessing options'!$M$11="OPTION IS EXCLUDED","",'Assessing options'!N11)</f>
        <v>#N/A</v>
      </c>
      <c r="H13" s="1" t="e">
        <f>IF('Assessing options'!$P$11="OPTION IS EXCLUDED","",'Assessing options'!Q11)</f>
        <v>#N/A</v>
      </c>
    </row>
    <row r="14" spans="3:8" x14ac:dyDescent="0.35">
      <c r="C14" s="1" t="e">
        <f>'Assessing options'!#REF!</f>
        <v>#REF!</v>
      </c>
      <c r="D14" s="1" t="e">
        <f>IF('Assessing options'!$D$11="OPTION IS EXCLUDED","",'Assessing options'!#REF!)</f>
        <v>#N/A</v>
      </c>
      <c r="E14" s="1" t="e">
        <f>IF('Assessing options'!$G$11="OPTION IS EXCLUDED","", 'Assessing options'!#REF!)</f>
        <v>#N/A</v>
      </c>
      <c r="F14" s="1" t="e">
        <f>IF('Assessing options'!$J$11="OPTION IS EXCLUDED","",'Assessing options'!#REF!)</f>
        <v>#N/A</v>
      </c>
      <c r="G14" s="1" t="e">
        <f>IF('Assessing options'!$M$11="OPTION IS EXCLUDED","",'Assessing options'!#REF!)</f>
        <v>#N/A</v>
      </c>
      <c r="H14" s="1" t="e">
        <f>IF('Assessing options'!$P$11="OPTION IS EXCLUDED","",'Assessing options'!#REF!)</f>
        <v>#N/A</v>
      </c>
    </row>
    <row r="15" spans="3:8" x14ac:dyDescent="0.35">
      <c r="C15" s="1" t="e">
        <f>'Assessing options'!#REF!</f>
        <v>#REF!</v>
      </c>
      <c r="D15" s="1" t="e">
        <f>IF('Assessing options'!$D$11="OPTION IS EXCLUDED","",'Assessing options'!#REF!)</f>
        <v>#N/A</v>
      </c>
      <c r="E15" s="1" t="e">
        <f>IF('Assessing options'!$G$11="OPTION IS EXCLUDED","", 'Assessing options'!#REF!)</f>
        <v>#N/A</v>
      </c>
      <c r="F15" s="1" t="e">
        <f>IF('Assessing options'!$J$11="OPTION IS EXCLUDED","",'Assessing options'!#REF!)</f>
        <v>#N/A</v>
      </c>
      <c r="G15" s="1" t="e">
        <f>IF('Assessing options'!$M$11="OPTION IS EXCLUDED","",'Assessing options'!N12)</f>
        <v>#N/A</v>
      </c>
      <c r="H15" s="1" t="e">
        <f>IF('Assessing options'!$P$11="OPTION IS EXCLUDED","",'Assessing options'!Q12)</f>
        <v>#N/A</v>
      </c>
    </row>
  </sheetData>
  <sheetProtection algorithmName="SHA-512" hashValue="qz5vlRJEOjWYzC6x6KT2SckasSs3s6tJqOukR7OsroS2JhBB1yIovxb+/sdl71JerVOrltEt9TndEFiTGk4rvg==" saltValue="Hwq+NZdrMfGklyqMLG0zG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</vt:lpstr>
      <vt:lpstr>Scoring Functions</vt:lpstr>
      <vt:lpstr>Order of criteria</vt:lpstr>
      <vt:lpstr>Weights</vt:lpstr>
      <vt:lpstr>Assessing options</vt:lpstr>
      <vt:lpstr>Graph</vt:lpstr>
      <vt:lpstr>MinPrice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 Kalo</dc:creator>
  <cp:lastModifiedBy>Baher ElAzabawy</cp:lastModifiedBy>
  <dcterms:created xsi:type="dcterms:W3CDTF">2017-02-23T11:48:24Z</dcterms:created>
  <dcterms:modified xsi:type="dcterms:W3CDTF">2022-09-21T11:36:06Z</dcterms:modified>
</cp:coreProperties>
</file>