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40" yWindow="420" windowWidth="19320" windowHeight="9060"/>
  </bookViews>
  <sheets>
    <sheet name="Summary Work" sheetId="2" r:id="rId1"/>
    <sheet name="Labour Cost Estimates" sheetId="3" r:id="rId2"/>
    <sheet name="Sheet1" sheetId="1" r:id="rId3"/>
  </sheets>
  <calcPr calcId="145621"/>
</workbook>
</file>

<file path=xl/calcChain.xml><?xml version="1.0" encoding="utf-8"?>
<calcChain xmlns="http://schemas.openxmlformats.org/spreadsheetml/2006/main">
  <c r="I17" i="2" l="1"/>
  <c r="I18" i="2"/>
  <c r="I19" i="2"/>
  <c r="I20" i="2"/>
  <c r="I21" i="2"/>
  <c r="I14" i="2"/>
  <c r="I13" i="2"/>
  <c r="I12" i="2" l="1"/>
  <c r="N26" i="3" l="1"/>
  <c r="M26" i="3"/>
  <c r="M20" i="3"/>
  <c r="N18" i="3"/>
  <c r="N19" i="3"/>
  <c r="N20" i="3"/>
  <c r="N17" i="3"/>
  <c r="N13" i="3"/>
  <c r="N12" i="3"/>
  <c r="N11" i="3"/>
  <c r="N10" i="3"/>
  <c r="N9" i="3"/>
  <c r="N8" i="3"/>
  <c r="N7" i="3"/>
  <c r="M18" i="3"/>
  <c r="M19" i="3"/>
  <c r="M17" i="3"/>
  <c r="M8" i="3"/>
  <c r="M9" i="3"/>
  <c r="M10" i="3"/>
  <c r="M11" i="3"/>
  <c r="M12" i="3"/>
  <c r="M13" i="3"/>
  <c r="M7" i="3"/>
  <c r="L26" i="3"/>
  <c r="L18" i="3"/>
  <c r="L19" i="3"/>
  <c r="L20" i="3"/>
  <c r="L17" i="3"/>
  <c r="L8" i="3"/>
  <c r="L9" i="3"/>
  <c r="L10" i="3"/>
  <c r="L11" i="3"/>
  <c r="L12" i="3"/>
  <c r="L13" i="3"/>
  <c r="L7" i="3"/>
  <c r="O20" i="3"/>
  <c r="O17" i="3"/>
  <c r="O26" i="3" l="1"/>
  <c r="P26" i="3" s="1"/>
  <c r="O8" i="3"/>
  <c r="U8" i="3" s="1"/>
  <c r="O9" i="3"/>
  <c r="P9" i="3" s="1"/>
  <c r="O10" i="3"/>
  <c r="P10" i="3" s="1"/>
  <c r="O19" i="3"/>
  <c r="U19" i="3" s="1"/>
  <c r="O11" i="3"/>
  <c r="S11" i="3" s="1"/>
  <c r="W11" i="3" s="1"/>
  <c r="O12" i="3"/>
  <c r="P12" i="3" s="1"/>
  <c r="U10" i="3"/>
  <c r="U17" i="3"/>
  <c r="P17" i="3"/>
  <c r="V17" i="3"/>
  <c r="C17" i="3" s="1"/>
  <c r="S17" i="3"/>
  <c r="W17" i="3" s="1"/>
  <c r="V11" i="3"/>
  <c r="C11" i="3" s="1"/>
  <c r="V20" i="3"/>
  <c r="C20" i="3" s="1"/>
  <c r="S20" i="3"/>
  <c r="W20" i="3" s="1"/>
  <c r="U20" i="3"/>
  <c r="P20" i="3"/>
  <c r="S26" i="3"/>
  <c r="W26" i="3" s="1"/>
  <c r="O7" i="3"/>
  <c r="O13" i="3"/>
  <c r="O18" i="3"/>
  <c r="U26" i="3" l="1"/>
  <c r="U11" i="3"/>
  <c r="P11" i="3"/>
  <c r="S10" i="3"/>
  <c r="W10" i="3" s="1"/>
  <c r="V10" i="3"/>
  <c r="C10" i="3" s="1"/>
  <c r="V8" i="3"/>
  <c r="C8" i="3" s="1"/>
  <c r="P8" i="3"/>
  <c r="S8" i="3"/>
  <c r="W8" i="3" s="1"/>
  <c r="V26" i="3"/>
  <c r="C26" i="3" s="1"/>
  <c r="V9" i="3"/>
  <c r="C9" i="3" s="1"/>
  <c r="U12" i="3"/>
  <c r="S12" i="3"/>
  <c r="W12" i="3" s="1"/>
  <c r="U9" i="3"/>
  <c r="S19" i="3"/>
  <c r="W19" i="3" s="1"/>
  <c r="V12" i="3"/>
  <c r="C12" i="3" s="1"/>
  <c r="S9" i="3"/>
  <c r="W9" i="3" s="1"/>
  <c r="V19" i="3"/>
  <c r="C19" i="3" s="1"/>
  <c r="P19" i="3"/>
  <c r="V18" i="3"/>
  <c r="C18" i="3" s="1"/>
  <c r="S18" i="3"/>
  <c r="W18" i="3" s="1"/>
  <c r="P18" i="3"/>
  <c r="U18" i="3"/>
  <c r="V13" i="3"/>
  <c r="C13" i="3" s="1"/>
  <c r="S13" i="3"/>
  <c r="W13" i="3" s="1"/>
  <c r="P13" i="3"/>
  <c r="U13" i="3"/>
  <c r="V7" i="3"/>
  <c r="C7" i="3" s="1"/>
  <c r="S7" i="3"/>
  <c r="W7" i="3" s="1"/>
  <c r="P7" i="3"/>
  <c r="U7" i="3"/>
  <c r="I16" i="2" l="1"/>
  <c r="I11" i="2"/>
  <c r="G31" i="2" l="1"/>
  <c r="G32" i="2"/>
  <c r="G37" i="2" l="1"/>
</calcChain>
</file>

<file path=xl/sharedStrings.xml><?xml version="1.0" encoding="utf-8"?>
<sst xmlns="http://schemas.openxmlformats.org/spreadsheetml/2006/main" count="115" uniqueCount="69">
  <si>
    <t>Resources Used</t>
  </si>
  <si>
    <t>UoY</t>
  </si>
  <si>
    <t>NHS</t>
  </si>
  <si>
    <t>Labour NHS</t>
  </si>
  <si>
    <t>Labour Costs Table</t>
  </si>
  <si>
    <t xml:space="preserve">To estimate the Labour Prices/Costs properly, we want not only the Salary, but also to have Oncosts as well (Employers NI contribution, pension contribution) and Overhead and Capital Capital costs </t>
  </si>
  <si>
    <t>TRiP-LaB FTE</t>
  </si>
  <si>
    <t>Nominal Salary Equivalent</t>
  </si>
  <si>
    <t>Salary Oncosts (Assume Employers NI contribution = 10%, NHS Pension Contribution = 14%, UoY Pension Contribution = 16%)</t>
  </si>
  <si>
    <t>Total Annual Cost of Labourer</t>
  </si>
  <si>
    <t>Monthly Equivalent (=Total annual /12 months per year)</t>
  </si>
  <si>
    <t xml:space="preserve">Days off work (Statutory Holiday, Holiday, Sick Days, Training Days) = (5days/wk *52 wk = 260) - 29 holidays - 8 statutory - 5 study/training - 12 sick = 54 days </t>
  </si>
  <si>
    <t>Annual Days Worked (Costs must be allocated to Working Days) (5days/wk *52 wk = 260) - 29 holidays - 8 statutory - 5 study/training - 12 sick = 206 days = 41.6 wks</t>
  </si>
  <si>
    <t>Daily Wage Equivalent (per working day)</t>
  </si>
  <si>
    <t>Annual Hours Worked (Costs must be allocated to Working Hours) = 7.5hr/day * 206 days = 1545</t>
  </si>
  <si>
    <t>Hourly Wage Equivalent (Pounds per hour)</t>
  </si>
  <si>
    <t>Rounded Hourly Wage Equivalent (Pounds per hour)</t>
  </si>
  <si>
    <t>Adjusted Weekly Wage Equivalent (=5*Daily Wage Equivalent) ie per week fully worked</t>
  </si>
  <si>
    <t>Sources</t>
  </si>
  <si>
    <t>Year</t>
  </si>
  <si>
    <t>Notes</t>
  </si>
  <si>
    <t>Person</t>
  </si>
  <si>
    <t>Calculations</t>
  </si>
  <si>
    <t>Rounded Hourly Wage Equivalent (estimated full economic cost) (Pounds per hour)</t>
  </si>
  <si>
    <t>7 point 30</t>
  </si>
  <si>
    <t>6 point 25</t>
  </si>
  <si>
    <t>5 point 19</t>
  </si>
  <si>
    <t>8b point 39</t>
  </si>
  <si>
    <t>These reflect the lower midpoint within a given pay band (UoY Pay Scale)</t>
  </si>
  <si>
    <t>band 6  point 31</t>
  </si>
  <si>
    <t>band 7 point 38</t>
  </si>
  <si>
    <t>Healthcare Personelle  for consistency we should ignore costs of training/qualification</t>
  </si>
  <si>
    <t>GP</t>
  </si>
  <si>
    <t>Salaried GP</t>
  </si>
  <si>
    <t>`---&gt; my Guess average from  range described on NHS website (between £53,781 to £81,158)</t>
  </si>
  <si>
    <t xml:space="preserve">Point 46    </t>
  </si>
  <si>
    <t>COPD Project</t>
  </si>
  <si>
    <t>2012-2013</t>
  </si>
  <si>
    <t>These reflect the lower midpoint within a given pay band (NHS Agenda for Change 2012)</t>
  </si>
  <si>
    <t>Overhead (Assume 3130*(285.7/268.6)(Hospital &amp; Community Health Services Inflation 2012/2010) for Direct + 5% of Nominal Salary for Indirect Overhead - This is what is done in the Unit Costs 2010 document for Scientific and Professional Staff (inflated)</t>
  </si>
  <si>
    <t>Capital (Assume 2,283*(285.7/268.6) (Hospital &amp; Community Health Services Inflation 2012/2010) - taken from Unit Costs 2010 for a Clinical Psychologist, someone who does not use a great deal of special equipment for their work)</t>
  </si>
  <si>
    <t>Inflation index has been applied for estimations of Overhead and Capital Costs (285.7/268.6) (Hospital &amp; Community Health Services Inflation 2012/2010 - Inflation Index is available in PSSRU Unit Costs 2012 - Leslie Curtis)</t>
  </si>
  <si>
    <t>NHS Pay band  (estimated - Agenda for Change 2012)</t>
  </si>
  <si>
    <t>UoY Pay band (estimated UoY 2012 Pay Scale)</t>
  </si>
  <si>
    <t>NHS1</t>
  </si>
  <si>
    <t>NHS2</t>
  </si>
  <si>
    <t>NHS3</t>
  </si>
  <si>
    <t>NHS4</t>
  </si>
  <si>
    <t>NHS5</t>
  </si>
  <si>
    <t>NHS6</t>
  </si>
  <si>
    <t>NHS7</t>
  </si>
  <si>
    <t>R1</t>
  </si>
  <si>
    <t>R2</t>
  </si>
  <si>
    <t>R3</t>
  </si>
  <si>
    <t>R4</t>
  </si>
  <si>
    <t>Estimated labour cost</t>
  </si>
  <si>
    <t>University</t>
  </si>
  <si>
    <r>
      <rPr>
        <b/>
        <sz val="11"/>
        <color theme="1"/>
        <rFont val="Calibri"/>
        <family val="2"/>
        <scheme val="minor"/>
      </rPr>
      <t xml:space="preserve">Estimated Months Equivalent </t>
    </r>
    <r>
      <rPr>
        <sz val="11"/>
        <color theme="1"/>
        <rFont val="Calibri"/>
        <family val="2"/>
        <scheme val="minor"/>
      </rPr>
      <t>(figures are estimates)</t>
    </r>
  </si>
  <si>
    <r>
      <t xml:space="preserve">Estimated Weeks Equivalent </t>
    </r>
    <r>
      <rPr>
        <sz val="11"/>
        <color theme="1"/>
        <rFont val="Calibri"/>
        <family val="2"/>
        <scheme val="minor"/>
      </rPr>
      <t>(figures are estimates)</t>
    </r>
  </si>
  <si>
    <t>Project two</t>
  </si>
  <si>
    <t>Cost Estimation</t>
  </si>
  <si>
    <t>Direct Team Labour Costs</t>
  </si>
  <si>
    <t>Labour University</t>
  </si>
  <si>
    <t>Limited to project 2 Development Efforts</t>
  </si>
  <si>
    <r>
      <rPr>
        <b/>
        <sz val="11"/>
        <color theme="1"/>
        <rFont val="Calibri"/>
        <family val="2"/>
        <scheme val="minor"/>
      </rPr>
      <t xml:space="preserve">Team Labour </t>
    </r>
    <r>
      <rPr>
        <sz val="11"/>
        <color theme="1"/>
        <rFont val="Calibri"/>
        <family val="2"/>
        <scheme val="minor"/>
      </rPr>
      <t>(Time taken away from other productive activities dedicated to Project two)</t>
    </r>
  </si>
  <si>
    <r>
      <rPr>
        <b/>
        <sz val="11"/>
        <color theme="1"/>
        <rFont val="Calibri"/>
        <family val="2"/>
        <scheme val="minor"/>
      </rPr>
      <t>Estimated Labour Month Cost for 'major contributors'</t>
    </r>
    <r>
      <rPr>
        <sz val="11"/>
        <color theme="1"/>
        <rFont val="Calibri"/>
        <family val="2"/>
        <scheme val="minor"/>
      </rPr>
      <t xml:space="preserve"> (Capital, Oncosts included in Labour price estimation)</t>
    </r>
  </si>
  <si>
    <r>
      <rPr>
        <b/>
        <sz val="11"/>
        <color theme="1"/>
        <rFont val="Calibri"/>
        <family val="2"/>
        <scheme val="minor"/>
      </rPr>
      <t>Estimated Labour Week Cost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for 'monior contributors' </t>
    </r>
    <r>
      <rPr>
        <sz val="11"/>
        <color theme="1"/>
        <rFont val="Calibri"/>
        <family val="2"/>
        <scheme val="minor"/>
      </rPr>
      <t>(Capital, Oncosts included in Labour price estimation)</t>
    </r>
  </si>
  <si>
    <t>Topic selection and barrier identification</t>
  </si>
  <si>
    <t>Limited to project 2 topic selection and barrier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</si>
</sst>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454545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5" fillId="5" borderId="3" applyNumberFormat="0" applyFon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2" fontId="0" fillId="0" borderId="0" xfId="0" applyNumberFormat="1"/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0" borderId="0" xfId="0" applyFill="1"/>
    <xf numFmtId="0" fontId="0" fillId="2" borderId="0" xfId="0" applyFill="1" applyBorder="1"/>
    <xf numFmtId="0" fontId="2" fillId="3" borderId="0" xfId="0" applyFont="1" applyFill="1" applyBorder="1"/>
    <xf numFmtId="1" fontId="0" fillId="3" borderId="0" xfId="0" applyNumberFormat="1" applyFill="1"/>
    <xf numFmtId="3" fontId="3" fillId="0" borderId="0" xfId="0" applyNumberFormat="1" applyFont="1"/>
    <xf numFmtId="1" fontId="0" fillId="0" borderId="0" xfId="0" applyNumberFormat="1" applyBorder="1"/>
    <xf numFmtId="2" fontId="4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4" fillId="4" borderId="0" xfId="0" applyFont="1" applyFill="1"/>
    <xf numFmtId="2" fontId="4" fillId="0" borderId="2" xfId="0" applyNumberFormat="1" applyFont="1" applyBorder="1"/>
    <xf numFmtId="0" fontId="0" fillId="0" borderId="3" xfId="1" applyFont="1" applyFill="1"/>
    <xf numFmtId="0" fontId="4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workbookViewId="0">
      <selection activeCell="I32" sqref="I32"/>
    </sheetView>
  </sheetViews>
  <sheetFormatPr defaultRowHeight="15" x14ac:dyDescent="0.25"/>
  <cols>
    <col min="2" max="2" width="14.85546875" customWidth="1"/>
    <col min="5" max="5" width="26.28515625" customWidth="1"/>
    <col min="6" max="6" width="48.42578125" customWidth="1"/>
    <col min="7" max="7" width="53.140625" customWidth="1"/>
    <col min="8" max="8" width="37.28515625" customWidth="1"/>
    <col min="9" max="9" width="35.5703125" customWidth="1"/>
  </cols>
  <sheetData>
    <row r="1" spans="1:12" x14ac:dyDescent="0.25">
      <c r="A1" t="s">
        <v>60</v>
      </c>
    </row>
    <row r="2" spans="1:12" x14ac:dyDescent="0.25">
      <c r="A2" t="s">
        <v>59</v>
      </c>
    </row>
    <row r="3" spans="1:12" x14ac:dyDescent="0.25">
      <c r="B3" s="17" t="s">
        <v>67</v>
      </c>
    </row>
    <row r="4" spans="1:12" x14ac:dyDescent="0.25">
      <c r="B4" t="s">
        <v>0</v>
      </c>
    </row>
    <row r="5" spans="1:12" x14ac:dyDescent="0.25">
      <c r="G5" t="s">
        <v>64</v>
      </c>
    </row>
    <row r="6" spans="1:12" x14ac:dyDescent="0.25">
      <c r="E6" s="1" t="s">
        <v>65</v>
      </c>
      <c r="G6" s="1" t="s">
        <v>57</v>
      </c>
      <c r="I6" s="16" t="s">
        <v>55</v>
      </c>
    </row>
    <row r="7" spans="1:12" x14ac:dyDescent="0.25">
      <c r="G7" s="16" t="s">
        <v>63</v>
      </c>
      <c r="I7" s="16" t="s">
        <v>68</v>
      </c>
    </row>
    <row r="8" spans="1:12" x14ac:dyDescent="0.25">
      <c r="F8" s="1" t="s">
        <v>66</v>
      </c>
      <c r="G8" s="2"/>
      <c r="H8" s="16" t="s">
        <v>58</v>
      </c>
      <c r="I8" s="2"/>
      <c r="K8" s="2"/>
      <c r="L8" s="2"/>
    </row>
    <row r="9" spans="1:12" x14ac:dyDescent="0.25">
      <c r="G9" s="2"/>
      <c r="H9" s="16" t="s">
        <v>68</v>
      </c>
      <c r="I9" s="2"/>
      <c r="K9" s="2"/>
      <c r="L9" s="2"/>
    </row>
    <row r="10" spans="1:12" x14ac:dyDescent="0.25">
      <c r="A10" t="s">
        <v>61</v>
      </c>
    </row>
    <row r="11" spans="1:12" x14ac:dyDescent="0.25">
      <c r="B11" t="s">
        <v>56</v>
      </c>
      <c r="C11" t="s">
        <v>51</v>
      </c>
      <c r="E11" s="3">
        <v>4685.1191834202036</v>
      </c>
      <c r="G11">
        <v>2.35</v>
      </c>
      <c r="I11" s="15">
        <f>G11*E11</f>
        <v>11010.030081037479</v>
      </c>
    </row>
    <row r="12" spans="1:12" x14ac:dyDescent="0.25">
      <c r="B12" t="s">
        <v>56</v>
      </c>
      <c r="C12" t="s">
        <v>52</v>
      </c>
      <c r="E12" s="3"/>
      <c r="F12" s="12">
        <v>1135.9519466272436</v>
      </c>
      <c r="H12">
        <v>4.2</v>
      </c>
      <c r="I12" s="15">
        <f>H12*$F$12</f>
        <v>4770.9981758344238</v>
      </c>
    </row>
    <row r="13" spans="1:12" x14ac:dyDescent="0.25">
      <c r="B13" t="s">
        <v>56</v>
      </c>
      <c r="C13" t="s">
        <v>53</v>
      </c>
      <c r="E13" s="3"/>
      <c r="F13" s="12">
        <v>1364.5978204136513</v>
      </c>
      <c r="H13">
        <v>3.8</v>
      </c>
      <c r="I13" s="15">
        <f>H13*$F$13</f>
        <v>5185.4717175718752</v>
      </c>
    </row>
    <row r="14" spans="1:12" x14ac:dyDescent="0.25">
      <c r="B14" t="s">
        <v>56</v>
      </c>
      <c r="C14" t="s">
        <v>54</v>
      </c>
      <c r="E14" s="3"/>
      <c r="F14" s="12">
        <v>1135.9519466272436</v>
      </c>
      <c r="H14">
        <v>2</v>
      </c>
      <c r="I14" s="15">
        <f>H14*$F$14</f>
        <v>2271.9038932544872</v>
      </c>
    </row>
    <row r="15" spans="1:12" x14ac:dyDescent="0.25">
      <c r="I15" s="15"/>
    </row>
    <row r="16" spans="1:12" x14ac:dyDescent="0.25">
      <c r="B16" t="s">
        <v>2</v>
      </c>
      <c r="C16" t="s">
        <v>44</v>
      </c>
      <c r="E16">
        <v>4262.0808500868707</v>
      </c>
      <c r="G16">
        <v>1.6</v>
      </c>
      <c r="I16" s="15">
        <f t="shared" ref="I16:I21" si="0">G16*E16</f>
        <v>6819.3293601389933</v>
      </c>
    </row>
    <row r="17" spans="2:9" x14ac:dyDescent="0.25">
      <c r="B17" t="s">
        <v>2</v>
      </c>
      <c r="C17" t="s">
        <v>45</v>
      </c>
      <c r="E17">
        <v>3649.3308500868711</v>
      </c>
      <c r="G17">
        <v>1.6</v>
      </c>
      <c r="I17" s="15">
        <f t="shared" si="0"/>
        <v>5838.9293601389945</v>
      </c>
    </row>
    <row r="18" spans="2:9" x14ac:dyDescent="0.25">
      <c r="B18" t="s">
        <v>2</v>
      </c>
      <c r="C18" t="s">
        <v>46</v>
      </c>
      <c r="E18">
        <v>4262.0808500868707</v>
      </c>
      <c r="G18">
        <v>1.6</v>
      </c>
      <c r="I18" s="15">
        <f t="shared" si="0"/>
        <v>6819.3293601389933</v>
      </c>
    </row>
    <row r="19" spans="2:9" x14ac:dyDescent="0.25">
      <c r="B19" t="s">
        <v>2</v>
      </c>
      <c r="C19" t="s">
        <v>47</v>
      </c>
      <c r="E19">
        <v>3015.6183500868706</v>
      </c>
      <c r="G19">
        <v>1.6</v>
      </c>
      <c r="I19" s="15">
        <f t="shared" si="0"/>
        <v>4824.9893601389931</v>
      </c>
    </row>
    <row r="20" spans="2:9" x14ac:dyDescent="0.25">
      <c r="B20" t="s">
        <v>2</v>
      </c>
      <c r="C20" t="s">
        <v>48</v>
      </c>
      <c r="E20">
        <v>3649.3308500868711</v>
      </c>
      <c r="G20">
        <v>1.5</v>
      </c>
      <c r="I20" s="15">
        <f t="shared" si="0"/>
        <v>5473.9962751303065</v>
      </c>
    </row>
    <row r="21" spans="2:9" x14ac:dyDescent="0.25">
      <c r="B21" t="s">
        <v>2</v>
      </c>
      <c r="C21" t="s">
        <v>49</v>
      </c>
      <c r="E21">
        <v>4262.0808500868707</v>
      </c>
      <c r="G21">
        <v>1.6</v>
      </c>
      <c r="I21" s="15">
        <f t="shared" si="0"/>
        <v>6819.3293601389933</v>
      </c>
    </row>
    <row r="25" spans="2:9" x14ac:dyDescent="0.25">
      <c r="F25" s="20"/>
    </row>
    <row r="26" spans="2:9" x14ac:dyDescent="0.25">
      <c r="I26" s="5"/>
    </row>
    <row r="29" spans="2:9" x14ac:dyDescent="0.25">
      <c r="F29" s="17"/>
      <c r="G29" s="17"/>
    </row>
    <row r="30" spans="2:9" x14ac:dyDescent="0.25">
      <c r="F30" s="17"/>
      <c r="G30" s="17"/>
    </row>
    <row r="31" spans="2:9" x14ac:dyDescent="0.25">
      <c r="F31" s="18" t="s">
        <v>62</v>
      </c>
      <c r="G31" s="15">
        <f>SUM(I11:I14)</f>
        <v>23238.403867698264</v>
      </c>
    </row>
    <row r="32" spans="2:9" x14ac:dyDescent="0.25">
      <c r="F32" s="18" t="s">
        <v>3</v>
      </c>
      <c r="G32" s="15">
        <f>SUM(I16:I21)</f>
        <v>36595.90307582527</v>
      </c>
    </row>
    <row r="33" spans="1:17" x14ac:dyDescent="0.25">
      <c r="F33" s="21"/>
      <c r="G33" s="17"/>
    </row>
    <row r="34" spans="1:17" x14ac:dyDescent="0.25">
      <c r="F34" s="21"/>
      <c r="G34" s="17"/>
    </row>
    <row r="35" spans="1:17" x14ac:dyDescent="0.25">
      <c r="F35" s="17"/>
      <c r="G35" s="17"/>
    </row>
    <row r="36" spans="1:17" x14ac:dyDescent="0.25">
      <c r="F36" s="17"/>
      <c r="G36" s="17"/>
    </row>
    <row r="37" spans="1:17" x14ac:dyDescent="0.25">
      <c r="F37" s="17"/>
      <c r="G37" s="19">
        <f>SUM(G31:G34)</f>
        <v>59834.306943523537</v>
      </c>
    </row>
    <row r="46" spans="1:17" x14ac:dyDescent="0.25">
      <c r="E46" s="2"/>
      <c r="F46" s="2"/>
    </row>
    <row r="47" spans="1:17" x14ac:dyDescent="0.25">
      <c r="A47" s="2"/>
      <c r="E47" s="2"/>
      <c r="F47" s="2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2"/>
      <c r="B48" s="2"/>
      <c r="C48" s="2"/>
      <c r="D48" s="14"/>
      <c r="E48" s="2"/>
      <c r="F48" s="2"/>
      <c r="J48" s="2"/>
      <c r="K48" s="2"/>
      <c r="L48" s="2"/>
      <c r="M48" s="2"/>
      <c r="N48" s="2"/>
      <c r="O48" s="2"/>
      <c r="P48" s="2"/>
      <c r="Q48" s="2"/>
    </row>
    <row r="49" spans="1:16" x14ac:dyDescent="0.25">
      <c r="A49" s="2"/>
      <c r="B49" s="2"/>
      <c r="C49" s="2"/>
      <c r="D49" s="14"/>
      <c r="E49" s="2"/>
      <c r="F49" s="2"/>
    </row>
    <row r="50" spans="1:16" x14ac:dyDescent="0.25">
      <c r="A50" s="2"/>
      <c r="B50" s="2"/>
      <c r="C50" s="2"/>
      <c r="D50" s="14"/>
      <c r="E50" s="2"/>
      <c r="F50" s="2"/>
    </row>
    <row r="51" spans="1:16" x14ac:dyDescent="0.25">
      <c r="A51" s="2"/>
      <c r="B51" s="2"/>
      <c r="C51" s="2"/>
      <c r="D51" s="14"/>
      <c r="E51" s="2"/>
      <c r="F51" s="2"/>
    </row>
    <row r="52" spans="1:16" x14ac:dyDescent="0.25">
      <c r="A52" s="2"/>
      <c r="B52" s="2"/>
      <c r="C52" s="2"/>
      <c r="D52" s="14"/>
      <c r="E52" s="2"/>
      <c r="F52" s="2"/>
    </row>
    <row r="53" spans="1:16" x14ac:dyDescent="0.25">
      <c r="A53" s="2"/>
      <c r="B53" s="2"/>
      <c r="C53" s="2"/>
      <c r="D53" s="14"/>
      <c r="E53" s="2"/>
      <c r="F53" s="2"/>
    </row>
    <row r="54" spans="1:16" x14ac:dyDescent="0.25">
      <c r="A54" s="2"/>
      <c r="B54" s="2"/>
      <c r="C54" s="2"/>
      <c r="D54" s="2"/>
      <c r="E54" s="2"/>
      <c r="F54" s="2"/>
    </row>
    <row r="55" spans="1:16" x14ac:dyDescent="0.25">
      <c r="A55" s="2"/>
      <c r="J55" s="4"/>
    </row>
    <row r="56" spans="1:16" x14ac:dyDescent="0.25">
      <c r="M56" s="2"/>
      <c r="N56" s="2"/>
      <c r="O56" s="2"/>
      <c r="P56" s="2"/>
    </row>
    <row r="57" spans="1:16" x14ac:dyDescent="0.25">
      <c r="M57" s="2"/>
      <c r="N57" s="2"/>
      <c r="O57" s="2"/>
      <c r="P5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selection activeCell="H39" sqref="H39"/>
    </sheetView>
  </sheetViews>
  <sheetFormatPr defaultRowHeight="15" x14ac:dyDescent="0.25"/>
  <cols>
    <col min="2" max="2" width="39.42578125" customWidth="1"/>
    <col min="6" max="6" width="26.5703125" customWidth="1"/>
    <col min="7" max="7" width="45.5703125" customWidth="1"/>
    <col min="8" max="8" width="20.140625" customWidth="1"/>
    <col min="9" max="9" width="19.28515625" customWidth="1"/>
    <col min="10" max="10" width="17.7109375" customWidth="1"/>
    <col min="11" max="11" width="39.140625" customWidth="1"/>
    <col min="12" max="12" width="20.140625" customWidth="1"/>
    <col min="14" max="14" width="26" customWidth="1"/>
    <col min="15" max="15" width="17.140625" customWidth="1"/>
    <col min="17" max="17" width="23.140625" customWidth="1"/>
    <col min="18" max="18" width="22.140625" customWidth="1"/>
    <col min="19" max="19" width="21.85546875" customWidth="1"/>
    <col min="20" max="20" width="11" customWidth="1"/>
    <col min="22" max="22" width="13.42578125" customWidth="1"/>
    <col min="23" max="23" width="31.28515625" customWidth="1"/>
  </cols>
  <sheetData>
    <row r="1" spans="1:26" x14ac:dyDescent="0.25">
      <c r="A1" t="s">
        <v>36</v>
      </c>
    </row>
    <row r="2" spans="1:26" x14ac:dyDescent="0.25">
      <c r="A2" t="s">
        <v>4</v>
      </c>
      <c r="G2" t="s">
        <v>5</v>
      </c>
    </row>
    <row r="4" spans="1:26" x14ac:dyDescent="0.25">
      <c r="G4" t="s">
        <v>6</v>
      </c>
      <c r="H4" t="s">
        <v>42</v>
      </c>
      <c r="I4" t="s">
        <v>43</v>
      </c>
      <c r="K4" t="s">
        <v>7</v>
      </c>
      <c r="L4" t="s">
        <v>8</v>
      </c>
      <c r="M4" t="s">
        <v>39</v>
      </c>
      <c r="N4" t="s">
        <v>40</v>
      </c>
      <c r="O4" s="7" t="s">
        <v>9</v>
      </c>
      <c r="P4" s="7" t="s">
        <v>10</v>
      </c>
      <c r="Q4" t="s">
        <v>11</v>
      </c>
      <c r="R4" t="s">
        <v>12</v>
      </c>
      <c r="S4" s="7" t="s">
        <v>13</v>
      </c>
      <c r="T4" t="s">
        <v>14</v>
      </c>
      <c r="U4" s="7" t="s">
        <v>15</v>
      </c>
      <c r="V4" t="s">
        <v>16</v>
      </c>
      <c r="W4" s="7" t="s">
        <v>17</v>
      </c>
      <c r="X4" t="s">
        <v>18</v>
      </c>
      <c r="Y4" t="s">
        <v>19</v>
      </c>
      <c r="Z4" t="s">
        <v>20</v>
      </c>
    </row>
    <row r="5" spans="1:26" x14ac:dyDescent="0.25">
      <c r="B5" t="s">
        <v>21</v>
      </c>
      <c r="F5" t="s">
        <v>22</v>
      </c>
      <c r="O5" s="7"/>
      <c r="P5" s="7"/>
      <c r="S5" s="7"/>
      <c r="U5" s="7"/>
      <c r="W5" s="7"/>
    </row>
    <row r="6" spans="1:26" x14ac:dyDescent="0.25">
      <c r="A6" t="s">
        <v>2</v>
      </c>
      <c r="C6" t="s">
        <v>23</v>
      </c>
      <c r="H6" t="s">
        <v>38</v>
      </c>
      <c r="K6" s="2"/>
      <c r="L6" s="2"/>
      <c r="M6" s="2"/>
      <c r="N6" s="2"/>
      <c r="O6" s="8"/>
      <c r="P6" s="8"/>
      <c r="Q6" s="2"/>
      <c r="R6" s="2"/>
      <c r="S6" s="8"/>
      <c r="T6" s="2"/>
      <c r="U6" s="8"/>
      <c r="W6" s="7"/>
    </row>
    <row r="7" spans="1:26" x14ac:dyDescent="0.25">
      <c r="B7" t="s">
        <v>44</v>
      </c>
      <c r="C7" s="6">
        <f>V7</f>
        <v>33.103540583198999</v>
      </c>
      <c r="G7" s="9">
        <v>0.5</v>
      </c>
      <c r="H7" s="9" t="s">
        <v>24</v>
      </c>
      <c r="K7" s="3">
        <v>35184</v>
      </c>
      <c r="L7" s="10">
        <f>K7*(0.1+0.14)</f>
        <v>8444.16</v>
      </c>
      <c r="M7" s="10">
        <f>3130*(285.7/268.6)+0.05*K7</f>
        <v>5088.4665673864474</v>
      </c>
      <c r="N7" s="10">
        <f>2283*(285.7/268.6)</f>
        <v>2428.3436336559935</v>
      </c>
      <c r="O7" s="11">
        <f t="shared" ref="O7:O13" si="0">SUM(K7:N7)</f>
        <v>51144.970201042452</v>
      </c>
      <c r="P7" s="8">
        <f>O7/12</f>
        <v>4262.0808500868707</v>
      </c>
      <c r="Q7">
        <v>54</v>
      </c>
      <c r="R7">
        <v>206</v>
      </c>
      <c r="S7" s="7">
        <f t="shared" ref="S7:S13" si="1">O7/R7</f>
        <v>248.2765543739925</v>
      </c>
      <c r="T7" s="2">
        <v>1545</v>
      </c>
      <c r="U7" s="8">
        <f t="shared" ref="U7:U13" si="2">O7/T7</f>
        <v>33.103540583198999</v>
      </c>
      <c r="V7" s="6">
        <f t="shared" ref="V7:V13" si="3">O7/T7</f>
        <v>33.103540583198999</v>
      </c>
      <c r="W7" s="12">
        <f>5*S7</f>
        <v>1241.3827718699624</v>
      </c>
      <c r="Y7" t="s">
        <v>37</v>
      </c>
      <c r="Z7" t="s">
        <v>41</v>
      </c>
    </row>
    <row r="8" spans="1:26" x14ac:dyDescent="0.25">
      <c r="B8" t="s">
        <v>45</v>
      </c>
      <c r="C8" s="6">
        <f t="shared" ref="C8:C20" si="4">V8</f>
        <v>28.344317282228126</v>
      </c>
      <c r="G8" s="9">
        <v>1</v>
      </c>
      <c r="H8" s="9" t="s">
        <v>25</v>
      </c>
      <c r="I8" s="13"/>
      <c r="J8" s="13"/>
      <c r="K8" s="3">
        <v>29484</v>
      </c>
      <c r="L8" s="10">
        <f t="shared" ref="L8:L13" si="5">K8*(0.1+0.14)</f>
        <v>7076.1600000000008</v>
      </c>
      <c r="M8" s="10">
        <f t="shared" ref="M8:M13" si="6">3130*(285.7/268.6)+0.05*K8</f>
        <v>4803.4665673864474</v>
      </c>
      <c r="N8" s="10">
        <f t="shared" ref="N8:N13" si="7">2283*(285.7/268.6)</f>
        <v>2428.3436336559935</v>
      </c>
      <c r="O8" s="11">
        <f t="shared" si="0"/>
        <v>43791.970201042452</v>
      </c>
      <c r="P8" s="8">
        <f t="shared" ref="P8:P13" si="8">O8/12</f>
        <v>3649.3308500868711</v>
      </c>
      <c r="Q8">
        <v>54</v>
      </c>
      <c r="R8">
        <v>206</v>
      </c>
      <c r="S8" s="7">
        <f t="shared" si="1"/>
        <v>212.58237961671094</v>
      </c>
      <c r="T8" s="2">
        <v>1545</v>
      </c>
      <c r="U8" s="8">
        <f t="shared" si="2"/>
        <v>28.344317282228126</v>
      </c>
      <c r="V8" s="6">
        <f t="shared" si="3"/>
        <v>28.344317282228126</v>
      </c>
      <c r="W8" s="12">
        <f t="shared" ref="W8:W26" si="9">5*S8</f>
        <v>1062.9118980835547</v>
      </c>
      <c r="Y8" t="s">
        <v>37</v>
      </c>
      <c r="Z8" t="s">
        <v>41</v>
      </c>
    </row>
    <row r="9" spans="1:26" x14ac:dyDescent="0.25">
      <c r="B9" t="s">
        <v>46</v>
      </c>
      <c r="C9" s="6">
        <f t="shared" si="4"/>
        <v>33.103540583198999</v>
      </c>
      <c r="G9" s="9">
        <v>0.5</v>
      </c>
      <c r="H9" s="9" t="s">
        <v>24</v>
      </c>
      <c r="I9" s="13"/>
      <c r="J9" s="13"/>
      <c r="K9" s="3">
        <v>35184</v>
      </c>
      <c r="L9" s="10">
        <f t="shared" si="5"/>
        <v>8444.16</v>
      </c>
      <c r="M9" s="10">
        <f t="shared" si="6"/>
        <v>5088.4665673864474</v>
      </c>
      <c r="N9" s="10">
        <f t="shared" si="7"/>
        <v>2428.3436336559935</v>
      </c>
      <c r="O9" s="11">
        <f t="shared" si="0"/>
        <v>51144.970201042452</v>
      </c>
      <c r="P9" s="8">
        <f t="shared" si="8"/>
        <v>4262.0808500868707</v>
      </c>
      <c r="Q9">
        <v>54</v>
      </c>
      <c r="R9">
        <v>206</v>
      </c>
      <c r="S9" s="7">
        <f t="shared" si="1"/>
        <v>248.2765543739925</v>
      </c>
      <c r="T9" s="2">
        <v>1545</v>
      </c>
      <c r="U9" s="8">
        <f t="shared" si="2"/>
        <v>33.103540583198999</v>
      </c>
      <c r="V9" s="6">
        <f t="shared" si="3"/>
        <v>33.103540583198999</v>
      </c>
      <c r="W9" s="12">
        <f t="shared" si="9"/>
        <v>1241.3827718699624</v>
      </c>
      <c r="Y9" t="s">
        <v>37</v>
      </c>
      <c r="Z9" t="s">
        <v>41</v>
      </c>
    </row>
    <row r="10" spans="1:26" x14ac:dyDescent="0.25">
      <c r="B10" t="s">
        <v>47</v>
      </c>
      <c r="C10" s="6">
        <f t="shared" si="4"/>
        <v>23.422278447276668</v>
      </c>
      <c r="G10" s="9">
        <v>1</v>
      </c>
      <c r="H10" s="9" t="s">
        <v>26</v>
      </c>
      <c r="I10" s="13"/>
      <c r="J10" s="13"/>
      <c r="K10" s="3">
        <v>23589</v>
      </c>
      <c r="L10" s="10">
        <f t="shared" si="5"/>
        <v>5661.3600000000006</v>
      </c>
      <c r="M10" s="10">
        <f t="shared" si="6"/>
        <v>4508.7165673864474</v>
      </c>
      <c r="N10" s="10">
        <f t="shared" si="7"/>
        <v>2428.3436336559935</v>
      </c>
      <c r="O10" s="11">
        <f t="shared" si="0"/>
        <v>36187.420201042449</v>
      </c>
      <c r="P10" s="8">
        <f t="shared" si="8"/>
        <v>3015.6183500868706</v>
      </c>
      <c r="Q10">
        <v>54</v>
      </c>
      <c r="R10">
        <v>206</v>
      </c>
      <c r="S10" s="7">
        <f t="shared" si="1"/>
        <v>175.66708835457499</v>
      </c>
      <c r="T10" s="2">
        <v>1545</v>
      </c>
      <c r="U10" s="8">
        <f t="shared" si="2"/>
        <v>23.422278447276668</v>
      </c>
      <c r="V10" s="6">
        <f t="shared" si="3"/>
        <v>23.422278447276668</v>
      </c>
      <c r="W10" s="12">
        <f t="shared" si="9"/>
        <v>878.3354417728749</v>
      </c>
      <c r="Y10" t="s">
        <v>37</v>
      </c>
      <c r="Z10" t="s">
        <v>41</v>
      </c>
    </row>
    <row r="11" spans="1:26" x14ac:dyDescent="0.25">
      <c r="B11" t="s">
        <v>48</v>
      </c>
      <c r="C11" s="6">
        <f t="shared" si="4"/>
        <v>28.344317282228126</v>
      </c>
      <c r="G11" s="9">
        <v>0.8</v>
      </c>
      <c r="H11" s="9" t="s">
        <v>25</v>
      </c>
      <c r="I11" s="13"/>
      <c r="J11" s="13"/>
      <c r="K11" s="3">
        <v>29484</v>
      </c>
      <c r="L11" s="10">
        <f t="shared" si="5"/>
        <v>7076.1600000000008</v>
      </c>
      <c r="M11" s="10">
        <f t="shared" si="6"/>
        <v>4803.4665673864474</v>
      </c>
      <c r="N11" s="10">
        <f t="shared" si="7"/>
        <v>2428.3436336559935</v>
      </c>
      <c r="O11" s="11">
        <f t="shared" si="0"/>
        <v>43791.970201042452</v>
      </c>
      <c r="P11" s="8">
        <f t="shared" si="8"/>
        <v>3649.3308500868711</v>
      </c>
      <c r="Q11">
        <v>54</v>
      </c>
      <c r="R11">
        <v>206</v>
      </c>
      <c r="S11" s="7">
        <f t="shared" si="1"/>
        <v>212.58237961671094</v>
      </c>
      <c r="T11" s="2">
        <v>1545</v>
      </c>
      <c r="U11" s="8">
        <f t="shared" si="2"/>
        <v>28.344317282228126</v>
      </c>
      <c r="V11" s="6">
        <f t="shared" si="3"/>
        <v>28.344317282228126</v>
      </c>
      <c r="W11" s="12">
        <f t="shared" si="9"/>
        <v>1062.9118980835547</v>
      </c>
      <c r="Y11" t="s">
        <v>37</v>
      </c>
      <c r="Z11" t="s">
        <v>41</v>
      </c>
    </row>
    <row r="12" spans="1:26" x14ac:dyDescent="0.25">
      <c r="B12" t="s">
        <v>49</v>
      </c>
      <c r="C12" s="6">
        <f t="shared" si="4"/>
        <v>44.625035728830063</v>
      </c>
      <c r="G12" s="9">
        <v>1</v>
      </c>
      <c r="H12" s="9" t="s">
        <v>27</v>
      </c>
      <c r="K12" s="3">
        <v>48983</v>
      </c>
      <c r="L12" s="10">
        <f t="shared" si="5"/>
        <v>11755.92</v>
      </c>
      <c r="M12" s="10">
        <f t="shared" si="6"/>
        <v>5778.4165673864482</v>
      </c>
      <c r="N12" s="10">
        <f t="shared" si="7"/>
        <v>2428.3436336559935</v>
      </c>
      <c r="O12" s="11">
        <f t="shared" si="0"/>
        <v>68945.680201042444</v>
      </c>
      <c r="P12" s="8">
        <f t="shared" si="8"/>
        <v>5745.4733500868706</v>
      </c>
      <c r="Q12">
        <v>54</v>
      </c>
      <c r="R12">
        <v>206</v>
      </c>
      <c r="S12" s="7">
        <f t="shared" si="1"/>
        <v>334.68776796622546</v>
      </c>
      <c r="T12" s="2">
        <v>1545</v>
      </c>
      <c r="U12" s="8">
        <f t="shared" si="2"/>
        <v>44.625035728830063</v>
      </c>
      <c r="V12" s="6">
        <f t="shared" si="3"/>
        <v>44.625035728830063</v>
      </c>
      <c r="W12" s="12">
        <f t="shared" si="9"/>
        <v>1673.4388398311273</v>
      </c>
      <c r="Y12" t="s">
        <v>37</v>
      </c>
      <c r="Z12" t="s">
        <v>41</v>
      </c>
    </row>
    <row r="13" spans="1:26" x14ac:dyDescent="0.25">
      <c r="B13" t="s">
        <v>50</v>
      </c>
      <c r="C13" s="6">
        <f t="shared" si="4"/>
        <v>33.103540583198999</v>
      </c>
      <c r="G13" s="9">
        <v>0.5</v>
      </c>
      <c r="H13" s="9" t="s">
        <v>24</v>
      </c>
      <c r="K13" s="3">
        <v>35184</v>
      </c>
      <c r="L13" s="10">
        <f t="shared" si="5"/>
        <v>8444.16</v>
      </c>
      <c r="M13" s="10">
        <f t="shared" si="6"/>
        <v>5088.4665673864474</v>
      </c>
      <c r="N13" s="10">
        <f t="shared" si="7"/>
        <v>2428.3436336559935</v>
      </c>
      <c r="O13" s="11">
        <f t="shared" si="0"/>
        <v>51144.970201042452</v>
      </c>
      <c r="P13" s="8">
        <f t="shared" si="8"/>
        <v>4262.0808500868707</v>
      </c>
      <c r="Q13">
        <v>54</v>
      </c>
      <c r="R13">
        <v>206</v>
      </c>
      <c r="S13" s="7">
        <f t="shared" si="1"/>
        <v>248.2765543739925</v>
      </c>
      <c r="T13" s="2">
        <v>1545</v>
      </c>
      <c r="U13" s="8">
        <f t="shared" si="2"/>
        <v>33.103540583198999</v>
      </c>
      <c r="V13" s="6">
        <f t="shared" si="3"/>
        <v>33.103540583198999</v>
      </c>
      <c r="W13" s="12">
        <f t="shared" si="9"/>
        <v>1241.3827718699624</v>
      </c>
      <c r="Y13" t="s">
        <v>37</v>
      </c>
      <c r="Z13" t="s">
        <v>41</v>
      </c>
    </row>
    <row r="14" spans="1:26" x14ac:dyDescent="0.25">
      <c r="K14" s="3"/>
      <c r="O14" s="7"/>
      <c r="P14" s="7"/>
      <c r="S14" s="7"/>
      <c r="U14" s="7"/>
      <c r="W14" s="12"/>
    </row>
    <row r="15" spans="1:26" x14ac:dyDescent="0.25">
      <c r="K15" s="3"/>
      <c r="O15" s="7"/>
      <c r="P15" s="7"/>
      <c r="S15" s="7"/>
      <c r="U15" s="7"/>
      <c r="W15" s="12"/>
    </row>
    <row r="16" spans="1:26" x14ac:dyDescent="0.25">
      <c r="A16" t="s">
        <v>1</v>
      </c>
      <c r="C16" s="6"/>
      <c r="I16" t="s">
        <v>28</v>
      </c>
      <c r="K16" s="3"/>
      <c r="O16" s="7"/>
      <c r="P16" s="7"/>
      <c r="S16" s="7"/>
      <c r="T16" s="2"/>
      <c r="U16" s="8"/>
      <c r="W16" s="12"/>
    </row>
    <row r="17" spans="1:26" x14ac:dyDescent="0.25">
      <c r="B17" t="s">
        <v>51</v>
      </c>
      <c r="C17" s="6">
        <f t="shared" si="4"/>
        <v>36.389275211030707</v>
      </c>
      <c r="G17">
        <v>1</v>
      </c>
      <c r="I17" t="s">
        <v>30</v>
      </c>
      <c r="K17" s="3">
        <v>38522</v>
      </c>
      <c r="L17" s="10">
        <f>K17*(0.1+0.16)</f>
        <v>10015.720000000001</v>
      </c>
      <c r="M17" s="10">
        <f>3130*(285.7/268.6)+0.05*K17</f>
        <v>5255.366567386448</v>
      </c>
      <c r="N17" s="10">
        <f t="shared" ref="N17:N20" si="10">2283*(285.7/268.6)</f>
        <v>2428.3436336559935</v>
      </c>
      <c r="O17" s="8">
        <f>SUM(K17:N17)</f>
        <v>56221.430201042444</v>
      </c>
      <c r="P17" s="8">
        <f t="shared" ref="P17:P20" si="11">O17/12</f>
        <v>4685.1191834202036</v>
      </c>
      <c r="Q17">
        <v>54</v>
      </c>
      <c r="R17">
        <v>206</v>
      </c>
      <c r="S17" s="7">
        <f t="shared" ref="S17:S20" si="12">O17/R17</f>
        <v>272.91956408273029</v>
      </c>
      <c r="T17" s="2">
        <v>1545</v>
      </c>
      <c r="U17" s="8">
        <f t="shared" ref="U17:U20" si="13">O17/T17</f>
        <v>36.389275211030707</v>
      </c>
      <c r="V17" s="6">
        <f t="shared" ref="V17:V20" si="14">O17/T17</f>
        <v>36.389275211030707</v>
      </c>
      <c r="W17" s="12">
        <f t="shared" si="9"/>
        <v>1364.5978204136513</v>
      </c>
      <c r="Y17" t="s">
        <v>37</v>
      </c>
      <c r="Z17" t="s">
        <v>41</v>
      </c>
    </row>
    <row r="18" spans="1:26" x14ac:dyDescent="0.25">
      <c r="B18" t="s">
        <v>52</v>
      </c>
      <c r="C18" s="6">
        <f t="shared" si="4"/>
        <v>30.292051910059829</v>
      </c>
      <c r="G18">
        <v>1</v>
      </c>
      <c r="I18" t="s">
        <v>29</v>
      </c>
      <c r="K18" s="3">
        <v>31331</v>
      </c>
      <c r="L18" s="10">
        <f t="shared" ref="L18:L20" si="15">K18*(0.1+0.16)</f>
        <v>8146.06</v>
      </c>
      <c r="M18" s="10">
        <f t="shared" ref="M18:M19" si="16">3130*(285.7/268.6)+0.05*K18</f>
        <v>4895.8165673864478</v>
      </c>
      <c r="N18" s="10">
        <f t="shared" si="10"/>
        <v>2428.3436336559935</v>
      </c>
      <c r="O18" s="8">
        <f>SUM(K18:N18)</f>
        <v>46801.220201042437</v>
      </c>
      <c r="P18" s="8">
        <f t="shared" si="11"/>
        <v>3900.1016834202032</v>
      </c>
      <c r="Q18">
        <v>54</v>
      </c>
      <c r="R18">
        <v>206</v>
      </c>
      <c r="S18" s="7">
        <f t="shared" si="12"/>
        <v>227.19038932544873</v>
      </c>
      <c r="T18" s="2">
        <v>1545</v>
      </c>
      <c r="U18" s="8">
        <f t="shared" si="13"/>
        <v>30.292051910059829</v>
      </c>
      <c r="V18" s="6">
        <f t="shared" si="14"/>
        <v>30.292051910059829</v>
      </c>
      <c r="W18" s="12">
        <f t="shared" si="9"/>
        <v>1135.9519466272436</v>
      </c>
      <c r="Y18" t="s">
        <v>37</v>
      </c>
      <c r="Z18" t="s">
        <v>41</v>
      </c>
    </row>
    <row r="19" spans="1:26" x14ac:dyDescent="0.25">
      <c r="B19" t="s">
        <v>53</v>
      </c>
      <c r="C19" s="6">
        <f t="shared" si="4"/>
        <v>36.389275211030707</v>
      </c>
      <c r="G19">
        <v>1</v>
      </c>
      <c r="I19" t="s">
        <v>30</v>
      </c>
      <c r="K19" s="3">
        <v>38522</v>
      </c>
      <c r="L19" s="10">
        <f t="shared" si="15"/>
        <v>10015.720000000001</v>
      </c>
      <c r="M19" s="10">
        <f t="shared" si="16"/>
        <v>5255.366567386448</v>
      </c>
      <c r="N19" s="10">
        <f t="shared" si="10"/>
        <v>2428.3436336559935</v>
      </c>
      <c r="O19" s="8">
        <f>SUM(K19:N19)</f>
        <v>56221.430201042444</v>
      </c>
      <c r="P19" s="8">
        <f t="shared" si="11"/>
        <v>4685.1191834202036</v>
      </c>
      <c r="Q19">
        <v>54</v>
      </c>
      <c r="R19">
        <v>206</v>
      </c>
      <c r="S19" s="7">
        <f t="shared" si="12"/>
        <v>272.91956408273029</v>
      </c>
      <c r="T19" s="2">
        <v>1545</v>
      </c>
      <c r="U19" s="8">
        <f t="shared" si="13"/>
        <v>36.389275211030707</v>
      </c>
      <c r="V19" s="6">
        <f t="shared" si="14"/>
        <v>36.389275211030707</v>
      </c>
      <c r="W19" s="12">
        <f t="shared" si="9"/>
        <v>1364.5978204136513</v>
      </c>
      <c r="Y19" t="s">
        <v>37</v>
      </c>
      <c r="Z19" t="s">
        <v>41</v>
      </c>
    </row>
    <row r="20" spans="1:26" x14ac:dyDescent="0.25">
      <c r="B20" t="s">
        <v>54</v>
      </c>
      <c r="C20" s="6">
        <f t="shared" si="4"/>
        <v>30.292051910059829</v>
      </c>
      <c r="G20">
        <v>1</v>
      </c>
      <c r="I20" t="s">
        <v>29</v>
      </c>
      <c r="K20" s="3">
        <v>31331</v>
      </c>
      <c r="L20" s="10">
        <f t="shared" si="15"/>
        <v>8146.06</v>
      </c>
      <c r="M20" s="10">
        <f>3130*(285.7/268.6)+0.05*K20</f>
        <v>4895.8165673864478</v>
      </c>
      <c r="N20" s="10">
        <f t="shared" si="10"/>
        <v>2428.3436336559935</v>
      </c>
      <c r="O20" s="8">
        <f>SUM(K20:N20)</f>
        <v>46801.220201042437</v>
      </c>
      <c r="P20" s="8">
        <f t="shared" si="11"/>
        <v>3900.1016834202032</v>
      </c>
      <c r="Q20">
        <v>54</v>
      </c>
      <c r="R20">
        <v>206</v>
      </c>
      <c r="S20" s="7">
        <f t="shared" si="12"/>
        <v>227.19038932544873</v>
      </c>
      <c r="T20" s="2">
        <v>1545</v>
      </c>
      <c r="U20" s="8">
        <f t="shared" si="13"/>
        <v>30.292051910059829</v>
      </c>
      <c r="V20" s="6">
        <f t="shared" si="14"/>
        <v>30.292051910059829</v>
      </c>
      <c r="W20" s="12">
        <f t="shared" si="9"/>
        <v>1135.9519466272436</v>
      </c>
      <c r="Y20" t="s">
        <v>37</v>
      </c>
      <c r="Z20" t="s">
        <v>41</v>
      </c>
    </row>
    <row r="25" spans="1:26" x14ac:dyDescent="0.25">
      <c r="A25" t="s">
        <v>31</v>
      </c>
      <c r="O25" s="7"/>
      <c r="P25" s="7"/>
      <c r="S25" s="7"/>
      <c r="U25" s="8"/>
      <c r="W25" s="12"/>
    </row>
    <row r="26" spans="1:26" x14ac:dyDescent="0.25">
      <c r="B26" t="s">
        <v>32</v>
      </c>
      <c r="C26" s="6">
        <f>V26</f>
        <v>60.340492039509677</v>
      </c>
      <c r="F26" t="s">
        <v>33</v>
      </c>
      <c r="G26" t="s">
        <v>34</v>
      </c>
      <c r="H26" t="s">
        <v>35</v>
      </c>
      <c r="K26" s="13">
        <v>67805</v>
      </c>
      <c r="L26" s="10">
        <f t="shared" ref="L26" si="17">K26*(0.1+0.14)</f>
        <v>16273.2</v>
      </c>
      <c r="M26" s="10">
        <f>3130*(285.7/268.6)+0.05*K26</f>
        <v>6719.5165673864476</v>
      </c>
      <c r="N26" s="10">
        <f t="shared" ref="N26" si="18">2283*(285.7/268.6)</f>
        <v>2428.3436336559935</v>
      </c>
      <c r="O26" s="8">
        <f>SUM(K26:N26)</f>
        <v>93226.060201042448</v>
      </c>
      <c r="P26" s="8">
        <f t="shared" ref="P26" si="19">O26/12</f>
        <v>7768.8383500868704</v>
      </c>
      <c r="Q26">
        <v>54</v>
      </c>
      <c r="R26">
        <v>206</v>
      </c>
      <c r="S26" s="7">
        <f>O26/R26</f>
        <v>452.55369029632254</v>
      </c>
      <c r="T26" s="2">
        <v>1545</v>
      </c>
      <c r="U26" s="8">
        <f>O26/T26</f>
        <v>60.340492039509677</v>
      </c>
      <c r="V26" s="6">
        <f>O26/T26</f>
        <v>60.340492039509677</v>
      </c>
      <c r="W26" s="12">
        <f t="shared" si="9"/>
        <v>2262.7684514816128</v>
      </c>
      <c r="Y26" t="s">
        <v>37</v>
      </c>
    </row>
    <row r="27" spans="1:26" x14ac:dyDescent="0.25">
      <c r="C27" s="6"/>
    </row>
    <row r="28" spans="1:26" x14ac:dyDescent="0.25">
      <c r="C28" s="6"/>
    </row>
    <row r="29" spans="1:26" x14ac:dyDescent="0.25">
      <c r="C29" s="6"/>
    </row>
    <row r="30" spans="1:26" ht="21" customHeight="1" x14ac:dyDescent="0.25">
      <c r="C30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Work</vt:lpstr>
      <vt:lpstr>Labour Cost Estimates</vt:lpstr>
      <vt:lpstr>Sheet1</vt:lpstr>
    </vt:vector>
  </TitlesOfParts>
  <Company>University of York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Pulleyblank, R.</dc:creator>
  <cp:lastModifiedBy>Hanbury, A.</cp:lastModifiedBy>
  <dcterms:created xsi:type="dcterms:W3CDTF">2013-07-29T13:00:06Z</dcterms:created>
  <dcterms:modified xsi:type="dcterms:W3CDTF">2015-03-20T13:04:34Z</dcterms:modified>
</cp:coreProperties>
</file>