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1.xml" ContentType="application/vnd.ms-excel.threadedcomments+xml"/>
  <Override PartName="/xl/comments4.xml" ContentType="application/vnd.openxmlformats-officedocument.spreadsheetml.comments+xml"/>
  <Override PartName="/xl/threadedComments/threadedComment2.xml" ContentType="application/vnd.ms-excel.threadedcomments+xml"/>
  <Override PartName="/xl/comments5.xml" ContentType="application/vnd.openxmlformats-officedocument.spreadsheetml.comments+xml"/>
  <Override PartName="/xl/threadedComments/threadedComment3.xml" ContentType="application/vnd.ms-excel.threaded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threadedComments/threadedComment4.xml" ContentType="application/vnd.ms-excel.threadedcomments+xml"/>
  <Override PartName="/xl/comments9.xml" ContentType="application/vnd.openxmlformats-officedocument.spreadsheetml.comments+xml"/>
  <Override PartName="/xl/threadedComments/threadedComment5.xml" ContentType="application/vnd.ms-excel.threadedcomments+xml"/>
  <Override PartName="/xl/comments10.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C:\Users\schlei_mic\Downloads\"/>
    </mc:Choice>
  </mc:AlternateContent>
  <xr:revisionPtr revIDLastSave="0" documentId="13_ncr:1_{71157DC2-AD24-4119-90EE-4E6843032B41}" xr6:coauthVersionLast="47" xr6:coauthVersionMax="47" xr10:uidLastSave="{00000000-0000-0000-0000-000000000000}"/>
  <bookViews>
    <workbookView xWindow="-120" yWindow="-120" windowWidth="29040" windowHeight="15840" tabRatio="810" xr2:uid="{00000000-000D-0000-FFFF-FFFF00000000}"/>
  </bookViews>
  <sheets>
    <sheet name="Master" sheetId="29" r:id="rId1"/>
    <sheet name="C_fullhouse" sheetId="38" r:id="rId2"/>
    <sheet name="C_contracted_PLAMAHS" sheetId="40" r:id="rId3"/>
    <sheet name="C_depreciation_mtn_NPV" sheetId="39" r:id="rId4"/>
    <sheet name="C_device_share" sheetId="9" r:id="rId5"/>
    <sheet name="C_depreciation_yearly" sheetId="10" r:id="rId6"/>
    <sheet name="C_downtime_cost" sheetId="13" r:id="rId7"/>
    <sheet name="C_services_daily" sheetId="25" r:id="rId8"/>
    <sheet name="C_overhead_cost" sheetId="14" r:id="rId9"/>
    <sheet name="D_invoiced_cost" sheetId="15" r:id="rId10"/>
    <sheet name="D_device_values" sheetId="16" r:id="rId11"/>
    <sheet name="D_service_prices" sheetId="17" r:id="rId12"/>
    <sheet name="D_device_lifecycles" sheetId="18" r:id="rId13"/>
    <sheet name="D_currency_conversion" sheetId="21" r:id="rId14"/>
    <sheet name="D_fullhouse" sheetId="31" r:id="rId15"/>
    <sheet name="P_Figure1_to_EPS" sheetId="51" r:id="rId16"/>
  </sheets>
  <definedNames>
    <definedName name="_xlnm._FilterDatabase" localSheetId="7" hidden="1">C_services_daily!$A$5:$M$5</definedName>
    <definedName name="_xlnm._FilterDatabase" localSheetId="12" hidden="1">D_device_lifecycles!$A$2:$N$2</definedName>
    <definedName name="_xlnm._FilterDatabase" localSheetId="14" hidden="1">D_fullhouse!$A$6:$T$22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1" i="39" l="1"/>
  <c r="E51" i="39"/>
  <c r="F51" i="39"/>
  <c r="G51" i="39"/>
  <c r="H51" i="39"/>
  <c r="I51" i="39"/>
  <c r="J51" i="39"/>
  <c r="K51" i="39"/>
  <c r="L51" i="39"/>
  <c r="M51" i="39"/>
  <c r="N51" i="39"/>
  <c r="M20" i="9" l="1"/>
  <c r="T8" i="13" l="1"/>
  <c r="B1" i="38" l="1"/>
  <c r="D17" i="29"/>
  <c r="D11" i="29"/>
  <c r="D16" i="29"/>
  <c r="D7" i="29"/>
  <c r="D12" i="29"/>
  <c r="D9" i="29"/>
  <c r="D3" i="29"/>
  <c r="D19" i="29"/>
  <c r="D6" i="29"/>
  <c r="D18" i="29"/>
  <c r="D4" i="29"/>
  <c r="D15" i="29"/>
  <c r="D10" i="29"/>
  <c r="D20" i="29"/>
  <c r="D2" i="13" l="1"/>
  <c r="F8" i="38"/>
  <c r="F3" i="38"/>
  <c r="E8" i="38" l="1"/>
  <c r="D8" i="38"/>
  <c r="P3" i="39"/>
  <c r="C11" i="21"/>
  <c r="D34" i="15" l="1"/>
  <c r="G13" i="38" l="1"/>
  <c r="M13" i="38" s="1"/>
  <c r="S21" i="13"/>
  <c r="T21" i="13" s="1"/>
  <c r="J13" i="14"/>
  <c r="J15" i="14"/>
  <c r="L15" i="14" s="1"/>
  <c r="M15" i="14" s="1"/>
  <c r="J11" i="14"/>
  <c r="S11" i="14" s="1"/>
  <c r="J7" i="14"/>
  <c r="N7" i="14" s="1"/>
  <c r="S24" i="13"/>
  <c r="T24" i="13" s="1"/>
  <c r="S23" i="13"/>
  <c r="T23" i="13" s="1"/>
  <c r="S7" i="13"/>
  <c r="G14" i="15"/>
  <c r="J14" i="14"/>
  <c r="L14" i="14" s="1"/>
  <c r="M14" i="14" s="1"/>
  <c r="J6" i="14"/>
  <c r="J5" i="14"/>
  <c r="L5" i="14" s="1"/>
  <c r="M5" i="14" s="1"/>
  <c r="N7" i="13"/>
  <c r="M23" i="13"/>
  <c r="Y23" i="13" s="1"/>
  <c r="AE23" i="13" s="1"/>
  <c r="C28" i="39"/>
  <c r="C29" i="39" s="1"/>
  <c r="C30" i="39" s="1"/>
  <c r="C31" i="39" s="1"/>
  <c r="C32" i="39" s="1"/>
  <c r="C33" i="39" s="1"/>
  <c r="C34" i="39" s="1"/>
  <c r="C35" i="39" s="1"/>
  <c r="C36" i="39" s="1"/>
  <c r="C37" i="39" s="1"/>
  <c r="C9" i="39"/>
  <c r="C10" i="39" s="1"/>
  <c r="C11" i="39" s="1"/>
  <c r="C12" i="39" s="1"/>
  <c r="C13" i="39" s="1"/>
  <c r="C14" i="39" s="1"/>
  <c r="C15" i="39" s="1"/>
  <c r="C16" i="39" s="1"/>
  <c r="C17" i="39" s="1"/>
  <c r="C18" i="39" s="1"/>
  <c r="H272" i="10"/>
  <c r="K304" i="10"/>
  <c r="K302" i="10"/>
  <c r="L301" i="10"/>
  <c r="G301" i="10"/>
  <c r="H301" i="10" s="1"/>
  <c r="L300" i="10"/>
  <c r="G300" i="10"/>
  <c r="L299" i="10"/>
  <c r="G299" i="10"/>
  <c r="H299" i="10" s="1"/>
  <c r="L298" i="10"/>
  <c r="G298" i="10"/>
  <c r="L296" i="10"/>
  <c r="G296" i="10"/>
  <c r="H296" i="10" s="1"/>
  <c r="L295" i="10"/>
  <c r="G295" i="10"/>
  <c r="L294" i="10"/>
  <c r="G294" i="10"/>
  <c r="H294" i="10" s="1"/>
  <c r="S293" i="10"/>
  <c r="L293" i="10"/>
  <c r="G293" i="10"/>
  <c r="H293" i="10" s="1"/>
  <c r="L292" i="10"/>
  <c r="G292" i="10"/>
  <c r="H292" i="10" s="1"/>
  <c r="L291" i="10"/>
  <c r="G291" i="10"/>
  <c r="H291" i="10" s="1"/>
  <c r="L289" i="10"/>
  <c r="G289" i="10"/>
  <c r="H289" i="10" s="1"/>
  <c r="L288" i="10"/>
  <c r="G288" i="10"/>
  <c r="H288" i="10" s="1"/>
  <c r="L286" i="10"/>
  <c r="G286" i="10"/>
  <c r="H286" i="10" s="1"/>
  <c r="S286" i="10"/>
  <c r="L285" i="10"/>
  <c r="G285" i="10"/>
  <c r="H285" i="10" s="1"/>
  <c r="L284" i="10"/>
  <c r="G284" i="10"/>
  <c r="H284" i="10" s="1"/>
  <c r="S284" i="10"/>
  <c r="K279" i="10"/>
  <c r="K277" i="10"/>
  <c r="L276" i="10"/>
  <c r="G276" i="10"/>
  <c r="H276" i="10" s="1"/>
  <c r="L275" i="10"/>
  <c r="G275" i="10"/>
  <c r="H275" i="10" s="1"/>
  <c r="S275" i="10"/>
  <c r="L274" i="10"/>
  <c r="G274" i="10"/>
  <c r="H274" i="10" s="1"/>
  <c r="L273" i="10"/>
  <c r="G273" i="10"/>
  <c r="H273" i="10" s="1"/>
  <c r="L271" i="10"/>
  <c r="G271" i="10"/>
  <c r="H271" i="10" s="1"/>
  <c r="S271" i="10"/>
  <c r="L270" i="10"/>
  <c r="G270" i="10"/>
  <c r="H270" i="10" s="1"/>
  <c r="S270" i="10"/>
  <c r="L269" i="10"/>
  <c r="G269" i="10"/>
  <c r="H269" i="10" s="1"/>
  <c r="L268" i="10"/>
  <c r="G268" i="10"/>
  <c r="H268" i="10" s="1"/>
  <c r="S268" i="10"/>
  <c r="L267" i="10"/>
  <c r="G267" i="10"/>
  <c r="H267" i="10" s="1"/>
  <c r="S267" i="10"/>
  <c r="L266" i="10"/>
  <c r="G266" i="10"/>
  <c r="H266" i="10" s="1"/>
  <c r="L264" i="10"/>
  <c r="G264" i="10"/>
  <c r="H264" i="10" s="1"/>
  <c r="L263" i="10"/>
  <c r="G263" i="10"/>
  <c r="H263" i="10" s="1"/>
  <c r="S263" i="10"/>
  <c r="L261" i="10"/>
  <c r="G261" i="10"/>
  <c r="H261" i="10" s="1"/>
  <c r="S261" i="10"/>
  <c r="L260" i="10"/>
  <c r="G260" i="10"/>
  <c r="H260" i="10" s="1"/>
  <c r="L259" i="10"/>
  <c r="G259" i="10"/>
  <c r="H259" i="10" s="1"/>
  <c r="S259" i="10"/>
  <c r="K254" i="10"/>
  <c r="K252" i="10"/>
  <c r="L251" i="10"/>
  <c r="G251" i="10"/>
  <c r="H251" i="10" s="1"/>
  <c r="L250" i="10"/>
  <c r="G250" i="10"/>
  <c r="H250" i="10" s="1"/>
  <c r="L249" i="10"/>
  <c r="G249" i="10"/>
  <c r="H249" i="10" s="1"/>
  <c r="L248" i="10"/>
  <c r="G248" i="10"/>
  <c r="H248" i="10" s="1"/>
  <c r="L246" i="10"/>
  <c r="G246" i="10"/>
  <c r="H246" i="10" s="1"/>
  <c r="L245" i="10"/>
  <c r="G245" i="10"/>
  <c r="H245" i="10" s="1"/>
  <c r="L244" i="10"/>
  <c r="G244" i="10"/>
  <c r="H244" i="10" s="1"/>
  <c r="L243" i="10"/>
  <c r="G243" i="10"/>
  <c r="H243" i="10" s="1"/>
  <c r="L242" i="10"/>
  <c r="G242" i="10"/>
  <c r="H242" i="10" s="1"/>
  <c r="L241" i="10"/>
  <c r="G241" i="10"/>
  <c r="H241" i="10" s="1"/>
  <c r="L239" i="10"/>
  <c r="G239" i="10"/>
  <c r="H239" i="10" s="1"/>
  <c r="L238" i="10"/>
  <c r="G238" i="10"/>
  <c r="H238" i="10" s="1"/>
  <c r="L236" i="10"/>
  <c r="G236" i="10"/>
  <c r="H236" i="10" s="1"/>
  <c r="L235" i="10"/>
  <c r="G235" i="10"/>
  <c r="H235" i="10" s="1"/>
  <c r="L234" i="10"/>
  <c r="G234" i="10"/>
  <c r="H234" i="10" s="1"/>
  <c r="K229" i="10"/>
  <c r="K227" i="10"/>
  <c r="L226" i="10"/>
  <c r="G226" i="10"/>
  <c r="H226" i="10" s="1"/>
  <c r="L225" i="10"/>
  <c r="G225" i="10"/>
  <c r="H225" i="10" s="1"/>
  <c r="L224" i="10"/>
  <c r="G224" i="10"/>
  <c r="H224" i="10" s="1"/>
  <c r="S224" i="10" s="1"/>
  <c r="L223" i="10"/>
  <c r="G223" i="10"/>
  <c r="H223" i="10" s="1"/>
  <c r="L221" i="10"/>
  <c r="G221" i="10"/>
  <c r="H221" i="10" s="1"/>
  <c r="L220" i="10"/>
  <c r="G220" i="10"/>
  <c r="H220" i="10" s="1"/>
  <c r="L219" i="10"/>
  <c r="G219" i="10"/>
  <c r="L218" i="10"/>
  <c r="G218" i="10"/>
  <c r="H218" i="10" s="1"/>
  <c r="S218" i="10"/>
  <c r="L217" i="10"/>
  <c r="G217" i="10"/>
  <c r="H217" i="10" s="1"/>
  <c r="S217" i="10" s="1"/>
  <c r="L216" i="10"/>
  <c r="G216" i="10"/>
  <c r="H216" i="10" s="1"/>
  <c r="S216" i="10"/>
  <c r="L214" i="10"/>
  <c r="G214" i="10"/>
  <c r="H214" i="10" s="1"/>
  <c r="S214" i="10" s="1"/>
  <c r="L213" i="10"/>
  <c r="G213" i="10"/>
  <c r="H213" i="10" s="1"/>
  <c r="L211" i="10"/>
  <c r="G211" i="10"/>
  <c r="H211" i="10" s="1"/>
  <c r="L210" i="10"/>
  <c r="G210" i="10"/>
  <c r="H210" i="10" s="1"/>
  <c r="L209" i="10"/>
  <c r="G209" i="10"/>
  <c r="H209" i="10" s="1"/>
  <c r="S209" i="10"/>
  <c r="K204" i="10"/>
  <c r="K202" i="10"/>
  <c r="L201" i="10"/>
  <c r="G201" i="10"/>
  <c r="H201" i="10" s="1"/>
  <c r="L200" i="10"/>
  <c r="G200" i="10"/>
  <c r="H200" i="10" s="1"/>
  <c r="L199" i="10"/>
  <c r="G199" i="10"/>
  <c r="H199" i="10" s="1"/>
  <c r="L198" i="10"/>
  <c r="G198" i="10"/>
  <c r="H198" i="10" s="1"/>
  <c r="L196" i="10"/>
  <c r="G196" i="10"/>
  <c r="H196" i="10" s="1"/>
  <c r="L195" i="10"/>
  <c r="G195" i="10"/>
  <c r="H195" i="10" s="1"/>
  <c r="L194" i="10"/>
  <c r="G194" i="10"/>
  <c r="H194" i="10" s="1"/>
  <c r="L193" i="10"/>
  <c r="G193" i="10"/>
  <c r="H193" i="10" s="1"/>
  <c r="L192" i="10"/>
  <c r="G192" i="10"/>
  <c r="H192" i="10" s="1"/>
  <c r="L191" i="10"/>
  <c r="G191" i="10"/>
  <c r="H191" i="10" s="1"/>
  <c r="L189" i="10"/>
  <c r="G189" i="10"/>
  <c r="H189" i="10" s="1"/>
  <c r="L188" i="10"/>
  <c r="G188" i="10"/>
  <c r="H188" i="10" s="1"/>
  <c r="L186" i="10"/>
  <c r="G186" i="10"/>
  <c r="H186" i="10" s="1"/>
  <c r="L185" i="10"/>
  <c r="G185" i="10"/>
  <c r="H185" i="10" s="1"/>
  <c r="L184" i="10"/>
  <c r="G184" i="10"/>
  <c r="H184" i="10" s="1"/>
  <c r="K179" i="10"/>
  <c r="K177" i="10"/>
  <c r="L176" i="10"/>
  <c r="G176" i="10"/>
  <c r="H176" i="10" s="1"/>
  <c r="S176" i="10" s="1"/>
  <c r="L175" i="10"/>
  <c r="G175" i="10"/>
  <c r="H175" i="10" s="1"/>
  <c r="L174" i="10"/>
  <c r="G174" i="10"/>
  <c r="H174" i="10" s="1"/>
  <c r="S174" i="10" s="1"/>
  <c r="L173" i="10"/>
  <c r="G173" i="10"/>
  <c r="H173" i="10" s="1"/>
  <c r="L171" i="10"/>
  <c r="G171" i="10"/>
  <c r="H171" i="10" s="1"/>
  <c r="L170" i="10"/>
  <c r="G170" i="10"/>
  <c r="H170" i="10" s="1"/>
  <c r="L169" i="10"/>
  <c r="G169" i="10"/>
  <c r="H169" i="10" s="1"/>
  <c r="L168" i="10"/>
  <c r="G168" i="10"/>
  <c r="H168" i="10" s="1"/>
  <c r="L167" i="10"/>
  <c r="G167" i="10"/>
  <c r="H167" i="10" s="1"/>
  <c r="L166" i="10"/>
  <c r="G166" i="10"/>
  <c r="H166" i="10" s="1"/>
  <c r="S166" i="10"/>
  <c r="L164" i="10"/>
  <c r="G164" i="10"/>
  <c r="L163" i="10"/>
  <c r="G163" i="10"/>
  <c r="H163" i="10" s="1"/>
  <c r="L161" i="10"/>
  <c r="G161" i="10"/>
  <c r="H161" i="10" s="1"/>
  <c r="S161" i="10" s="1"/>
  <c r="L160" i="10"/>
  <c r="G160" i="10"/>
  <c r="H160" i="10" s="1"/>
  <c r="S160" i="10"/>
  <c r="L159" i="10"/>
  <c r="G159" i="10"/>
  <c r="H159" i="10" s="1"/>
  <c r="S159" i="10" s="1"/>
  <c r="K154" i="10"/>
  <c r="K152" i="10"/>
  <c r="L151" i="10"/>
  <c r="G151" i="10"/>
  <c r="H151" i="10" s="1"/>
  <c r="L150" i="10"/>
  <c r="G150" i="10"/>
  <c r="H150" i="10" s="1"/>
  <c r="L149" i="10"/>
  <c r="G149" i="10"/>
  <c r="H149" i="10" s="1"/>
  <c r="L148" i="10"/>
  <c r="G148" i="10"/>
  <c r="L146" i="10"/>
  <c r="G146" i="10"/>
  <c r="H146" i="10" s="1"/>
  <c r="L145" i="10"/>
  <c r="G145" i="10"/>
  <c r="H145" i="10" s="1"/>
  <c r="L144" i="10"/>
  <c r="G144" i="10"/>
  <c r="H144" i="10" s="1"/>
  <c r="S144" i="10" s="1"/>
  <c r="L143" i="10"/>
  <c r="G143" i="10"/>
  <c r="H143" i="10" s="1"/>
  <c r="L142" i="10"/>
  <c r="G142" i="10"/>
  <c r="H142" i="10" s="1"/>
  <c r="L141" i="10"/>
  <c r="G141" i="10"/>
  <c r="H141" i="10" s="1"/>
  <c r="L139" i="10"/>
  <c r="G139" i="10"/>
  <c r="H139" i="10" s="1"/>
  <c r="S139" i="10" s="1"/>
  <c r="L138" i="10"/>
  <c r="G138" i="10"/>
  <c r="H138" i="10" s="1"/>
  <c r="L136" i="10"/>
  <c r="G136" i="10"/>
  <c r="H136" i="10" s="1"/>
  <c r="S136" i="10"/>
  <c r="L135" i="10"/>
  <c r="G135" i="10"/>
  <c r="H135" i="10" s="1"/>
  <c r="S135" i="10" s="1"/>
  <c r="L134" i="10"/>
  <c r="G134" i="10"/>
  <c r="H134" i="10" s="1"/>
  <c r="S134" i="10" s="1"/>
  <c r="K129" i="10"/>
  <c r="K127" i="10"/>
  <c r="L126" i="10"/>
  <c r="G126" i="10"/>
  <c r="H126" i="10" s="1"/>
  <c r="L125" i="10"/>
  <c r="G125" i="10"/>
  <c r="H125" i="10" s="1"/>
  <c r="L124" i="10"/>
  <c r="G124" i="10"/>
  <c r="H124" i="10" s="1"/>
  <c r="S124" i="10" s="1"/>
  <c r="L123" i="10"/>
  <c r="G123" i="10"/>
  <c r="H123" i="10" s="1"/>
  <c r="L121" i="10"/>
  <c r="G121" i="10"/>
  <c r="H121" i="10" s="1"/>
  <c r="L120" i="10"/>
  <c r="G120" i="10"/>
  <c r="H120" i="10" s="1"/>
  <c r="L119" i="10"/>
  <c r="G119" i="10"/>
  <c r="H119" i="10" s="1"/>
  <c r="L118" i="10"/>
  <c r="G118" i="10"/>
  <c r="H118" i="10" s="1"/>
  <c r="L117" i="10"/>
  <c r="G117" i="10"/>
  <c r="H117" i="10" s="1"/>
  <c r="L116" i="10"/>
  <c r="G116" i="10"/>
  <c r="H116" i="10" s="1"/>
  <c r="S116" i="10" s="1"/>
  <c r="L114" i="10"/>
  <c r="G114" i="10"/>
  <c r="H114" i="10" s="1"/>
  <c r="L113" i="10"/>
  <c r="G113" i="10"/>
  <c r="H113" i="10" s="1"/>
  <c r="L111" i="10"/>
  <c r="G111" i="10"/>
  <c r="H111" i="10" s="1"/>
  <c r="S111" i="10" s="1"/>
  <c r="L110" i="10"/>
  <c r="G110" i="10"/>
  <c r="H110" i="10" s="1"/>
  <c r="S110" i="10" s="1"/>
  <c r="L109" i="10"/>
  <c r="G109" i="10"/>
  <c r="H109" i="10" s="1"/>
  <c r="K104" i="10"/>
  <c r="K102" i="10"/>
  <c r="L101" i="10"/>
  <c r="G101" i="10"/>
  <c r="H101" i="10" s="1"/>
  <c r="L100" i="10"/>
  <c r="G100" i="10"/>
  <c r="H100" i="10" s="1"/>
  <c r="L99" i="10"/>
  <c r="G99" i="10"/>
  <c r="H99" i="10" s="1"/>
  <c r="L98" i="10"/>
  <c r="G98" i="10"/>
  <c r="H98" i="10" s="1"/>
  <c r="L96" i="10"/>
  <c r="G96" i="10"/>
  <c r="H96" i="10" s="1"/>
  <c r="L95" i="10"/>
  <c r="G95" i="10"/>
  <c r="H95" i="10" s="1"/>
  <c r="L94" i="10"/>
  <c r="G94" i="10"/>
  <c r="H94" i="10" s="1"/>
  <c r="L93" i="10"/>
  <c r="G93" i="10"/>
  <c r="H93" i="10" s="1"/>
  <c r="L92" i="10"/>
  <c r="G92" i="10"/>
  <c r="H92" i="10" s="1"/>
  <c r="L91" i="10"/>
  <c r="G91" i="10"/>
  <c r="H91" i="10" s="1"/>
  <c r="L89" i="10"/>
  <c r="G89" i="10"/>
  <c r="H89" i="10" s="1"/>
  <c r="L88" i="10"/>
  <c r="G88" i="10"/>
  <c r="H88" i="10" s="1"/>
  <c r="L86" i="10"/>
  <c r="G86" i="10"/>
  <c r="H86" i="10" s="1"/>
  <c r="L85" i="10"/>
  <c r="G85" i="10"/>
  <c r="H85" i="10" s="1"/>
  <c r="L84" i="10"/>
  <c r="G84" i="10"/>
  <c r="H84" i="10" s="1"/>
  <c r="K79" i="10"/>
  <c r="K77" i="10"/>
  <c r="L76" i="10"/>
  <c r="G76" i="10"/>
  <c r="H76" i="10" s="1"/>
  <c r="L75" i="10"/>
  <c r="G75" i="10"/>
  <c r="H75" i="10" s="1"/>
  <c r="L74" i="10"/>
  <c r="G74" i="10"/>
  <c r="H74" i="10" s="1"/>
  <c r="L73" i="10"/>
  <c r="G73" i="10"/>
  <c r="H73" i="10" s="1"/>
  <c r="L71" i="10"/>
  <c r="G71" i="10"/>
  <c r="H71" i="10" s="1"/>
  <c r="L70" i="10"/>
  <c r="G70" i="10"/>
  <c r="H70" i="10" s="1"/>
  <c r="L69" i="10"/>
  <c r="G69" i="10"/>
  <c r="H69" i="10" s="1"/>
  <c r="L68" i="10"/>
  <c r="G68" i="10"/>
  <c r="H68" i="10" s="1"/>
  <c r="L67" i="10"/>
  <c r="G67" i="10"/>
  <c r="H67" i="10" s="1"/>
  <c r="L66" i="10"/>
  <c r="G66" i="10"/>
  <c r="H66" i="10" s="1"/>
  <c r="L64" i="10"/>
  <c r="G64" i="10"/>
  <c r="H64" i="10" s="1"/>
  <c r="L63" i="10"/>
  <c r="G63" i="10"/>
  <c r="H63" i="10" s="1"/>
  <c r="L61" i="10"/>
  <c r="G61" i="10"/>
  <c r="H61" i="10" s="1"/>
  <c r="L60" i="10"/>
  <c r="G60" i="10"/>
  <c r="H60" i="10" s="1"/>
  <c r="L59" i="10"/>
  <c r="G59" i="10"/>
  <c r="H59" i="10" s="1"/>
  <c r="G51" i="10"/>
  <c r="H51" i="10" s="1"/>
  <c r="S51" i="10" s="1"/>
  <c r="G50" i="10"/>
  <c r="H50" i="10" s="1"/>
  <c r="G49" i="10"/>
  <c r="G48" i="10"/>
  <c r="H48" i="10" s="1"/>
  <c r="G46" i="10"/>
  <c r="H46" i="10" s="1"/>
  <c r="G45" i="10"/>
  <c r="H45" i="10" s="1"/>
  <c r="G44" i="10"/>
  <c r="H44" i="10" s="1"/>
  <c r="S44" i="10" s="1"/>
  <c r="G43" i="10"/>
  <c r="G42" i="10"/>
  <c r="H42" i="10" s="1"/>
  <c r="G41" i="10"/>
  <c r="H41" i="10" s="1"/>
  <c r="G39" i="10"/>
  <c r="H39" i="10" s="1"/>
  <c r="G38" i="10"/>
  <c r="H38" i="10" s="1"/>
  <c r="G36" i="10"/>
  <c r="H36" i="10" s="1"/>
  <c r="S36" i="10" s="1"/>
  <c r="G35" i="10"/>
  <c r="H35" i="10" s="1"/>
  <c r="G34" i="10"/>
  <c r="H34" i="10" s="1"/>
  <c r="G22" i="10"/>
  <c r="G21" i="10"/>
  <c r="G20" i="10"/>
  <c r="G19" i="10"/>
  <c r="G17" i="10"/>
  <c r="G16" i="10"/>
  <c r="G15" i="10"/>
  <c r="G14" i="10"/>
  <c r="G13" i="10"/>
  <c r="G12" i="10"/>
  <c r="G10" i="10"/>
  <c r="G9" i="10"/>
  <c r="G7" i="10"/>
  <c r="G6" i="10"/>
  <c r="G5" i="10"/>
  <c r="K54" i="10"/>
  <c r="K52" i="10"/>
  <c r="L51" i="10"/>
  <c r="L50" i="10"/>
  <c r="L49" i="10"/>
  <c r="L48" i="10"/>
  <c r="L46" i="10"/>
  <c r="L45" i="10"/>
  <c r="L44" i="10"/>
  <c r="L43" i="10"/>
  <c r="L42" i="10"/>
  <c r="L41" i="10"/>
  <c r="L39" i="10"/>
  <c r="L38" i="10"/>
  <c r="L36" i="10"/>
  <c r="L35" i="10"/>
  <c r="L34" i="10"/>
  <c r="S296" i="10"/>
  <c r="S213" i="10"/>
  <c r="S225" i="10"/>
  <c r="S163" i="10"/>
  <c r="S175" i="10"/>
  <c r="S142" i="10"/>
  <c r="S146" i="10"/>
  <c r="S138" i="10"/>
  <c r="S242" i="10"/>
  <c r="S235" i="10"/>
  <c r="S236" i="10"/>
  <c r="S238" i="10"/>
  <c r="S241" i="10"/>
  <c r="S243" i="10"/>
  <c r="S245" i="10"/>
  <c r="S248" i="10"/>
  <c r="S250" i="10"/>
  <c r="S185" i="10"/>
  <c r="S186" i="10"/>
  <c r="S188" i="10"/>
  <c r="S191" i="10"/>
  <c r="S193" i="10"/>
  <c r="S195" i="10"/>
  <c r="S198" i="10"/>
  <c r="S200" i="10"/>
  <c r="S85" i="10"/>
  <c r="S88" i="10"/>
  <c r="S91" i="10"/>
  <c r="S93" i="10"/>
  <c r="S95" i="10"/>
  <c r="S96" i="10"/>
  <c r="S98" i="10"/>
  <c r="S100" i="10"/>
  <c r="S101" i="10"/>
  <c r="S60" i="10"/>
  <c r="S61" i="10"/>
  <c r="S63" i="10"/>
  <c r="S66" i="10"/>
  <c r="S68" i="10"/>
  <c r="S70" i="10"/>
  <c r="S73" i="10"/>
  <c r="S75" i="10"/>
  <c r="S41" i="10"/>
  <c r="S38" i="10"/>
  <c r="S45" i="10"/>
  <c r="S50" i="10"/>
  <c r="S244" i="10"/>
  <c r="S94" i="10"/>
  <c r="S69" i="10"/>
  <c r="O70" i="39"/>
  <c r="N22" i="13"/>
  <c r="J11" i="21"/>
  <c r="I11" i="21"/>
  <c r="I12" i="21" s="1"/>
  <c r="H11" i="21"/>
  <c r="G11" i="21"/>
  <c r="G12" i="21" s="1"/>
  <c r="F11" i="21"/>
  <c r="F12" i="21" s="1"/>
  <c r="K25" i="10"/>
  <c r="M19" i="9"/>
  <c r="R7" i="14"/>
  <c r="R13" i="14"/>
  <c r="R14" i="14"/>
  <c r="R15" i="14"/>
  <c r="R12" i="14"/>
  <c r="R6" i="14"/>
  <c r="R8" i="14"/>
  <c r="I41" i="16"/>
  <c r="H41" i="16"/>
  <c r="H70" i="16"/>
  <c r="I70" i="16"/>
  <c r="K4" i="9"/>
  <c r="O4" i="9" s="1"/>
  <c r="H5" i="40"/>
  <c r="A24" i="14"/>
  <c r="L11" i="14"/>
  <c r="O11" i="14" s="1"/>
  <c r="L5" i="10"/>
  <c r="C22" i="15"/>
  <c r="I17" i="16"/>
  <c r="H15" i="16"/>
  <c r="H6" i="16"/>
  <c r="I6" i="16"/>
  <c r="J6" i="16" s="1"/>
  <c r="M7" i="31"/>
  <c r="J24" i="25"/>
  <c r="J25" i="25"/>
  <c r="Q63" i="18"/>
  <c r="N22" i="31"/>
  <c r="P22" i="31"/>
  <c r="O22" i="31"/>
  <c r="R21" i="31"/>
  <c r="S21" i="31" s="1"/>
  <c r="M21" i="31"/>
  <c r="R20" i="31"/>
  <c r="S20" i="31" s="1"/>
  <c r="M20" i="31"/>
  <c r="R19" i="31"/>
  <c r="S19" i="31" s="1"/>
  <c r="M19" i="31"/>
  <c r="R18" i="31"/>
  <c r="S18" i="31" s="1"/>
  <c r="M18" i="31"/>
  <c r="R17" i="31"/>
  <c r="S17" i="31" s="1"/>
  <c r="M17" i="31"/>
  <c r="R16" i="31"/>
  <c r="S16" i="31" s="1"/>
  <c r="M16" i="31"/>
  <c r="R15" i="31"/>
  <c r="S15" i="31"/>
  <c r="M15" i="31"/>
  <c r="R14" i="31"/>
  <c r="S14" i="31" s="1"/>
  <c r="M14" i="31"/>
  <c r="R13" i="31"/>
  <c r="S13" i="31" s="1"/>
  <c r="M13" i="31"/>
  <c r="R12" i="31"/>
  <c r="S12" i="31" s="1"/>
  <c r="M12" i="31"/>
  <c r="R11" i="31"/>
  <c r="S11" i="31" s="1"/>
  <c r="M11" i="31"/>
  <c r="R10" i="31"/>
  <c r="S10" i="31" s="1"/>
  <c r="M10" i="31"/>
  <c r="R9" i="31"/>
  <c r="S9" i="31"/>
  <c r="M9" i="31"/>
  <c r="R8" i="31"/>
  <c r="S8" i="31" s="1"/>
  <c r="M8" i="31"/>
  <c r="G12" i="38" s="1"/>
  <c r="H12" i="38" s="1"/>
  <c r="I12" i="38" s="1"/>
  <c r="J12" i="38" s="1"/>
  <c r="K12" i="38" s="1"/>
  <c r="L12" i="38" s="1"/>
  <c r="M12" i="38" s="1"/>
  <c r="N12" i="38" s="1"/>
  <c r="O12" i="38" s="1"/>
  <c r="P12" i="38" s="1"/>
  <c r="R7" i="31"/>
  <c r="S7" i="31"/>
  <c r="F7" i="38" s="1"/>
  <c r="T22" i="18"/>
  <c r="Y14" i="18" s="1"/>
  <c r="H15" i="10" s="1"/>
  <c r="S15" i="10" s="1"/>
  <c r="V5" i="18"/>
  <c r="M22" i="31"/>
  <c r="D11" i="21"/>
  <c r="D12" i="21" s="1"/>
  <c r="E11" i="21"/>
  <c r="E12" i="21" s="1"/>
  <c r="H12" i="21"/>
  <c r="J12" i="21"/>
  <c r="K11" i="21"/>
  <c r="K12" i="21" s="1"/>
  <c r="C12" i="21"/>
  <c r="C14" i="15"/>
  <c r="D35" i="15"/>
  <c r="L22" i="10"/>
  <c r="L21" i="10"/>
  <c r="L20" i="10"/>
  <c r="L19" i="10"/>
  <c r="L17" i="10"/>
  <c r="L16" i="10"/>
  <c r="L15" i="10"/>
  <c r="L14" i="10"/>
  <c r="L13" i="10"/>
  <c r="L12" i="10"/>
  <c r="L10" i="10"/>
  <c r="L9" i="10"/>
  <c r="L7" i="10"/>
  <c r="L6" i="10"/>
  <c r="J12" i="14"/>
  <c r="G7" i="13"/>
  <c r="H7" i="13"/>
  <c r="G8" i="13"/>
  <c r="H8" i="13"/>
  <c r="X6" i="13" s="1"/>
  <c r="AD6" i="13" s="1"/>
  <c r="G9" i="13"/>
  <c r="H9" i="13"/>
  <c r="G21" i="13"/>
  <c r="W21" i="13"/>
  <c r="AC21" i="13" s="1"/>
  <c r="H21" i="13"/>
  <c r="X21" i="13"/>
  <c r="G22" i="13"/>
  <c r="H22" i="13"/>
  <c r="G23" i="13"/>
  <c r="W23" i="13"/>
  <c r="H23" i="13"/>
  <c r="X23" i="13" s="1"/>
  <c r="G24" i="13"/>
  <c r="G25" i="13" s="1"/>
  <c r="H24" i="13"/>
  <c r="X24" i="13"/>
  <c r="AD24" i="13" s="1"/>
  <c r="M24" i="25"/>
  <c r="M25" i="25" s="1"/>
  <c r="L24" i="25"/>
  <c r="L25" i="25" s="1"/>
  <c r="K24" i="25"/>
  <c r="K25" i="25" s="1"/>
  <c r="H24" i="25"/>
  <c r="H25" i="25" s="1"/>
  <c r="G24" i="25"/>
  <c r="G25" i="25" s="1"/>
  <c r="F24" i="25"/>
  <c r="F25" i="25" s="1"/>
  <c r="E24" i="25"/>
  <c r="E25" i="25" s="1"/>
  <c r="N8" i="13"/>
  <c r="N9" i="13"/>
  <c r="N21" i="13"/>
  <c r="Z21" i="13" s="1"/>
  <c r="AF21" i="13" s="1"/>
  <c r="N23" i="13"/>
  <c r="Z23" i="13"/>
  <c r="AF23" i="13" s="1"/>
  <c r="N24" i="13"/>
  <c r="Z24" i="13" s="1"/>
  <c r="AF24" i="13" s="1"/>
  <c r="M8" i="13"/>
  <c r="Y6" i="13" s="1"/>
  <c r="AE6" i="13" s="1"/>
  <c r="M9" i="13"/>
  <c r="M21" i="13"/>
  <c r="M22" i="13"/>
  <c r="M24" i="13"/>
  <c r="Y24" i="13" s="1"/>
  <c r="AE24" i="13" s="1"/>
  <c r="M7" i="13"/>
  <c r="R24" i="13"/>
  <c r="O24" i="13" s="1"/>
  <c r="AA24" i="13" s="1"/>
  <c r="AG24" i="13" s="1"/>
  <c r="R23" i="13"/>
  <c r="P23" i="13"/>
  <c r="AB23" i="13" s="1"/>
  <c r="R22" i="13"/>
  <c r="O22" i="13" s="1"/>
  <c r="R21" i="13"/>
  <c r="P21" i="13" s="1"/>
  <c r="AB21" i="13" s="1"/>
  <c r="R19" i="13"/>
  <c r="P19" i="13"/>
  <c r="R18" i="13"/>
  <c r="P18" i="13" s="1"/>
  <c r="R17" i="13"/>
  <c r="P17" i="13"/>
  <c r="R16" i="13"/>
  <c r="P16" i="13"/>
  <c r="R15" i="13"/>
  <c r="P15" i="13"/>
  <c r="R14" i="13"/>
  <c r="P14" i="13"/>
  <c r="R12" i="13"/>
  <c r="P12" i="13"/>
  <c r="R11" i="13"/>
  <c r="P11" i="13"/>
  <c r="R9" i="13"/>
  <c r="P9" i="13"/>
  <c r="R8" i="13"/>
  <c r="O8" i="13"/>
  <c r="R7" i="13"/>
  <c r="P7" i="13" s="1"/>
  <c r="O7" i="13"/>
  <c r="AA6" i="13" s="1"/>
  <c r="AG6" i="13" s="1"/>
  <c r="W6" i="13"/>
  <c r="AC6" i="13" s="1"/>
  <c r="O9" i="13"/>
  <c r="P24" i="13"/>
  <c r="AB24" i="13" s="1"/>
  <c r="AH24" i="13" s="1"/>
  <c r="P22" i="13"/>
  <c r="P8" i="13"/>
  <c r="K23" i="10"/>
  <c r="N19" i="9" s="1"/>
  <c r="V8" i="18"/>
  <c r="F35" i="15"/>
  <c r="E35" i="15"/>
  <c r="F34" i="15"/>
  <c r="E34" i="15"/>
  <c r="F9" i="15"/>
  <c r="G24" i="15"/>
  <c r="H24" i="15"/>
  <c r="I24" i="15"/>
  <c r="J24" i="15"/>
  <c r="K24" i="15"/>
  <c r="L24" i="15"/>
  <c r="M24" i="15"/>
  <c r="D24" i="15"/>
  <c r="F24" i="15"/>
  <c r="E24" i="15"/>
  <c r="F8" i="15"/>
  <c r="F12" i="15"/>
  <c r="E8" i="15"/>
  <c r="E9" i="15"/>
  <c r="E10" i="15"/>
  <c r="E11" i="15"/>
  <c r="E12" i="15"/>
  <c r="E7" i="15"/>
  <c r="J17" i="14"/>
  <c r="L17" i="14" s="1"/>
  <c r="M17" i="14" s="1"/>
  <c r="N17" i="14" s="1"/>
  <c r="O17" i="14" s="1"/>
  <c r="P18" i="14" s="1"/>
  <c r="L7" i="14"/>
  <c r="O7" i="14" s="1"/>
  <c r="S5" i="9"/>
  <c r="S6" i="9"/>
  <c r="S7" i="9"/>
  <c r="S8" i="9"/>
  <c r="S9" i="9"/>
  <c r="S4" i="9"/>
  <c r="Q5" i="9"/>
  <c r="Q6" i="9"/>
  <c r="Q7" i="9"/>
  <c r="Q8" i="9"/>
  <c r="Q9" i="9"/>
  <c r="Q10" i="9"/>
  <c r="Q11" i="9"/>
  <c r="Q12" i="9"/>
  <c r="Q4" i="9"/>
  <c r="K5" i="9"/>
  <c r="K6" i="9"/>
  <c r="O6" i="9" s="1"/>
  <c r="K7" i="9"/>
  <c r="K8" i="9"/>
  <c r="K9" i="9"/>
  <c r="K10" i="9"/>
  <c r="O10" i="9" s="1"/>
  <c r="K11" i="9"/>
  <c r="K12" i="9"/>
  <c r="O8" i="9"/>
  <c r="O12" i="9"/>
  <c r="O7" i="9"/>
  <c r="O11" i="9"/>
  <c r="O5" i="9"/>
  <c r="O9" i="9"/>
  <c r="V15" i="18"/>
  <c r="V11" i="18"/>
  <c r="V6" i="18"/>
  <c r="I15" i="16"/>
  <c r="J15" i="16"/>
  <c r="I9" i="16"/>
  <c r="J9" i="16"/>
  <c r="I100" i="16"/>
  <c r="J100" i="16"/>
  <c r="I99" i="16"/>
  <c r="J99" i="16"/>
  <c r="I73" i="16"/>
  <c r="J73" i="16" s="1"/>
  <c r="Q14" i="16"/>
  <c r="H93" i="16"/>
  <c r="I93" i="16"/>
  <c r="J93" i="16" s="1"/>
  <c r="Q12" i="16"/>
  <c r="H86" i="16"/>
  <c r="I87" i="16"/>
  <c r="J87" i="16" s="1"/>
  <c r="H104" i="16"/>
  <c r="I105" i="16"/>
  <c r="J105" i="16" s="1"/>
  <c r="H107" i="16"/>
  <c r="I108" i="16"/>
  <c r="J108" i="16" s="1"/>
  <c r="I42" i="16"/>
  <c r="J42" i="16" s="1"/>
  <c r="Q5" i="16"/>
  <c r="Q6" i="16"/>
  <c r="Q19" i="16"/>
  <c r="Q18" i="16"/>
  <c r="E133" i="16"/>
  <c r="E120" i="16"/>
  <c r="G119" i="16"/>
  <c r="G118" i="16"/>
  <c r="G117" i="16"/>
  <c r="G116" i="16"/>
  <c r="G115" i="16"/>
  <c r="G114" i="16"/>
  <c r="G113" i="16"/>
  <c r="G112" i="16"/>
  <c r="G111" i="16"/>
  <c r="G110" i="16"/>
  <c r="G109" i="16"/>
  <c r="G108" i="16"/>
  <c r="G107" i="16"/>
  <c r="G106" i="16"/>
  <c r="G105" i="16"/>
  <c r="G104" i="16"/>
  <c r="G103" i="16"/>
  <c r="G102" i="16"/>
  <c r="G101" i="16"/>
  <c r="G100" i="16"/>
  <c r="G99" i="16"/>
  <c r="G98" i="16"/>
  <c r="G97" i="16"/>
  <c r="G96" i="16"/>
  <c r="G95" i="16"/>
  <c r="G94" i="16"/>
  <c r="G93" i="16"/>
  <c r="G92" i="16"/>
  <c r="G91" i="16"/>
  <c r="G90" i="16"/>
  <c r="G89" i="16"/>
  <c r="G88" i="16"/>
  <c r="G87" i="16"/>
  <c r="G86" i="16"/>
  <c r="G85" i="16"/>
  <c r="G84" i="16"/>
  <c r="G83" i="16"/>
  <c r="G82" i="16"/>
  <c r="G81" i="16"/>
  <c r="G80" i="16"/>
  <c r="G79" i="16"/>
  <c r="G78" i="16"/>
  <c r="G77" i="16"/>
  <c r="G76" i="16"/>
  <c r="G75" i="16"/>
  <c r="G74" i="16"/>
  <c r="G73" i="16"/>
  <c r="G72" i="16"/>
  <c r="G71" i="16"/>
  <c r="G70" i="16"/>
  <c r="G69" i="16"/>
  <c r="G68" i="16"/>
  <c r="G67" i="16"/>
  <c r="G66" i="16"/>
  <c r="G65" i="16"/>
  <c r="G64" i="16"/>
  <c r="G63" i="16"/>
  <c r="G62" i="16"/>
  <c r="G61" i="16"/>
  <c r="G60" i="16"/>
  <c r="G59" i="16"/>
  <c r="G58" i="16"/>
  <c r="G57" i="16"/>
  <c r="G56" i="16"/>
  <c r="G55" i="16"/>
  <c r="G54" i="16"/>
  <c r="G53" i="16"/>
  <c r="G52" i="16"/>
  <c r="G51" i="16"/>
  <c r="G50" i="16"/>
  <c r="G49" i="16"/>
  <c r="G48" i="16"/>
  <c r="G47" i="16"/>
  <c r="G46" i="16"/>
  <c r="G45" i="16"/>
  <c r="G44" i="16"/>
  <c r="G43" i="16"/>
  <c r="G42" i="16"/>
  <c r="G41" i="16"/>
  <c r="G40" i="16"/>
  <c r="G39" i="16"/>
  <c r="G38" i="16"/>
  <c r="G37" i="16"/>
  <c r="G36" i="16"/>
  <c r="G35" i="16"/>
  <c r="G34" i="16"/>
  <c r="G33" i="16"/>
  <c r="G32" i="16"/>
  <c r="G31" i="16"/>
  <c r="G30" i="16"/>
  <c r="G29" i="16"/>
  <c r="G28" i="16"/>
  <c r="G27" i="16"/>
  <c r="G26" i="16"/>
  <c r="G25" i="16"/>
  <c r="G24" i="16"/>
  <c r="G23" i="16"/>
  <c r="G22" i="16"/>
  <c r="G21" i="16"/>
  <c r="G20" i="16"/>
  <c r="G19" i="16"/>
  <c r="G18" i="16"/>
  <c r="G17" i="16"/>
  <c r="G16" i="16"/>
  <c r="G15" i="16"/>
  <c r="G14" i="16"/>
  <c r="G13" i="16"/>
  <c r="G12" i="16"/>
  <c r="G11" i="16"/>
  <c r="G10" i="16"/>
  <c r="G9" i="16"/>
  <c r="G8" i="16"/>
  <c r="G7" i="16"/>
  <c r="G6" i="16"/>
  <c r="I95" i="16"/>
  <c r="J95" i="16"/>
  <c r="I88" i="16"/>
  <c r="J88" i="16"/>
  <c r="I94" i="16"/>
  <c r="J94" i="16"/>
  <c r="Q13" i="16" s="1"/>
  <c r="I8" i="16"/>
  <c r="J8" i="16"/>
  <c r="I107" i="16"/>
  <c r="J107" i="16"/>
  <c r="Q8" i="16" s="1"/>
  <c r="I86" i="16"/>
  <c r="J86" i="16" s="1"/>
  <c r="Q11" i="16" s="1"/>
  <c r="J17" i="16"/>
  <c r="I46" i="16"/>
  <c r="J46" i="16"/>
  <c r="J70" i="16"/>
  <c r="I16" i="16"/>
  <c r="J16" i="16" s="1"/>
  <c r="Q20" i="16" s="1"/>
  <c r="I11" i="16"/>
  <c r="J11" i="16"/>
  <c r="I7" i="16"/>
  <c r="J7" i="16"/>
  <c r="I44" i="16"/>
  <c r="J44" i="16"/>
  <c r="I10" i="16"/>
  <c r="J10" i="16"/>
  <c r="J41" i="16"/>
  <c r="I43" i="16"/>
  <c r="J43" i="16" s="1"/>
  <c r="I106" i="16"/>
  <c r="J106" i="16" s="1"/>
  <c r="I47" i="16"/>
  <c r="J47" i="16" s="1"/>
  <c r="I72" i="16"/>
  <c r="J72" i="16" s="1"/>
  <c r="I74" i="16"/>
  <c r="J74" i="16" s="1"/>
  <c r="I71" i="16"/>
  <c r="J71" i="16" s="1"/>
  <c r="Q15" i="16" s="1"/>
  <c r="I104" i="16"/>
  <c r="J104" i="16" s="1"/>
  <c r="Q9" i="16" s="1"/>
  <c r="J8" i="14"/>
  <c r="L8" i="14" s="1"/>
  <c r="M8" i="14" s="1"/>
  <c r="L6" i="14"/>
  <c r="M6" i="14" s="1"/>
  <c r="Y20" i="18"/>
  <c r="H21" i="10" s="1"/>
  <c r="S21" i="10" s="1"/>
  <c r="L12" i="14"/>
  <c r="O12" i="14" s="1"/>
  <c r="S12" i="14"/>
  <c r="U35" i="14" s="1"/>
  <c r="E12" i="38"/>
  <c r="Y35" i="14"/>
  <c r="Z6" i="13"/>
  <c r="AF6" i="13" s="1"/>
  <c r="Y21" i="13"/>
  <c r="AE21" i="13" s="1"/>
  <c r="AD21" i="13"/>
  <c r="S25" i="13"/>
  <c r="AH21" i="13"/>
  <c r="AD23" i="13"/>
  <c r="AD25" i="13" s="1"/>
  <c r="E1" i="25"/>
  <c r="A1" i="16"/>
  <c r="A1" i="18"/>
  <c r="A1" i="21"/>
  <c r="A1" i="39"/>
  <c r="B1" i="40"/>
  <c r="D131" i="10"/>
  <c r="D281" i="10"/>
  <c r="D156" i="10"/>
  <c r="D2" i="10"/>
  <c r="D106" i="10"/>
  <c r="D31" i="10"/>
  <c r="D181" i="10"/>
  <c r="D56" i="10"/>
  <c r="D256" i="10"/>
  <c r="D206" i="10"/>
  <c r="D81" i="10"/>
  <c r="D231" i="10"/>
  <c r="D1" i="15"/>
  <c r="E1" i="9"/>
  <c r="O1" i="31"/>
  <c r="A1" i="17"/>
  <c r="A3" i="13"/>
  <c r="A2" i="14"/>
  <c r="AB35" i="14" l="1"/>
  <c r="S13" i="14"/>
  <c r="W36" i="14" s="1"/>
  <c r="M25" i="13"/>
  <c r="N25" i="13"/>
  <c r="AH23" i="13"/>
  <c r="R47" i="39"/>
  <c r="W47" i="39"/>
  <c r="U47" i="39"/>
  <c r="S47" i="39"/>
  <c r="V47" i="39"/>
  <c r="Q47" i="39"/>
  <c r="O47" i="39" s="1"/>
  <c r="Y47" i="39"/>
  <c r="Z47" i="39"/>
  <c r="T47" i="39"/>
  <c r="X47" i="39"/>
  <c r="AC23" i="13"/>
  <c r="AF25" i="13"/>
  <c r="R48" i="39" s="1"/>
  <c r="I13" i="38"/>
  <c r="D7" i="38"/>
  <c r="D6" i="38"/>
  <c r="E7" i="38"/>
  <c r="H13" i="38"/>
  <c r="E13" i="38" s="1"/>
  <c r="E11" i="38" s="1"/>
  <c r="O13" i="38"/>
  <c r="D12" i="38"/>
  <c r="Y8" i="18"/>
  <c r="H9" i="10" s="1"/>
  <c r="S9" i="10" s="1"/>
  <c r="Y12" i="18"/>
  <c r="H13" i="10" s="1"/>
  <c r="S13" i="10" s="1"/>
  <c r="Y18" i="18"/>
  <c r="H19" i="10" s="1"/>
  <c r="S19" i="10" s="1"/>
  <c r="T36" i="14"/>
  <c r="V36" i="14"/>
  <c r="U36" i="14"/>
  <c r="I36" i="14" s="1"/>
  <c r="AB36" i="14"/>
  <c r="S36" i="14"/>
  <c r="F36" i="14" s="1"/>
  <c r="AA36" i="14"/>
  <c r="X36" i="14"/>
  <c r="Y36" i="14"/>
  <c r="Z36" i="14"/>
  <c r="V35" i="14"/>
  <c r="X35" i="14"/>
  <c r="Z35" i="14"/>
  <c r="L13" i="14"/>
  <c r="O13" i="14" s="1"/>
  <c r="T35" i="14"/>
  <c r="H35" i="14" s="1"/>
  <c r="S7" i="14"/>
  <c r="M18" i="9"/>
  <c r="A29" i="15" s="1"/>
  <c r="C31" i="15" s="1"/>
  <c r="M27" i="10"/>
  <c r="S34" i="10"/>
  <c r="S64" i="10"/>
  <c r="S84" i="10"/>
  <c r="S189" i="10"/>
  <c r="S86" i="10"/>
  <c r="S192" i="10"/>
  <c r="S121" i="10"/>
  <c r="S171" i="10"/>
  <c r="S74" i="10"/>
  <c r="S89" i="10"/>
  <c r="S199" i="10"/>
  <c r="S76" i="10"/>
  <c r="S99" i="10"/>
  <c r="S196" i="10"/>
  <c r="S194" i="10"/>
  <c r="S246" i="10"/>
  <c r="S239" i="10"/>
  <c r="S234" i="10"/>
  <c r="S117" i="10"/>
  <c r="S167" i="10"/>
  <c r="S292" i="10"/>
  <c r="H43" i="10"/>
  <c r="S43" i="10" s="1"/>
  <c r="S123" i="10"/>
  <c r="S266" i="10"/>
  <c r="S274" i="10"/>
  <c r="S288" i="10"/>
  <c r="S59" i="10"/>
  <c r="S92" i="10"/>
  <c r="S249" i="10"/>
  <c r="S71" i="10"/>
  <c r="S67" i="10"/>
  <c r="S201" i="10"/>
  <c r="S184" i="10"/>
  <c r="S251" i="10"/>
  <c r="S150" i="10"/>
  <c r="S39" i="10"/>
  <c r="S210" i="10"/>
  <c r="S264" i="10"/>
  <c r="S273" i="10"/>
  <c r="S291" i="10"/>
  <c r="S35" i="14"/>
  <c r="AA35" i="14"/>
  <c r="D22" i="15"/>
  <c r="F11" i="15"/>
  <c r="E23" i="15"/>
  <c r="F7" i="15"/>
  <c r="Y19" i="18"/>
  <c r="H20" i="10" s="1"/>
  <c r="S20" i="10" s="1"/>
  <c r="Y5" i="18"/>
  <c r="H6" i="10" s="1"/>
  <c r="S6" i="10" s="1"/>
  <c r="Y9" i="18"/>
  <c r="H10" i="10" s="1"/>
  <c r="S10" i="10" s="1"/>
  <c r="Y6" i="18"/>
  <c r="H7" i="10" s="1"/>
  <c r="S7" i="10" s="1"/>
  <c r="Y13" i="18"/>
  <c r="H14" i="10" s="1"/>
  <c r="S14" i="10" s="1"/>
  <c r="Y21" i="18"/>
  <c r="H22" i="10" s="1"/>
  <c r="S22" i="10" s="1"/>
  <c r="Y11" i="18"/>
  <c r="H12" i="10" s="1"/>
  <c r="S12" i="10" s="1"/>
  <c r="Y4" i="18"/>
  <c r="H5" i="10" s="1"/>
  <c r="S5" i="10" s="1"/>
  <c r="Y15" i="18"/>
  <c r="H16" i="10" s="1"/>
  <c r="S16" i="10" s="1"/>
  <c r="Y16" i="18"/>
  <c r="H17" i="10" s="1"/>
  <c r="S17" i="10" s="1"/>
  <c r="F35" i="14"/>
  <c r="S34" i="14"/>
  <c r="W34" i="14"/>
  <c r="V34" i="14"/>
  <c r="Y34" i="14"/>
  <c r="X34" i="14"/>
  <c r="Z34" i="14"/>
  <c r="T34" i="14"/>
  <c r="U34" i="14"/>
  <c r="AB34" i="14"/>
  <c r="AA34" i="14"/>
  <c r="G36" i="14"/>
  <c r="G15" i="15"/>
  <c r="AE25" i="13"/>
  <c r="T22" i="39" s="1"/>
  <c r="X48" i="39"/>
  <c r="T48" i="39"/>
  <c r="W48" i="39"/>
  <c r="N6" i="14"/>
  <c r="S6" i="14" s="1"/>
  <c r="S17" i="14"/>
  <c r="J10" i="40"/>
  <c r="C15" i="15"/>
  <c r="J11" i="40"/>
  <c r="F47" i="39"/>
  <c r="S22" i="39"/>
  <c r="V22" i="39"/>
  <c r="U22" i="39"/>
  <c r="X22" i="39"/>
  <c r="E268" i="10"/>
  <c r="E218" i="10"/>
  <c r="E168" i="10"/>
  <c r="E293" i="10"/>
  <c r="E143" i="10"/>
  <c r="E93" i="10"/>
  <c r="E43" i="10"/>
  <c r="E118" i="10"/>
  <c r="E68" i="10"/>
  <c r="E243" i="10"/>
  <c r="E14" i="10"/>
  <c r="E193" i="10"/>
  <c r="K47" i="39"/>
  <c r="R22" i="39"/>
  <c r="N8" i="14"/>
  <c r="E289" i="10"/>
  <c r="E239" i="10"/>
  <c r="P239" i="10" s="1"/>
  <c r="E189" i="10"/>
  <c r="E214" i="10"/>
  <c r="E114" i="10"/>
  <c r="E64" i="10"/>
  <c r="E10" i="10"/>
  <c r="E264" i="10"/>
  <c r="E39" i="10"/>
  <c r="E139" i="10"/>
  <c r="P139" i="10" s="1"/>
  <c r="E164" i="10"/>
  <c r="E89" i="10"/>
  <c r="E275" i="10"/>
  <c r="E225" i="10"/>
  <c r="E175" i="10"/>
  <c r="E250" i="10"/>
  <c r="E100" i="10"/>
  <c r="E50" i="10"/>
  <c r="E300" i="10"/>
  <c r="E200" i="10"/>
  <c r="E75" i="10"/>
  <c r="E21" i="10"/>
  <c r="E150" i="10"/>
  <c r="E125" i="10"/>
  <c r="O6" i="14"/>
  <c r="E266" i="10"/>
  <c r="E216" i="10"/>
  <c r="E166" i="10"/>
  <c r="E241" i="10"/>
  <c r="E141" i="10"/>
  <c r="E91" i="10"/>
  <c r="E41" i="10"/>
  <c r="E291" i="10"/>
  <c r="E66" i="10"/>
  <c r="E191" i="10"/>
  <c r="E12" i="10"/>
  <c r="E116" i="10"/>
  <c r="E260" i="10"/>
  <c r="E210" i="10"/>
  <c r="E160" i="10"/>
  <c r="E135" i="10"/>
  <c r="E85" i="10"/>
  <c r="P85" i="10" s="1"/>
  <c r="E35" i="10"/>
  <c r="E285" i="10"/>
  <c r="E110" i="10"/>
  <c r="E185" i="10"/>
  <c r="E60" i="10"/>
  <c r="E235" i="10"/>
  <c r="E6" i="10"/>
  <c r="E294" i="10"/>
  <c r="E244" i="10"/>
  <c r="E194" i="10"/>
  <c r="E119" i="10"/>
  <c r="E69" i="10"/>
  <c r="E15" i="10"/>
  <c r="E144" i="10"/>
  <c r="E219" i="10"/>
  <c r="E94" i="10"/>
  <c r="E269" i="10"/>
  <c r="E44" i="10"/>
  <c r="E169" i="10"/>
  <c r="E270" i="10"/>
  <c r="E220" i="10"/>
  <c r="E170" i="10"/>
  <c r="E145" i="10"/>
  <c r="E95" i="10"/>
  <c r="E45" i="10"/>
  <c r="E245" i="10"/>
  <c r="E195" i="10"/>
  <c r="E120" i="10"/>
  <c r="E295" i="10"/>
  <c r="E70" i="10"/>
  <c r="E16" i="10"/>
  <c r="E263" i="10"/>
  <c r="E213" i="10"/>
  <c r="E163" i="10"/>
  <c r="E188" i="10"/>
  <c r="E138" i="10"/>
  <c r="E88" i="10"/>
  <c r="E38" i="10"/>
  <c r="E238" i="10"/>
  <c r="E9" i="10"/>
  <c r="E113" i="10"/>
  <c r="E288" i="10"/>
  <c r="E63" i="10"/>
  <c r="E292" i="10"/>
  <c r="E242" i="10"/>
  <c r="E192" i="10"/>
  <c r="E267" i="10"/>
  <c r="E117" i="10"/>
  <c r="P117" i="10" s="1"/>
  <c r="E67" i="10"/>
  <c r="E13" i="10"/>
  <c r="E92" i="10"/>
  <c r="E167" i="10"/>
  <c r="E42" i="10"/>
  <c r="E217" i="10"/>
  <c r="E142" i="10"/>
  <c r="P142" i="10" s="1"/>
  <c r="S22" i="31"/>
  <c r="Z48" i="39"/>
  <c r="U48" i="39"/>
  <c r="W35" i="14"/>
  <c r="K35" i="14" s="1"/>
  <c r="Q16" i="16"/>
  <c r="P25" i="13"/>
  <c r="Q21" i="16"/>
  <c r="Q48" i="39"/>
  <c r="V48" i="39"/>
  <c r="G122" i="16"/>
  <c r="G123" i="16" s="1"/>
  <c r="G126" i="16" s="1"/>
  <c r="G127" i="16" s="1"/>
  <c r="E273" i="10"/>
  <c r="E223" i="10"/>
  <c r="E173" i="10"/>
  <c r="E198" i="10"/>
  <c r="E98" i="10"/>
  <c r="E48" i="10"/>
  <c r="E248" i="10"/>
  <c r="E148" i="10"/>
  <c r="E19" i="10"/>
  <c r="E298" i="10"/>
  <c r="E123" i="10"/>
  <c r="E73" i="10"/>
  <c r="E286" i="10"/>
  <c r="E236" i="10"/>
  <c r="E186" i="10"/>
  <c r="E161" i="10"/>
  <c r="E111" i="10"/>
  <c r="E61" i="10"/>
  <c r="E7" i="10"/>
  <c r="E211" i="10"/>
  <c r="E136" i="10"/>
  <c r="E86" i="10"/>
  <c r="E261" i="10"/>
  <c r="E36" i="10"/>
  <c r="AB6" i="13"/>
  <c r="AH6" i="13" s="1"/>
  <c r="AH25" i="13" s="1"/>
  <c r="H25" i="13"/>
  <c r="O21" i="13"/>
  <c r="W24" i="13"/>
  <c r="AC24" i="13" s="1"/>
  <c r="AC25" i="13" s="1"/>
  <c r="I11" i="40"/>
  <c r="K10" i="40"/>
  <c r="N17" i="9"/>
  <c r="Q4" i="16"/>
  <c r="E299" i="10"/>
  <c r="E249" i="10"/>
  <c r="E199" i="10"/>
  <c r="P199" i="10" s="1"/>
  <c r="E149" i="10"/>
  <c r="E224" i="10"/>
  <c r="E124" i="10"/>
  <c r="E74" i="10"/>
  <c r="E20" i="10"/>
  <c r="E274" i="10"/>
  <c r="E49" i="10"/>
  <c r="P49" i="10" s="1"/>
  <c r="E174" i="10"/>
  <c r="E99" i="10"/>
  <c r="O23" i="13"/>
  <c r="M17" i="9"/>
  <c r="N18" i="9"/>
  <c r="N20" i="9" s="1"/>
  <c r="F22" i="15"/>
  <c r="I34" i="15"/>
  <c r="P10" i="40"/>
  <c r="Q11" i="40"/>
  <c r="O10" i="40"/>
  <c r="R11" i="40"/>
  <c r="R10" i="40"/>
  <c r="O11" i="40"/>
  <c r="L11" i="40"/>
  <c r="Q10" i="40"/>
  <c r="P11" i="40"/>
  <c r="M11" i="40"/>
  <c r="I10" i="40"/>
  <c r="G10" i="40" s="1"/>
  <c r="P124" i="10"/>
  <c r="P110" i="10"/>
  <c r="P116" i="10"/>
  <c r="P136" i="10"/>
  <c r="P144" i="10"/>
  <c r="P44" i="10"/>
  <c r="P123" i="10"/>
  <c r="P289" i="10"/>
  <c r="S35" i="10"/>
  <c r="S48" i="10"/>
  <c r="H49" i="10"/>
  <c r="S49" i="10" s="1"/>
  <c r="S113" i="10"/>
  <c r="S114" i="10"/>
  <c r="S120" i="10"/>
  <c r="S126" i="10"/>
  <c r="S141" i="10"/>
  <c r="S143" i="10"/>
  <c r="S149" i="10"/>
  <c r="S151" i="10"/>
  <c r="S169" i="10"/>
  <c r="S173" i="10"/>
  <c r="S221" i="10"/>
  <c r="S223" i="10"/>
  <c r="S285" i="10"/>
  <c r="H300" i="10"/>
  <c r="S300" i="10" s="1"/>
  <c r="H148" i="10"/>
  <c r="S148" i="10" s="1"/>
  <c r="H164" i="10"/>
  <c r="S164" i="10" s="1"/>
  <c r="H219" i="10"/>
  <c r="S219" i="10" s="1"/>
  <c r="N5" i="14"/>
  <c r="S42" i="10"/>
  <c r="S109" i="10"/>
  <c r="S118" i="10"/>
  <c r="S119" i="10"/>
  <c r="S125" i="10"/>
  <c r="S145" i="10"/>
  <c r="S168" i="10"/>
  <c r="S170" i="10"/>
  <c r="S211" i="10"/>
  <c r="S220" i="10"/>
  <c r="S226" i="10"/>
  <c r="S260" i="10"/>
  <c r="S269" i="10"/>
  <c r="S276" i="10"/>
  <c r="S294" i="10"/>
  <c r="H298" i="10"/>
  <c r="S298" i="10" s="1"/>
  <c r="S299" i="10"/>
  <c r="S46" i="10"/>
  <c r="P292" i="10"/>
  <c r="H295" i="10"/>
  <c r="S295" i="10" s="1"/>
  <c r="S289" i="10"/>
  <c r="S301" i="10"/>
  <c r="N14" i="14"/>
  <c r="N15" i="14"/>
  <c r="L13" i="38"/>
  <c r="P13" i="38"/>
  <c r="J13" i="38"/>
  <c r="N13" i="38"/>
  <c r="K13" i="38"/>
  <c r="N10" i="40"/>
  <c r="K11" i="40"/>
  <c r="I35" i="15"/>
  <c r="E14" i="15"/>
  <c r="E15" i="15" s="1"/>
  <c r="E22" i="15"/>
  <c r="H23" i="15"/>
  <c r="D23" i="15"/>
  <c r="F10" i="15"/>
  <c r="K23" i="15"/>
  <c r="F23" i="15"/>
  <c r="M36" i="14" l="1"/>
  <c r="I35" i="14"/>
  <c r="G35" i="14"/>
  <c r="I47" i="39"/>
  <c r="N47" i="39"/>
  <c r="L47" i="39"/>
  <c r="J47" i="39"/>
  <c r="G47" i="39"/>
  <c r="Z22" i="39"/>
  <c r="M47" i="39"/>
  <c r="H47" i="39"/>
  <c r="S48" i="39"/>
  <c r="Y22" i="39"/>
  <c r="W22" i="39"/>
  <c r="Q22" i="39"/>
  <c r="Y48" i="39"/>
  <c r="O36" i="14"/>
  <c r="P36" i="14" s="1"/>
  <c r="Q36" i="14" s="1"/>
  <c r="N36" i="14"/>
  <c r="J36" i="14"/>
  <c r="R28" i="14"/>
  <c r="L28" i="14" s="1"/>
  <c r="L36" i="14"/>
  <c r="I34" i="14"/>
  <c r="K36" i="14"/>
  <c r="H36" i="14"/>
  <c r="E32" i="15"/>
  <c r="R43" i="39" s="1"/>
  <c r="H10" i="40"/>
  <c r="F10" i="40" s="1"/>
  <c r="D31" i="15"/>
  <c r="Q42" i="39" s="1"/>
  <c r="F31" i="15"/>
  <c r="S42" i="39" s="1"/>
  <c r="E31" i="15"/>
  <c r="R42" i="39" s="1"/>
  <c r="P42" i="39"/>
  <c r="L32" i="15"/>
  <c r="F32" i="15"/>
  <c r="S43" i="39" s="1"/>
  <c r="D32" i="15"/>
  <c r="Q43" i="39" s="1"/>
  <c r="P28" i="14"/>
  <c r="K28" i="14"/>
  <c r="M28" i="14"/>
  <c r="F28" i="14"/>
  <c r="J32" i="15"/>
  <c r="I32" i="15"/>
  <c r="G16" i="15"/>
  <c r="G32" i="15"/>
  <c r="T43" i="39" s="1"/>
  <c r="U43" i="39" s="1"/>
  <c r="V43" i="39" s="1"/>
  <c r="W43" i="39" s="1"/>
  <c r="X43" i="39" s="1"/>
  <c r="Y43" i="39" s="1"/>
  <c r="Z43" i="39" s="1"/>
  <c r="M32" i="15"/>
  <c r="L10" i="40"/>
  <c r="M10" i="40" s="1"/>
  <c r="N34" i="14"/>
  <c r="K34" i="14"/>
  <c r="M34" i="14"/>
  <c r="G34" i="14"/>
  <c r="F34" i="14"/>
  <c r="O34" i="14"/>
  <c r="P34" i="14" s="1"/>
  <c r="Q34" i="14" s="1"/>
  <c r="L34" i="14"/>
  <c r="H34" i="14"/>
  <c r="J34" i="14"/>
  <c r="H32" i="15"/>
  <c r="K32" i="15"/>
  <c r="J23" i="15"/>
  <c r="I23" i="15"/>
  <c r="G23" i="15"/>
  <c r="M23" i="15"/>
  <c r="L23" i="15"/>
  <c r="G11" i="40"/>
  <c r="P9" i="14"/>
  <c r="S5" i="14"/>
  <c r="O5" i="14"/>
  <c r="F10" i="38" s="1"/>
  <c r="AA23" i="13"/>
  <c r="AG23" i="13" s="1"/>
  <c r="F99" i="10"/>
  <c r="P99" i="10"/>
  <c r="M99" i="10"/>
  <c r="F20" i="10"/>
  <c r="I20" i="10" s="1"/>
  <c r="N20" i="10" s="1"/>
  <c r="M20" i="10"/>
  <c r="P20" i="10"/>
  <c r="F149" i="10"/>
  <c r="P149" i="10"/>
  <c r="M149" i="10"/>
  <c r="E5" i="10"/>
  <c r="E284" i="10"/>
  <c r="E234" i="10"/>
  <c r="E184" i="10"/>
  <c r="E109" i="10"/>
  <c r="E59" i="10"/>
  <c r="E259" i="10"/>
  <c r="E159" i="10"/>
  <c r="E134" i="10"/>
  <c r="E84" i="10"/>
  <c r="E209" i="10"/>
  <c r="E34" i="10"/>
  <c r="U21" i="39"/>
  <c r="Q21" i="39"/>
  <c r="Y21" i="39"/>
  <c r="R21" i="39"/>
  <c r="S21" i="39"/>
  <c r="X21" i="39"/>
  <c r="V21" i="39"/>
  <c r="W21" i="39"/>
  <c r="Z21" i="39"/>
  <c r="T21" i="39"/>
  <c r="F86" i="10"/>
  <c r="M86" i="10"/>
  <c r="P86" i="10"/>
  <c r="F61" i="10"/>
  <c r="P61" i="10"/>
  <c r="M61" i="10"/>
  <c r="F236" i="10"/>
  <c r="P236" i="10"/>
  <c r="M236" i="10"/>
  <c r="F19" i="10"/>
  <c r="P19" i="10"/>
  <c r="M19" i="10"/>
  <c r="F98" i="10"/>
  <c r="M98" i="10"/>
  <c r="P98" i="10"/>
  <c r="F273" i="10"/>
  <c r="P273" i="10"/>
  <c r="M273" i="10"/>
  <c r="F167" i="10"/>
  <c r="M167" i="10"/>
  <c r="P167" i="10"/>
  <c r="F117" i="10"/>
  <c r="M117" i="10"/>
  <c r="M292" i="10"/>
  <c r="F292" i="10"/>
  <c r="F9" i="10"/>
  <c r="P9" i="10"/>
  <c r="M9" i="10"/>
  <c r="F138" i="10"/>
  <c r="M138" i="10"/>
  <c r="P138" i="10"/>
  <c r="F263" i="10"/>
  <c r="M263" i="10"/>
  <c r="P263" i="10"/>
  <c r="F120" i="10"/>
  <c r="P120" i="10"/>
  <c r="M120" i="10"/>
  <c r="F95" i="10"/>
  <c r="P95" i="10"/>
  <c r="M95" i="10"/>
  <c r="F270" i="10"/>
  <c r="P270" i="10"/>
  <c r="M270" i="10"/>
  <c r="F169" i="10"/>
  <c r="M169" i="10"/>
  <c r="P169" i="10"/>
  <c r="F219" i="10"/>
  <c r="P219" i="10"/>
  <c r="M219" i="10"/>
  <c r="F119" i="10"/>
  <c r="P119" i="10"/>
  <c r="M119" i="10"/>
  <c r="F6" i="10"/>
  <c r="P6" i="10"/>
  <c r="M6" i="10"/>
  <c r="F110" i="10"/>
  <c r="M110" i="10"/>
  <c r="F135" i="10"/>
  <c r="M135" i="10"/>
  <c r="P135" i="10"/>
  <c r="F116" i="10"/>
  <c r="M116" i="10"/>
  <c r="F291" i="10"/>
  <c r="M291" i="10"/>
  <c r="P291" i="10"/>
  <c r="F241" i="10"/>
  <c r="M241" i="10"/>
  <c r="P241" i="10"/>
  <c r="R27" i="14"/>
  <c r="N35" i="14"/>
  <c r="F21" i="10"/>
  <c r="M21" i="10"/>
  <c r="P21" i="10"/>
  <c r="F50" i="10"/>
  <c r="M50" i="10"/>
  <c r="P50" i="10"/>
  <c r="F225" i="10"/>
  <c r="M225" i="10"/>
  <c r="P225" i="10"/>
  <c r="F139" i="10"/>
  <c r="M139" i="10"/>
  <c r="F64" i="10"/>
  <c r="P64" i="10"/>
  <c r="M64" i="10"/>
  <c r="F239" i="10"/>
  <c r="M239" i="10"/>
  <c r="F68" i="10"/>
  <c r="M68" i="10"/>
  <c r="P68" i="10"/>
  <c r="F143" i="10"/>
  <c r="M143" i="10"/>
  <c r="P143" i="10"/>
  <c r="F268" i="10"/>
  <c r="M268" i="10"/>
  <c r="P268" i="10"/>
  <c r="F174" i="10"/>
  <c r="M174" i="10"/>
  <c r="P174" i="10"/>
  <c r="F74" i="10"/>
  <c r="P74" i="10"/>
  <c r="M74" i="10"/>
  <c r="F199" i="10"/>
  <c r="M199" i="10"/>
  <c r="AA21" i="13"/>
  <c r="AG21" i="13" s="1"/>
  <c r="AG25" i="13" s="1"/>
  <c r="O25" i="13"/>
  <c r="F136" i="10"/>
  <c r="M136" i="10"/>
  <c r="F111" i="10"/>
  <c r="M111" i="10"/>
  <c r="P111" i="10"/>
  <c r="F286" i="10"/>
  <c r="P286" i="10"/>
  <c r="M286" i="10"/>
  <c r="F73" i="10"/>
  <c r="M73" i="10"/>
  <c r="P73" i="10"/>
  <c r="F148" i="10"/>
  <c r="M148" i="10"/>
  <c r="P148" i="10"/>
  <c r="F198" i="10"/>
  <c r="M198" i="10"/>
  <c r="P198" i="10"/>
  <c r="I48" i="39"/>
  <c r="N48" i="39"/>
  <c r="F48" i="39"/>
  <c r="M48" i="39"/>
  <c r="K48" i="39"/>
  <c r="O48" i="39"/>
  <c r="G48" i="39"/>
  <c r="L48" i="39"/>
  <c r="H48" i="39"/>
  <c r="J48" i="39"/>
  <c r="E301" i="10"/>
  <c r="E251" i="10"/>
  <c r="E201" i="10"/>
  <c r="E151" i="10"/>
  <c r="E276" i="10"/>
  <c r="E126" i="10"/>
  <c r="E76" i="10"/>
  <c r="E22" i="10"/>
  <c r="E226" i="10"/>
  <c r="E176" i="10"/>
  <c r="E101" i="10"/>
  <c r="E51" i="10"/>
  <c r="F142" i="10"/>
  <c r="M142" i="10"/>
  <c r="F92" i="10"/>
  <c r="P92" i="10"/>
  <c r="M92" i="10"/>
  <c r="F267" i="10"/>
  <c r="P267" i="10"/>
  <c r="M267" i="10"/>
  <c r="F63" i="10"/>
  <c r="M63" i="10"/>
  <c r="P63" i="10"/>
  <c r="F238" i="10"/>
  <c r="M238" i="10"/>
  <c r="P238" i="10"/>
  <c r="F188" i="10"/>
  <c r="M188" i="10"/>
  <c r="P188" i="10"/>
  <c r="F16" i="10"/>
  <c r="M16" i="10"/>
  <c r="P16" i="10"/>
  <c r="F195" i="10"/>
  <c r="M195" i="10"/>
  <c r="P195" i="10"/>
  <c r="F145" i="10"/>
  <c r="M145" i="10"/>
  <c r="P145" i="10"/>
  <c r="F44" i="10"/>
  <c r="M44" i="10"/>
  <c r="F144" i="10"/>
  <c r="M144" i="10"/>
  <c r="F194" i="10"/>
  <c r="P194" i="10"/>
  <c r="M194" i="10"/>
  <c r="F235" i="10"/>
  <c r="M235" i="10"/>
  <c r="P235" i="10"/>
  <c r="F285" i="10"/>
  <c r="M285" i="10"/>
  <c r="P285" i="10"/>
  <c r="F160" i="10"/>
  <c r="P160" i="10"/>
  <c r="M160" i="10"/>
  <c r="F12" i="10"/>
  <c r="M12" i="10"/>
  <c r="P12" i="10"/>
  <c r="F41" i="10"/>
  <c r="M41" i="10"/>
  <c r="P41" i="10"/>
  <c r="F166" i="10"/>
  <c r="P166" i="10"/>
  <c r="M166" i="10"/>
  <c r="F75" i="10"/>
  <c r="M75" i="10"/>
  <c r="P75" i="10"/>
  <c r="F100" i="10"/>
  <c r="P100" i="10"/>
  <c r="M100" i="10"/>
  <c r="F275" i="10"/>
  <c r="M275" i="10"/>
  <c r="P275" i="10"/>
  <c r="F39" i="10"/>
  <c r="M39" i="10"/>
  <c r="P39" i="10"/>
  <c r="F114" i="10"/>
  <c r="P114" i="10"/>
  <c r="M114" i="10"/>
  <c r="F289" i="10"/>
  <c r="M289" i="10"/>
  <c r="O8" i="14"/>
  <c r="S8" i="14"/>
  <c r="F193" i="10"/>
  <c r="M193" i="10"/>
  <c r="P193" i="10"/>
  <c r="F118" i="10"/>
  <c r="P118" i="10"/>
  <c r="M118" i="10"/>
  <c r="F293" i="10"/>
  <c r="M293" i="10"/>
  <c r="P293" i="10"/>
  <c r="D47" i="39"/>
  <c r="E47" i="39"/>
  <c r="D13" i="38"/>
  <c r="D11" i="38" s="1"/>
  <c r="S15" i="14"/>
  <c r="O15" i="14"/>
  <c r="F49" i="10"/>
  <c r="M49" i="10"/>
  <c r="F124" i="10"/>
  <c r="M124" i="10"/>
  <c r="F249" i="10"/>
  <c r="P249" i="10"/>
  <c r="M249" i="10"/>
  <c r="F36" i="10"/>
  <c r="P36" i="10"/>
  <c r="M36" i="10"/>
  <c r="F211" i="10"/>
  <c r="P211" i="10"/>
  <c r="M211" i="10"/>
  <c r="F161" i="10"/>
  <c r="M161" i="10"/>
  <c r="P161" i="10"/>
  <c r="F123" i="10"/>
  <c r="M123" i="10"/>
  <c r="F248" i="10"/>
  <c r="M248" i="10"/>
  <c r="P248" i="10"/>
  <c r="F173" i="10"/>
  <c r="M173" i="10"/>
  <c r="P173" i="10"/>
  <c r="F217" i="10"/>
  <c r="P217" i="10"/>
  <c r="M217" i="10"/>
  <c r="F13" i="10"/>
  <c r="M13" i="10"/>
  <c r="P13" i="10"/>
  <c r="F192" i="10"/>
  <c r="M192" i="10"/>
  <c r="P192" i="10"/>
  <c r="F288" i="10"/>
  <c r="M288" i="10"/>
  <c r="P288" i="10"/>
  <c r="F38" i="10"/>
  <c r="M38" i="10"/>
  <c r="P38" i="10"/>
  <c r="F163" i="10"/>
  <c r="M163" i="10"/>
  <c r="P163" i="10"/>
  <c r="F70" i="10"/>
  <c r="M70" i="10"/>
  <c r="P70" i="10"/>
  <c r="F245" i="10"/>
  <c r="M245" i="10"/>
  <c r="P245" i="10"/>
  <c r="F170" i="10"/>
  <c r="M170" i="10"/>
  <c r="P170" i="10"/>
  <c r="F269" i="10"/>
  <c r="M269" i="10"/>
  <c r="P269" i="10"/>
  <c r="F15" i="10"/>
  <c r="M15" i="10"/>
  <c r="P15" i="10"/>
  <c r="F244" i="10"/>
  <c r="P244" i="10"/>
  <c r="M244" i="10"/>
  <c r="F60" i="10"/>
  <c r="M60" i="10"/>
  <c r="P60" i="10"/>
  <c r="F35" i="10"/>
  <c r="M35" i="10"/>
  <c r="P35" i="10"/>
  <c r="F210" i="10"/>
  <c r="M210" i="10"/>
  <c r="P210" i="10"/>
  <c r="F191" i="10"/>
  <c r="M191" i="10"/>
  <c r="P191" i="10"/>
  <c r="F91" i="10"/>
  <c r="P91" i="10"/>
  <c r="M91" i="10"/>
  <c r="F216" i="10"/>
  <c r="M216" i="10"/>
  <c r="P216" i="10"/>
  <c r="J35" i="14"/>
  <c r="M35" i="14"/>
  <c r="F125" i="10"/>
  <c r="M125" i="10"/>
  <c r="P125" i="10"/>
  <c r="F200" i="10"/>
  <c r="M200" i="10"/>
  <c r="P200" i="10"/>
  <c r="F250" i="10"/>
  <c r="M250" i="10"/>
  <c r="P250" i="10"/>
  <c r="F89" i="10"/>
  <c r="M89" i="10"/>
  <c r="P89" i="10"/>
  <c r="F264" i="10"/>
  <c r="P264" i="10"/>
  <c r="M264" i="10"/>
  <c r="F214" i="10"/>
  <c r="P214" i="10"/>
  <c r="M214" i="10"/>
  <c r="F14" i="10"/>
  <c r="M14" i="10"/>
  <c r="P14" i="10"/>
  <c r="F43" i="10"/>
  <c r="M43" i="10"/>
  <c r="P43" i="10"/>
  <c r="F168" i="10"/>
  <c r="M168" i="10"/>
  <c r="P168" i="10"/>
  <c r="O22" i="39"/>
  <c r="K22" i="39"/>
  <c r="J22" i="39"/>
  <c r="I22" i="39"/>
  <c r="F22" i="39"/>
  <c r="G22" i="39"/>
  <c r="H22" i="39"/>
  <c r="N22" i="39"/>
  <c r="M22" i="39"/>
  <c r="L22" i="39"/>
  <c r="S14" i="14"/>
  <c r="O14" i="14"/>
  <c r="F274" i="10"/>
  <c r="M274" i="10"/>
  <c r="P274" i="10"/>
  <c r="F224" i="10"/>
  <c r="P224" i="10"/>
  <c r="M224" i="10"/>
  <c r="F299" i="10"/>
  <c r="M299" i="10"/>
  <c r="P299" i="10"/>
  <c r="Q49" i="39"/>
  <c r="X49" i="39"/>
  <c r="S49" i="39"/>
  <c r="U49" i="39"/>
  <c r="R49" i="39"/>
  <c r="W49" i="39"/>
  <c r="Y49" i="39"/>
  <c r="V49" i="39"/>
  <c r="Z49" i="39"/>
  <c r="T49" i="39"/>
  <c r="F261" i="10"/>
  <c r="P261" i="10"/>
  <c r="M261" i="10"/>
  <c r="F7" i="10"/>
  <c r="P7" i="10"/>
  <c r="M7" i="10"/>
  <c r="F186" i="10"/>
  <c r="P186" i="10"/>
  <c r="M186" i="10"/>
  <c r="F298" i="10"/>
  <c r="M298" i="10"/>
  <c r="P298" i="10"/>
  <c r="F48" i="10"/>
  <c r="M48" i="10"/>
  <c r="P48" i="10"/>
  <c r="F223" i="10"/>
  <c r="M223" i="10"/>
  <c r="P223" i="10"/>
  <c r="E296" i="10"/>
  <c r="E246" i="10"/>
  <c r="E196" i="10"/>
  <c r="E146" i="10"/>
  <c r="E171" i="10"/>
  <c r="E121" i="10"/>
  <c r="E71" i="10"/>
  <c r="E17" i="10"/>
  <c r="E221" i="10"/>
  <c r="E271" i="10"/>
  <c r="E96" i="10"/>
  <c r="E46" i="10"/>
  <c r="F42" i="10"/>
  <c r="P42" i="10"/>
  <c r="M42" i="10"/>
  <c r="F67" i="10"/>
  <c r="P67" i="10"/>
  <c r="M67" i="10"/>
  <c r="F242" i="10"/>
  <c r="P242" i="10"/>
  <c r="M242" i="10"/>
  <c r="F113" i="10"/>
  <c r="P113" i="10"/>
  <c r="M113" i="10"/>
  <c r="F88" i="10"/>
  <c r="P88" i="10"/>
  <c r="M88" i="10"/>
  <c r="F213" i="10"/>
  <c r="M213" i="10"/>
  <c r="P213" i="10"/>
  <c r="F295" i="10"/>
  <c r="M295" i="10"/>
  <c r="P295" i="10"/>
  <c r="F45" i="10"/>
  <c r="M45" i="10"/>
  <c r="P45" i="10"/>
  <c r="F220" i="10"/>
  <c r="M220" i="10"/>
  <c r="P220" i="10"/>
  <c r="F94" i="10"/>
  <c r="P94" i="10"/>
  <c r="M94" i="10"/>
  <c r="F69" i="10"/>
  <c r="P69" i="10"/>
  <c r="M69" i="10"/>
  <c r="F294" i="10"/>
  <c r="P294" i="10"/>
  <c r="M294" i="10"/>
  <c r="F185" i="10"/>
  <c r="M185" i="10"/>
  <c r="P185" i="10"/>
  <c r="F85" i="10"/>
  <c r="M85" i="10"/>
  <c r="F260" i="10"/>
  <c r="M260" i="10"/>
  <c r="P260" i="10"/>
  <c r="F66" i="10"/>
  <c r="M66" i="10"/>
  <c r="P66" i="10"/>
  <c r="F141" i="10"/>
  <c r="M141" i="10"/>
  <c r="P141" i="10"/>
  <c r="F266" i="10"/>
  <c r="M266" i="10"/>
  <c r="P266" i="10"/>
  <c r="L35" i="14"/>
  <c r="F150" i="10"/>
  <c r="M150" i="10"/>
  <c r="P150" i="10"/>
  <c r="F300" i="10"/>
  <c r="P300" i="10"/>
  <c r="M300" i="10"/>
  <c r="F175" i="10"/>
  <c r="P175" i="10"/>
  <c r="M175" i="10"/>
  <c r="F164" i="10"/>
  <c r="M164" i="10"/>
  <c r="P164" i="10"/>
  <c r="F10" i="10"/>
  <c r="M10" i="10"/>
  <c r="P10" i="10"/>
  <c r="F189" i="10"/>
  <c r="P189" i="10"/>
  <c r="M189" i="10"/>
  <c r="F243" i="10"/>
  <c r="M243" i="10"/>
  <c r="P243" i="10"/>
  <c r="F93" i="10"/>
  <c r="M93" i="10"/>
  <c r="P93" i="10"/>
  <c r="F218" i="10"/>
  <c r="M218" i="10"/>
  <c r="P218" i="10"/>
  <c r="O35" i="14"/>
  <c r="N11" i="40"/>
  <c r="E11" i="40" s="1"/>
  <c r="J31" i="15"/>
  <c r="H22" i="15"/>
  <c r="M22" i="15"/>
  <c r="K31" i="15"/>
  <c r="L22" i="15"/>
  <c r="E16" i="15"/>
  <c r="L31" i="15"/>
  <c r="K22" i="15"/>
  <c r="I31" i="15"/>
  <c r="J22" i="15"/>
  <c r="G22" i="15"/>
  <c r="H31" i="15"/>
  <c r="G31" i="15"/>
  <c r="M31" i="15"/>
  <c r="I22" i="15"/>
  <c r="F11" i="40"/>
  <c r="J28" i="14" l="1"/>
  <c r="G28" i="14"/>
  <c r="O28" i="14"/>
  <c r="N43" i="39"/>
  <c r="Q28" i="14"/>
  <c r="N28" i="14"/>
  <c r="H28" i="14"/>
  <c r="I28" i="14"/>
  <c r="M43" i="39"/>
  <c r="O43" i="39"/>
  <c r="P35" i="14"/>
  <c r="I164" i="10"/>
  <c r="J164" i="10"/>
  <c r="I260" i="10"/>
  <c r="J260" i="10"/>
  <c r="J294" i="10"/>
  <c r="I294" i="10"/>
  <c r="I45" i="10"/>
  <c r="J45" i="10"/>
  <c r="I113" i="10"/>
  <c r="J113" i="10"/>
  <c r="F96" i="10"/>
  <c r="P96" i="10"/>
  <c r="M96" i="10"/>
  <c r="F71" i="10"/>
  <c r="M71" i="10"/>
  <c r="P71" i="10"/>
  <c r="F196" i="10"/>
  <c r="M196" i="10"/>
  <c r="P196" i="10"/>
  <c r="I298" i="10"/>
  <c r="J298" i="10"/>
  <c r="I43" i="10"/>
  <c r="J43" i="10"/>
  <c r="I89" i="10"/>
  <c r="J89" i="10"/>
  <c r="J191" i="10"/>
  <c r="I191" i="10"/>
  <c r="I244" i="10"/>
  <c r="J244" i="10"/>
  <c r="I163" i="10"/>
  <c r="J163" i="10"/>
  <c r="I13" i="10"/>
  <c r="J13" i="10"/>
  <c r="J248" i="10"/>
  <c r="I248" i="10"/>
  <c r="I211" i="10"/>
  <c r="J211" i="10"/>
  <c r="J124" i="10"/>
  <c r="I124" i="10"/>
  <c r="I193" i="10"/>
  <c r="J193" i="10"/>
  <c r="J39" i="10"/>
  <c r="I39" i="10"/>
  <c r="I166" i="10"/>
  <c r="J166" i="10"/>
  <c r="I285" i="10"/>
  <c r="J285" i="10"/>
  <c r="J144" i="10"/>
  <c r="I144" i="10"/>
  <c r="I188" i="10"/>
  <c r="J188" i="10"/>
  <c r="J92" i="10"/>
  <c r="I92" i="10"/>
  <c r="F101" i="10"/>
  <c r="P101" i="10"/>
  <c r="M101" i="10"/>
  <c r="F76" i="10"/>
  <c r="M76" i="10"/>
  <c r="P76" i="10"/>
  <c r="F201" i="10"/>
  <c r="P201" i="10"/>
  <c r="M201" i="10"/>
  <c r="J286" i="10"/>
  <c r="I286" i="10"/>
  <c r="J199" i="10"/>
  <c r="I199" i="10"/>
  <c r="I143" i="10"/>
  <c r="J143" i="10"/>
  <c r="J21" i="10"/>
  <c r="I21" i="10"/>
  <c r="I116" i="10"/>
  <c r="J116" i="10"/>
  <c r="J6" i="10"/>
  <c r="I6" i="10"/>
  <c r="I270" i="10"/>
  <c r="J270" i="10"/>
  <c r="I138" i="10"/>
  <c r="J138" i="10"/>
  <c r="J292" i="10"/>
  <c r="I292" i="10"/>
  <c r="I236" i="10"/>
  <c r="J236" i="10"/>
  <c r="F209" i="10"/>
  <c r="P209" i="10"/>
  <c r="M209" i="10"/>
  <c r="F259" i="10"/>
  <c r="P259" i="10"/>
  <c r="M259" i="10"/>
  <c r="F234" i="10"/>
  <c r="P234" i="10"/>
  <c r="M234" i="10"/>
  <c r="J20" i="10"/>
  <c r="R26" i="14"/>
  <c r="I243" i="10"/>
  <c r="J243" i="10"/>
  <c r="I10" i="10"/>
  <c r="J10" i="10"/>
  <c r="I150" i="10"/>
  <c r="J150" i="10"/>
  <c r="I66" i="10"/>
  <c r="J66" i="10"/>
  <c r="J185" i="10"/>
  <c r="I185" i="10"/>
  <c r="J220" i="10"/>
  <c r="I220" i="10"/>
  <c r="J88" i="10"/>
  <c r="I88" i="10"/>
  <c r="J42" i="10"/>
  <c r="I42" i="10"/>
  <c r="F271" i="10"/>
  <c r="M271" i="10"/>
  <c r="P271" i="10"/>
  <c r="F121" i="10"/>
  <c r="M121" i="10"/>
  <c r="P121" i="10"/>
  <c r="F246" i="10"/>
  <c r="P246" i="10"/>
  <c r="M246" i="10"/>
  <c r="I48" i="10"/>
  <c r="J48" i="10"/>
  <c r="I261" i="10"/>
  <c r="J261" i="10"/>
  <c r="I274" i="10"/>
  <c r="J274" i="10"/>
  <c r="I168" i="10"/>
  <c r="J168" i="10"/>
  <c r="I264" i="10"/>
  <c r="J264" i="10"/>
  <c r="I125" i="10"/>
  <c r="J125" i="10"/>
  <c r="J91" i="10"/>
  <c r="I91" i="10"/>
  <c r="I60" i="10"/>
  <c r="J60" i="10"/>
  <c r="I70" i="10"/>
  <c r="J70" i="10"/>
  <c r="J192" i="10"/>
  <c r="I192" i="10"/>
  <c r="I173" i="10"/>
  <c r="J173" i="10"/>
  <c r="I161" i="10"/>
  <c r="J161" i="10"/>
  <c r="Y38" i="14"/>
  <c r="W38" i="14"/>
  <c r="V38" i="14"/>
  <c r="U38" i="14"/>
  <c r="AB38" i="14"/>
  <c r="T38" i="14"/>
  <c r="Z38" i="14"/>
  <c r="AA38" i="14"/>
  <c r="X38" i="14"/>
  <c r="S38" i="14"/>
  <c r="I118" i="10"/>
  <c r="J118" i="10"/>
  <c r="R29" i="14"/>
  <c r="I114" i="10"/>
  <c r="J114" i="10"/>
  <c r="I75" i="10"/>
  <c r="J75" i="10"/>
  <c r="I160" i="10"/>
  <c r="J160" i="10"/>
  <c r="J16" i="10"/>
  <c r="I16" i="10"/>
  <c r="I267" i="10"/>
  <c r="J267" i="10"/>
  <c r="F176" i="10"/>
  <c r="M176" i="10"/>
  <c r="P176" i="10"/>
  <c r="F126" i="10"/>
  <c r="P126" i="10"/>
  <c r="M126" i="10"/>
  <c r="F251" i="10"/>
  <c r="M251" i="10"/>
  <c r="P251" i="10"/>
  <c r="J73" i="10"/>
  <c r="I73" i="10"/>
  <c r="I136" i="10"/>
  <c r="J136" i="10"/>
  <c r="I268" i="10"/>
  <c r="J268" i="10"/>
  <c r="J64" i="10"/>
  <c r="I64" i="10"/>
  <c r="I50" i="10"/>
  <c r="J50" i="10"/>
  <c r="N27" i="14"/>
  <c r="Q27" i="14"/>
  <c r="L27" i="14"/>
  <c r="O27" i="14"/>
  <c r="H27" i="14"/>
  <c r="K27" i="14"/>
  <c r="M27" i="14"/>
  <c r="G27" i="14"/>
  <c r="I27" i="14"/>
  <c r="F27" i="14"/>
  <c r="P27" i="14"/>
  <c r="J27" i="14"/>
  <c r="I110" i="10"/>
  <c r="J110" i="10"/>
  <c r="J169" i="10"/>
  <c r="I169" i="10"/>
  <c r="I263" i="10"/>
  <c r="J263" i="10"/>
  <c r="I19" i="10"/>
  <c r="J19" i="10"/>
  <c r="M42" i="39"/>
  <c r="O42" i="39"/>
  <c r="N42" i="39"/>
  <c r="F84" i="10"/>
  <c r="P84" i="10"/>
  <c r="M84" i="10"/>
  <c r="F59" i="10"/>
  <c r="P59" i="10"/>
  <c r="M59" i="10"/>
  <c r="F284" i="10"/>
  <c r="M284" i="10"/>
  <c r="P284" i="10"/>
  <c r="I149" i="10"/>
  <c r="J149" i="10"/>
  <c r="H9" i="40"/>
  <c r="J43" i="39"/>
  <c r="J93" i="10"/>
  <c r="I93" i="10"/>
  <c r="J189" i="10"/>
  <c r="I189" i="10"/>
  <c r="I300" i="10"/>
  <c r="J300" i="10"/>
  <c r="I141" i="10"/>
  <c r="J141" i="10"/>
  <c r="J85" i="10"/>
  <c r="I85" i="10"/>
  <c r="I94" i="10"/>
  <c r="J94" i="10"/>
  <c r="J213" i="10"/>
  <c r="I213" i="10"/>
  <c r="I67" i="10"/>
  <c r="J67" i="10"/>
  <c r="F221" i="10"/>
  <c r="P221" i="10"/>
  <c r="M221" i="10"/>
  <c r="F171" i="10"/>
  <c r="M171" i="10"/>
  <c r="P171" i="10"/>
  <c r="F296" i="10"/>
  <c r="P296" i="10"/>
  <c r="M296" i="10"/>
  <c r="I223" i="10"/>
  <c r="J223" i="10"/>
  <c r="I7" i="10"/>
  <c r="J7" i="10"/>
  <c r="I224" i="10"/>
  <c r="J224" i="10"/>
  <c r="U37" i="14"/>
  <c r="Y37" i="14"/>
  <c r="X37" i="14"/>
  <c r="Z37" i="14"/>
  <c r="T37" i="14"/>
  <c r="V37" i="14"/>
  <c r="AA37" i="14"/>
  <c r="S37" i="14"/>
  <c r="AB37" i="14"/>
  <c r="W37" i="14"/>
  <c r="P16" i="14"/>
  <c r="J214" i="10"/>
  <c r="I214" i="10"/>
  <c r="J200" i="10"/>
  <c r="I200" i="10"/>
  <c r="I216" i="10"/>
  <c r="J216" i="10"/>
  <c r="I35" i="10"/>
  <c r="J35" i="10"/>
  <c r="J269" i="10"/>
  <c r="I269" i="10"/>
  <c r="I245" i="10"/>
  <c r="J245" i="10"/>
  <c r="I288" i="10"/>
  <c r="J288" i="10"/>
  <c r="I123" i="10"/>
  <c r="J123" i="10"/>
  <c r="J249" i="10"/>
  <c r="I249" i="10"/>
  <c r="J49" i="10"/>
  <c r="I49" i="10"/>
  <c r="I293" i="10"/>
  <c r="J293" i="10"/>
  <c r="J289" i="10"/>
  <c r="I289" i="10"/>
  <c r="I100" i="10"/>
  <c r="J100" i="10"/>
  <c r="J12" i="10"/>
  <c r="I12" i="10"/>
  <c r="J194" i="10"/>
  <c r="I194" i="10"/>
  <c r="J44" i="10"/>
  <c r="I44" i="10"/>
  <c r="J195" i="10"/>
  <c r="I195" i="10"/>
  <c r="J63" i="10"/>
  <c r="I63" i="10"/>
  <c r="I142" i="10"/>
  <c r="J142" i="10"/>
  <c r="F226" i="10"/>
  <c r="P226" i="10"/>
  <c r="M226" i="10"/>
  <c r="F276" i="10"/>
  <c r="P276" i="10"/>
  <c r="M276" i="10"/>
  <c r="M301" i="10"/>
  <c r="F301" i="10"/>
  <c r="P301" i="10"/>
  <c r="D48" i="39"/>
  <c r="E48" i="39"/>
  <c r="I148" i="10"/>
  <c r="J148" i="10"/>
  <c r="I174" i="10"/>
  <c r="J174" i="10"/>
  <c r="I239" i="10"/>
  <c r="J239" i="10"/>
  <c r="I225" i="10"/>
  <c r="J225" i="10"/>
  <c r="I291" i="10"/>
  <c r="J291" i="10"/>
  <c r="J219" i="10"/>
  <c r="I219" i="10"/>
  <c r="I120" i="10"/>
  <c r="J120" i="10"/>
  <c r="I167" i="10"/>
  <c r="J167" i="10"/>
  <c r="I98" i="10"/>
  <c r="J98" i="10"/>
  <c r="I86" i="10"/>
  <c r="J86" i="10"/>
  <c r="F134" i="10"/>
  <c r="M134" i="10"/>
  <c r="P134" i="10"/>
  <c r="F109" i="10"/>
  <c r="P109" i="10"/>
  <c r="M109" i="10"/>
  <c r="F5" i="10"/>
  <c r="M5" i="10"/>
  <c r="P5" i="10"/>
  <c r="I43" i="39"/>
  <c r="K43" i="39"/>
  <c r="J218" i="10"/>
  <c r="I218" i="10"/>
  <c r="I175" i="10"/>
  <c r="J175" i="10"/>
  <c r="I266" i="10"/>
  <c r="J266" i="10"/>
  <c r="I69" i="10"/>
  <c r="J69" i="10"/>
  <c r="I295" i="10"/>
  <c r="J295" i="10"/>
  <c r="J242" i="10"/>
  <c r="I242" i="10"/>
  <c r="F46" i="10"/>
  <c r="M46" i="10"/>
  <c r="P46" i="10"/>
  <c r="F17" i="10"/>
  <c r="P17" i="10"/>
  <c r="M17" i="10"/>
  <c r="F146" i="10"/>
  <c r="M146" i="10"/>
  <c r="P146" i="10"/>
  <c r="I186" i="10"/>
  <c r="J186" i="10"/>
  <c r="I49" i="39"/>
  <c r="F49" i="39"/>
  <c r="H49" i="39"/>
  <c r="M49" i="39"/>
  <c r="J49" i="39"/>
  <c r="L49" i="39"/>
  <c r="G49" i="39"/>
  <c r="N49" i="39"/>
  <c r="O49" i="39"/>
  <c r="K49" i="39"/>
  <c r="I299" i="10"/>
  <c r="J299" i="10"/>
  <c r="I14" i="10"/>
  <c r="J14" i="10"/>
  <c r="I250" i="10"/>
  <c r="J250" i="10"/>
  <c r="I210" i="10"/>
  <c r="J210" i="10"/>
  <c r="J15" i="10"/>
  <c r="I15" i="10"/>
  <c r="I170" i="10"/>
  <c r="J170" i="10"/>
  <c r="I38" i="10"/>
  <c r="J38" i="10"/>
  <c r="I217" i="10"/>
  <c r="J217" i="10"/>
  <c r="I36" i="10"/>
  <c r="J36" i="10"/>
  <c r="I275" i="10"/>
  <c r="J275" i="10"/>
  <c r="I41" i="10"/>
  <c r="J41" i="10"/>
  <c r="I235" i="10"/>
  <c r="J235" i="10"/>
  <c r="I145" i="10"/>
  <c r="J145" i="10"/>
  <c r="J238" i="10"/>
  <c r="I238" i="10"/>
  <c r="F51" i="10"/>
  <c r="M51" i="10"/>
  <c r="P51" i="10"/>
  <c r="F22" i="10"/>
  <c r="M22" i="10"/>
  <c r="P22" i="10"/>
  <c r="F151" i="10"/>
  <c r="P151" i="10"/>
  <c r="M151" i="10"/>
  <c r="I198" i="10"/>
  <c r="J198" i="10"/>
  <c r="J111" i="10"/>
  <c r="I111" i="10"/>
  <c r="Z23" i="39"/>
  <c r="R23" i="39"/>
  <c r="S23" i="39"/>
  <c r="Q23" i="39"/>
  <c r="W23" i="39"/>
  <c r="T23" i="39"/>
  <c r="U23" i="39"/>
  <c r="V23" i="39"/>
  <c r="X23" i="39"/>
  <c r="Y23" i="39"/>
  <c r="I74" i="10"/>
  <c r="J74" i="10"/>
  <c r="J68" i="10"/>
  <c r="I68" i="10"/>
  <c r="J139" i="10"/>
  <c r="I139" i="10"/>
  <c r="J241" i="10"/>
  <c r="I241" i="10"/>
  <c r="J135" i="10"/>
  <c r="I135" i="10"/>
  <c r="I119" i="10"/>
  <c r="J119" i="10"/>
  <c r="I95" i="10"/>
  <c r="J95" i="10"/>
  <c r="J9" i="10"/>
  <c r="I9" i="10"/>
  <c r="J117" i="10"/>
  <c r="I117" i="10"/>
  <c r="I273" i="10"/>
  <c r="J273" i="10"/>
  <c r="I61" i="10"/>
  <c r="J61" i="10"/>
  <c r="M21" i="39"/>
  <c r="F21" i="39"/>
  <c r="H21" i="39"/>
  <c r="L21" i="39"/>
  <c r="K21" i="39"/>
  <c r="O21" i="39"/>
  <c r="N21" i="39"/>
  <c r="G21" i="39"/>
  <c r="J21" i="39"/>
  <c r="I21" i="39"/>
  <c r="F34" i="10"/>
  <c r="M34" i="10"/>
  <c r="P34" i="10"/>
  <c r="F159" i="10"/>
  <c r="P159" i="10"/>
  <c r="P177" i="10" s="1"/>
  <c r="M159" i="10"/>
  <c r="F184" i="10"/>
  <c r="M184" i="10"/>
  <c r="P184" i="10"/>
  <c r="P202" i="10" s="1"/>
  <c r="I99" i="10"/>
  <c r="J99" i="10"/>
  <c r="O19" i="14"/>
  <c r="O20" i="14"/>
  <c r="U42" i="39"/>
  <c r="F43" i="39"/>
  <c r="G43" i="39"/>
  <c r="H43" i="39"/>
  <c r="T42" i="39"/>
  <c r="L43" i="39"/>
  <c r="E10" i="40"/>
  <c r="G10" i="38" l="1"/>
  <c r="K10" i="38"/>
  <c r="H10" i="38"/>
  <c r="L10" i="38"/>
  <c r="P10" i="38"/>
  <c r="J10" i="38"/>
  <c r="N10" i="38"/>
  <c r="O10" i="38"/>
  <c r="I10" i="38"/>
  <c r="M10" i="38"/>
  <c r="P52" i="10"/>
  <c r="P102" i="10"/>
  <c r="P77" i="10"/>
  <c r="P127" i="10"/>
  <c r="P302" i="10"/>
  <c r="M202" i="10"/>
  <c r="M204" i="10"/>
  <c r="I159" i="10"/>
  <c r="J159" i="10"/>
  <c r="O61" i="10"/>
  <c r="R61" i="10"/>
  <c r="N9" i="10"/>
  <c r="Q9" i="10"/>
  <c r="O119" i="10"/>
  <c r="R119" i="10"/>
  <c r="N241" i="10"/>
  <c r="Q241" i="10"/>
  <c r="N68" i="10"/>
  <c r="Q68" i="10"/>
  <c r="O198" i="10"/>
  <c r="R198" i="10"/>
  <c r="J151" i="10"/>
  <c r="I151" i="10"/>
  <c r="O238" i="10"/>
  <c r="R238" i="10"/>
  <c r="N235" i="10"/>
  <c r="Q235" i="10"/>
  <c r="N275" i="10"/>
  <c r="Q275" i="10"/>
  <c r="N217" i="10"/>
  <c r="Q217" i="10"/>
  <c r="N170" i="10"/>
  <c r="Q170" i="10"/>
  <c r="Q210" i="10"/>
  <c r="N210" i="10"/>
  <c r="R14" i="10"/>
  <c r="O14" i="10"/>
  <c r="N299" i="10"/>
  <c r="Q299" i="10"/>
  <c r="Q186" i="10"/>
  <c r="N186" i="10"/>
  <c r="O295" i="10"/>
  <c r="R295" i="10"/>
  <c r="R266" i="10"/>
  <c r="O266" i="10"/>
  <c r="N218" i="10"/>
  <c r="Q218" i="10"/>
  <c r="I5" i="10"/>
  <c r="J5" i="10"/>
  <c r="J109" i="10"/>
  <c r="I109" i="10"/>
  <c r="R86" i="10"/>
  <c r="O86" i="10"/>
  <c r="O167" i="10"/>
  <c r="R167" i="10"/>
  <c r="Q219" i="10"/>
  <c r="N219" i="10"/>
  <c r="O225" i="10"/>
  <c r="R225" i="10"/>
  <c r="O174" i="10"/>
  <c r="R174" i="10"/>
  <c r="Q142" i="10"/>
  <c r="N142" i="10"/>
  <c r="O195" i="10"/>
  <c r="R195" i="10"/>
  <c r="O194" i="10"/>
  <c r="R194" i="10"/>
  <c r="N100" i="10"/>
  <c r="Q100" i="10"/>
  <c r="Q293" i="10"/>
  <c r="N293" i="10"/>
  <c r="O249" i="10"/>
  <c r="R249" i="10"/>
  <c r="N288" i="10"/>
  <c r="Q288" i="10"/>
  <c r="O269" i="10"/>
  <c r="R269" i="10"/>
  <c r="Q216" i="10"/>
  <c r="N216" i="10"/>
  <c r="Q214" i="10"/>
  <c r="N214" i="10"/>
  <c r="Q7" i="10"/>
  <c r="N7" i="10"/>
  <c r="I221" i="10"/>
  <c r="J221" i="10"/>
  <c r="R213" i="10"/>
  <c r="O213" i="10"/>
  <c r="O85" i="10"/>
  <c r="R85" i="10"/>
  <c r="N300" i="10"/>
  <c r="Q300" i="10"/>
  <c r="R93" i="10"/>
  <c r="O93" i="10"/>
  <c r="J84" i="10"/>
  <c r="I84" i="10"/>
  <c r="R19" i="10"/>
  <c r="O19" i="10"/>
  <c r="Q263" i="10"/>
  <c r="N263" i="10"/>
  <c r="N110" i="10"/>
  <c r="Q110" i="10"/>
  <c r="N64" i="10"/>
  <c r="Q64" i="10"/>
  <c r="Q73" i="10"/>
  <c r="N73" i="10"/>
  <c r="I176" i="10"/>
  <c r="J176" i="10"/>
  <c r="O16" i="10"/>
  <c r="R16" i="10"/>
  <c r="Q75" i="10"/>
  <c r="N75" i="10"/>
  <c r="R118" i="10"/>
  <c r="O118" i="10"/>
  <c r="O161" i="10"/>
  <c r="R161" i="10"/>
  <c r="O70" i="10"/>
  <c r="R70" i="10"/>
  <c r="Q91" i="10"/>
  <c r="N91" i="10"/>
  <c r="R264" i="10"/>
  <c r="O264" i="10"/>
  <c r="Q261" i="10"/>
  <c r="N261" i="10"/>
  <c r="J121" i="10"/>
  <c r="I121" i="10"/>
  <c r="Q42" i="10"/>
  <c r="N42" i="10"/>
  <c r="N220" i="10"/>
  <c r="Q220" i="10"/>
  <c r="R66" i="10"/>
  <c r="O66" i="10"/>
  <c r="O10" i="10"/>
  <c r="R10" i="10"/>
  <c r="Q20" i="10"/>
  <c r="M279" i="10"/>
  <c r="M277" i="10"/>
  <c r="P227" i="10"/>
  <c r="N292" i="10"/>
  <c r="Q292" i="10"/>
  <c r="R270" i="10"/>
  <c r="O270" i="10"/>
  <c r="R21" i="10"/>
  <c r="O21" i="10"/>
  <c r="Q199" i="10"/>
  <c r="N199" i="10"/>
  <c r="I101" i="10"/>
  <c r="J101" i="10"/>
  <c r="N188" i="10"/>
  <c r="Q188" i="10"/>
  <c r="N285" i="10"/>
  <c r="Q285" i="10"/>
  <c r="O39" i="10"/>
  <c r="R39" i="10"/>
  <c r="O124" i="10"/>
  <c r="R124" i="10"/>
  <c r="O248" i="10"/>
  <c r="R248" i="10"/>
  <c r="N163" i="10"/>
  <c r="Q163" i="10"/>
  <c r="O191" i="10"/>
  <c r="R191" i="10"/>
  <c r="N43" i="10"/>
  <c r="Q43" i="10"/>
  <c r="I71" i="10"/>
  <c r="J71" i="10"/>
  <c r="R113" i="10"/>
  <c r="O113" i="10"/>
  <c r="N294" i="10"/>
  <c r="Q294" i="10"/>
  <c r="Q35" i="14"/>
  <c r="R99" i="10"/>
  <c r="O99" i="10"/>
  <c r="J184" i="10"/>
  <c r="I184" i="10"/>
  <c r="N61" i="10"/>
  <c r="Q61" i="10"/>
  <c r="O9" i="10"/>
  <c r="R9" i="10"/>
  <c r="N119" i="10"/>
  <c r="Q119" i="10"/>
  <c r="O241" i="10"/>
  <c r="R241" i="10"/>
  <c r="R68" i="10"/>
  <c r="O68" i="10"/>
  <c r="N198" i="10"/>
  <c r="Q198" i="10"/>
  <c r="R145" i="10"/>
  <c r="O145" i="10"/>
  <c r="O41" i="10"/>
  <c r="R41" i="10"/>
  <c r="O36" i="10"/>
  <c r="R36" i="10"/>
  <c r="O38" i="10"/>
  <c r="R38" i="10"/>
  <c r="Q15" i="10"/>
  <c r="N15" i="10"/>
  <c r="Q14" i="10"/>
  <c r="N14" i="10"/>
  <c r="D49" i="39"/>
  <c r="E49" i="39"/>
  <c r="J46" i="10"/>
  <c r="I46" i="10"/>
  <c r="N295" i="10"/>
  <c r="Q295" i="10"/>
  <c r="Q266" i="10"/>
  <c r="N266" i="10"/>
  <c r="R218" i="10"/>
  <c r="O218" i="10"/>
  <c r="P152" i="10"/>
  <c r="N86" i="10"/>
  <c r="Q86" i="10"/>
  <c r="Q167" i="10"/>
  <c r="N167" i="10"/>
  <c r="O219" i="10"/>
  <c r="R219" i="10"/>
  <c r="N225" i="10"/>
  <c r="Q225" i="10"/>
  <c r="N174" i="10"/>
  <c r="Q174" i="10"/>
  <c r="Q63" i="10"/>
  <c r="N63" i="10"/>
  <c r="Q44" i="10"/>
  <c r="N44" i="10"/>
  <c r="N12" i="10"/>
  <c r="Q12" i="10"/>
  <c r="Q289" i="10"/>
  <c r="N289" i="10"/>
  <c r="Q49" i="10"/>
  <c r="N49" i="10"/>
  <c r="R123" i="10"/>
  <c r="O123" i="10"/>
  <c r="O245" i="10"/>
  <c r="R245" i="10"/>
  <c r="O35" i="10"/>
  <c r="R35" i="10"/>
  <c r="O214" i="10"/>
  <c r="R214" i="10"/>
  <c r="N37" i="14"/>
  <c r="M37" i="14"/>
  <c r="K37" i="14"/>
  <c r="J37" i="14"/>
  <c r="F37" i="14"/>
  <c r="G37" i="14"/>
  <c r="H37" i="14"/>
  <c r="L37" i="14"/>
  <c r="O37" i="14"/>
  <c r="I37" i="14"/>
  <c r="O224" i="10"/>
  <c r="R224" i="10"/>
  <c r="J171" i="10"/>
  <c r="I171" i="10"/>
  <c r="O67" i="10"/>
  <c r="R67" i="10"/>
  <c r="O94" i="10"/>
  <c r="R94" i="10"/>
  <c r="R141" i="10"/>
  <c r="O141" i="10"/>
  <c r="N189" i="10"/>
  <c r="Q189" i="10"/>
  <c r="M302" i="10"/>
  <c r="M304" i="10"/>
  <c r="I59" i="10"/>
  <c r="J59" i="10"/>
  <c r="N19" i="10"/>
  <c r="Q19" i="10"/>
  <c r="Q169" i="10"/>
  <c r="N169" i="10"/>
  <c r="O64" i="10"/>
  <c r="R64" i="10"/>
  <c r="O73" i="10"/>
  <c r="R73" i="10"/>
  <c r="J126" i="10"/>
  <c r="I126" i="10"/>
  <c r="O267" i="10"/>
  <c r="R267" i="10"/>
  <c r="R160" i="10"/>
  <c r="O160" i="10"/>
  <c r="O114" i="10"/>
  <c r="R114" i="10"/>
  <c r="Q118" i="10"/>
  <c r="N118" i="10"/>
  <c r="Q161" i="10"/>
  <c r="N161" i="10"/>
  <c r="N70" i="10"/>
  <c r="Q70" i="10"/>
  <c r="R91" i="10"/>
  <c r="O91" i="10"/>
  <c r="N264" i="10"/>
  <c r="Q264" i="10"/>
  <c r="O274" i="10"/>
  <c r="R274" i="10"/>
  <c r="O48" i="10"/>
  <c r="R48" i="10"/>
  <c r="I246" i="10"/>
  <c r="J246" i="10"/>
  <c r="R42" i="10"/>
  <c r="O42" i="10"/>
  <c r="O220" i="10"/>
  <c r="R220" i="10"/>
  <c r="Q66" i="10"/>
  <c r="N66" i="10"/>
  <c r="N10" i="10"/>
  <c r="Q10" i="10"/>
  <c r="M252" i="10"/>
  <c r="M254" i="10"/>
  <c r="P277" i="10"/>
  <c r="J209" i="10"/>
  <c r="I209" i="10"/>
  <c r="O292" i="10"/>
  <c r="R292" i="10"/>
  <c r="N270" i="10"/>
  <c r="Q270" i="10"/>
  <c r="R116" i="10"/>
  <c r="O116" i="10"/>
  <c r="O199" i="10"/>
  <c r="R199" i="10"/>
  <c r="I76" i="10"/>
  <c r="J76" i="10"/>
  <c r="Q92" i="10"/>
  <c r="N92" i="10"/>
  <c r="N144" i="10"/>
  <c r="Q144" i="10"/>
  <c r="R166" i="10"/>
  <c r="O166" i="10"/>
  <c r="O193" i="10"/>
  <c r="R193" i="10"/>
  <c r="O211" i="10"/>
  <c r="R211" i="10"/>
  <c r="O13" i="10"/>
  <c r="R13" i="10"/>
  <c r="R244" i="10"/>
  <c r="O244" i="10"/>
  <c r="R89" i="10"/>
  <c r="O89" i="10"/>
  <c r="R298" i="10"/>
  <c r="O298" i="10"/>
  <c r="I196" i="10"/>
  <c r="J196" i="10"/>
  <c r="N113" i="10"/>
  <c r="Q113" i="10"/>
  <c r="O294" i="10"/>
  <c r="R294" i="10"/>
  <c r="O164" i="10"/>
  <c r="R164" i="10"/>
  <c r="Q99" i="10"/>
  <c r="N99" i="10"/>
  <c r="M179" i="10"/>
  <c r="M177" i="10"/>
  <c r="M52" i="10"/>
  <c r="M54" i="10"/>
  <c r="R273" i="10"/>
  <c r="O273" i="10"/>
  <c r="N117" i="10"/>
  <c r="Q117" i="10"/>
  <c r="O95" i="10"/>
  <c r="R95" i="10"/>
  <c r="Q135" i="10"/>
  <c r="N135" i="10"/>
  <c r="Q139" i="10"/>
  <c r="N139" i="10"/>
  <c r="O74" i="10"/>
  <c r="R74" i="10"/>
  <c r="F23" i="39"/>
  <c r="N23" i="39"/>
  <c r="J23" i="39"/>
  <c r="G23" i="39"/>
  <c r="H23" i="39"/>
  <c r="I23" i="39"/>
  <c r="K23" i="39"/>
  <c r="O23" i="39"/>
  <c r="L23" i="39"/>
  <c r="M23" i="39"/>
  <c r="Q111" i="10"/>
  <c r="N111" i="10"/>
  <c r="I51" i="10"/>
  <c r="J51" i="10"/>
  <c r="N145" i="10"/>
  <c r="Q145" i="10"/>
  <c r="N41" i="10"/>
  <c r="Q41" i="10"/>
  <c r="N36" i="10"/>
  <c r="Q36" i="10"/>
  <c r="Q38" i="10"/>
  <c r="N38" i="10"/>
  <c r="R15" i="10"/>
  <c r="O15" i="10"/>
  <c r="O250" i="10"/>
  <c r="R250" i="10"/>
  <c r="J17" i="10"/>
  <c r="I17" i="10"/>
  <c r="Q242" i="10"/>
  <c r="N242" i="10"/>
  <c r="R69" i="10"/>
  <c r="O69" i="10"/>
  <c r="R175" i="10"/>
  <c r="O175" i="10"/>
  <c r="P23" i="10"/>
  <c r="M127" i="10"/>
  <c r="M129" i="10"/>
  <c r="M154" i="10"/>
  <c r="M152" i="10"/>
  <c r="R98" i="10"/>
  <c r="O98" i="10"/>
  <c r="O120" i="10"/>
  <c r="R120" i="10"/>
  <c r="R291" i="10"/>
  <c r="O291" i="10"/>
  <c r="O239" i="10"/>
  <c r="R239" i="10"/>
  <c r="O148" i="10"/>
  <c r="R148" i="10"/>
  <c r="J226" i="10"/>
  <c r="I226" i="10"/>
  <c r="O63" i="10"/>
  <c r="R63" i="10"/>
  <c r="O44" i="10"/>
  <c r="R44" i="10"/>
  <c r="O12" i="10"/>
  <c r="R12" i="10"/>
  <c r="O289" i="10"/>
  <c r="R289" i="10"/>
  <c r="R49" i="10"/>
  <c r="O49" i="10"/>
  <c r="Q123" i="10"/>
  <c r="N123" i="10"/>
  <c r="N245" i="10"/>
  <c r="Q245" i="10"/>
  <c r="Q35" i="10"/>
  <c r="N35" i="10"/>
  <c r="N200" i="10"/>
  <c r="Q200" i="10"/>
  <c r="J9" i="40"/>
  <c r="P9" i="40"/>
  <c r="I9" i="40"/>
  <c r="R9" i="40"/>
  <c r="N9" i="40"/>
  <c r="O9" i="40"/>
  <c r="M9" i="40"/>
  <c r="K9" i="40"/>
  <c r="Q9" i="40"/>
  <c r="L9" i="40"/>
  <c r="Q224" i="10"/>
  <c r="N224" i="10"/>
  <c r="O223" i="10"/>
  <c r="R223" i="10"/>
  <c r="J296" i="10"/>
  <c r="I296" i="10"/>
  <c r="N67" i="10"/>
  <c r="Q67" i="10"/>
  <c r="N94" i="10"/>
  <c r="Q94" i="10"/>
  <c r="Q141" i="10"/>
  <c r="N141" i="10"/>
  <c r="R189" i="10"/>
  <c r="O189" i="10"/>
  <c r="O149" i="10"/>
  <c r="R149" i="10"/>
  <c r="J284" i="10"/>
  <c r="I284" i="10"/>
  <c r="M104" i="10"/>
  <c r="M102" i="10"/>
  <c r="O169" i="10"/>
  <c r="R169" i="10"/>
  <c r="O50" i="10"/>
  <c r="R50" i="10"/>
  <c r="R268" i="10"/>
  <c r="O268" i="10"/>
  <c r="R136" i="10"/>
  <c r="O136" i="10"/>
  <c r="J251" i="10"/>
  <c r="I251" i="10"/>
  <c r="Q267" i="10"/>
  <c r="N267" i="10"/>
  <c r="N160" i="10"/>
  <c r="Q160" i="10"/>
  <c r="N114" i="10"/>
  <c r="Q114" i="10"/>
  <c r="F38" i="14"/>
  <c r="L38" i="14"/>
  <c r="J38" i="14"/>
  <c r="H38" i="14"/>
  <c r="M38" i="14"/>
  <c r="G38" i="14"/>
  <c r="O38" i="14"/>
  <c r="P38" i="14" s="1"/>
  <c r="Q38" i="14" s="1"/>
  <c r="K38" i="14"/>
  <c r="I38" i="14"/>
  <c r="N38" i="14"/>
  <c r="O173" i="10"/>
  <c r="R173" i="10"/>
  <c r="Q192" i="10"/>
  <c r="N192" i="10"/>
  <c r="O60" i="10"/>
  <c r="R60" i="10"/>
  <c r="O125" i="10"/>
  <c r="R125" i="10"/>
  <c r="R168" i="10"/>
  <c r="O168" i="10"/>
  <c r="Q274" i="10"/>
  <c r="N274" i="10"/>
  <c r="N48" i="10"/>
  <c r="Q48" i="10"/>
  <c r="N88" i="10"/>
  <c r="Q88" i="10"/>
  <c r="N185" i="10"/>
  <c r="Q185" i="10"/>
  <c r="O150" i="10"/>
  <c r="R150" i="10"/>
  <c r="O243" i="10"/>
  <c r="R243" i="10"/>
  <c r="P252" i="10"/>
  <c r="I259" i="10"/>
  <c r="J259" i="10"/>
  <c r="O236" i="10"/>
  <c r="R236" i="10"/>
  <c r="R138" i="10"/>
  <c r="O138" i="10"/>
  <c r="N6" i="10"/>
  <c r="Q6" i="10"/>
  <c r="N116" i="10"/>
  <c r="Q116" i="10"/>
  <c r="R143" i="10"/>
  <c r="O143" i="10"/>
  <c r="Q286" i="10"/>
  <c r="N286" i="10"/>
  <c r="J201" i="10"/>
  <c r="I201" i="10"/>
  <c r="R92" i="10"/>
  <c r="O92" i="10"/>
  <c r="O144" i="10"/>
  <c r="R144" i="10"/>
  <c r="N166" i="10"/>
  <c r="Q166" i="10"/>
  <c r="N193" i="10"/>
  <c r="Q193" i="10"/>
  <c r="Q211" i="10"/>
  <c r="N211" i="10"/>
  <c r="Q13" i="10"/>
  <c r="N13" i="10"/>
  <c r="N244" i="10"/>
  <c r="Q244" i="10"/>
  <c r="N89" i="10"/>
  <c r="Q89" i="10"/>
  <c r="N298" i="10"/>
  <c r="Q298" i="10"/>
  <c r="O45" i="10"/>
  <c r="R45" i="10"/>
  <c r="O260" i="10"/>
  <c r="R260" i="10"/>
  <c r="N164" i="10"/>
  <c r="Q164" i="10"/>
  <c r="F15" i="38"/>
  <c r="I34" i="10"/>
  <c r="J34" i="10"/>
  <c r="N273" i="10"/>
  <c r="Q273" i="10"/>
  <c r="O117" i="10"/>
  <c r="R117" i="10"/>
  <c r="Q95" i="10"/>
  <c r="N95" i="10"/>
  <c r="R135" i="10"/>
  <c r="O135" i="10"/>
  <c r="O139" i="10"/>
  <c r="R139" i="10"/>
  <c r="N74" i="10"/>
  <c r="Q74" i="10"/>
  <c r="O111" i="10"/>
  <c r="R111" i="10"/>
  <c r="I22" i="10"/>
  <c r="J22" i="10"/>
  <c r="N238" i="10"/>
  <c r="Q238" i="10"/>
  <c r="O235" i="10"/>
  <c r="R235" i="10"/>
  <c r="O275" i="10"/>
  <c r="R275" i="10"/>
  <c r="O217" i="10"/>
  <c r="R217" i="10"/>
  <c r="R170" i="10"/>
  <c r="O170" i="10"/>
  <c r="R210" i="10"/>
  <c r="O210" i="10"/>
  <c r="N250" i="10"/>
  <c r="Q250" i="10"/>
  <c r="R299" i="10"/>
  <c r="O299" i="10"/>
  <c r="O186" i="10"/>
  <c r="R186" i="10"/>
  <c r="J146" i="10"/>
  <c r="I146" i="10"/>
  <c r="O242" i="10"/>
  <c r="R242" i="10"/>
  <c r="Q69" i="10"/>
  <c r="N69" i="10"/>
  <c r="Q175" i="10"/>
  <c r="N175" i="10"/>
  <c r="M25" i="10"/>
  <c r="M23" i="10"/>
  <c r="J134" i="10"/>
  <c r="I134" i="10"/>
  <c r="N98" i="10"/>
  <c r="Q98" i="10"/>
  <c r="N120" i="10"/>
  <c r="Q120" i="10"/>
  <c r="Q291" i="10"/>
  <c r="N291" i="10"/>
  <c r="N239" i="10"/>
  <c r="Q239" i="10"/>
  <c r="N148" i="10"/>
  <c r="Q148" i="10"/>
  <c r="J301" i="10"/>
  <c r="I301" i="10"/>
  <c r="I276" i="10"/>
  <c r="J276" i="10"/>
  <c r="O142" i="10"/>
  <c r="R142" i="10"/>
  <c r="N195" i="10"/>
  <c r="Q195" i="10"/>
  <c r="N194" i="10"/>
  <c r="Q194" i="10"/>
  <c r="O100" i="10"/>
  <c r="R100" i="10"/>
  <c r="R293" i="10"/>
  <c r="O293" i="10"/>
  <c r="N249" i="10"/>
  <c r="Q249" i="10"/>
  <c r="O288" i="10"/>
  <c r="R288" i="10"/>
  <c r="Q269" i="10"/>
  <c r="N269" i="10"/>
  <c r="R216" i="10"/>
  <c r="O216" i="10"/>
  <c r="O200" i="10"/>
  <c r="R200" i="10"/>
  <c r="O7" i="10"/>
  <c r="R7" i="10"/>
  <c r="N223" i="10"/>
  <c r="Q223" i="10"/>
  <c r="N213" i="10"/>
  <c r="Q213" i="10"/>
  <c r="Q85" i="10"/>
  <c r="N85" i="10"/>
  <c r="O300" i="10"/>
  <c r="R300" i="10"/>
  <c r="Q93" i="10"/>
  <c r="N93" i="10"/>
  <c r="Q149" i="10"/>
  <c r="N149" i="10"/>
  <c r="M79" i="10"/>
  <c r="M77" i="10"/>
  <c r="O263" i="10"/>
  <c r="R263" i="10"/>
  <c r="R110" i="10"/>
  <c r="O110" i="10"/>
  <c r="Q50" i="10"/>
  <c r="N50" i="10"/>
  <c r="N268" i="10"/>
  <c r="Q268" i="10"/>
  <c r="N136" i="10"/>
  <c r="Q136" i="10"/>
  <c r="N16" i="10"/>
  <c r="Q16" i="10"/>
  <c r="R75" i="10"/>
  <c r="O75" i="10"/>
  <c r="P29" i="14"/>
  <c r="G29" i="14"/>
  <c r="L29" i="14"/>
  <c r="Q29" i="14"/>
  <c r="N29" i="14"/>
  <c r="O29" i="14"/>
  <c r="K29" i="14"/>
  <c r="M29" i="14"/>
  <c r="H29" i="14"/>
  <c r="J29" i="14"/>
  <c r="F29" i="14"/>
  <c r="I29" i="14"/>
  <c r="N173" i="10"/>
  <c r="Q173" i="10"/>
  <c r="O192" i="10"/>
  <c r="R192" i="10"/>
  <c r="Q60" i="10"/>
  <c r="N60" i="10"/>
  <c r="N125" i="10"/>
  <c r="Q125" i="10"/>
  <c r="N168" i="10"/>
  <c r="Q168" i="10"/>
  <c r="O261" i="10"/>
  <c r="R261" i="10"/>
  <c r="I271" i="10"/>
  <c r="J271" i="10"/>
  <c r="O88" i="10"/>
  <c r="R88" i="10"/>
  <c r="O185" i="10"/>
  <c r="R185" i="10"/>
  <c r="N150" i="10"/>
  <c r="Q150" i="10"/>
  <c r="N243" i="10"/>
  <c r="Q243" i="10"/>
  <c r="J26" i="14"/>
  <c r="J31" i="14" s="1"/>
  <c r="K26" i="14"/>
  <c r="K31" i="14" s="1"/>
  <c r="P26" i="14"/>
  <c r="P31" i="14" s="1"/>
  <c r="O26" i="14"/>
  <c r="O31" i="14" s="1"/>
  <c r="H26" i="14"/>
  <c r="H31" i="14" s="1"/>
  <c r="G26" i="14"/>
  <c r="G31" i="14" s="1"/>
  <c r="Q26" i="14"/>
  <c r="Q31" i="14" s="1"/>
  <c r="O51" i="39" s="1"/>
  <c r="N26" i="14"/>
  <c r="N31" i="14" s="1"/>
  <c r="L26" i="14"/>
  <c r="L31" i="14" s="1"/>
  <c r="F26" i="14"/>
  <c r="F31" i="14" s="1"/>
  <c r="M26" i="14"/>
  <c r="M31" i="14" s="1"/>
  <c r="I26" i="14"/>
  <c r="I31" i="14" s="1"/>
  <c r="O20" i="10"/>
  <c r="R20" i="10"/>
  <c r="J234" i="10"/>
  <c r="I234" i="10"/>
  <c r="M229" i="10"/>
  <c r="M227" i="10"/>
  <c r="Q236" i="10"/>
  <c r="N236" i="10"/>
  <c r="N138" i="10"/>
  <c r="Q138" i="10"/>
  <c r="R6" i="10"/>
  <c r="O6" i="10"/>
  <c r="Q21" i="10"/>
  <c r="N21" i="10"/>
  <c r="Q143" i="10"/>
  <c r="N143" i="10"/>
  <c r="O286" i="10"/>
  <c r="R286" i="10"/>
  <c r="O188" i="10"/>
  <c r="R188" i="10"/>
  <c r="O285" i="10"/>
  <c r="R285" i="10"/>
  <c r="N39" i="10"/>
  <c r="Q39" i="10"/>
  <c r="N124" i="10"/>
  <c r="Q124" i="10"/>
  <c r="N248" i="10"/>
  <c r="Q248" i="10"/>
  <c r="R163" i="10"/>
  <c r="O163" i="10"/>
  <c r="N191" i="10"/>
  <c r="Q191" i="10"/>
  <c r="O43" i="10"/>
  <c r="R43" i="10"/>
  <c r="I96" i="10"/>
  <c r="J96" i="10"/>
  <c r="Q45" i="10"/>
  <c r="N45" i="10"/>
  <c r="N260" i="10"/>
  <c r="Q260" i="10"/>
  <c r="E43" i="39"/>
  <c r="D43" i="39"/>
  <c r="L42" i="39"/>
  <c r="K42" i="39"/>
  <c r="V42" i="39"/>
  <c r="D10" i="38" l="1"/>
  <c r="E10" i="38"/>
  <c r="Q276" i="10"/>
  <c r="N276" i="10"/>
  <c r="O146" i="10"/>
  <c r="R146" i="10"/>
  <c r="N22" i="10"/>
  <c r="Q22" i="10"/>
  <c r="O34" i="10"/>
  <c r="R34" i="10"/>
  <c r="R259" i="10"/>
  <c r="O259" i="10"/>
  <c r="O96" i="10"/>
  <c r="R96" i="10"/>
  <c r="N234" i="10"/>
  <c r="Q234" i="10"/>
  <c r="N301" i="10"/>
  <c r="Q301" i="10"/>
  <c r="N134" i="10"/>
  <c r="Q134" i="10"/>
  <c r="Q34" i="10"/>
  <c r="N34" i="10"/>
  <c r="Q259" i="10"/>
  <c r="N259" i="10"/>
  <c r="Q296" i="10"/>
  <c r="N296" i="10"/>
  <c r="N226" i="10"/>
  <c r="Q226" i="10"/>
  <c r="R17" i="10"/>
  <c r="O17" i="10"/>
  <c r="O196" i="10"/>
  <c r="R196" i="10"/>
  <c r="O76" i="10"/>
  <c r="R76" i="10"/>
  <c r="O246" i="10"/>
  <c r="R246" i="10"/>
  <c r="N126" i="10"/>
  <c r="Q126" i="10"/>
  <c r="H40" i="14"/>
  <c r="K40" i="14"/>
  <c r="O46" i="10"/>
  <c r="R46" i="10"/>
  <c r="O184" i="10"/>
  <c r="R184" i="10"/>
  <c r="N101" i="10"/>
  <c r="Q101" i="10"/>
  <c r="O121" i="10"/>
  <c r="R121" i="10"/>
  <c r="O176" i="10"/>
  <c r="R176" i="10"/>
  <c r="N84" i="10"/>
  <c r="Q84" i="10"/>
  <c r="O221" i="10"/>
  <c r="R221" i="10"/>
  <c r="R5" i="10"/>
  <c r="O5" i="10"/>
  <c r="R159" i="10"/>
  <c r="O159" i="10"/>
  <c r="N96" i="10"/>
  <c r="Q96" i="10"/>
  <c r="O271" i="10"/>
  <c r="R271" i="10"/>
  <c r="O301" i="10"/>
  <c r="R301" i="10"/>
  <c r="N201" i="10"/>
  <c r="Q201" i="10"/>
  <c r="O296" i="10"/>
  <c r="R296" i="10"/>
  <c r="O226" i="10"/>
  <c r="R226" i="10"/>
  <c r="O51" i="10"/>
  <c r="R51" i="10"/>
  <c r="N196" i="10"/>
  <c r="Q196" i="10"/>
  <c r="Q76" i="10"/>
  <c r="N76" i="10"/>
  <c r="N246" i="10"/>
  <c r="Q246" i="10"/>
  <c r="O126" i="10"/>
  <c r="R126" i="10"/>
  <c r="N171" i="10"/>
  <c r="Q171" i="10"/>
  <c r="I40" i="14"/>
  <c r="G40" i="14"/>
  <c r="M40" i="14"/>
  <c r="R71" i="10"/>
  <c r="O71" i="10"/>
  <c r="Q176" i="10"/>
  <c r="N176" i="10"/>
  <c r="O84" i="10"/>
  <c r="R84" i="10"/>
  <c r="N221" i="10"/>
  <c r="Q221" i="10"/>
  <c r="N5" i="10"/>
  <c r="Q5" i="10"/>
  <c r="N159" i="10"/>
  <c r="Q159" i="10"/>
  <c r="O234" i="10"/>
  <c r="R234" i="10"/>
  <c r="O134" i="10"/>
  <c r="R134" i="10"/>
  <c r="Q271" i="10"/>
  <c r="N271" i="10"/>
  <c r="O276" i="10"/>
  <c r="R276" i="10"/>
  <c r="N146" i="10"/>
  <c r="Q146" i="10"/>
  <c r="O22" i="10"/>
  <c r="R22" i="10"/>
  <c r="O201" i="10"/>
  <c r="R201" i="10"/>
  <c r="N251" i="10"/>
  <c r="Q251" i="10"/>
  <c r="Q284" i="10"/>
  <c r="N284" i="10"/>
  <c r="Q51" i="10"/>
  <c r="N51" i="10"/>
  <c r="N209" i="10"/>
  <c r="Q209" i="10"/>
  <c r="R59" i="10"/>
  <c r="O59" i="10"/>
  <c r="E9" i="40"/>
  <c r="O171" i="10"/>
  <c r="R171" i="10"/>
  <c r="P37" i="14"/>
  <c r="O40" i="14"/>
  <c r="F40" i="14"/>
  <c r="N40" i="14"/>
  <c r="N71" i="10"/>
  <c r="Q71" i="10"/>
  <c r="Q109" i="10"/>
  <c r="N109" i="10"/>
  <c r="N151" i="10"/>
  <c r="Q151" i="10"/>
  <c r="O251" i="10"/>
  <c r="R251" i="10"/>
  <c r="O284" i="10"/>
  <c r="R284" i="10"/>
  <c r="Q17" i="10"/>
  <c r="N17" i="10"/>
  <c r="O209" i="10"/>
  <c r="R209" i="10"/>
  <c r="N59" i="10"/>
  <c r="Q59" i="10"/>
  <c r="F9" i="40"/>
  <c r="L40" i="14"/>
  <c r="J40" i="14"/>
  <c r="N46" i="10"/>
  <c r="Q46" i="10"/>
  <c r="Q184" i="10"/>
  <c r="N184" i="10"/>
  <c r="O101" i="10"/>
  <c r="R101" i="10"/>
  <c r="Q121" i="10"/>
  <c r="N121" i="10"/>
  <c r="O109" i="10"/>
  <c r="R109" i="10"/>
  <c r="O151" i="10"/>
  <c r="R151" i="10"/>
  <c r="W42" i="39"/>
  <c r="I42" i="39" s="1"/>
  <c r="J42" i="39"/>
  <c r="N25" i="10" l="1"/>
  <c r="Q229" i="10"/>
  <c r="Q227" i="10"/>
  <c r="R154" i="10"/>
  <c r="R152" i="10"/>
  <c r="N23" i="10"/>
  <c r="R104" i="10"/>
  <c r="R102" i="10"/>
  <c r="O177" i="10"/>
  <c r="O179" i="10"/>
  <c r="N104" i="10"/>
  <c r="N102" i="10"/>
  <c r="R204" i="10"/>
  <c r="R202" i="10"/>
  <c r="Q279" i="10"/>
  <c r="Q277" i="10"/>
  <c r="N152" i="10"/>
  <c r="N154" i="10"/>
  <c r="O277" i="10"/>
  <c r="O279" i="10"/>
  <c r="R229" i="10"/>
  <c r="R227" i="10"/>
  <c r="O302" i="10"/>
  <c r="O304" i="10"/>
  <c r="N302" i="10"/>
  <c r="N304" i="10"/>
  <c r="O154" i="10"/>
  <c r="O152" i="10"/>
  <c r="Q179" i="10"/>
  <c r="Q177" i="10"/>
  <c r="O102" i="10"/>
  <c r="O104" i="10"/>
  <c r="R177" i="10"/>
  <c r="R179" i="10"/>
  <c r="O202" i="10"/>
  <c r="O204" i="10"/>
  <c r="N54" i="10"/>
  <c r="N52" i="10"/>
  <c r="R277" i="10"/>
  <c r="R279" i="10"/>
  <c r="O229" i="10"/>
  <c r="O227" i="10"/>
  <c r="N229" i="10"/>
  <c r="N227" i="10"/>
  <c r="Q79" i="10"/>
  <c r="Q77" i="10"/>
  <c r="N129" i="10"/>
  <c r="N127" i="10"/>
  <c r="Q37" i="14"/>
  <c r="Q40" i="14" s="1"/>
  <c r="P40" i="14"/>
  <c r="O79" i="10"/>
  <c r="O77" i="10"/>
  <c r="Q304" i="10"/>
  <c r="Q302" i="10"/>
  <c r="R252" i="10"/>
  <c r="R254" i="10"/>
  <c r="N179" i="10"/>
  <c r="N177" i="10"/>
  <c r="O25" i="10"/>
  <c r="O23" i="10"/>
  <c r="Q52" i="10"/>
  <c r="Q54" i="10"/>
  <c r="Q254" i="10"/>
  <c r="Q252" i="10"/>
  <c r="R52" i="10"/>
  <c r="R54" i="10"/>
  <c r="R304" i="10"/>
  <c r="R302" i="10"/>
  <c r="R127" i="10"/>
  <c r="R129" i="10"/>
  <c r="N204" i="10"/>
  <c r="N202" i="10"/>
  <c r="O129" i="10"/>
  <c r="O127" i="10"/>
  <c r="Q202" i="10"/>
  <c r="Q204" i="10"/>
  <c r="N77" i="10"/>
  <c r="N79" i="10"/>
  <c r="Q127" i="10"/>
  <c r="Q129" i="10"/>
  <c r="R79" i="10"/>
  <c r="R77" i="10"/>
  <c r="O252" i="10"/>
  <c r="O254" i="10"/>
  <c r="Q23" i="10"/>
  <c r="Q25" i="10"/>
  <c r="R25" i="10"/>
  <c r="R23" i="10"/>
  <c r="Q104" i="10"/>
  <c r="Q102" i="10"/>
  <c r="N277" i="10"/>
  <c r="N279" i="10"/>
  <c r="Q154" i="10"/>
  <c r="Q152" i="10"/>
  <c r="N252" i="10"/>
  <c r="N254" i="10"/>
  <c r="O54" i="10"/>
  <c r="O52" i="10"/>
  <c r="X42" i="39"/>
  <c r="J14" i="38" l="1"/>
  <c r="J15" i="38" s="1"/>
  <c r="L14" i="38"/>
  <c r="L15" i="38" s="1"/>
  <c r="I14" i="38"/>
  <c r="I15" i="38" s="1"/>
  <c r="N14" i="38"/>
  <c r="N15" i="38" s="1"/>
  <c r="G14" i="38"/>
  <c r="K14" i="38"/>
  <c r="K15" i="38" s="1"/>
  <c r="H14" i="38"/>
  <c r="H15" i="38" s="1"/>
  <c r="P14" i="38"/>
  <c r="P15" i="38" s="1"/>
  <c r="M14" i="38"/>
  <c r="M15" i="38" s="1"/>
  <c r="O14" i="38"/>
  <c r="O15" i="38" s="1"/>
  <c r="X10" i="39"/>
  <c r="S10" i="39"/>
  <c r="T10" i="39"/>
  <c r="R10" i="39"/>
  <c r="Q10" i="39"/>
  <c r="Z10" i="39"/>
  <c r="Y10" i="39"/>
  <c r="U10" i="39"/>
  <c r="V10" i="39"/>
  <c r="W10" i="39"/>
  <c r="Z16" i="39"/>
  <c r="Q16" i="39"/>
  <c r="X16" i="39"/>
  <c r="Y16" i="39"/>
  <c r="T16" i="39"/>
  <c r="R16" i="39"/>
  <c r="W16" i="39"/>
  <c r="V16" i="39"/>
  <c r="U16" i="39"/>
  <c r="S16" i="39"/>
  <c r="W7" i="39"/>
  <c r="Z7" i="39"/>
  <c r="T7" i="39"/>
  <c r="S7" i="39"/>
  <c r="V7" i="39"/>
  <c r="Q7" i="39"/>
  <c r="Y7" i="39"/>
  <c r="U7" i="39"/>
  <c r="X7" i="39"/>
  <c r="R7" i="39"/>
  <c r="Y9" i="39"/>
  <c r="S9" i="39"/>
  <c r="X9" i="39"/>
  <c r="R9" i="39"/>
  <c r="W9" i="39"/>
  <c r="V9" i="39"/>
  <c r="Q9" i="39"/>
  <c r="U9" i="39"/>
  <c r="Z9" i="39"/>
  <c r="T9" i="39"/>
  <c r="W15" i="39"/>
  <c r="R15" i="39"/>
  <c r="Q15" i="39"/>
  <c r="T15" i="39"/>
  <c r="V15" i="39"/>
  <c r="X15" i="39"/>
  <c r="U15" i="39"/>
  <c r="Z15" i="39"/>
  <c r="Y15" i="39"/>
  <c r="S15" i="39"/>
  <c r="S12" i="39"/>
  <c r="U12" i="39"/>
  <c r="R12" i="39"/>
  <c r="W12" i="39"/>
  <c r="Y12" i="39"/>
  <c r="T12" i="39"/>
  <c r="X12" i="39"/>
  <c r="V12" i="39"/>
  <c r="Q12" i="39"/>
  <c r="Z12" i="39"/>
  <c r="U13" i="39"/>
  <c r="Q13" i="39"/>
  <c r="V13" i="39"/>
  <c r="X13" i="39"/>
  <c r="T13" i="39"/>
  <c r="R13" i="39"/>
  <c r="S13" i="39"/>
  <c r="Y13" i="39"/>
  <c r="W13" i="39"/>
  <c r="Z13" i="39"/>
  <c r="S8" i="39"/>
  <c r="U8" i="39"/>
  <c r="V8" i="39"/>
  <c r="T8" i="39"/>
  <c r="Q8" i="39"/>
  <c r="R8" i="39"/>
  <c r="W8" i="39"/>
  <c r="Y8" i="39"/>
  <c r="Z8" i="39"/>
  <c r="X8" i="39"/>
  <c r="W11" i="39"/>
  <c r="U11" i="39"/>
  <c r="Z11" i="39"/>
  <c r="Q11" i="39"/>
  <c r="Y11" i="39"/>
  <c r="T11" i="39"/>
  <c r="R11" i="39"/>
  <c r="S11" i="39"/>
  <c r="X11" i="39"/>
  <c r="V11" i="39"/>
  <c r="Y14" i="39"/>
  <c r="Z14" i="39"/>
  <c r="T14" i="39"/>
  <c r="Q14" i="39"/>
  <c r="S14" i="39"/>
  <c r="X14" i="39"/>
  <c r="R14" i="39"/>
  <c r="W14" i="39"/>
  <c r="U14" i="39"/>
  <c r="V14" i="39"/>
  <c r="Y18" i="39"/>
  <c r="W18" i="39"/>
  <c r="T18" i="39"/>
  <c r="R18" i="39"/>
  <c r="Q18" i="39"/>
  <c r="X18" i="39"/>
  <c r="V18" i="39"/>
  <c r="S18" i="39"/>
  <c r="U18" i="39"/>
  <c r="Z18" i="39"/>
  <c r="U17" i="39"/>
  <c r="T17" i="39"/>
  <c r="S17" i="39"/>
  <c r="Z17" i="39"/>
  <c r="W17" i="39"/>
  <c r="V17" i="39"/>
  <c r="R17" i="39"/>
  <c r="X17" i="39"/>
  <c r="Y17" i="39"/>
  <c r="Q17" i="39"/>
  <c r="S44" i="39"/>
  <c r="Z44" i="39"/>
  <c r="U44" i="39"/>
  <c r="T44" i="39"/>
  <c r="V44" i="39"/>
  <c r="Q44" i="39"/>
  <c r="M44" i="39" s="1"/>
  <c r="W44" i="39"/>
  <c r="X44" i="39"/>
  <c r="R44" i="39"/>
  <c r="Y44" i="39"/>
  <c r="Y42" i="39"/>
  <c r="Z42" i="39" s="1"/>
  <c r="H42" i="39"/>
  <c r="F42" i="39" l="1"/>
  <c r="D42" i="39" s="1"/>
  <c r="I18" i="39"/>
  <c r="I37" i="39" s="1"/>
  <c r="J18" i="39"/>
  <c r="J37" i="39" s="1"/>
  <c r="M18" i="39"/>
  <c r="M37" i="39" s="1"/>
  <c r="K18" i="39"/>
  <c r="K37" i="39" s="1"/>
  <c r="N18" i="39"/>
  <c r="N37" i="39" s="1"/>
  <c r="O18" i="39"/>
  <c r="O37" i="39" s="1"/>
  <c r="G18" i="39"/>
  <c r="G37" i="39" s="1"/>
  <c r="F18" i="39"/>
  <c r="F37" i="39" s="1"/>
  <c r="D18" i="39"/>
  <c r="H18" i="39"/>
  <c r="H37" i="39" s="1"/>
  <c r="L18" i="39"/>
  <c r="L37" i="39" s="1"/>
  <c r="E18" i="39"/>
  <c r="O9" i="39"/>
  <c r="O28" i="39" s="1"/>
  <c r="E9" i="39"/>
  <c r="G9" i="39"/>
  <c r="G28" i="39" s="1"/>
  <c r="K9" i="39"/>
  <c r="K28" i="39" s="1"/>
  <c r="I9" i="39"/>
  <c r="I28" i="39" s="1"/>
  <c r="N9" i="39"/>
  <c r="N28" i="39" s="1"/>
  <c r="H9" i="39"/>
  <c r="H28" i="39" s="1"/>
  <c r="M9" i="39"/>
  <c r="M28" i="39" s="1"/>
  <c r="D9" i="39"/>
  <c r="L9" i="39"/>
  <c r="L28" i="39" s="1"/>
  <c r="J9" i="39"/>
  <c r="J28" i="39" s="1"/>
  <c r="F9" i="39"/>
  <c r="F28" i="39" s="1"/>
  <c r="K16" i="39"/>
  <c r="K35" i="39" s="1"/>
  <c r="D16" i="39"/>
  <c r="H16" i="39"/>
  <c r="H35" i="39" s="1"/>
  <c r="L16" i="39"/>
  <c r="L35" i="39" s="1"/>
  <c r="J16" i="39"/>
  <c r="J35" i="39" s="1"/>
  <c r="I16" i="39"/>
  <c r="I35" i="39" s="1"/>
  <c r="F16" i="39"/>
  <c r="F35" i="39" s="1"/>
  <c r="E16" i="39"/>
  <c r="M16" i="39"/>
  <c r="M35" i="39" s="1"/>
  <c r="G16" i="39"/>
  <c r="G35" i="39" s="1"/>
  <c r="O16" i="39"/>
  <c r="O35" i="39" s="1"/>
  <c r="N16" i="39"/>
  <c r="N35" i="39" s="1"/>
  <c r="I44" i="39"/>
  <c r="I45" i="39" s="1"/>
  <c r="G44" i="39"/>
  <c r="O44" i="39"/>
  <c r="O45" i="39" s="1"/>
  <c r="K44" i="39"/>
  <c r="K45" i="39" s="1"/>
  <c r="H44" i="39"/>
  <c r="H45" i="39" s="1"/>
  <c r="N44" i="39"/>
  <c r="N45" i="39" s="1"/>
  <c r="J44" i="39"/>
  <c r="J45" i="39" s="1"/>
  <c r="L44" i="39"/>
  <c r="L45" i="39" s="1"/>
  <c r="F44" i="39"/>
  <c r="L17" i="39"/>
  <c r="L36" i="39" s="1"/>
  <c r="G17" i="39"/>
  <c r="G36" i="39" s="1"/>
  <c r="I17" i="39"/>
  <c r="I36" i="39" s="1"/>
  <c r="O17" i="39"/>
  <c r="O36" i="39" s="1"/>
  <c r="N17" i="39"/>
  <c r="N36" i="39" s="1"/>
  <c r="K17" i="39"/>
  <c r="K36" i="39" s="1"/>
  <c r="M17" i="39"/>
  <c r="M36" i="39" s="1"/>
  <c r="F17" i="39"/>
  <c r="F36" i="39" s="1"/>
  <c r="D17" i="39"/>
  <c r="J17" i="39"/>
  <c r="J36" i="39" s="1"/>
  <c r="H17" i="39"/>
  <c r="H36" i="39" s="1"/>
  <c r="E17" i="39"/>
  <c r="M11" i="39"/>
  <c r="M30" i="39" s="1"/>
  <c r="N11" i="39"/>
  <c r="N30" i="39" s="1"/>
  <c r="K11" i="39"/>
  <c r="K30" i="39" s="1"/>
  <c r="F11" i="39"/>
  <c r="F30" i="39" s="1"/>
  <c r="G11" i="39"/>
  <c r="G30" i="39" s="1"/>
  <c r="J11" i="39"/>
  <c r="J30" i="39" s="1"/>
  <c r="H11" i="39"/>
  <c r="H30" i="39" s="1"/>
  <c r="O11" i="39"/>
  <c r="O30" i="39" s="1"/>
  <c r="L11" i="39"/>
  <c r="L30" i="39" s="1"/>
  <c r="E11" i="39"/>
  <c r="D11" i="39"/>
  <c r="I11" i="39"/>
  <c r="I30" i="39" s="1"/>
  <c r="N8" i="39"/>
  <c r="N27" i="39" s="1"/>
  <c r="J8" i="39"/>
  <c r="J27" i="39" s="1"/>
  <c r="O8" i="39"/>
  <c r="O27" i="39" s="1"/>
  <c r="F8" i="39"/>
  <c r="F27" i="39" s="1"/>
  <c r="L8" i="39"/>
  <c r="L27" i="39" s="1"/>
  <c r="D8" i="39"/>
  <c r="H8" i="39"/>
  <c r="H27" i="39" s="1"/>
  <c r="I8" i="39"/>
  <c r="I27" i="39" s="1"/>
  <c r="K8" i="39"/>
  <c r="K27" i="39" s="1"/>
  <c r="E8" i="39"/>
  <c r="M8" i="39"/>
  <c r="M27" i="39" s="1"/>
  <c r="G8" i="39"/>
  <c r="G27" i="39" s="1"/>
  <c r="K12" i="39"/>
  <c r="K31" i="39" s="1"/>
  <c r="L12" i="39"/>
  <c r="L31" i="39" s="1"/>
  <c r="D12" i="39"/>
  <c r="I12" i="39"/>
  <c r="I31" i="39" s="1"/>
  <c r="O12" i="39"/>
  <c r="O31" i="39" s="1"/>
  <c r="G12" i="39"/>
  <c r="G31" i="39" s="1"/>
  <c r="M12" i="39"/>
  <c r="M31" i="39" s="1"/>
  <c r="E12" i="39"/>
  <c r="F12" i="39"/>
  <c r="F31" i="39" s="1"/>
  <c r="J12" i="39"/>
  <c r="J31" i="39" s="1"/>
  <c r="H12" i="39"/>
  <c r="H31" i="39" s="1"/>
  <c r="N12" i="39"/>
  <c r="N31" i="39" s="1"/>
  <c r="H15" i="39"/>
  <c r="H34" i="39" s="1"/>
  <c r="I15" i="39"/>
  <c r="I34" i="39" s="1"/>
  <c r="D15" i="39"/>
  <c r="N15" i="39"/>
  <c r="N34" i="39" s="1"/>
  <c r="L15" i="39"/>
  <c r="L34" i="39" s="1"/>
  <c r="F15" i="39"/>
  <c r="F34" i="39" s="1"/>
  <c r="O15" i="39"/>
  <c r="O34" i="39" s="1"/>
  <c r="M15" i="39"/>
  <c r="M34" i="39" s="1"/>
  <c r="J15" i="39"/>
  <c r="J34" i="39" s="1"/>
  <c r="G15" i="39"/>
  <c r="G34" i="39" s="1"/>
  <c r="E15" i="39"/>
  <c r="K15" i="39"/>
  <c r="K34" i="39" s="1"/>
  <c r="K14" i="39"/>
  <c r="K33" i="39" s="1"/>
  <c r="H14" i="39"/>
  <c r="H33" i="39" s="1"/>
  <c r="E14" i="39"/>
  <c r="F14" i="39"/>
  <c r="F33" i="39" s="1"/>
  <c r="L14" i="39"/>
  <c r="L33" i="39" s="1"/>
  <c r="G14" i="39"/>
  <c r="G33" i="39" s="1"/>
  <c r="O14" i="39"/>
  <c r="O33" i="39" s="1"/>
  <c r="D14" i="39"/>
  <c r="I14" i="39"/>
  <c r="I33" i="39" s="1"/>
  <c r="J14" i="39"/>
  <c r="J33" i="39" s="1"/>
  <c r="M14" i="39"/>
  <c r="M33" i="39" s="1"/>
  <c r="N14" i="39"/>
  <c r="N33" i="39" s="1"/>
  <c r="F13" i="39"/>
  <c r="F32" i="39" s="1"/>
  <c r="I13" i="39"/>
  <c r="I32" i="39" s="1"/>
  <c r="L13" i="39"/>
  <c r="L32" i="39" s="1"/>
  <c r="J13" i="39"/>
  <c r="J32" i="39" s="1"/>
  <c r="M13" i="39"/>
  <c r="M32" i="39" s="1"/>
  <c r="N13" i="39"/>
  <c r="N32" i="39" s="1"/>
  <c r="O13" i="39"/>
  <c r="O32" i="39" s="1"/>
  <c r="G13" i="39"/>
  <c r="G32" i="39" s="1"/>
  <c r="D13" i="39"/>
  <c r="K13" i="39"/>
  <c r="K32" i="39" s="1"/>
  <c r="H13" i="39"/>
  <c r="H32" i="39" s="1"/>
  <c r="E13" i="39"/>
  <c r="E7" i="39"/>
  <c r="J7" i="39"/>
  <c r="L7" i="39"/>
  <c r="K7" i="39"/>
  <c r="H7" i="39"/>
  <c r="M7" i="39"/>
  <c r="G7" i="39"/>
  <c r="N7" i="39"/>
  <c r="I7" i="39"/>
  <c r="F7" i="39"/>
  <c r="O7" i="39"/>
  <c r="D7" i="39"/>
  <c r="E22" i="39"/>
  <c r="D22" i="39"/>
  <c r="D21" i="39"/>
  <c r="E21" i="39"/>
  <c r="E23" i="39"/>
  <c r="D23" i="39"/>
  <c r="E10" i="39"/>
  <c r="K10" i="39"/>
  <c r="K29" i="39" s="1"/>
  <c r="N10" i="39"/>
  <c r="N29" i="39" s="1"/>
  <c r="L10" i="39"/>
  <c r="L29" i="39" s="1"/>
  <c r="G10" i="39"/>
  <c r="G29" i="39" s="1"/>
  <c r="O10" i="39"/>
  <c r="O29" i="39" s="1"/>
  <c r="H10" i="39"/>
  <c r="H29" i="39" s="1"/>
  <c r="I10" i="39"/>
  <c r="I29" i="39" s="1"/>
  <c r="F10" i="39"/>
  <c r="F29" i="39" s="1"/>
  <c r="M10" i="39"/>
  <c r="M29" i="39" s="1"/>
  <c r="D10" i="39"/>
  <c r="J10" i="39"/>
  <c r="J29" i="39" s="1"/>
  <c r="E14" i="38"/>
  <c r="E16" i="38" s="1"/>
  <c r="E17" i="38" s="1"/>
  <c r="D14" i="38"/>
  <c r="D16" i="38" s="1"/>
  <c r="D17" i="38" s="1"/>
  <c r="G15" i="38"/>
  <c r="G42" i="39"/>
  <c r="E42" i="39" l="1"/>
  <c r="G45" i="39"/>
  <c r="D29" i="39"/>
  <c r="F45" i="39"/>
  <c r="E29" i="39"/>
  <c r="D26" i="39"/>
  <c r="N26" i="39"/>
  <c r="K26" i="39"/>
  <c r="E32" i="39"/>
  <c r="D33" i="39"/>
  <c r="E31" i="39"/>
  <c r="M45" i="39"/>
  <c r="D28" i="39"/>
  <c r="O26" i="39"/>
  <c r="G26" i="39"/>
  <c r="L26" i="39"/>
  <c r="E33" i="39"/>
  <c r="E34" i="39"/>
  <c r="D34" i="39"/>
  <c r="D31" i="39"/>
  <c r="E35" i="39"/>
  <c r="F26" i="39"/>
  <c r="M26" i="39"/>
  <c r="J26" i="39"/>
  <c r="E27" i="39"/>
  <c r="D27" i="39"/>
  <c r="D30" i="39"/>
  <c r="D36" i="39"/>
  <c r="D37" i="39"/>
  <c r="I26" i="39"/>
  <c r="H26" i="39"/>
  <c r="E26" i="39"/>
  <c r="D32" i="39"/>
  <c r="E30" i="39"/>
  <c r="E36" i="39"/>
  <c r="E44" i="39"/>
  <c r="D44" i="39"/>
  <c r="D45" i="39" s="1"/>
  <c r="D35" i="39"/>
  <c r="E28" i="39"/>
  <c r="E37" i="39"/>
  <c r="E45" i="39" l="1"/>
  <c r="G52" i="39" l="1"/>
  <c r="E52" i="39"/>
  <c r="O52" i="39"/>
  <c r="N52" i="39"/>
  <c r="J52" i="39"/>
  <c r="L52" i="39"/>
  <c r="M52" i="39"/>
  <c r="I52" i="39"/>
  <c r="K52" i="39"/>
  <c r="F52" i="39"/>
  <c r="H52" i="39"/>
  <c r="D52" i="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Schleicher</author>
  </authors>
  <commentList>
    <comment ref="C13" authorId="0" shapeId="0" xr:uid="{00000000-0006-0000-0E00-000001000000}">
      <text>
        <r>
          <rPr>
            <b/>
            <sz val="9"/>
            <color indexed="81"/>
            <rFont val="Tahoma"/>
            <family val="2"/>
          </rPr>
          <t>Michael Schleicher:</t>
        </r>
        <r>
          <rPr>
            <sz val="9"/>
            <color indexed="81"/>
            <rFont val="Tahoma"/>
            <family val="2"/>
          </rPr>
          <t xml:space="preserve">
adjust for lower BoQ of only 70%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Michael Schleicher</author>
  </authors>
  <commentList>
    <comment ref="B10" authorId="0" shapeId="0" xr:uid="{00000000-0006-0000-0F00-000002000000}">
      <text>
        <r>
          <rPr>
            <b/>
            <sz val="9"/>
            <color rgb="FF000000"/>
            <rFont val="Tahoma"/>
            <family val="2"/>
          </rPr>
          <t>Michael Schleicher:</t>
        </r>
        <r>
          <rPr>
            <sz val="9"/>
            <color rgb="FF000000"/>
            <rFont val="Tahoma"/>
            <family val="2"/>
          </rPr>
          <t xml:space="preserve">
</t>
        </r>
        <r>
          <rPr>
            <sz val="9"/>
            <color rgb="FF000000"/>
            <rFont val="Tahoma"/>
            <family val="2"/>
          </rPr>
          <t>note nicely adjusted for "per hospital", yet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tc={73684BC0-07C3-2440-9148-50461F6B4CDA}</author>
    <author>Michael Schleicher</author>
  </authors>
  <commentList>
    <comment ref="A2" authorId="0" shapeId="0" xr:uid="{00000000-0006-0000-1100-000001000000}">
      <text>
        <t>[Threaded comment]
Your version of Excel allows you to read this threaded comment; however, any edits to it will get removed if the file is opened in a newer version of Excel. Learn more: https://go.microsoft.com/fwlink/?linkid=870924
Comment:
    Calc of downtime ist nur für 35% der BoQ möglich</t>
      </text>
    </comment>
    <comment ref="A42" authorId="1" shapeId="0" xr:uid="{00000000-0006-0000-1100-000002000000}">
      <text>
        <r>
          <rPr>
            <b/>
            <sz val="9"/>
            <color indexed="81"/>
            <rFont val="Tahoma"/>
            <family val="2"/>
          </rPr>
          <t>Michael Schleicher:</t>
        </r>
        <r>
          <rPr>
            <sz val="9"/>
            <color indexed="81"/>
            <rFont val="Tahoma"/>
            <family val="2"/>
          </rPr>
          <t xml:space="preserve">
note nicely adjusted for "per hospital", yet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tc={E441CD9B-8B20-FF4E-B166-E292B1EE6991}</author>
  </authors>
  <commentList>
    <comment ref="M20" authorId="0" shapeId="0" xr:uid="{00000000-0006-0000-1300-000002000000}">
      <text>
        <t>[Threaded comment]
Your version of Excel allows you to read this threaded comment; however, any edits to it will get removed if the file is opened in a newer version of Excel. Learn more: https://go.microsoft.com/fwlink/?linkid=870924
Comment:
    Unteschied aus „tatischen“ Erwägungen</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tc={2BE54995-478A-8843-A2CC-70C479BF7AFF}</author>
    <author>tc={EAB60B95-B7E8-1B44-94AA-2825BB17FF69}</author>
    <author>tc={96AF01C6-B35A-5B43-BE8D-A175D6D65CE3}</author>
    <author>tc={1A25CDA2-5876-ED4A-B098-B90F359C7012}</author>
    <author>tc={07D72E7B-375A-C143-AD82-CFEDAB3A8F0B}</author>
    <author>tc={D824297A-F435-4D4B-9739-A3EDC614F390}</author>
    <author>tc={02AD5409-64CE-134D-9586-8AC99FA062C9}</author>
    <author>tc={F7128CE7-3DE3-6648-86B5-A60ED74ECE18}</author>
    <author>tc={CD1AC5BC-DE53-0E4D-BAA8-584A839A34A3}</author>
    <author>tc={EAA84DCA-B1B0-2D45-9611-36040D8EA83D}</author>
    <author>tc={DD544A77-6463-414A-A7D2-ED2C91BC61A7}</author>
    <author>tc={F454A2A5-73B3-CF44-9E3E-B558E02C26A8}</author>
    <author>tc={88E6A9AC-138B-B549-AE55-F594DFEAA630}</author>
  </authors>
  <commentList>
    <comment ref="K23" authorId="0" shapeId="0" xr:uid="{00000000-0006-0000-1400-000001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M27" authorId="1" shapeId="0" xr:uid="{EAB60B95-B7E8-1B44-94AA-2825BB17FF69}">
      <text>
        <t>[Threaded comment]
Your version of Excel allows you to read this threaded comment; however, any edits to it will get removed if the file is opened in a newer version of Excel. Learn more: https://go.microsoft.com/fwlink/?linkid=870924
Comment:
    Share of Devices that are in District Hospitals of the Device Types Considered</t>
      </text>
    </comment>
    <comment ref="K52" authorId="2" shapeId="0" xr:uid="{00000000-0006-0000-1400-000002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77" authorId="3" shapeId="0" xr:uid="{00000000-0006-0000-1400-000003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102" authorId="4" shapeId="0" xr:uid="{00000000-0006-0000-1400-000004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127" authorId="5" shapeId="0" xr:uid="{00000000-0006-0000-1400-000005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152" authorId="6" shapeId="0" xr:uid="{00000000-0006-0000-1400-000006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177" authorId="7" shapeId="0" xr:uid="{00000000-0006-0000-1400-000007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202" authorId="8" shapeId="0" xr:uid="{00000000-0006-0000-1400-000008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227" authorId="9" shapeId="0" xr:uid="{00000000-0006-0000-1400-000009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252" authorId="10" shapeId="0" xr:uid="{00000000-0006-0000-1400-00000A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277" authorId="11" shapeId="0" xr:uid="{00000000-0006-0000-1400-00000B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 ref="K302" authorId="12" shapeId="0" xr:uid="{00000000-0006-0000-1400-00000C000000}">
      <text>
        <t>[Threaded comment]
Your version of Excel allows you to read this threaded comment; however, any edits to it will get removed if the file is opened in a newer version of Excel. Learn more: https://go.microsoft.com/fwlink/?linkid=870924
Comment:
    Nur District Hospitals</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Michael Schleicher</author>
  </authors>
  <commentList>
    <comment ref="I4" authorId="0" shapeId="0" xr:uid="{00000000-0006-0000-1700-000001000000}">
      <text>
        <r>
          <rPr>
            <b/>
            <sz val="9"/>
            <color rgb="FF000000"/>
            <rFont val="Tahoma"/>
            <family val="2"/>
          </rPr>
          <t>Michael Schleicher:</t>
        </r>
        <r>
          <rPr>
            <sz val="9"/>
            <color rgb="FF000000"/>
            <rFont val="Tahoma"/>
            <family val="2"/>
          </rPr>
          <t xml:space="preserve">
</t>
        </r>
        <r>
          <rPr>
            <sz val="9"/>
            <color rgb="FF000000"/>
            <rFont val="Tahoma"/>
            <family val="2"/>
          </rPr>
          <t>average number at the hospital level</t>
        </r>
      </text>
    </comment>
    <comment ref="G5" authorId="0" shapeId="0" xr:uid="{00000000-0006-0000-1700-000002000000}">
      <text>
        <r>
          <rPr>
            <b/>
            <sz val="9"/>
            <color rgb="FF000000"/>
            <rFont val="Tahoma"/>
            <family val="2"/>
          </rPr>
          <t>Michael Schleicher:</t>
        </r>
        <r>
          <rPr>
            <sz val="9"/>
            <color rgb="FF000000"/>
            <rFont val="Tahoma"/>
            <family val="2"/>
          </rPr>
          <t xml:space="preserve">
</t>
        </r>
        <r>
          <rPr>
            <sz val="9"/>
            <color rgb="FF000000"/>
            <rFont val="Tahoma"/>
            <family val="2"/>
          </rPr>
          <t>Average downtime in first ppm round</t>
        </r>
      </text>
    </comment>
    <comment ref="H5" authorId="0" shapeId="0" xr:uid="{00000000-0006-0000-1700-000003000000}">
      <text>
        <r>
          <rPr>
            <b/>
            <sz val="9"/>
            <color rgb="FF000000"/>
            <rFont val="Tahoma"/>
            <family val="2"/>
          </rPr>
          <t>Michael Schleicher:</t>
        </r>
        <r>
          <rPr>
            <sz val="9"/>
            <color rgb="FF000000"/>
            <rFont val="Tahoma"/>
            <family val="2"/>
          </rPr>
          <t xml:space="preserve">
</t>
        </r>
        <r>
          <rPr>
            <sz val="9"/>
            <color rgb="FF000000"/>
            <rFont val="Tahoma"/>
            <family val="2"/>
          </rPr>
          <t>average downtime in the last ppm rounds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Michael Schleicher</author>
  </authors>
  <commentList>
    <comment ref="K3" authorId="0" shapeId="0" xr:uid="{00000000-0006-0000-1900-000001000000}">
      <text>
        <r>
          <rPr>
            <b/>
            <sz val="9"/>
            <color rgb="FF000000"/>
            <rFont val="Tahoma"/>
            <family val="2"/>
          </rPr>
          <t>Michael Schleicher:</t>
        </r>
        <r>
          <rPr>
            <sz val="9"/>
            <color rgb="FF000000"/>
            <rFont val="Tahoma"/>
            <family val="2"/>
          </rPr>
          <t xml:space="preserve">
</t>
        </r>
        <r>
          <rPr>
            <sz val="9"/>
            <color rgb="FF000000"/>
            <rFont val="Tahoma"/>
            <family val="2"/>
          </rPr>
          <t>the year to which the reported value refers to</t>
        </r>
      </text>
    </comment>
    <comment ref="N3" authorId="0" shapeId="0" xr:uid="{00000000-0006-0000-1900-000002000000}">
      <text>
        <r>
          <rPr>
            <b/>
            <sz val="9"/>
            <color rgb="FF000000"/>
            <rFont val="Tahoma"/>
            <family val="2"/>
          </rPr>
          <t>Michael Schleicher:</t>
        </r>
        <r>
          <rPr>
            <sz val="9"/>
            <color rgb="FF000000"/>
            <rFont val="Tahoma"/>
            <family val="2"/>
          </rPr>
          <t xml:space="preserve">
</t>
        </r>
        <r>
          <rPr>
            <sz val="9"/>
            <color rgb="FF000000"/>
            <rFont val="Tahoma"/>
            <family val="2"/>
          </rPr>
          <t>inflation rate over reference and reported year</t>
        </r>
      </text>
    </comment>
    <comment ref="O3" authorId="0" shapeId="0" xr:uid="{00000000-0006-0000-1900-000003000000}">
      <text>
        <r>
          <rPr>
            <b/>
            <sz val="9"/>
            <color rgb="FF000000"/>
            <rFont val="Tahoma"/>
            <family val="2"/>
          </rPr>
          <t>Michael Schleicher:</t>
        </r>
        <r>
          <rPr>
            <sz val="9"/>
            <color rgb="FF000000"/>
            <rFont val="Tahoma"/>
            <family val="2"/>
          </rPr>
          <t xml:space="preserve">
</t>
        </r>
        <r>
          <rPr>
            <sz val="9"/>
            <color rgb="FF000000"/>
            <rFont val="Tahoma"/>
            <family val="2"/>
          </rPr>
          <t>value in €uro, based on reported year</t>
        </r>
      </text>
    </comment>
    <comment ref="P3" authorId="0" shapeId="0" xr:uid="{CD99CFC0-4801-754C-B427-CA8BE22DEDC9}">
      <text>
        <r>
          <rPr>
            <b/>
            <sz val="9"/>
            <color rgb="FF000000"/>
            <rFont val="Tahoma"/>
            <family val="2"/>
          </rPr>
          <t>Michael Schleicher:</t>
        </r>
        <r>
          <rPr>
            <sz val="9"/>
            <color rgb="FF000000"/>
            <rFont val="Tahoma"/>
            <family val="2"/>
          </rPr>
          <t xml:space="preserve">
</t>
        </r>
        <r>
          <rPr>
            <sz val="9"/>
            <color rgb="FF000000"/>
            <rFont val="Tahoma"/>
            <family val="2"/>
          </rPr>
          <t>inflation rate over reference and reported year</t>
        </r>
      </text>
    </comment>
    <comment ref="G7" authorId="0" shapeId="0" xr:uid="{00000000-0006-0000-1900-000004000000}">
      <text>
        <r>
          <rPr>
            <b/>
            <sz val="9"/>
            <color indexed="81"/>
            <rFont val="Tahoma"/>
            <family val="2"/>
          </rPr>
          <t>Michael Schleicher:</t>
        </r>
        <r>
          <rPr>
            <sz val="9"/>
            <color indexed="81"/>
            <rFont val="Tahoma"/>
            <family val="2"/>
          </rPr>
          <t xml:space="preserve">
in square foot</t>
        </r>
      </text>
    </comment>
    <comment ref="B15" authorId="0" shapeId="0" xr:uid="{00000000-0006-0000-1900-000005000000}">
      <text>
        <r>
          <rPr>
            <b/>
            <sz val="9"/>
            <color indexed="81"/>
            <rFont val="Tahoma"/>
            <family val="2"/>
          </rPr>
          <t>Michael Schleicher:</t>
        </r>
        <r>
          <rPr>
            <sz val="9"/>
            <color indexed="81"/>
            <rFont val="Tahoma"/>
            <family val="2"/>
          </rPr>
          <t xml:space="preserve">
Looking at the mileage counter, you can estimate for the project car about 30,000 km / year for supervision and project monitoring, a good part of this on rough roads.</t>
        </r>
      </text>
    </comment>
    <comment ref="P18" authorId="0" shapeId="0" xr:uid="{00000000-0006-0000-1900-000006000000}">
      <text>
        <r>
          <rPr>
            <b/>
            <sz val="9"/>
            <color rgb="FF000000"/>
            <rFont val="Tahoma"/>
            <family val="2"/>
          </rPr>
          <t>Michael Schleicher:</t>
        </r>
        <r>
          <rPr>
            <sz val="9"/>
            <color rgb="FF000000"/>
            <rFont val="Tahoma"/>
            <family val="2"/>
          </rPr>
          <t xml:space="preserve">
</t>
        </r>
        <r>
          <rPr>
            <sz val="9"/>
            <color rgb="FF000000"/>
            <rFont val="Tahoma"/>
            <family val="2"/>
          </rPr>
          <t>110,000 Euro are stated to account for PLAMAHS development and training, of which I deducted 25 p.p because of overlaps with existing PAM structure</t>
        </r>
      </text>
    </comment>
    <comment ref="B38" authorId="0" shapeId="0" xr:uid="{00000000-0006-0000-1900-000007000000}">
      <text>
        <r>
          <rPr>
            <b/>
            <sz val="9"/>
            <color rgb="FF000000"/>
            <rFont val="Tahoma"/>
            <family val="2"/>
          </rPr>
          <t>Michael Schleicher:</t>
        </r>
        <r>
          <rPr>
            <sz val="9"/>
            <color rgb="FF000000"/>
            <rFont val="Tahoma"/>
            <family val="2"/>
          </rPr>
          <t xml:space="preserve">
</t>
        </r>
        <r>
          <rPr>
            <sz val="9"/>
            <color rgb="FF000000"/>
            <rFont val="Tahoma"/>
            <family val="2"/>
          </rPr>
          <t>Looking at the mileage counter, you can estimate for the project car about 30,000 km / year for supervision and project monitoring, a good part of this on rough roads.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tc={5D5A6038-CAB8-1647-820F-75EC0392B46C}</author>
    <author>Michael Schleicher</author>
  </authors>
  <commentList>
    <comment ref="A29" authorId="0" shapeId="0" xr:uid="{00000000-0006-0000-1A00-000002000000}">
      <text>
        <t>[Threaded comment]
Your version of Excel allows you to read this threaded comment; however, any edits to it will get removed if the file is opened in a newer version of Excel. Learn more: https://go.microsoft.com/fwlink/?linkid=870924
Comment:
    Share of the number of devices in of the types we consider in our analysis divided by the total number of devices in the maintenance scheme</t>
      </text>
    </comment>
    <comment ref="B31" authorId="1" shapeId="0" xr:uid="{00000000-0006-0000-1A00-000003000000}">
      <text>
        <r>
          <rPr>
            <b/>
            <sz val="9"/>
            <color indexed="81"/>
            <rFont val="Tahoma"/>
            <family val="2"/>
          </rPr>
          <t>Michael Schleicher:</t>
        </r>
        <r>
          <rPr>
            <sz val="9"/>
            <color indexed="81"/>
            <rFont val="Tahoma"/>
            <family val="2"/>
          </rPr>
          <t xml:space="preserve">
so far not nicely calculated per HF</t>
        </r>
      </text>
    </comment>
    <comment ref="G35" authorId="1" shapeId="0" xr:uid="{00000000-0006-0000-1A00-000004000000}">
      <text>
        <r>
          <rPr>
            <b/>
            <sz val="9"/>
            <color indexed="81"/>
            <rFont val="Tahoma"/>
            <family val="2"/>
          </rPr>
          <t>Michael Schleicher:</t>
        </r>
        <r>
          <rPr>
            <sz val="9"/>
            <color indexed="81"/>
            <rFont val="Tahoma"/>
            <family val="2"/>
          </rPr>
          <t xml:space="preserve">
assume increase of 2.19 between end of t3 and t6.
Then split evenly into three steps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tc={B949A46E-586A-C74A-861B-653D1C6769DD}</author>
  </authors>
  <commentList>
    <comment ref="B2" authorId="0" shapeId="0" xr:uid="{00000000-0006-0000-1B00-000001000000}">
      <text>
        <t>[Threaded comment]
Your version of Excel allows you to read this threaded comment; however, any edits to it will get removed if the file is opened in a newer version of Excel. Learn more: https://go.microsoft.com/fwlink/?linkid=870924
Comment:
    Diese Daten kommen vom Consultant, daher schwer einzuschätzen</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L2" authorId="0" shapeId="0" xr:uid="{00000000-0006-0000-1D00-000001000000}">
      <text>
        <r>
          <rPr>
            <b/>
            <sz val="9"/>
            <color rgb="FF000000"/>
            <rFont val="Tahoma"/>
            <family val="2"/>
          </rPr>
          <t>Author:</t>
        </r>
        <r>
          <rPr>
            <sz val="9"/>
            <color rgb="FF000000"/>
            <rFont val="Tahoma"/>
            <family val="2"/>
          </rPr>
          <t xml:space="preserve">
</t>
        </r>
        <r>
          <rPr>
            <sz val="9"/>
            <color rgb="FF000000"/>
            <rFont val="Tahoma"/>
            <family val="2"/>
          </rPr>
          <t>ohiocea_medical-equipment-life-expectancy-list.pdf</t>
        </r>
      </text>
    </comment>
    <comment ref="M2" authorId="0" shapeId="0" xr:uid="{00000000-0006-0000-1D00-000002000000}">
      <text>
        <r>
          <rPr>
            <b/>
            <sz val="9"/>
            <color rgb="FF000000"/>
            <rFont val="Tahoma"/>
            <family val="2"/>
          </rPr>
          <t>Author:</t>
        </r>
        <r>
          <rPr>
            <sz val="9"/>
            <color rgb="FF000000"/>
            <rFont val="Tahoma"/>
            <family val="2"/>
          </rPr>
          <t xml:space="preserve">
</t>
        </r>
        <r>
          <rPr>
            <sz val="9"/>
            <color rgb="FF000000"/>
            <rFont val="Tahoma"/>
            <family val="2"/>
          </rPr>
          <t>BEAG_Life Span of Biomedical Devices - Guidance Paper Final.pdf</t>
        </r>
      </text>
    </comment>
    <comment ref="L40" authorId="0" shapeId="0" xr:uid="{00000000-0006-0000-1D00-000003000000}">
      <text>
        <r>
          <rPr>
            <b/>
            <sz val="9"/>
            <color indexed="81"/>
            <rFont val="Tahoma"/>
            <family val="2"/>
          </rPr>
          <t>Author:</t>
        </r>
        <r>
          <rPr>
            <sz val="9"/>
            <color indexed="81"/>
            <rFont val="Tahoma"/>
            <family val="2"/>
          </rPr>
          <t xml:space="preserve">
specific generator</t>
        </r>
      </text>
    </comment>
    <comment ref="L54" authorId="0" shapeId="0" xr:uid="{00000000-0006-0000-1D00-000004000000}">
      <text>
        <r>
          <rPr>
            <b/>
            <sz val="9"/>
            <color indexed="81"/>
            <rFont val="Tahoma"/>
            <family val="2"/>
          </rPr>
          <t>Author:</t>
        </r>
        <r>
          <rPr>
            <sz val="9"/>
            <color indexed="81"/>
            <rFont val="Tahoma"/>
            <family val="2"/>
          </rPr>
          <t xml:space="preserve">
pulse=5y</t>
        </r>
      </text>
    </comment>
  </commentList>
</comments>
</file>

<file path=xl/sharedStrings.xml><?xml version="1.0" encoding="utf-8"?>
<sst xmlns="http://schemas.openxmlformats.org/spreadsheetml/2006/main" count="2127" uniqueCount="694">
  <si>
    <t>Maintenance Cost</t>
  </si>
  <si>
    <t>Total Cost</t>
  </si>
  <si>
    <t>Monitoring</t>
  </si>
  <si>
    <t>XRAY</t>
  </si>
  <si>
    <t>ULS</t>
  </si>
  <si>
    <t>ECG</t>
  </si>
  <si>
    <t>w\o MTN</t>
  </si>
  <si>
    <t>w MTN</t>
  </si>
  <si>
    <t>ecg</t>
  </si>
  <si>
    <t>a</t>
  </si>
  <si>
    <t>b</t>
  </si>
  <si>
    <t>Laboratory equipment</t>
  </si>
  <si>
    <t>Ultrasound imaging</t>
  </si>
  <si>
    <t>Xray imaging</t>
  </si>
  <si>
    <t>Equipment type:</t>
  </si>
  <si>
    <t>c</t>
  </si>
  <si>
    <t>analyser</t>
  </si>
  <si>
    <t>centrifuge</t>
  </si>
  <si>
    <t>microscope</t>
  </si>
  <si>
    <t>refrigerator</t>
  </si>
  <si>
    <t>freezer</t>
  </si>
  <si>
    <t>d</t>
  </si>
  <si>
    <t>e</t>
  </si>
  <si>
    <t>f</t>
  </si>
  <si>
    <t>anaesthesia unit</t>
  </si>
  <si>
    <t>electrosurgical unit</t>
  </si>
  <si>
    <t>operating light</t>
  </si>
  <si>
    <t>oxygen concentrator</t>
  </si>
  <si>
    <t>strelizing unit</t>
  </si>
  <si>
    <t>operating table</t>
  </si>
  <si>
    <t>monitor</t>
  </si>
  <si>
    <t>ANL</t>
  </si>
  <si>
    <t>CEN</t>
  </si>
  <si>
    <t>MIC</t>
  </si>
  <si>
    <t>CLD</t>
  </si>
  <si>
    <t>ANS</t>
  </si>
  <si>
    <t>ESU</t>
  </si>
  <si>
    <t>LGHT</t>
  </si>
  <si>
    <t>OXG</t>
  </si>
  <si>
    <t>STR</t>
  </si>
  <si>
    <t>TAB</t>
  </si>
  <si>
    <t>MON</t>
  </si>
  <si>
    <t>Surgical equipment</t>
  </si>
  <si>
    <t>Cold chain equipment</t>
  </si>
  <si>
    <t>Life Expectancy</t>
  </si>
  <si>
    <t>Running cost</t>
  </si>
  <si>
    <t>Start-up cost</t>
  </si>
  <si>
    <t>IT-System</t>
  </si>
  <si>
    <t>Car</t>
  </si>
  <si>
    <t>share</t>
  </si>
  <si>
    <t>RTM</t>
  </si>
  <si>
    <t>quant</t>
  </si>
  <si>
    <t>PAM Engineer</t>
  </si>
  <si>
    <t>PAM Chief</t>
  </si>
  <si>
    <t>Rooms</t>
  </si>
  <si>
    <t>price tot</t>
  </si>
  <si>
    <t>RIA</t>
  </si>
  <si>
    <t>ref period</t>
  </si>
  <si>
    <t>p.m.</t>
  </si>
  <si>
    <t>Original price obtained:</t>
  </si>
  <si>
    <t>original</t>
  </si>
  <si>
    <t>Effective price</t>
  </si>
  <si>
    <t>rep year</t>
  </si>
  <si>
    <t>Consultant</t>
  </si>
  <si>
    <t>estimates of installed value for replacement equipment of good quality, 2014 price level</t>
  </si>
  <si>
    <t>quantity</t>
  </si>
  <si>
    <t>cost in 1.000 Euro</t>
  </si>
  <si>
    <t>2014 RIA:  Equipment List in E, C, W</t>
  </si>
  <si>
    <t>found</t>
  </si>
  <si>
    <t>unit</t>
  </si>
  <si>
    <t>total</t>
  </si>
  <si>
    <t>Imaging</t>
  </si>
  <si>
    <t>X-Ray unit, stationary 100mA</t>
  </si>
  <si>
    <t>X-Ray unit, stationary 300mA</t>
  </si>
  <si>
    <t>X-Ray unit, stationary 500mA</t>
  </si>
  <si>
    <t>X-Ray unit, C-arm, image intensifier</t>
  </si>
  <si>
    <t>X-Ray unit, mobile</t>
  </si>
  <si>
    <t>X-Ray unit, dental, panoramic</t>
  </si>
  <si>
    <t>X-Ray unit, dental</t>
  </si>
  <si>
    <t>X-Ray film processor, automatic</t>
  </si>
  <si>
    <t>X-Ray film dryer, automatic</t>
  </si>
  <si>
    <t>Scanner, ultrasonic, portable</t>
  </si>
  <si>
    <t>Scanner, ultrasonic, diagnostic</t>
  </si>
  <si>
    <t>Scanner, ultrasonic, Doppler</t>
  </si>
  <si>
    <t>Printer for ultrasound scanner</t>
  </si>
  <si>
    <t>Diagnostic</t>
  </si>
  <si>
    <t>Electrocardiograph, multi channel</t>
  </si>
  <si>
    <t>Electrocardiograph, single channel</t>
  </si>
  <si>
    <t>Electroencephalograph</t>
  </si>
  <si>
    <t>ENT Treatment Unit</t>
  </si>
  <si>
    <t>Endoscope ENT, with Monitor</t>
  </si>
  <si>
    <t>Endoscope</t>
  </si>
  <si>
    <t>Bronchoscope</t>
  </si>
  <si>
    <t>Colonoscope</t>
  </si>
  <si>
    <t>Laparoscope</t>
  </si>
  <si>
    <t>Insufflator for laparoscope</t>
  </si>
  <si>
    <t xml:space="preserve">Colposcope </t>
  </si>
  <si>
    <t>Monitor, multiparameter, centralized</t>
  </si>
  <si>
    <t>Monitor, multiparameters</t>
  </si>
  <si>
    <t xml:space="preserve">Ultrasonic foetal heart monitor </t>
  </si>
  <si>
    <t>Audiometer</t>
  </si>
  <si>
    <t>Cardio Tocographic (CTG) Machine</t>
  </si>
  <si>
    <t xml:space="preserve">Tympanometer </t>
  </si>
  <si>
    <t>Pulmonary function test unit</t>
  </si>
  <si>
    <t>Laboratory</t>
  </si>
  <si>
    <t>Microscope, binocular</t>
  </si>
  <si>
    <t>Centrifuge, electric</t>
  </si>
  <si>
    <t>Centrifuge, haematocrit</t>
  </si>
  <si>
    <t>Colorimeter</t>
  </si>
  <si>
    <t>Analyser, biochemistry</t>
  </si>
  <si>
    <t>Analyser, blood gas</t>
  </si>
  <si>
    <t>Analyser, electrolyte</t>
  </si>
  <si>
    <t>Analyser, haematology</t>
  </si>
  <si>
    <t>CD4 Count Machine</t>
  </si>
  <si>
    <t>Analyser, immunoassay</t>
  </si>
  <si>
    <t>Analyzer, MTB/RIF</t>
  </si>
  <si>
    <t>Haemoglobinometer</t>
  </si>
  <si>
    <t>ELISA micro-plate reader</t>
  </si>
  <si>
    <t>Coagulometer</t>
  </si>
  <si>
    <t>Bilirubinometer</t>
  </si>
  <si>
    <t>Laboratory incubator</t>
  </si>
  <si>
    <t>Bio-safety cabinet</t>
  </si>
  <si>
    <t>Drying oven</t>
  </si>
  <si>
    <t>Shaker / mixer</t>
  </si>
  <si>
    <t>Tissue processor</t>
  </si>
  <si>
    <t>Infant incubator</t>
  </si>
  <si>
    <t>Infant incubator, transport</t>
  </si>
  <si>
    <t>Infant warmer, with sensor</t>
  </si>
  <si>
    <t>Ventilator, intensive care</t>
  </si>
  <si>
    <t>Ventilator, emergencies &amp; transport</t>
  </si>
  <si>
    <t>Infusion pump</t>
  </si>
  <si>
    <t>Air compressor, ICU</t>
  </si>
  <si>
    <t>Other</t>
  </si>
  <si>
    <t>Suction apparatus, electric</t>
  </si>
  <si>
    <t>Oxygen concentrator</t>
  </si>
  <si>
    <t>Dental unit complete</t>
  </si>
  <si>
    <t>Dental chair, electrical</t>
  </si>
  <si>
    <t xml:space="preserve">Resin curing light, dental </t>
  </si>
  <si>
    <t>Ultrasonic scaler</t>
  </si>
  <si>
    <t>Sterilizing unit, dry heat</t>
  </si>
  <si>
    <t>Sterilizing unit, non-vacuum, basic</t>
  </si>
  <si>
    <t>Sterilizing unit, non-vacuum, automatic</t>
  </si>
  <si>
    <t>Sterilizing unit, vacuum, basic</t>
  </si>
  <si>
    <t>Sterilizing unit, vacuum, automatic</t>
  </si>
  <si>
    <t>Dialysis machine</t>
  </si>
  <si>
    <t>Dialysis water treatment unit</t>
  </si>
  <si>
    <t>Lithotripter, intracorporeal, with camera</t>
  </si>
  <si>
    <t>Diathermy unit, short wave</t>
  </si>
  <si>
    <t>Electro Convulsive Therapy (ECT)</t>
  </si>
  <si>
    <t>Interferential therapy apparatus</t>
  </si>
  <si>
    <t>Ultrasonic therapy unit</t>
  </si>
  <si>
    <t xml:space="preserve">Muscle stimulator </t>
  </si>
  <si>
    <t>Syringe pump</t>
  </si>
  <si>
    <t>Digital traction unit</t>
  </si>
  <si>
    <t>Lens edging machine, automatic</t>
  </si>
  <si>
    <t>Theatre</t>
  </si>
  <si>
    <t>Anaesthesia apparatus, Boyle's</t>
  </si>
  <si>
    <t>Anaesthesia apparatus, EMO</t>
  </si>
  <si>
    <t>Anaesthesia apparatus, Ventilator</t>
  </si>
  <si>
    <t>Defibrillator</t>
  </si>
  <si>
    <t>Surgical Drill</t>
  </si>
  <si>
    <t>Electrosurgical unit, general purpose</t>
  </si>
  <si>
    <t>Electrosurgical unit, ophthalmology</t>
  </si>
  <si>
    <t>Operating light, ceiling mounted</t>
  </si>
  <si>
    <t>Operating light, mobile</t>
  </si>
  <si>
    <t>Operating light, mobile, battery backup</t>
  </si>
  <si>
    <t>Ophtalmic microscope</t>
  </si>
  <si>
    <t>Operating microscope</t>
  </si>
  <si>
    <t>Pulse oximeter, with monitor</t>
  </si>
  <si>
    <t>Operating table,  electric</t>
  </si>
  <si>
    <t>Operating table, hydraulic</t>
  </si>
  <si>
    <t>Cooling</t>
  </si>
  <si>
    <t>Air conditioner, window type</t>
  </si>
  <si>
    <t>Cold Chain</t>
  </si>
  <si>
    <t>Air conditioning unit, split type</t>
  </si>
  <si>
    <t>Cold room with cooling system</t>
  </si>
  <si>
    <t>Freezer, electric, for cold chain</t>
  </si>
  <si>
    <t>Freezer, kerosene/electric</t>
  </si>
  <si>
    <t>Freezer, solar powered</t>
  </si>
  <si>
    <t>Refrigerator, electric, for cold chain</t>
  </si>
  <si>
    <t>Refrigerator, kerosene/electric</t>
  </si>
  <si>
    <t>Mortuary refrigerator, 6 body</t>
  </si>
  <si>
    <t>Electricity</t>
  </si>
  <si>
    <t>Voltage stabilizer, up to 2 kVA</t>
  </si>
  <si>
    <t>Supply &amp;</t>
  </si>
  <si>
    <t>Voltage stabilizer, larger than 2 kVA</t>
  </si>
  <si>
    <t>Protection</t>
  </si>
  <si>
    <t>UPS, up to 2 kVA</t>
  </si>
  <si>
    <t>UPS, larger than 2 kVA</t>
  </si>
  <si>
    <t>Inverter/charger, up to 2 kVA</t>
  </si>
  <si>
    <t>Inverter/charger, larger than 2 kVA</t>
  </si>
  <si>
    <t>Generator set, up to 5.5 kVA</t>
  </si>
  <si>
    <t>Generator set, 6 to 15 kVA</t>
  </si>
  <si>
    <t>Generator set, 15 to 60 kVA</t>
  </si>
  <si>
    <t>Generator set, 100 to 320 kVA</t>
  </si>
  <si>
    <t>total items</t>
  </si>
  <si>
    <t>estimated ex-factory value</t>
  </si>
  <si>
    <t>mill Euro</t>
  </si>
  <si>
    <t>insurance, freight, customs &amp; clearing, administration, distribution, installation</t>
  </si>
  <si>
    <t>NPR/Euro</t>
  </si>
  <si>
    <t>excl VAT</t>
  </si>
  <si>
    <t>estimated installed value for replacement equipment of good quality</t>
  </si>
  <si>
    <t>mill NPR</t>
  </si>
  <si>
    <t>Crore</t>
  </si>
  <si>
    <t>target</t>
  </si>
  <si>
    <t xml:space="preserve">E &amp; C &amp; W </t>
  </si>
  <si>
    <t xml:space="preserve">total items E &amp; C &amp; W </t>
  </si>
  <si>
    <t>of which Un-commisssioned</t>
  </si>
  <si>
    <t>items to be considered for outsourcing</t>
  </si>
  <si>
    <r>
      <t>estimates for Inventory as reported</t>
    </r>
    <r>
      <rPr>
        <sz val="9"/>
        <color rgb="FF000000"/>
        <rFont val="Times New Roman"/>
        <family val="1"/>
      </rPr>
      <t xml:space="preserve"> </t>
    </r>
  </si>
  <si>
    <r>
      <t>E &amp; C &amp; W</t>
    </r>
    <r>
      <rPr>
        <sz val="9"/>
        <color rgb="FF000000"/>
        <rFont val="Times New Roman"/>
        <family val="1"/>
      </rPr>
      <t xml:space="preserve"> </t>
    </r>
  </si>
  <si>
    <r>
      <t>MW &amp; FW</t>
    </r>
    <r>
      <rPr>
        <sz val="9"/>
        <color rgb="FF000000"/>
        <rFont val="Times New Roman"/>
        <family val="1"/>
      </rPr>
      <t xml:space="preserve"> </t>
    </r>
  </si>
  <si>
    <r>
      <t>total</t>
    </r>
    <r>
      <rPr>
        <sz val="9"/>
        <color rgb="FF000000"/>
        <rFont val="Times New Roman"/>
        <family val="1"/>
      </rPr>
      <t xml:space="preserve"> </t>
    </r>
  </si>
  <si>
    <r>
      <t xml:space="preserve">equipment </t>
    </r>
    <r>
      <rPr>
        <b/>
        <sz val="9"/>
        <color rgb="FF000000"/>
        <rFont val="Arial"/>
        <family val="2"/>
      </rPr>
      <t xml:space="preserve">quantities </t>
    </r>
    <r>
      <rPr>
        <sz val="9"/>
        <color rgb="FF000000"/>
        <rFont val="Arial"/>
        <family val="2"/>
      </rPr>
      <t>in the regions</t>
    </r>
    <r>
      <rPr>
        <sz val="9"/>
        <color rgb="FF000000"/>
        <rFont val="Times New Roman"/>
        <family val="1"/>
      </rPr>
      <t xml:space="preserve"> </t>
    </r>
  </si>
  <si>
    <r>
      <t xml:space="preserve">inclusive of all suction apparatus </t>
    </r>
    <r>
      <rPr>
        <sz val="9"/>
        <color rgb="FF000000"/>
        <rFont val="Arial"/>
        <family val="2"/>
      </rPr>
      <t xml:space="preserve">but </t>
    </r>
    <r>
      <rPr>
        <b/>
        <sz val="9"/>
        <color rgb="FF000000"/>
        <rFont val="Arial"/>
        <family val="2"/>
      </rPr>
      <t>excluding un-commissioned</t>
    </r>
    <r>
      <rPr>
        <sz val="9"/>
        <color rgb="FF000000"/>
        <rFont val="Arial"/>
        <family val="2"/>
      </rPr>
      <t xml:space="preserve"> items</t>
    </r>
    <r>
      <rPr>
        <sz val="9"/>
        <color rgb="FF000000"/>
        <rFont val="Times New Roman"/>
        <family val="1"/>
      </rPr>
      <t xml:space="preserve"> </t>
    </r>
  </si>
  <si>
    <t>nation-wide</t>
  </si>
  <si>
    <r>
      <t xml:space="preserve">equipment value </t>
    </r>
    <r>
      <rPr>
        <sz val="9"/>
        <color rgb="FF000000"/>
        <rFont val="Arial"/>
        <family val="2"/>
      </rPr>
      <t>excl VAT  Mill NPR</t>
    </r>
    <r>
      <rPr>
        <sz val="9"/>
        <color rgb="FF000000"/>
        <rFont val="Times New Roman"/>
        <family val="1"/>
      </rPr>
      <t xml:space="preserve"> </t>
    </r>
  </si>
  <si>
    <r>
      <rPr>
        <b/>
        <sz val="9"/>
        <color rgb="FF000000"/>
        <rFont val="Arial"/>
        <family val="2"/>
      </rPr>
      <t>243 Crore</t>
    </r>
    <r>
      <rPr>
        <b/>
        <sz val="9"/>
        <color rgb="FF000000"/>
        <rFont val="Times New Roman"/>
        <family val="1"/>
      </rPr>
      <t xml:space="preserve"> </t>
    </r>
  </si>
  <si>
    <r>
      <t>proposed annual budget for MC / year</t>
    </r>
    <r>
      <rPr>
        <sz val="9"/>
        <color rgb="FF000000"/>
        <rFont val="Times New Roman"/>
        <family val="1"/>
      </rPr>
      <t xml:space="preserve"> </t>
    </r>
  </si>
  <si>
    <r>
      <t xml:space="preserve">excl VAT in </t>
    </r>
    <r>
      <rPr>
        <b/>
        <sz val="9"/>
        <color rgb="FF000000"/>
        <rFont val="Arial"/>
        <family val="2"/>
      </rPr>
      <t>Million NPR</t>
    </r>
    <r>
      <rPr>
        <b/>
        <sz val="9"/>
        <color rgb="FF000000"/>
        <rFont val="Times New Roman"/>
        <family val="1"/>
      </rPr>
      <t xml:space="preserve"> </t>
    </r>
  </si>
  <si>
    <r>
      <rPr>
        <b/>
        <sz val="9"/>
        <color rgb="FF000000"/>
        <rFont val="Arial"/>
        <family val="2"/>
      </rPr>
      <t>17.7 Crore</t>
    </r>
    <r>
      <rPr>
        <b/>
        <sz val="9"/>
        <color rgb="FF000000"/>
        <rFont val="Times New Roman"/>
        <family val="1"/>
      </rPr>
      <t xml:space="preserve"> </t>
    </r>
  </si>
  <si>
    <r>
      <t xml:space="preserve">as % of equipment value </t>
    </r>
    <r>
      <rPr>
        <sz val="9"/>
        <color rgb="FF000000"/>
        <rFont val="Times New Roman"/>
        <family val="1"/>
      </rPr>
      <t xml:space="preserve"> </t>
    </r>
  </si>
  <si>
    <t xml:space="preserve">MW &amp; FW </t>
  </si>
  <si>
    <r>
      <t xml:space="preserve">the exact cost of the </t>
    </r>
    <r>
      <rPr>
        <b/>
        <sz val="9"/>
        <color rgb="FF000000"/>
        <rFont val="Arial"/>
        <family val="2"/>
      </rPr>
      <t xml:space="preserve">MC contract 2011 - 2014 for MW &amp; FW </t>
    </r>
    <r>
      <rPr>
        <sz val="9"/>
        <color rgb="FF000000"/>
        <rFont val="Arial"/>
        <family val="2"/>
      </rPr>
      <t xml:space="preserve">will be known by June 2014 after the final invoices have been verified; from the current information the cost will be </t>
    </r>
    <r>
      <rPr>
        <b/>
        <sz val="9"/>
        <color rgb="FF000000"/>
        <rFont val="Arial"/>
        <family val="2"/>
      </rPr>
      <t>equivalent to about 6% of equipment value</t>
    </r>
  </si>
  <si>
    <t>Note 1:</t>
  </si>
  <si>
    <r>
      <t xml:space="preserve">a 10 % rate for outsourcing is well justified considering the logistic challenges of Nepal and is well within the internationally accepted range, which is </t>
    </r>
    <r>
      <rPr>
        <b/>
        <sz val="9"/>
        <color rgb="FF000000"/>
        <rFont val="Arial"/>
        <family val="2"/>
      </rPr>
      <t>up to 12 % for medical equipment</t>
    </r>
  </si>
  <si>
    <t>Note 2:</t>
  </si>
  <si>
    <r>
      <rPr>
        <b/>
        <sz val="9"/>
        <color rgb="FF000000"/>
        <rFont val="Arial"/>
        <family val="2"/>
      </rPr>
      <t>added value</t>
    </r>
    <r>
      <rPr>
        <sz val="9"/>
        <color rgb="FF000000"/>
        <rFont val="Arial"/>
        <family val="2"/>
      </rPr>
      <t xml:space="preserve">:  inventory up-dating is part of the MC package </t>
    </r>
  </si>
  <si>
    <t>Description</t>
  </si>
  <si>
    <t>Purchasing</t>
  </si>
  <si>
    <t>SOURCE</t>
  </si>
  <si>
    <t>A_value estimate</t>
  </si>
  <si>
    <t>Price per</t>
  </si>
  <si>
    <t>Output</t>
  </si>
  <si>
    <t>S.N.</t>
  </si>
  <si>
    <t>Investigation</t>
  </si>
  <si>
    <t>X-Ray:</t>
  </si>
  <si>
    <t>Plain X-Ray (10x12/14x17)</t>
  </si>
  <si>
    <t>CR X-Ray Small (8x10/10x12)</t>
  </si>
  <si>
    <t>X-Ray Medium (11x14)</t>
  </si>
  <si>
    <t>X-Ray Large (14x17)</t>
  </si>
  <si>
    <t>X-Ray Digital (double/three/four exposure)</t>
  </si>
  <si>
    <t>400/500/600</t>
  </si>
  <si>
    <t>Dental X-Ray</t>
  </si>
  <si>
    <t>Ultrasound</t>
  </si>
  <si>
    <t>USG A Scan (eye) and soft tissue - Neck, Breast etc. Scan</t>
  </si>
  <si>
    <t>USG (abdomen/pelvis) Scan</t>
  </si>
  <si>
    <t>USG guided FNAC</t>
  </si>
  <si>
    <t>USG B Scan</t>
  </si>
  <si>
    <t>Electrocardiogram</t>
  </si>
  <si>
    <t>Electrocardiogram ECG</t>
  </si>
  <si>
    <t>Colonoscopy</t>
  </si>
  <si>
    <t>Hematology</t>
  </si>
  <si>
    <t>TC/DC/Hb</t>
  </si>
  <si>
    <t>35/35/35</t>
  </si>
  <si>
    <t>Absolute count (Eosinophil/Neutrophil/Lymphocyte/Monocyte/Basophil) per cell type</t>
  </si>
  <si>
    <t>APTT (activated partial thromboplastine time)</t>
  </si>
  <si>
    <t>CT/BT</t>
  </si>
  <si>
    <t>Mean Corpuscular Hemoglobin (MCH)</t>
  </si>
  <si>
    <t>Mean Corpuscular Hemoglobin Concentration (MCHC)</t>
  </si>
  <si>
    <t>Mean Corpuscular Volume (MCV)</t>
  </si>
  <si>
    <t>Packed Cell Volume (PCV)</t>
  </si>
  <si>
    <t>Peripheral smear/RBC morphology comment</t>
  </si>
  <si>
    <t>Platelet count</t>
  </si>
  <si>
    <t>PT/INR</t>
  </si>
  <si>
    <t>RBC count</t>
  </si>
  <si>
    <t>Reticulocyte count</t>
  </si>
  <si>
    <t>B_service_prices</t>
  </si>
  <si>
    <t>GIZ Life Expectancy</t>
  </si>
  <si>
    <t>Category</t>
  </si>
  <si>
    <t>eqp_many</t>
  </si>
  <si>
    <t>PQ_bad1</t>
  </si>
  <si>
    <t>PQ_bad2</t>
  </si>
  <si>
    <t>PQwell1</t>
  </si>
  <si>
    <t>PQ_well2</t>
  </si>
  <si>
    <t>GQ_bad1</t>
  </si>
  <si>
    <t>GQ_bad2</t>
  </si>
  <si>
    <t>GQ_well1</t>
  </si>
  <si>
    <t>GQ_well2</t>
  </si>
  <si>
    <t>LE2</t>
  </si>
  <si>
    <t>LE3</t>
  </si>
  <si>
    <t>P2</t>
  </si>
  <si>
    <t>AC</t>
  </si>
  <si>
    <t>Air conditioner</t>
  </si>
  <si>
    <t>YES</t>
  </si>
  <si>
    <t>Anaesthesia apparatus</t>
  </si>
  <si>
    <t>Analyser</t>
  </si>
  <si>
    <t>ADM</t>
  </si>
  <si>
    <t>NO</t>
  </si>
  <si>
    <t>BLN</t>
  </si>
  <si>
    <t>Balance, electronic, laboratory</t>
  </si>
  <si>
    <t>BIR</t>
  </si>
  <si>
    <t>BSC</t>
  </si>
  <si>
    <t>-</t>
  </si>
  <si>
    <t>BRO</t>
  </si>
  <si>
    <t>CTG</t>
  </si>
  <si>
    <t>CAU</t>
  </si>
  <si>
    <t>Cautery apparatus, eye clinic</t>
  </si>
  <si>
    <t>CDF</t>
  </si>
  <si>
    <t>Centrifuge</t>
  </si>
  <si>
    <t>COS</t>
  </si>
  <si>
    <t>Change over switch, automatic</t>
  </si>
  <si>
    <t>CGLM</t>
  </si>
  <si>
    <t>CLDR</t>
  </si>
  <si>
    <t>Cold room with complete cooling system</t>
  </si>
  <si>
    <t>CLNS</t>
  </si>
  <si>
    <t>CMR</t>
  </si>
  <si>
    <t>CLPS</t>
  </si>
  <si>
    <t>Colposcope</t>
  </si>
  <si>
    <t>CMPR</t>
  </si>
  <si>
    <t>Compressor, Air, ICU</t>
  </si>
  <si>
    <t>CNV</t>
  </si>
  <si>
    <t>Converter, solar power</t>
  </si>
  <si>
    <t>CNT</t>
  </si>
  <si>
    <t>Counter, blood cell, electronic</t>
  </si>
  <si>
    <t>DEF</t>
  </si>
  <si>
    <t>DCH</t>
  </si>
  <si>
    <t>DUC</t>
  </si>
  <si>
    <t>DLSM</t>
  </si>
  <si>
    <t>DLSW</t>
  </si>
  <si>
    <t>DTU</t>
  </si>
  <si>
    <t>DRL</t>
  </si>
  <si>
    <t>Drill, surgical</t>
  </si>
  <si>
    <t>ECT</t>
  </si>
  <si>
    <t>Electrocardiograph</t>
  </si>
  <si>
    <t>EEPG</t>
  </si>
  <si>
    <t>Electrosurgical unit</t>
  </si>
  <si>
    <t>ELI</t>
  </si>
  <si>
    <t>END</t>
  </si>
  <si>
    <t>ENT</t>
  </si>
  <si>
    <t>FOT</t>
  </si>
  <si>
    <t>Fiber optic tube, colonoscope</t>
  </si>
  <si>
    <t>FRZ</t>
  </si>
  <si>
    <t>Freezer</t>
  </si>
  <si>
    <t>GNR</t>
  </si>
  <si>
    <t>Generator</t>
  </si>
  <si>
    <t>HAEM</t>
  </si>
  <si>
    <t>INC</t>
  </si>
  <si>
    <t>Incubator</t>
  </si>
  <si>
    <t>INS</t>
  </si>
  <si>
    <t>Insufflator</t>
  </si>
  <si>
    <t>ITA</t>
  </si>
  <si>
    <t>INV</t>
  </si>
  <si>
    <t>Inverter</t>
  </si>
  <si>
    <t>LAP</t>
  </si>
  <si>
    <t>LEM</t>
  </si>
  <si>
    <t>Lens edging machine, automatic, optician</t>
  </si>
  <si>
    <t>Light</t>
  </si>
  <si>
    <t>LITH</t>
  </si>
  <si>
    <t>Lithotripter, intracorporeal pneumatic, with camera</t>
  </si>
  <si>
    <t>Microscope</t>
  </si>
  <si>
    <t>MIX</t>
  </si>
  <si>
    <t>Mixer, Vortex</t>
  </si>
  <si>
    <t>Monitor</t>
  </si>
  <si>
    <t>OVN</t>
  </si>
  <si>
    <t>Oven</t>
  </si>
  <si>
    <t>OXM</t>
  </si>
  <si>
    <t>Oximeter</t>
  </si>
  <si>
    <t>PTM</t>
  </si>
  <si>
    <t>Photometer, flame</t>
  </si>
  <si>
    <t>PIP</t>
  </si>
  <si>
    <t>Pipette, digital</t>
  </si>
  <si>
    <t>PRN</t>
  </si>
  <si>
    <t>Printer, thermal, Ultrasound scanner</t>
  </si>
  <si>
    <t>PFT</t>
  </si>
  <si>
    <t>PMP</t>
  </si>
  <si>
    <t>Pump</t>
  </si>
  <si>
    <t>REF</t>
  </si>
  <si>
    <t>Refrigerator</t>
  </si>
  <si>
    <t>REG</t>
  </si>
  <si>
    <t>Regulator, charging, solar</t>
  </si>
  <si>
    <t>Scaler, ultrasonic</t>
  </si>
  <si>
    <t>SHK</t>
  </si>
  <si>
    <t>STB</t>
  </si>
  <si>
    <t>Stabilizer</t>
  </si>
  <si>
    <t>Sterilizing unit</t>
  </si>
  <si>
    <t>STM</t>
  </si>
  <si>
    <t>Stimulator, muscle</t>
  </si>
  <si>
    <t>SUC</t>
  </si>
  <si>
    <t>Table, operating</t>
  </si>
  <si>
    <t>TUU</t>
  </si>
  <si>
    <t>Therapy unit, ultrasonic</t>
  </si>
  <si>
    <t>TISP</t>
  </si>
  <si>
    <t>TRCT</t>
  </si>
  <si>
    <t>Traction unit, digital</t>
  </si>
  <si>
    <t>TYMP</t>
  </si>
  <si>
    <t>Tympanometer</t>
  </si>
  <si>
    <t>UPS</t>
  </si>
  <si>
    <t>VNT</t>
  </si>
  <si>
    <t>Ventilator</t>
  </si>
  <si>
    <t>WRM</t>
  </si>
  <si>
    <t>Warmer, infant, with sensor</t>
  </si>
  <si>
    <t>WBH</t>
  </si>
  <si>
    <t>Water bath heater and stirrer</t>
  </si>
  <si>
    <t>X-Ray</t>
  </si>
  <si>
    <t>HIC</t>
  </si>
  <si>
    <t>w. MTN</t>
  </si>
  <si>
    <t>Reduction</t>
  </si>
  <si>
    <t>decrease</t>
  </si>
  <si>
    <t>LIC (from GIZ)</t>
  </si>
  <si>
    <t>C_lifecycle</t>
  </si>
  <si>
    <t>PPM</t>
  </si>
  <si>
    <t>MP</t>
  </si>
  <si>
    <t>Sanction</t>
  </si>
  <si>
    <t>fees</t>
  </si>
  <si>
    <t>BoQ</t>
  </si>
  <si>
    <t>Original Excel:</t>
  </si>
  <si>
    <t>Original Sheet:</t>
  </si>
  <si>
    <t>Equipment list-PLAMAHS-10thOct2018-BR.xlsx</t>
  </si>
  <si>
    <t>lifecycle</t>
  </si>
  <si>
    <t>Renumeration Rates per Service - Health Insurance.xlsx</t>
  </si>
  <si>
    <t>Tabelle 1</t>
  </si>
  <si>
    <t>RIA final v6.xlsx</t>
  </si>
  <si>
    <t>value estimate</t>
  </si>
  <si>
    <t>Total</t>
  </si>
  <si>
    <t>Spares</t>
  </si>
  <si>
    <t>Crit</t>
  </si>
  <si>
    <t>All Devices</t>
  </si>
  <si>
    <t>Tot</t>
  </si>
  <si>
    <t>Equipment type selection:</t>
  </si>
  <si>
    <t>NonCrit</t>
  </si>
  <si>
    <t>Invoiced</t>
  </si>
  <si>
    <t>Year</t>
  </si>
  <si>
    <t>ER EUR*</t>
  </si>
  <si>
    <t>ER NPR*</t>
  </si>
  <si>
    <r>
      <t>CPI</t>
    </r>
    <r>
      <rPr>
        <b/>
        <vertAlign val="superscript"/>
        <sz val="11"/>
        <color theme="1"/>
        <rFont val="Calibri"/>
        <family val="2"/>
        <scheme val="minor"/>
      </rPr>
      <t>#</t>
    </r>
  </si>
  <si>
    <t>NPR in 2016</t>
  </si>
  <si>
    <t>USD in 2016</t>
  </si>
  <si>
    <t>w. consult</t>
  </si>
  <si>
    <t>w\o consult</t>
  </si>
  <si>
    <t>NPR in repY</t>
  </si>
  <si>
    <t>USD in repY</t>
  </si>
  <si>
    <t>Share of total BoQ</t>
  </si>
  <si>
    <t>Average PPM-BoQ</t>
  </si>
  <si>
    <t>Maintenance cost calculation</t>
  </si>
  <si>
    <t>Program</t>
  </si>
  <si>
    <t>PPM total</t>
  </si>
  <si>
    <t>N.A.</t>
  </si>
  <si>
    <t>PPM abz</t>
  </si>
  <si>
    <t>sanction</t>
  </si>
  <si>
    <t>Spares inv</t>
  </si>
  <si>
    <t>Spares tot</t>
  </si>
  <si>
    <t>spread</t>
  </si>
  <si>
    <t>after 3 years</t>
  </si>
  <si>
    <t>betw year 4 and 6</t>
  </si>
  <si>
    <t>betw year 7 and 10</t>
  </si>
  <si>
    <t>Total CM</t>
  </si>
  <si>
    <t>amount</t>
  </si>
  <si>
    <t>Invoiced CM</t>
  </si>
  <si>
    <t xml:space="preserve">MTN fees as </t>
  </si>
  <si>
    <t>per contract</t>
  </si>
  <si>
    <t>Approx. PM</t>
  </si>
  <si>
    <t>+ PM fees</t>
  </si>
  <si>
    <t>CM amount</t>
  </si>
  <si>
    <t>Depreciation rate</t>
  </si>
  <si>
    <t>(Cat2)</t>
  </si>
  <si>
    <t>Selection maximum BoQ</t>
  </si>
  <si>
    <t>Total maximum PPM-BoQ</t>
  </si>
  <si>
    <t>Accum. deprec. rate</t>
  </si>
  <si>
    <t>Accum purch.</t>
  </si>
  <si>
    <t>passed between request and last inspection</t>
  </si>
  <si>
    <t>ass. share=</t>
  </si>
  <si>
    <t>Cat2</t>
  </si>
  <si>
    <t>per HF</t>
  </si>
  <si>
    <t>sh=2%</t>
  </si>
  <si>
    <t>sh=36%</t>
  </si>
  <si>
    <t># of CMs performed</t>
  </si>
  <si>
    <t># days since last visit</t>
  </si>
  <si>
    <t>Time passed between a CM job request and the last time the MC looked at the device. We assume a that for 10% of the time elapsed the device was o\o, such that for any CM activity we obtain a number of downtime days.</t>
  </si>
  <si>
    <t xml:space="preserve">Estimated downtime days based on date time </t>
  </si>
  <si>
    <t>MW</t>
  </si>
  <si>
    <t>bardia</t>
  </si>
  <si>
    <t>dailekh</t>
  </si>
  <si>
    <t>dolpa</t>
  </si>
  <si>
    <t>humla</t>
  </si>
  <si>
    <t>jajarkot</t>
  </si>
  <si>
    <t>kalikot</t>
  </si>
  <si>
    <t>mugu</t>
  </si>
  <si>
    <t>pyuthan</t>
  </si>
  <si>
    <t>rolpa</t>
  </si>
  <si>
    <t>rukum</t>
  </si>
  <si>
    <t>salyan</t>
  </si>
  <si>
    <t>FW</t>
  </si>
  <si>
    <t>achham</t>
  </si>
  <si>
    <t>baitadi</t>
  </si>
  <si>
    <t>bajhang</t>
  </si>
  <si>
    <t>bajura</t>
  </si>
  <si>
    <t>darchula</t>
  </si>
  <si>
    <t>doti</t>
  </si>
  <si>
    <t>District</t>
  </si>
  <si>
    <t>Region</t>
  </si>
  <si>
    <t>Population</t>
  </si>
  <si>
    <t>Services per day</t>
  </si>
  <si>
    <t>Xray</t>
  </si>
  <si>
    <t>US</t>
  </si>
  <si>
    <t>2012/13</t>
  </si>
  <si>
    <t>2013/14</t>
  </si>
  <si>
    <t>Lab</t>
  </si>
  <si>
    <t>PopTile</t>
  </si>
  <si>
    <t>Mean values, middle-sized HFs:</t>
  </si>
  <si>
    <t>In hours</t>
  </si>
  <si>
    <t>In days</t>
  </si>
  <si>
    <t>Expected number of o\o days</t>
  </si>
  <si>
    <t>per year and per hospital</t>
  </si>
  <si>
    <t>Mean values, middle-sized HFs, per year:</t>
  </si>
  <si>
    <t>Average services</t>
  </si>
  <si>
    <t>per day</t>
  </si>
  <si>
    <t>per year</t>
  </si>
  <si>
    <t>Assume the same overall share of operational or o\o devices for each device. Given the avg number of devices per hospital calculate the sum of operational days by multiplying share*365*#devices</t>
  </si>
  <si>
    <t>DWNT 1</t>
  </si>
  <si>
    <t>DWNT 3</t>
  </si>
  <si>
    <t>DWNT 2</t>
  </si>
  <si>
    <t>The time (h) between job request and job completed. This measure already reflects the differences in equipment-related BoQs, as it is directly informed by PLAMAHS</t>
  </si>
  <si>
    <t>Assumed discount rate:</t>
  </si>
  <si>
    <t>3 years</t>
  </si>
  <si>
    <t>Depreciation rate:</t>
  </si>
  <si>
    <t>Administrative cost:</t>
  </si>
  <si>
    <t>BoQ per HF</t>
  </si>
  <si>
    <t>Avg purch value</t>
  </si>
  <si>
    <t>PM operating cost:</t>
  </si>
  <si>
    <t>CM spare cost:</t>
  </si>
  <si>
    <t>in Million NPR</t>
  </si>
  <si>
    <t>Avg depr rate per HF</t>
  </si>
  <si>
    <t>Life exp.</t>
  </si>
  <si>
    <t>change</t>
  </si>
  <si>
    <t>Contracted MTN</t>
  </si>
  <si>
    <t>Plamahs maintenance cost (accum. Over all cat2 facilities in a PPM round)</t>
  </si>
  <si>
    <t>Original program cost calculation (accum over all facilities in a PPM round)</t>
  </si>
  <si>
    <t>i</t>
  </si>
  <si>
    <t>i+1</t>
  </si>
  <si>
    <t>Downtime cost</t>
  </si>
  <si>
    <t>Operating cost</t>
  </si>
  <si>
    <t>Approach</t>
  </si>
  <si>
    <t>Average services lost per year and hospital</t>
  </si>
  <si>
    <t>Average annual CM downtime</t>
  </si>
  <si>
    <t>at HF level, as reported in jobcards</t>
  </si>
  <si>
    <t>Special Sel:</t>
  </si>
  <si>
    <t>10 years</t>
  </si>
  <si>
    <t>NPV</t>
  </si>
  <si>
    <t>0-30 Beds Hospital:</t>
  </si>
  <si>
    <t>Bio-Medical Engineer(BME)-0; Bio-Medical Equipment Technician(BMET)-1; Tools-NRS 200,000; Spares stock-NRS 350,000; Space-130 sq. ft.; Room-1</t>
  </si>
  <si>
    <t>31-99 Beds Hospital:</t>
  </si>
  <si>
    <t>Bio-Medical Engineer(BME)-1; Bio-Medical Equipment Technician(BMET)-2; Tools-NRS 250,000; Spares stock-NRS 400,000; Space-194 sq. ft.; Room-1</t>
  </si>
  <si>
    <t>100-249 Beds Hospital:</t>
  </si>
  <si>
    <t>Bio-Medical Engineer(BME)-2; Bio-Medical Equipment Technician(BMET)-3; Tools-NRS 300,000; Spares stock-NRS 450,000; Space-258 sq. ft.; Room-2</t>
  </si>
  <si>
    <t>250 and more Beds Hospital:</t>
  </si>
  <si>
    <t>Bio-Medical Engineer(BME)-3; Bio-Medical Equipment Technician(BMET)-4; Tools-NRS 350,000; Spares stock-NRS 500,000; Space-333 sq. ft.; Room-2</t>
  </si>
  <si>
    <t>Requirements estimation</t>
  </si>
  <si>
    <t>SN</t>
  </si>
  <si>
    <t>Facility</t>
  </si>
  <si>
    <t>Facility type</t>
  </si>
  <si>
    <t>Current BoQ (active + passive), before 2nd PPM</t>
  </si>
  <si>
    <t>No. of Beds</t>
  </si>
  <si>
    <t>BME</t>
  </si>
  <si>
    <t>salary+misc(NRS)</t>
  </si>
  <si>
    <t>BMET</t>
  </si>
  <si>
    <t>Electrician &amp; Plumber</t>
  </si>
  <si>
    <t>salary+misc (NRS)</t>
  </si>
  <si>
    <t>Total maintenance staff salary per Year(NRS)</t>
  </si>
  <si>
    <t>Tools(NRS)</t>
  </si>
  <si>
    <t>Spares(NRS)</t>
  </si>
  <si>
    <t>Cal/testing tools</t>
  </si>
  <si>
    <t>Space(sq m)</t>
  </si>
  <si>
    <t>Space(sq ft)</t>
  </si>
  <si>
    <t>Construction cost (5500 per sq ft)</t>
  </si>
  <si>
    <t>x</t>
  </si>
  <si>
    <t>Achham District Hospital</t>
  </si>
  <si>
    <t>DH</t>
  </si>
  <si>
    <t>Baitadi District Hospital</t>
  </si>
  <si>
    <t>Bajhang District Hospital</t>
  </si>
  <si>
    <t>Bajura District Hospital</t>
  </si>
  <si>
    <t>Dailekh District Hospital</t>
  </si>
  <si>
    <t>Darchula District Hospital</t>
  </si>
  <si>
    <t>Dolpa District Hospital</t>
  </si>
  <si>
    <t>Doti District Hospital</t>
  </si>
  <si>
    <t>Humla District Hospital</t>
  </si>
  <si>
    <t>Jajarkot District Hospital</t>
  </si>
  <si>
    <t>Kalikot District Hospital</t>
  </si>
  <si>
    <t>Mugu District Hospital</t>
  </si>
  <si>
    <t>Pyuthan District Hospital</t>
  </si>
  <si>
    <t>Rolpa District Hospital</t>
  </si>
  <si>
    <t>Rukum District Hospital</t>
  </si>
  <si>
    <t>Construction WS</t>
  </si>
  <si>
    <t>H_fullhouse</t>
  </si>
  <si>
    <t>Initial investments</t>
  </si>
  <si>
    <t>Tools</t>
  </si>
  <si>
    <t>Salaries</t>
  </si>
  <si>
    <t>Spares &amp; testing</t>
  </si>
  <si>
    <t>Initial Admin</t>
  </si>
  <si>
    <t>Staff</t>
  </si>
  <si>
    <t>Overhead cost NPV calculation</t>
  </si>
  <si>
    <t>Share Spec Sel:</t>
  </si>
  <si>
    <t>NPV (3 Yrs)</t>
  </si>
  <si>
    <t>3 yrs (w/o In. Inv.)</t>
  </si>
  <si>
    <t>NPV (1 Yrs)</t>
  </si>
  <si>
    <t>NPV (2 Yrs)</t>
  </si>
  <si>
    <t>NPV (4 Yrs)</t>
  </si>
  <si>
    <t>NPV (5 Yrs)</t>
  </si>
  <si>
    <t>NPV (6 Yrs)</t>
  </si>
  <si>
    <t>NPV (7 Yrs)</t>
  </si>
  <si>
    <t>NPV (8 Yrs)</t>
  </si>
  <si>
    <t>NPV (9 Yrs)</t>
  </si>
  <si>
    <t>NPV (10 Yrs)</t>
  </si>
  <si>
    <t>4 years</t>
  </si>
  <si>
    <t>2 years</t>
  </si>
  <si>
    <t>1 years</t>
  </si>
  <si>
    <t>5 years</t>
  </si>
  <si>
    <t>6 years</t>
  </si>
  <si>
    <t>7 years</t>
  </si>
  <si>
    <t>8 years</t>
  </si>
  <si>
    <t>9 years</t>
  </si>
  <si>
    <t xml:space="preserve"> </t>
  </si>
  <si>
    <t>Start-up cost total (incl. mobilization)</t>
  </si>
  <si>
    <t>Running cost total</t>
  </si>
  <si>
    <t>DH only</t>
  </si>
  <si>
    <t>Spec BoQ</t>
  </si>
  <si>
    <t>Fixed Cost</t>
  </si>
  <si>
    <t>Overhead Cost</t>
  </si>
  <si>
    <t>Apporach</t>
  </si>
  <si>
    <t>20 years</t>
  </si>
  <si>
    <t>15 years</t>
  </si>
  <si>
    <t>15yrs</t>
  </si>
  <si>
    <t>20yrs</t>
  </si>
  <si>
    <t>Life exp. Change:</t>
  </si>
  <si>
    <t>Lifetime Reduction</t>
  </si>
  <si>
    <t>Share</t>
  </si>
  <si>
    <t>Contracted-out Maintenance</t>
  </si>
  <si>
    <t>value (NPR,14)</t>
  </si>
  <si>
    <t>value (NPR,16)</t>
  </si>
  <si>
    <t>per HF (NPR,14)</t>
  </si>
  <si>
    <t>Average returns lost per year and hospital (NPR, 2016)</t>
  </si>
  <si>
    <t>(NPR,16)</t>
  </si>
  <si>
    <t>Exchange Rates: Nepalese Rupee per USD, Euro per USD &amp; Nepalese Consumer Price Index</t>
  </si>
  <si>
    <r>
      <t xml:space="preserve">Notes: </t>
    </r>
    <r>
      <rPr>
        <i/>
        <vertAlign val="superscript"/>
        <sz val="11"/>
        <color theme="1"/>
        <rFont val="Calibri"/>
        <family val="2"/>
        <scheme val="minor"/>
      </rPr>
      <t>#</t>
    </r>
    <r>
      <rPr>
        <i/>
        <sz val="11"/>
        <color theme="1"/>
        <rFont val="Calibri"/>
        <family val="2"/>
        <scheme val="minor"/>
      </rPr>
      <t>Consumper price index Nepal from World Development Indicators. *Official exchange rate refers to the exchange rate determined by national authorities or to the rate determined in the legally sanctioned exchange market. It is calculated as an annual average based on monthly averages (local currency units per USD).</t>
    </r>
  </si>
  <si>
    <t>Notes:  *Official exchange rate refers to the exchange rate determined by national authorities or to the rate determined in the legally sanctioned exchange market. It is calculated as an annual average based on monthly averages (local currency units per international dollar).</t>
  </si>
  <si>
    <t>Exchange Rates: Nepalese Rupee per I$, Euro per I$</t>
  </si>
  <si>
    <t>Annual Percent Change in Nepalese CPI</t>
  </si>
  <si>
    <t>Notes: The change in CPI (i) is calculated as: (CPI current year - CPI previous year)/CPI previous year</t>
  </si>
  <si>
    <t>Robustness Checks: Different Changes in Average Life Expectancy of Euqipment, Maintenance vs. Non-Maintenance Scenarios</t>
  </si>
  <si>
    <t>Discount Rate:</t>
  </si>
  <si>
    <t>No Maintenace</t>
  </si>
  <si>
    <t>In USD (2016)</t>
  </si>
  <si>
    <t>Assumed Discount Rate</t>
  </si>
  <si>
    <t>‚</t>
  </si>
  <si>
    <t>for data</t>
  </si>
  <si>
    <t>Break-down cost for total Bill of Quantity (Illustration Purposes Only)</t>
  </si>
  <si>
    <t>Plamahs cost data (Basis for Maintenance Ciost Calculation Table 2, column 3)</t>
  </si>
  <si>
    <t>Program cost data (Basis for Maintenance Cost Calculation Table 2, Column 2)</t>
  </si>
  <si>
    <t>Break-down cost for main Bill of Quantity selectionion (66%)</t>
  </si>
  <si>
    <t>Notes: Numbers in Million NPR</t>
  </si>
  <si>
    <t>Maintenance</t>
  </si>
  <si>
    <t>Round</t>
  </si>
  <si>
    <t>Notes: CM = Corrective Maintenance; PM = Preventive Maintenance; MTN = Maitenance</t>
  </si>
  <si>
    <t>Notes: PPM = Preventive Maintenance Round</t>
  </si>
  <si>
    <t>FC &amp; MC Totals</t>
  </si>
  <si>
    <t>Cost</t>
  </si>
  <si>
    <t>In NPR 2016</t>
  </si>
  <si>
    <t>Notes: FC = Fixed Cost; OC = Operating Cost. Share: Assumed share of sverhead cost that would occur if only devices considered were maintained.</t>
  </si>
  <si>
    <t>Notes: Assumed share of overhead cost occuring if only the hospitals considered were maintained (district hospitals.</t>
  </si>
  <si>
    <t>Average Number of Serives per Day</t>
  </si>
  <si>
    <t>Assumed Downtime Share</t>
  </si>
  <si>
    <t>Notes:</t>
  </si>
  <si>
    <t>CM: Corrective Maintenance; DWNT: Downtime Scenario; MTN: Maintenance</t>
  </si>
  <si>
    <t>Notes: MTN = Maintenance; Avg = Average, HF = Health Facility; purch = purchasing</t>
  </si>
  <si>
    <t>Share of Considered Devices in Total</t>
  </si>
  <si>
    <t>Summary Statistics and Share Calculation</t>
  </si>
  <si>
    <t>for only five device types, in USD (2016)</t>
  </si>
  <si>
    <t>Notes: For our main calcuation we assume that non-maintained devices have a 39% short life time, which is a value calibrated from the literature. As a robustness check, we calculate the deprection rate if maintenance has no effect or non-maintained devices have a 50% lower life time in 5% steps.</t>
  </si>
  <si>
    <t>Costing based on break-down of progam cost</t>
  </si>
  <si>
    <t>Notes: CM = Corrective Maintenance; PM = Preventive Maintenance; MTN = Maintenance; w/o In. Inv. = Without Initial Invoice</t>
  </si>
  <si>
    <t>Fixed and Operating Cost of In-house Maintenance</t>
  </si>
  <si>
    <t>Notes:  WS = Work Shop. We asume identical management cost for in-house and contracted-out maintenance (Table 2, column 2&amp;3)</t>
  </si>
  <si>
    <t>Administrative, Preventive Maintenance and Corrective Maintenance Cost based on PLAMAHS data for Table 2, colum 3.</t>
  </si>
  <si>
    <t>NPV Calculation of Derpeciation and Maintenance Cost; Robustness Check for the Life Time Reduction Assumption</t>
  </si>
  <si>
    <t>Number of Devices from each maintenance Round</t>
  </si>
  <si>
    <t>Only Considered Device Types</t>
  </si>
  <si>
    <t>Notes: The numbers are for all devices, including those not in district hopitals</t>
  </si>
  <si>
    <t>Notes: DH = District Hospitals</t>
  </si>
  <si>
    <t>Calculation of Depreciation based on Device Value and Life Expectancy</t>
  </si>
  <si>
    <t>Colculation: Downtime for District Hospitals</t>
  </si>
  <si>
    <t>Calculation of Overhead Cost (incl. NPV)</t>
  </si>
  <si>
    <t>Table of Contents</t>
  </si>
  <si>
    <t>Calculations</t>
  </si>
  <si>
    <t>Data</t>
  </si>
  <si>
    <t>Device Values</t>
  </si>
  <si>
    <t>Service Prices</t>
  </si>
  <si>
    <t>Device Lifecycles</t>
  </si>
  <si>
    <t>Currency Conversion</t>
  </si>
  <si>
    <t>Detailed Maintenance Component Cost In-house Maintenance Calculation</t>
  </si>
  <si>
    <t>Notes: Sheets beginning with C_ are calucations, sheets beginning with D_ store data</t>
  </si>
  <si>
    <t>Invoiced Program Cost</t>
  </si>
  <si>
    <t>Rate in NPR</t>
  </si>
  <si>
    <t>(I$PPP,16)</t>
  </si>
  <si>
    <t>Calculation: Downtime for District Hospitals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</si>
</sst>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0.00\ _€_-;\-* #,##0.00\ _€_-;_-* &quot;-&quot;??\ _€_-;_-@_-"/>
    <numFmt numFmtId="165" formatCode="_-* #,##0\ [$€-407]_-;\-* #,##0\ [$€-407]_-;_-* &quot;-&quot;??\ [$€-407]_-;_-@_-"/>
    <numFmt numFmtId="166" formatCode="[$₹-861]#,##0"/>
    <numFmt numFmtId="167" formatCode="#,##0.0"/>
    <numFmt numFmtId="168" formatCode="0.0"/>
    <numFmt numFmtId="169" formatCode="_(* #,##0_);_(* \(#,##0\);_(* &quot;-&quot;??_);_(@_)"/>
    <numFmt numFmtId="170" formatCode="_-* #,##0\ _€_-;\-* #,##0\ _€_-;_-* &quot;-&quot;??\ _€_-;_-@_-"/>
    <numFmt numFmtId="171" formatCode="0.000"/>
    <numFmt numFmtId="172" formatCode="_-[$$-409]* #,##0_ ;_-[$$-409]* \-#,##0\ ;_-[$$-409]* &quot;-&quot;??_ ;_-@_ "/>
    <numFmt numFmtId="173" formatCode="0.00000000000"/>
    <numFmt numFmtId="174" formatCode="_(* #,##0.00_);_(* \(#,##0.00\);_(* &quot;-&quot;??_);_(@_)"/>
    <numFmt numFmtId="175" formatCode="_-[$$-409]* #,##0.00_ ;_-[$$-409]* \-#,##0.00\ ;_-[$$-409]* &quot;-&quot;??_ ;_-@_ "/>
    <numFmt numFmtId="176" formatCode="#,##0.0000"/>
    <numFmt numFmtId="177" formatCode="0.0000"/>
    <numFmt numFmtId="178" formatCode="_-[$$-409]* #,##0_ ;_-[$$-409]* \-#,##0\ ;_-[$$-409]* &quot;-&quot;????_ ;_-@_ "/>
  </numFmts>
  <fonts count="28"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i/>
      <sz val="11"/>
      <color theme="1"/>
      <name val="Calibri"/>
      <family val="2"/>
      <scheme val="minor"/>
    </font>
    <font>
      <b/>
      <i/>
      <sz val="11"/>
      <color theme="1"/>
      <name val="Calibri"/>
      <family val="2"/>
      <scheme val="minor"/>
    </font>
    <font>
      <sz val="11"/>
      <name val="Calibri"/>
      <family val="2"/>
      <scheme val="minor"/>
    </font>
    <font>
      <u/>
      <sz val="11"/>
      <color theme="10"/>
      <name val="Calibri"/>
      <family val="2"/>
      <scheme val="minor"/>
    </font>
    <font>
      <b/>
      <sz val="11"/>
      <name val="Calibri"/>
      <family val="2"/>
      <scheme val="minor"/>
    </font>
    <font>
      <sz val="11"/>
      <color theme="1"/>
      <name val="Calibri"/>
      <family val="2"/>
      <scheme val="minor"/>
    </font>
    <font>
      <sz val="10"/>
      <color indexed="8"/>
      <name val="Arial"/>
      <family val="2"/>
    </font>
    <font>
      <b/>
      <sz val="9"/>
      <color indexed="8"/>
      <name val="Arial"/>
      <family val="2"/>
    </font>
    <font>
      <sz val="9"/>
      <color indexed="8"/>
      <name val="Arial"/>
      <family val="2"/>
    </font>
    <font>
      <sz val="10"/>
      <color indexed="8"/>
      <name val="Arial"/>
      <family val="2"/>
    </font>
    <font>
      <sz val="9"/>
      <color rgb="FF000000"/>
      <name val="Arial"/>
      <family val="2"/>
    </font>
    <font>
      <b/>
      <sz val="9"/>
      <color rgb="FF000000"/>
      <name val="Arial"/>
      <family val="2"/>
    </font>
    <font>
      <sz val="9"/>
      <color rgb="FF000000"/>
      <name val="Times New Roman"/>
      <family val="1"/>
    </font>
    <font>
      <b/>
      <sz val="9"/>
      <color rgb="FF000000"/>
      <name val="Times New Roman"/>
      <family val="1"/>
    </font>
    <font>
      <sz val="10"/>
      <name val="Arial"/>
      <family val="2"/>
    </font>
    <font>
      <sz val="11"/>
      <color rgb="FFFF0000"/>
      <name val="Calibri"/>
      <family val="2"/>
      <scheme val="minor"/>
    </font>
    <font>
      <b/>
      <vertAlign val="superscript"/>
      <sz val="11"/>
      <color theme="1"/>
      <name val="Calibri"/>
      <family val="2"/>
      <scheme val="minor"/>
    </font>
    <font>
      <i/>
      <vertAlign val="superscript"/>
      <sz val="11"/>
      <color theme="1"/>
      <name val="Calibri"/>
      <family val="2"/>
      <scheme val="minor"/>
    </font>
    <font>
      <sz val="11"/>
      <color theme="0"/>
      <name val="Calibri"/>
      <family val="2"/>
      <scheme val="minor"/>
    </font>
    <font>
      <sz val="11"/>
      <color rgb="FFC00000"/>
      <name val="Calibri"/>
      <family val="2"/>
      <scheme val="minor"/>
    </font>
    <font>
      <i/>
      <sz val="11"/>
      <name val="Calibri"/>
      <family val="2"/>
      <scheme val="minor"/>
    </font>
    <font>
      <b/>
      <sz val="9"/>
      <color rgb="FF000000"/>
      <name val="Tahoma"/>
      <family val="2"/>
    </font>
    <font>
      <sz val="9"/>
      <color rgb="FF000000"/>
      <name val="Tahoma"/>
      <family val="2"/>
    </font>
    <font>
      <u/>
      <sz val="11"/>
      <color theme="4"/>
      <name val="Calibri"/>
      <family val="2"/>
      <scheme val="minor"/>
    </font>
  </fonts>
  <fills count="32">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
      <patternFill patternType="solid">
        <fgColor rgb="FFFFFF99"/>
        <bgColor indexed="64"/>
      </patternFill>
    </fill>
    <fill>
      <patternFill patternType="solid">
        <fgColor theme="6" tint="0.59999389629810485"/>
        <bgColor indexed="64"/>
      </patternFill>
    </fill>
    <fill>
      <patternFill patternType="solid">
        <fgColor rgb="FFFFC000"/>
        <bgColor indexed="64"/>
      </patternFill>
    </fill>
    <fill>
      <patternFill patternType="solid">
        <fgColor rgb="FF8DBCDE"/>
        <bgColor indexed="64"/>
      </patternFill>
    </fill>
    <fill>
      <patternFill patternType="solid">
        <fgColor rgb="FFE9E983"/>
        <bgColor indexed="64"/>
      </patternFill>
    </fill>
    <fill>
      <patternFill patternType="solid">
        <fgColor rgb="FFF3FCB2"/>
        <bgColor indexed="64"/>
      </patternFill>
    </fill>
    <fill>
      <patternFill patternType="solid">
        <fgColor rgb="FFCCFFCC"/>
        <bgColor indexed="64"/>
      </patternFill>
    </fill>
    <fill>
      <patternFill patternType="solid">
        <fgColor rgb="FFCBEAC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00B050"/>
        <bgColor indexed="64"/>
      </patternFill>
    </fill>
    <fill>
      <patternFill patternType="solid">
        <fgColor rgb="FFCC99FF"/>
        <bgColor indexed="64"/>
      </patternFill>
    </fill>
    <fill>
      <patternFill patternType="solid">
        <fgColor rgb="FF9933FF"/>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bgColor indexed="64"/>
      </patternFill>
    </fill>
    <fill>
      <patternFill patternType="solid">
        <fgColor theme="2"/>
        <bgColor indexed="64"/>
      </patternFill>
    </fill>
  </fills>
  <borders count="84">
    <border>
      <left/>
      <right/>
      <top/>
      <bottom/>
      <diagonal/>
    </border>
    <border>
      <left/>
      <right/>
      <top style="thin">
        <color auto="1"/>
      </top>
      <bottom/>
      <diagonal/>
    </border>
    <border>
      <left/>
      <right/>
      <top/>
      <bottom style="thin">
        <color auto="1"/>
      </bottom>
      <diagonal/>
    </border>
    <border>
      <left style="dashDot">
        <color auto="1"/>
      </left>
      <right/>
      <top/>
      <bottom/>
      <diagonal/>
    </border>
    <border>
      <left style="dashDot">
        <color auto="1"/>
      </left>
      <right/>
      <top style="thin">
        <color auto="1"/>
      </top>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style="thick">
        <color rgb="FFFFFFFF"/>
      </bottom>
      <diagonal/>
    </border>
    <border>
      <left/>
      <right style="thick">
        <color rgb="FFFFFFFF"/>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bottom style="thick">
        <color rgb="FFFFFFFF"/>
      </bottom>
      <diagonal/>
    </border>
    <border>
      <left style="thick">
        <color rgb="FFFFFFFF"/>
      </left>
      <right/>
      <top style="thick">
        <color rgb="FFFFFFFF"/>
      </top>
      <bottom/>
      <diagonal/>
    </border>
    <border>
      <left/>
      <right style="thick">
        <color rgb="FFFFFFFF"/>
      </right>
      <top style="thick">
        <color rgb="FFFFFFFF"/>
      </top>
      <bottom/>
      <diagonal/>
    </border>
    <border>
      <left style="thick">
        <color rgb="FFFFFFFF"/>
      </left>
      <right style="thick">
        <color rgb="FFFFFFFF"/>
      </right>
      <top/>
      <bottom/>
      <diagonal/>
    </border>
    <border>
      <left style="thick">
        <color rgb="FFFFFFFF"/>
      </left>
      <right/>
      <top/>
      <bottom style="thick">
        <color rgb="FFFFFFFF"/>
      </bottom>
      <diagonal/>
    </border>
    <border>
      <left/>
      <right style="thick">
        <color rgb="FFFFFFFF"/>
      </right>
      <top/>
      <bottom style="thick">
        <color rgb="FFFFFFFF"/>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auto="1"/>
      </top>
      <bottom style="thin">
        <color auto="1"/>
      </bottom>
      <diagonal/>
    </border>
    <border>
      <left style="dashDotDot">
        <color auto="1"/>
      </left>
      <right/>
      <top/>
      <bottom style="thin">
        <color auto="1"/>
      </bottom>
      <diagonal/>
    </border>
    <border>
      <left style="dashDotDot">
        <color auto="1"/>
      </left>
      <right/>
      <top/>
      <bottom/>
      <diagonal/>
    </border>
    <border>
      <left style="dashDotDot">
        <color auto="1"/>
      </left>
      <right/>
      <top style="thin">
        <color auto="1"/>
      </top>
      <bottom/>
      <diagonal/>
    </border>
    <border>
      <left style="thin">
        <color auto="1"/>
      </left>
      <right/>
      <top/>
      <bottom/>
      <diagonal/>
    </border>
    <border>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top style="double">
        <color auto="1"/>
      </top>
      <bottom/>
      <diagonal/>
    </border>
    <border>
      <left/>
      <right style="dashDotDot">
        <color auto="1"/>
      </right>
      <top/>
      <bottom/>
      <diagonal/>
    </border>
    <border>
      <left/>
      <right style="dashDotDot">
        <color auto="1"/>
      </right>
      <top style="thin">
        <color auto="1"/>
      </top>
      <bottom/>
      <diagonal/>
    </border>
    <border>
      <left/>
      <right/>
      <top style="thin">
        <color indexed="64"/>
      </top>
      <bottom style="thin">
        <color indexed="64"/>
      </bottom>
      <diagonal/>
    </border>
    <border>
      <left/>
      <right style="dashDotDot">
        <color auto="1"/>
      </right>
      <top/>
      <bottom style="thin">
        <color auto="1"/>
      </bottom>
      <diagonal/>
    </border>
    <border>
      <left style="thin">
        <color indexed="64"/>
      </left>
      <right style="medium">
        <color indexed="64"/>
      </right>
      <top/>
      <bottom style="thin">
        <color indexed="64"/>
      </bottom>
      <diagonal/>
    </border>
  </borders>
  <cellStyleXfs count="11">
    <xf numFmtId="0" fontId="0" fillId="0" borderId="0"/>
    <xf numFmtId="0" fontId="7" fillId="0" borderId="0" applyNumberForma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0" fontId="10"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9" fillId="0" borderId="0" applyFont="0" applyFill="0" applyBorder="0" applyAlignment="0" applyProtection="0"/>
    <xf numFmtId="0" fontId="18" fillId="0" borderId="0"/>
    <xf numFmtId="174" fontId="9" fillId="0" borderId="0" applyFont="0" applyFill="0" applyBorder="0" applyAlignment="0" applyProtection="0"/>
  </cellStyleXfs>
  <cellXfs count="597">
    <xf numFmtId="0" fontId="0" fillId="0" borderId="0" xfId="0"/>
    <xf numFmtId="0" fontId="0" fillId="2" borderId="0" xfId="0" applyFill="1"/>
    <xf numFmtId="0" fontId="0" fillId="2" borderId="1" xfId="0" applyFill="1" applyBorder="1"/>
    <xf numFmtId="0" fontId="1" fillId="2" borderId="1" xfId="0" applyFont="1" applyFill="1" applyBorder="1"/>
    <xf numFmtId="0" fontId="0" fillId="4" borderId="0" xfId="0" applyFill="1"/>
    <xf numFmtId="0" fontId="5" fillId="2" borderId="0" xfId="0" applyFont="1" applyFill="1"/>
    <xf numFmtId="0" fontId="5" fillId="2" borderId="0" xfId="0" applyFont="1" applyFill="1" applyBorder="1"/>
    <xf numFmtId="0" fontId="0" fillId="2" borderId="0" xfId="0" applyFill="1" applyBorder="1"/>
    <xf numFmtId="0" fontId="0" fillId="2" borderId="0" xfId="0" applyFill="1" applyBorder="1" applyAlignment="1">
      <alignment horizontal="center"/>
    </xf>
    <xf numFmtId="0" fontId="1" fillId="2" borderId="2" xfId="0" applyFont="1" applyFill="1" applyBorder="1" applyAlignment="1">
      <alignment horizontal="center"/>
    </xf>
    <xf numFmtId="0" fontId="1" fillId="0" borderId="0" xfId="0" applyFont="1"/>
    <xf numFmtId="0" fontId="1" fillId="2" borderId="0" xfId="0" applyFont="1" applyFill="1"/>
    <xf numFmtId="0" fontId="0" fillId="2" borderId="3" xfId="0" applyFill="1" applyBorder="1"/>
    <xf numFmtId="0" fontId="0" fillId="0" borderId="0" xfId="0" applyAlignment="1">
      <alignment horizontal="center"/>
    </xf>
    <xf numFmtId="0" fontId="0" fillId="2" borderId="0" xfId="0" applyFont="1" applyFill="1"/>
    <xf numFmtId="0" fontId="1" fillId="0" borderId="0" xfId="0" applyFont="1" applyAlignment="1">
      <alignment horizontal="center"/>
    </xf>
    <xf numFmtId="0" fontId="5" fillId="0" borderId="0" xfId="0" applyFont="1"/>
    <xf numFmtId="0" fontId="0" fillId="0" borderId="0" xfId="0" applyBorder="1"/>
    <xf numFmtId="165" fontId="0" fillId="2" borderId="1" xfId="0" applyNumberFormat="1" applyFill="1" applyBorder="1"/>
    <xf numFmtId="165" fontId="0" fillId="2" borderId="0" xfId="0" applyNumberFormat="1" applyFill="1" applyBorder="1"/>
    <xf numFmtId="166" fontId="0" fillId="2" borderId="0" xfId="0" applyNumberFormat="1" applyFill="1" applyBorder="1"/>
    <xf numFmtId="0" fontId="1" fillId="2" borderId="3" xfId="0" applyFont="1" applyFill="1" applyBorder="1" applyAlignment="1">
      <alignment horizontal="center"/>
    </xf>
    <xf numFmtId="0" fontId="0" fillId="2" borderId="4" xfId="0" applyFill="1" applyBorder="1"/>
    <xf numFmtId="165" fontId="0" fillId="2" borderId="3" xfId="0" applyNumberFormat="1" applyFill="1" applyBorder="1"/>
    <xf numFmtId="166" fontId="0" fillId="2" borderId="3" xfId="0" applyNumberFormat="1" applyFill="1" applyBorder="1"/>
    <xf numFmtId="0" fontId="0" fillId="2" borderId="3" xfId="0" applyFill="1" applyBorder="1" applyAlignment="1">
      <alignment horizontal="center"/>
    </xf>
    <xf numFmtId="0" fontId="1" fillId="2" borderId="0" xfId="0" applyFont="1" applyFill="1" applyAlignment="1">
      <alignment horizontal="center"/>
    </xf>
    <xf numFmtId="0" fontId="11" fillId="4" borderId="0" xfId="4" applyFont="1" applyFill="1" applyAlignment="1">
      <alignment horizontal="centerContinuous" vertical="center"/>
    </xf>
    <xf numFmtId="0" fontId="12" fillId="4" borderId="0" xfId="4" applyFont="1" applyFill="1" applyAlignment="1">
      <alignment horizontal="centerContinuous" vertical="center"/>
    </xf>
    <xf numFmtId="167" fontId="12" fillId="4" borderId="0" xfId="4" applyNumberFormat="1" applyFont="1" applyFill="1" applyAlignment="1">
      <alignment horizontal="centerContinuous" vertical="center"/>
    </xf>
    <xf numFmtId="0" fontId="12" fillId="0" borderId="0" xfId="4" applyFont="1" applyFill="1" applyAlignment="1">
      <alignment vertical="center"/>
    </xf>
    <xf numFmtId="0" fontId="12" fillId="0" borderId="0" xfId="5" applyNumberFormat="1" applyFont="1" applyFill="1" applyAlignment="1">
      <alignment vertical="center"/>
    </xf>
    <xf numFmtId="0" fontId="12" fillId="0" borderId="0" xfId="4" applyFont="1" applyFill="1" applyAlignment="1">
      <alignment horizontal="center" vertical="center"/>
    </xf>
    <xf numFmtId="0" fontId="12" fillId="0" borderId="0" xfId="4" applyFont="1" applyFill="1" applyAlignment="1">
      <alignment horizontal="right" vertical="center"/>
    </xf>
    <xf numFmtId="168" fontId="11" fillId="0" borderId="0" xfId="5" applyNumberFormat="1" applyFont="1" applyFill="1" applyBorder="1" applyAlignment="1">
      <alignment horizontal="center" vertical="center"/>
    </xf>
    <xf numFmtId="0" fontId="12" fillId="0" borderId="0" xfId="4" applyFont="1" applyFill="1" applyBorder="1" applyAlignment="1">
      <alignment vertical="center"/>
    </xf>
    <xf numFmtId="0" fontId="12" fillId="0" borderId="5" xfId="4" applyFont="1" applyFill="1" applyBorder="1" applyAlignment="1">
      <alignment horizontal="center" vertical="center"/>
    </xf>
    <xf numFmtId="167" fontId="11" fillId="5" borderId="6" xfId="4" applyNumberFormat="1" applyFont="1" applyFill="1" applyBorder="1" applyAlignment="1">
      <alignment horizontal="centerContinuous" vertical="center"/>
    </xf>
    <xf numFmtId="0" fontId="11" fillId="5" borderId="7" xfId="4" applyFont="1" applyFill="1" applyBorder="1" applyAlignment="1">
      <alignment horizontal="centerContinuous" vertical="center"/>
    </xf>
    <xf numFmtId="0" fontId="11" fillId="0" borderId="0" xfId="4" applyFont="1" applyFill="1" applyBorder="1" applyAlignment="1">
      <alignment horizontal="centerContinuous" vertical="center"/>
    </xf>
    <xf numFmtId="0" fontId="11" fillId="0" borderId="0" xfId="5" applyNumberFormat="1" applyFont="1" applyFill="1" applyBorder="1" applyAlignment="1">
      <alignment horizontal="centerContinuous" vertical="center"/>
    </xf>
    <xf numFmtId="0" fontId="12" fillId="0" borderId="0" xfId="4" applyFont="1" applyFill="1" applyBorder="1" applyAlignment="1">
      <alignment horizontal="center" vertical="center"/>
    </xf>
    <xf numFmtId="0" fontId="11" fillId="6" borderId="8" xfId="6" applyFont="1" applyFill="1" applyBorder="1" applyAlignment="1">
      <alignment horizontal="center" vertical="center"/>
    </xf>
    <xf numFmtId="0" fontId="12" fillId="0" borderId="9" xfId="4" applyFont="1" applyFill="1" applyBorder="1" applyAlignment="1">
      <alignment horizontal="center" vertical="center"/>
    </xf>
    <xf numFmtId="167" fontId="12" fillId="0" borderId="6" xfId="4" applyNumberFormat="1" applyFont="1" applyFill="1" applyBorder="1" applyAlignment="1">
      <alignment horizontal="center" vertical="center"/>
    </xf>
    <xf numFmtId="0" fontId="12" fillId="0" borderId="10" xfId="4" applyFont="1" applyFill="1" applyBorder="1" applyAlignment="1">
      <alignment horizontal="center" vertical="center"/>
    </xf>
    <xf numFmtId="0" fontId="12" fillId="0" borderId="0" xfId="4" applyFont="1" applyFill="1" applyBorder="1" applyAlignment="1">
      <alignment horizontal="left" vertical="center"/>
    </xf>
    <xf numFmtId="0" fontId="12" fillId="0" borderId="0" xfId="5" applyNumberFormat="1" applyFont="1" applyFill="1" applyBorder="1" applyAlignment="1">
      <alignment horizontal="left" vertical="center"/>
    </xf>
    <xf numFmtId="9" fontId="11" fillId="0" borderId="0" xfId="5" applyFont="1" applyFill="1" applyBorder="1" applyAlignment="1">
      <alignment horizontal="center" vertical="center"/>
    </xf>
    <xf numFmtId="0" fontId="12" fillId="0" borderId="11" xfId="4" applyFont="1" applyFill="1" applyBorder="1" applyAlignment="1">
      <alignment horizontal="center" vertical="center"/>
    </xf>
    <xf numFmtId="0" fontId="12" fillId="0" borderId="13" xfId="4" applyFont="1" applyFill="1" applyBorder="1" applyAlignment="1">
      <alignment horizontal="center" vertical="center"/>
    </xf>
    <xf numFmtId="4" fontId="12" fillId="0" borderId="14" xfId="4" applyNumberFormat="1" applyFont="1" applyFill="1" applyBorder="1" applyAlignment="1">
      <alignment horizontal="right" vertical="center"/>
    </xf>
    <xf numFmtId="2" fontId="12" fillId="0" borderId="15" xfId="4" applyNumberFormat="1" applyFont="1" applyFill="1" applyBorder="1" applyAlignment="1">
      <alignment horizontal="right" vertical="center"/>
    </xf>
    <xf numFmtId="0" fontId="11" fillId="0" borderId="0" xfId="5" applyNumberFormat="1" applyFont="1" applyFill="1" applyBorder="1" applyAlignment="1">
      <alignment horizontal="center" vertical="center"/>
    </xf>
    <xf numFmtId="0" fontId="12" fillId="0" borderId="16" xfId="4" applyFont="1" applyFill="1" applyBorder="1" applyAlignment="1">
      <alignment horizontal="center" vertical="center"/>
    </xf>
    <xf numFmtId="0" fontId="12" fillId="0" borderId="17" xfId="4" applyFont="1" applyFill="1" applyBorder="1" applyAlignment="1">
      <alignment horizontal="center" vertical="center"/>
    </xf>
    <xf numFmtId="0" fontId="12" fillId="0" borderId="18" xfId="4" applyFont="1" applyFill="1" applyBorder="1" applyAlignment="1">
      <alignment horizontal="center" vertical="center" wrapText="1"/>
    </xf>
    <xf numFmtId="0" fontId="12" fillId="0" borderId="19" xfId="4" applyFont="1" applyFill="1" applyBorder="1" applyAlignment="1">
      <alignment horizontal="center" vertical="center"/>
    </xf>
    <xf numFmtId="4" fontId="12" fillId="0" borderId="20" xfId="4" applyNumberFormat="1" applyFont="1" applyFill="1" applyBorder="1" applyAlignment="1">
      <alignment horizontal="right" vertical="center"/>
    </xf>
    <xf numFmtId="2" fontId="12" fillId="0" borderId="21" xfId="4" applyNumberFormat="1" applyFont="1" applyFill="1" applyBorder="1" applyAlignment="1">
      <alignment horizontal="right" vertical="center"/>
    </xf>
    <xf numFmtId="0" fontId="12" fillId="0" borderId="16" xfId="4" applyFont="1" applyFill="1" applyBorder="1" applyAlignment="1">
      <alignment vertical="center"/>
    </xf>
    <xf numFmtId="0" fontId="12" fillId="0" borderId="9" xfId="4" applyFont="1" applyFill="1" applyBorder="1" applyAlignment="1">
      <alignment vertical="center"/>
    </xf>
    <xf numFmtId="0" fontId="12" fillId="0" borderId="22" xfId="4" applyFont="1" applyFill="1" applyBorder="1" applyAlignment="1">
      <alignment horizontal="center" vertical="center"/>
    </xf>
    <xf numFmtId="0" fontId="12" fillId="0" borderId="23" xfId="4" applyFont="1" applyFill="1" applyBorder="1" applyAlignment="1">
      <alignment horizontal="center" vertical="center" wrapText="1"/>
    </xf>
    <xf numFmtId="0" fontId="12" fillId="0" borderId="24" xfId="4" applyFont="1" applyFill="1" applyBorder="1" applyAlignment="1">
      <alignment horizontal="center" vertical="center"/>
    </xf>
    <xf numFmtId="4" fontId="12" fillId="0" borderId="25" xfId="4" applyNumberFormat="1" applyFont="1" applyFill="1" applyBorder="1" applyAlignment="1">
      <alignment horizontal="right" vertical="center"/>
    </xf>
    <xf numFmtId="2" fontId="12" fillId="0" borderId="26" xfId="4" applyNumberFormat="1" applyFont="1" applyFill="1" applyBorder="1" applyAlignment="1">
      <alignment horizontal="right" vertical="center"/>
    </xf>
    <xf numFmtId="0" fontId="12" fillId="0" borderId="27" xfId="4" applyFont="1" applyFill="1" applyBorder="1" applyAlignment="1">
      <alignment horizontal="center" vertical="center" wrapText="1"/>
    </xf>
    <xf numFmtId="0" fontId="12" fillId="0" borderId="28" xfId="4" applyFont="1" applyFill="1" applyBorder="1" applyAlignment="1">
      <alignment horizontal="center" vertical="center"/>
    </xf>
    <xf numFmtId="4" fontId="12" fillId="0" borderId="29" xfId="4" applyNumberFormat="1" applyFont="1" applyFill="1" applyBorder="1" applyAlignment="1">
      <alignment horizontal="right" vertical="center"/>
    </xf>
    <xf numFmtId="2" fontId="12" fillId="0" borderId="30" xfId="4" applyNumberFormat="1" applyFont="1" applyFill="1" applyBorder="1" applyAlignment="1">
      <alignment horizontal="right" vertical="center"/>
    </xf>
    <xf numFmtId="0" fontId="12" fillId="0" borderId="31" xfId="4" applyFont="1" applyFill="1" applyBorder="1" applyAlignment="1">
      <alignment horizontal="center" vertical="center"/>
    </xf>
    <xf numFmtId="0" fontId="12" fillId="0" borderId="32" xfId="4" applyFont="1" applyFill="1" applyBorder="1" applyAlignment="1">
      <alignment horizontal="center" vertical="center"/>
    </xf>
    <xf numFmtId="0" fontId="12" fillId="0" borderId="33" xfId="4" applyFont="1" applyFill="1" applyBorder="1" applyAlignment="1">
      <alignment horizontal="center" vertical="center" wrapText="1"/>
    </xf>
    <xf numFmtId="0" fontId="12" fillId="0" borderId="34" xfId="4" applyFont="1" applyFill="1" applyBorder="1" applyAlignment="1">
      <alignment horizontal="center" vertical="center"/>
    </xf>
    <xf numFmtId="4" fontId="12" fillId="0" borderId="35" xfId="4" applyNumberFormat="1" applyFont="1" applyFill="1" applyBorder="1" applyAlignment="1">
      <alignment horizontal="right" vertical="center"/>
    </xf>
    <xf numFmtId="2" fontId="12" fillId="0" borderId="36" xfId="4" applyNumberFormat="1" applyFont="1" applyFill="1" applyBorder="1" applyAlignment="1">
      <alignment horizontal="right" vertical="center"/>
    </xf>
    <xf numFmtId="2" fontId="12" fillId="0" borderId="36" xfId="7" applyNumberFormat="1" applyFont="1" applyFill="1" applyBorder="1" applyAlignment="1">
      <alignment horizontal="right" vertical="center"/>
    </xf>
    <xf numFmtId="0" fontId="11" fillId="6" borderId="8" xfId="4" applyFont="1" applyFill="1" applyBorder="1" applyAlignment="1">
      <alignment horizontal="center" vertical="center" wrapText="1"/>
    </xf>
    <xf numFmtId="3" fontId="11" fillId="6" borderId="10" xfId="4" applyNumberFormat="1" applyFont="1" applyFill="1" applyBorder="1" applyAlignment="1">
      <alignment horizontal="center" vertical="center"/>
    </xf>
    <xf numFmtId="167" fontId="12" fillId="0" borderId="0" xfId="4" applyNumberFormat="1" applyFont="1" applyFill="1" applyAlignment="1">
      <alignment horizontal="right" vertical="center"/>
    </xf>
    <xf numFmtId="0" fontId="12" fillId="0" borderId="27" xfId="4" applyFont="1" applyFill="1" applyBorder="1" applyAlignment="1">
      <alignment vertical="center"/>
    </xf>
    <xf numFmtId="0" fontId="12" fillId="0" borderId="28" xfId="4" applyFont="1" applyFill="1" applyBorder="1" applyAlignment="1">
      <alignment horizontal="right" vertical="center"/>
    </xf>
    <xf numFmtId="0" fontId="11" fillId="0" borderId="29" xfId="4" applyFont="1" applyFill="1" applyBorder="1" applyAlignment="1">
      <alignment horizontal="center" vertical="center"/>
    </xf>
    <xf numFmtId="2" fontId="11" fillId="0" borderId="30" xfId="4" applyNumberFormat="1" applyFont="1" applyFill="1" applyBorder="1" applyAlignment="1">
      <alignment horizontal="center" vertical="center"/>
    </xf>
    <xf numFmtId="0" fontId="12" fillId="0" borderId="37" xfId="4" applyFont="1" applyFill="1" applyBorder="1" applyAlignment="1">
      <alignment vertical="center"/>
    </xf>
    <xf numFmtId="0" fontId="12" fillId="0" borderId="34" xfId="4" applyFont="1" applyFill="1" applyBorder="1" applyAlignment="1">
      <alignment vertical="center"/>
    </xf>
    <xf numFmtId="0" fontId="12" fillId="0" borderId="33" xfId="4" applyFont="1" applyFill="1" applyBorder="1" applyAlignment="1">
      <alignment horizontal="right" vertical="center"/>
    </xf>
    <xf numFmtId="9" fontId="11" fillId="0" borderId="35" xfId="5" applyFont="1" applyFill="1" applyBorder="1" applyAlignment="1">
      <alignment horizontal="center" vertical="center"/>
    </xf>
    <xf numFmtId="2" fontId="11" fillId="0" borderId="36" xfId="4" applyNumberFormat="1" applyFont="1" applyFill="1" applyBorder="1" applyAlignment="1">
      <alignment horizontal="center" vertical="center"/>
    </xf>
    <xf numFmtId="0" fontId="12" fillId="0" borderId="0" xfId="4" applyFont="1" applyFill="1" applyBorder="1" applyAlignment="1">
      <alignment horizontal="right" vertical="center"/>
    </xf>
    <xf numFmtId="0" fontId="12" fillId="5" borderId="38" xfId="4" applyFont="1" applyFill="1" applyBorder="1" applyAlignment="1">
      <alignment vertical="center"/>
    </xf>
    <xf numFmtId="0" fontId="12" fillId="5" borderId="31" xfId="4" applyFont="1" applyFill="1" applyBorder="1" applyAlignment="1">
      <alignment vertical="center"/>
    </xf>
    <xf numFmtId="0" fontId="12" fillId="7" borderId="28" xfId="4" applyFont="1" applyFill="1" applyBorder="1" applyAlignment="1">
      <alignment horizontal="center" vertical="center"/>
    </xf>
    <xf numFmtId="167" fontId="11" fillId="5" borderId="39" xfId="4" applyNumberFormat="1" applyFont="1" applyFill="1" applyBorder="1" applyAlignment="1">
      <alignment horizontal="center" vertical="center"/>
    </xf>
    <xf numFmtId="0" fontId="12" fillId="5" borderId="40" xfId="4" applyFont="1" applyFill="1" applyBorder="1" applyAlignment="1">
      <alignment vertical="center"/>
    </xf>
    <xf numFmtId="0" fontId="12" fillId="5" borderId="0" xfId="4" applyFont="1" applyFill="1" applyBorder="1" applyAlignment="1">
      <alignment horizontal="center" vertical="center"/>
    </xf>
    <xf numFmtId="0" fontId="12" fillId="5" borderId="0" xfId="4" applyFont="1" applyFill="1" applyBorder="1" applyAlignment="1">
      <alignment vertical="center"/>
    </xf>
    <xf numFmtId="0" fontId="11" fillId="5" borderId="0" xfId="4" applyFont="1" applyFill="1" applyBorder="1" applyAlignment="1">
      <alignment horizontal="right" vertical="center"/>
    </xf>
    <xf numFmtId="0" fontId="11" fillId="5" borderId="19" xfId="4" applyFont="1" applyFill="1" applyBorder="1" applyAlignment="1">
      <alignment horizontal="center" vertical="center"/>
    </xf>
    <xf numFmtId="3" fontId="11" fillId="5" borderId="41" xfId="4" applyNumberFormat="1" applyFont="1" applyFill="1" applyBorder="1" applyAlignment="1">
      <alignment horizontal="center" vertical="center"/>
    </xf>
    <xf numFmtId="0" fontId="12" fillId="5" borderId="37" xfId="4" applyFont="1" applyFill="1" applyBorder="1" applyAlignment="1">
      <alignment vertical="center"/>
    </xf>
    <xf numFmtId="0" fontId="12" fillId="5" borderId="32" xfId="4" applyFont="1" applyFill="1" applyBorder="1" applyAlignment="1">
      <alignment horizontal="center" vertical="center"/>
    </xf>
    <xf numFmtId="0" fontId="12" fillId="5" borderId="32" xfId="4" applyFont="1" applyFill="1" applyBorder="1" applyAlignment="1">
      <alignment vertical="center"/>
    </xf>
    <xf numFmtId="0" fontId="12" fillId="5" borderId="32" xfId="4" applyFont="1" applyFill="1" applyBorder="1" applyAlignment="1">
      <alignment horizontal="right" vertical="center"/>
    </xf>
    <xf numFmtId="0" fontId="11" fillId="5" borderId="34" xfId="4" applyFont="1" applyFill="1" applyBorder="1" applyAlignment="1">
      <alignment horizontal="center" vertical="center"/>
    </xf>
    <xf numFmtId="1" fontId="11" fillId="5" borderId="42" xfId="4" applyNumberFormat="1" applyFont="1" applyFill="1" applyBorder="1" applyAlignment="1">
      <alignment horizontal="center" vertical="center"/>
    </xf>
    <xf numFmtId="0" fontId="12" fillId="0" borderId="0" xfId="4" applyFont="1" applyFill="1" applyBorder="1" applyAlignment="1">
      <alignment horizontal="center" vertical="center" wrapText="1"/>
    </xf>
    <xf numFmtId="0" fontId="11" fillId="0" borderId="0" xfId="4" applyFont="1" applyFill="1" applyAlignment="1">
      <alignment horizontal="right" vertical="center"/>
    </xf>
    <xf numFmtId="0" fontId="14" fillId="8" borderId="43" xfId="4" applyFont="1" applyFill="1" applyBorder="1" applyAlignment="1">
      <alignment horizontal="center" vertical="center" wrapText="1" readingOrder="1"/>
    </xf>
    <xf numFmtId="0" fontId="15" fillId="8" borderId="43" xfId="4" applyFont="1" applyFill="1" applyBorder="1" applyAlignment="1">
      <alignment horizontal="center" vertical="center" wrapText="1" readingOrder="1"/>
    </xf>
    <xf numFmtId="3" fontId="12" fillId="0" borderId="0" xfId="4" applyNumberFormat="1" applyFont="1" applyFill="1" applyAlignment="1">
      <alignment horizontal="center" vertical="center"/>
    </xf>
    <xf numFmtId="0" fontId="15" fillId="9" borderId="43" xfId="4" applyFont="1" applyFill="1" applyBorder="1" applyAlignment="1">
      <alignment horizontal="center" vertical="center" wrapText="1" readingOrder="1"/>
    </xf>
    <xf numFmtId="0" fontId="15" fillId="8" borderId="47" xfId="4" applyFont="1" applyFill="1" applyBorder="1" applyAlignment="1">
      <alignment horizontal="center" vertical="center" wrapText="1" readingOrder="1"/>
    </xf>
    <xf numFmtId="0" fontId="15" fillId="8" borderId="48" xfId="4" applyFont="1" applyFill="1" applyBorder="1" applyAlignment="1">
      <alignment horizontal="center" vertical="center" wrapText="1" readingOrder="1"/>
    </xf>
    <xf numFmtId="0" fontId="15" fillId="11" borderId="47" xfId="4" applyFont="1" applyFill="1" applyBorder="1" applyAlignment="1">
      <alignment horizontal="center" vertical="center" wrapText="1" readingOrder="1"/>
    </xf>
    <xf numFmtId="0" fontId="15" fillId="11" borderId="48" xfId="4" applyFont="1" applyFill="1" applyBorder="1" applyAlignment="1">
      <alignment horizontal="center" vertical="center" wrapText="1" readingOrder="1"/>
    </xf>
    <xf numFmtId="9" fontId="15" fillId="12" borderId="43" xfId="4" applyNumberFormat="1" applyFont="1" applyFill="1" applyBorder="1" applyAlignment="1">
      <alignment horizontal="center" vertical="center" wrapText="1" readingOrder="1"/>
    </xf>
    <xf numFmtId="0" fontId="12" fillId="13" borderId="18" xfId="4" applyFont="1" applyFill="1" applyBorder="1" applyAlignment="1">
      <alignment horizontal="center" vertical="center" wrapText="1"/>
    </xf>
    <xf numFmtId="0" fontId="0" fillId="13" borderId="0" xfId="0" applyFill="1"/>
    <xf numFmtId="0" fontId="12" fillId="14" borderId="27" xfId="4" applyFont="1" applyFill="1" applyBorder="1" applyAlignment="1">
      <alignment horizontal="center" vertical="center" wrapText="1"/>
    </xf>
    <xf numFmtId="0" fontId="0" fillId="14" borderId="0" xfId="0" applyFill="1"/>
    <xf numFmtId="0" fontId="12" fillId="15" borderId="18" xfId="4" applyFont="1" applyFill="1" applyBorder="1" applyAlignment="1">
      <alignment horizontal="center" vertical="center" wrapText="1"/>
    </xf>
    <xf numFmtId="0" fontId="0" fillId="15" borderId="0" xfId="0" applyFill="1"/>
    <xf numFmtId="0" fontId="12" fillId="16" borderId="18" xfId="4" applyFont="1" applyFill="1" applyBorder="1" applyAlignment="1">
      <alignment horizontal="center" vertical="center" wrapText="1"/>
    </xf>
    <xf numFmtId="0" fontId="0" fillId="16" borderId="0" xfId="0" applyFill="1"/>
    <xf numFmtId="0" fontId="0" fillId="17" borderId="0" xfId="0" applyFill="1"/>
    <xf numFmtId="0" fontId="12" fillId="17" borderId="18" xfId="4" applyFont="1" applyFill="1" applyBorder="1" applyAlignment="1">
      <alignment horizontal="center" vertical="center" wrapText="1"/>
    </xf>
    <xf numFmtId="168" fontId="12" fillId="0" borderId="0" xfId="4" applyNumberFormat="1" applyFont="1" applyFill="1" applyAlignment="1">
      <alignment horizontal="right" vertical="center"/>
    </xf>
    <xf numFmtId="0" fontId="0" fillId="3" borderId="0" xfId="0" applyFill="1"/>
    <xf numFmtId="0" fontId="12" fillId="3" borderId="27" xfId="4" applyFont="1" applyFill="1" applyBorder="1" applyAlignment="1">
      <alignment horizontal="center" vertical="center" wrapText="1"/>
    </xf>
    <xf numFmtId="0" fontId="12" fillId="3" borderId="18" xfId="4" applyFont="1" applyFill="1" applyBorder="1" applyAlignment="1">
      <alignment horizontal="center" vertical="center" wrapText="1"/>
    </xf>
    <xf numFmtId="0" fontId="12" fillId="18" borderId="18" xfId="4" applyFont="1" applyFill="1" applyBorder="1" applyAlignment="1">
      <alignment horizontal="center" vertical="center" wrapText="1"/>
    </xf>
    <xf numFmtId="0" fontId="0" fillId="18" borderId="0" xfId="0" applyFill="1"/>
    <xf numFmtId="0" fontId="12" fillId="19" borderId="18" xfId="4" applyFont="1" applyFill="1" applyBorder="1" applyAlignment="1">
      <alignment horizontal="center" vertical="center" wrapText="1"/>
    </xf>
    <xf numFmtId="0" fontId="0" fillId="19" borderId="0" xfId="0" applyFill="1"/>
    <xf numFmtId="0" fontId="0" fillId="20" borderId="0" xfId="0" applyFill="1"/>
    <xf numFmtId="0" fontId="12" fillId="20" borderId="18" xfId="4" applyFont="1" applyFill="1" applyBorder="1" applyAlignment="1">
      <alignment horizontal="center" vertical="center" wrapText="1"/>
    </xf>
    <xf numFmtId="0" fontId="0" fillId="21" borderId="0" xfId="0" applyFill="1"/>
    <xf numFmtId="0" fontId="12" fillId="21" borderId="18" xfId="4" applyFont="1" applyFill="1" applyBorder="1" applyAlignment="1">
      <alignment horizontal="center" vertical="center" wrapText="1"/>
    </xf>
    <xf numFmtId="0" fontId="12" fillId="22" borderId="18" xfId="4" applyFont="1" applyFill="1" applyBorder="1" applyAlignment="1">
      <alignment horizontal="center" vertical="center" wrapText="1"/>
    </xf>
    <xf numFmtId="0" fontId="12" fillId="22" borderId="33" xfId="4" applyFont="1" applyFill="1" applyBorder="1" applyAlignment="1">
      <alignment horizontal="center" vertical="center" wrapText="1"/>
    </xf>
    <xf numFmtId="0" fontId="0" fillId="22" borderId="0" xfId="0" applyFill="1"/>
    <xf numFmtId="0" fontId="12" fillId="23" borderId="12" xfId="4" applyFont="1" applyFill="1" applyBorder="1" applyAlignment="1">
      <alignment horizontal="center" vertical="center" wrapText="1"/>
    </xf>
    <xf numFmtId="0" fontId="12" fillId="23" borderId="18" xfId="4" applyFont="1" applyFill="1" applyBorder="1" applyAlignment="1">
      <alignment horizontal="center" vertical="center" wrapText="1"/>
    </xf>
    <xf numFmtId="0" fontId="1" fillId="23" borderId="0" xfId="0" applyFont="1" applyFill="1"/>
    <xf numFmtId="0" fontId="12" fillId="24" borderId="18" xfId="4" applyFont="1" applyFill="1" applyBorder="1" applyAlignment="1">
      <alignment horizontal="center" vertical="center" wrapText="1"/>
    </xf>
    <xf numFmtId="0" fontId="1" fillId="24" borderId="0" xfId="0" applyFont="1" applyFill="1"/>
    <xf numFmtId="0" fontId="12" fillId="25" borderId="27" xfId="4" applyFont="1" applyFill="1" applyBorder="1" applyAlignment="1">
      <alignment horizontal="center" vertical="center" wrapText="1"/>
    </xf>
    <xf numFmtId="0" fontId="12" fillId="25" borderId="18" xfId="4" applyFont="1" applyFill="1" applyBorder="1" applyAlignment="1">
      <alignment horizontal="center" vertical="center" wrapText="1"/>
    </xf>
    <xf numFmtId="0" fontId="0" fillId="25" borderId="0" xfId="0" applyFill="1"/>
    <xf numFmtId="0" fontId="12" fillId="26" borderId="18" xfId="4" applyFont="1" applyFill="1" applyBorder="1" applyAlignment="1">
      <alignment horizontal="center" vertical="center" wrapText="1"/>
    </xf>
    <xf numFmtId="0" fontId="0" fillId="26" borderId="0" xfId="0" applyFill="1"/>
    <xf numFmtId="3" fontId="0" fillId="2" borderId="0" xfId="0" applyNumberFormat="1" applyFill="1"/>
    <xf numFmtId="0" fontId="0" fillId="0" borderId="54" xfId="0" applyBorder="1" applyAlignment="1">
      <alignment vertical="top" wrapText="1"/>
    </xf>
    <xf numFmtId="0" fontId="0" fillId="0" borderId="55" xfId="0" applyBorder="1" applyAlignment="1">
      <alignment horizontal="center" vertical="top" wrapText="1"/>
    </xf>
    <xf numFmtId="0" fontId="0" fillId="0" borderId="56" xfId="0" applyBorder="1" applyAlignment="1">
      <alignment horizontal="center" vertical="top" wrapText="1"/>
    </xf>
    <xf numFmtId="0" fontId="0" fillId="0" borderId="57" xfId="0" applyBorder="1" applyAlignment="1">
      <alignment vertical="top" wrapText="1"/>
    </xf>
    <xf numFmtId="0" fontId="0" fillId="0" borderId="58" xfId="0" applyBorder="1" applyAlignment="1">
      <alignment vertical="top" wrapText="1"/>
    </xf>
    <xf numFmtId="0" fontId="0" fillId="0" borderId="59" xfId="0" applyBorder="1" applyAlignment="1">
      <alignment vertical="top" wrapText="1"/>
    </xf>
    <xf numFmtId="0" fontId="0" fillId="0" borderId="60" xfId="0"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2" xfId="0" applyBorder="1" applyAlignment="1">
      <alignment horizontal="right" vertical="top" wrapText="1"/>
    </xf>
    <xf numFmtId="0" fontId="0" fillId="0" borderId="63" xfId="0" applyBorder="1" applyAlignment="1">
      <alignment vertical="top" wrapText="1"/>
    </xf>
    <xf numFmtId="0" fontId="0" fillId="0" borderId="64" xfId="0" applyBorder="1" applyAlignment="1">
      <alignment vertical="top" wrapText="1"/>
    </xf>
    <xf numFmtId="0" fontId="0" fillId="0" borderId="65" xfId="0" applyBorder="1" applyAlignment="1">
      <alignment vertical="top" wrapText="1"/>
    </xf>
    <xf numFmtId="0" fontId="0" fillId="0" borderId="55" xfId="0" applyBorder="1" applyAlignment="1">
      <alignment vertical="top" wrapText="1"/>
    </xf>
    <xf numFmtId="0" fontId="0" fillId="0" borderId="56" xfId="0" applyBorder="1" applyAlignment="1">
      <alignment vertical="top" wrapText="1"/>
    </xf>
    <xf numFmtId="0" fontId="0" fillId="0" borderId="66" xfId="0" applyBorder="1"/>
    <xf numFmtId="0" fontId="0" fillId="0" borderId="67" xfId="0" applyFill="1" applyBorder="1" applyAlignment="1">
      <alignment vertical="top" wrapText="1"/>
    </xf>
    <xf numFmtId="0" fontId="0" fillId="0" borderId="68" xfId="0" applyFill="1" applyBorder="1" applyAlignment="1">
      <alignment vertical="top" wrapText="1"/>
    </xf>
    <xf numFmtId="0" fontId="0" fillId="0" borderId="27" xfId="0" applyBorder="1"/>
    <xf numFmtId="0" fontId="0" fillId="0" borderId="28" xfId="0" applyFill="1" applyBorder="1" applyAlignment="1">
      <alignment vertical="top" wrapText="1"/>
    </xf>
    <xf numFmtId="0" fontId="0" fillId="0" borderId="39" xfId="0" applyBorder="1" applyAlignment="1">
      <alignment horizontal="right"/>
    </xf>
    <xf numFmtId="0" fontId="0" fillId="0" borderId="18" xfId="0" applyBorder="1"/>
    <xf numFmtId="0" fontId="0" fillId="0" borderId="19" xfId="0" applyFill="1" applyBorder="1" applyAlignment="1">
      <alignment vertical="top" wrapText="1"/>
    </xf>
    <xf numFmtId="0" fontId="0" fillId="0" borderId="41" xfId="0" applyFill="1" applyBorder="1" applyAlignment="1">
      <alignment vertical="top" wrapText="1"/>
    </xf>
    <xf numFmtId="0" fontId="0" fillId="0" borderId="19" xfId="0" applyBorder="1"/>
    <xf numFmtId="0" fontId="0" fillId="0" borderId="33" xfId="0" applyBorder="1"/>
    <xf numFmtId="0" fontId="0" fillId="0" borderId="34" xfId="0" applyFill="1" applyBorder="1" applyAlignment="1">
      <alignment vertical="top" wrapText="1"/>
    </xf>
    <xf numFmtId="0" fontId="0" fillId="0" borderId="34" xfId="0" applyBorder="1"/>
    <xf numFmtId="0" fontId="0" fillId="0" borderId="42" xfId="0" applyFill="1" applyBorder="1" applyAlignment="1">
      <alignment vertical="top" wrapText="1"/>
    </xf>
    <xf numFmtId="0" fontId="0" fillId="27" borderId="0" xfId="0" applyFill="1"/>
    <xf numFmtId="0" fontId="0" fillId="2" borderId="0" xfId="0" applyFill="1" applyAlignment="1">
      <alignment horizontal="center"/>
    </xf>
    <xf numFmtId="0" fontId="0" fillId="28" borderId="0" xfId="0" applyFill="1" applyAlignment="1">
      <alignment horizontal="center"/>
    </xf>
    <xf numFmtId="168" fontId="0" fillId="28" borderId="0" xfId="0" applyNumberFormat="1" applyFill="1"/>
    <xf numFmtId="0" fontId="0" fillId="28" borderId="0" xfId="0" applyFill="1"/>
    <xf numFmtId="168" fontId="0" fillId="2" borderId="0" xfId="0" applyNumberFormat="1" applyFill="1" applyBorder="1" applyAlignment="1">
      <alignment horizontal="center"/>
    </xf>
    <xf numFmtId="3" fontId="0" fillId="2" borderId="0" xfId="0" applyNumberFormat="1" applyFill="1" applyBorder="1"/>
    <xf numFmtId="0" fontId="1" fillId="2" borderId="0" xfId="0" applyFont="1" applyFill="1" applyBorder="1"/>
    <xf numFmtId="0" fontId="0" fillId="2" borderId="0" xfId="0" applyFont="1" applyFill="1" applyBorder="1"/>
    <xf numFmtId="0" fontId="1" fillId="2" borderId="2" xfId="0" applyFont="1" applyFill="1" applyBorder="1"/>
    <xf numFmtId="0" fontId="0" fillId="2" borderId="2" xfId="0" applyFont="1" applyFill="1" applyBorder="1"/>
    <xf numFmtId="168" fontId="0" fillId="2" borderId="2" xfId="0" applyNumberFormat="1" applyFill="1" applyBorder="1" applyAlignment="1">
      <alignment horizontal="center"/>
    </xf>
    <xf numFmtId="3" fontId="0" fillId="2" borderId="2" xfId="0" applyNumberFormat="1" applyFill="1" applyBorder="1"/>
    <xf numFmtId="0" fontId="0" fillId="4" borderId="1" xfId="0" applyFill="1" applyBorder="1"/>
    <xf numFmtId="0" fontId="1" fillId="2" borderId="1" xfId="0" applyFont="1" applyFill="1" applyBorder="1" applyAlignment="1">
      <alignment horizontal="center"/>
    </xf>
    <xf numFmtId="0" fontId="0" fillId="2" borderId="2" xfId="0" applyFill="1" applyBorder="1"/>
    <xf numFmtId="0" fontId="7" fillId="2" borderId="0" xfId="1" applyFill="1"/>
    <xf numFmtId="3" fontId="0" fillId="2" borderId="1" xfId="0" applyNumberFormat="1" applyFill="1" applyBorder="1"/>
    <xf numFmtId="0" fontId="4" fillId="2" borderId="0" xfId="0" applyFont="1" applyFill="1"/>
    <xf numFmtId="0" fontId="0" fillId="2" borderId="1" xfId="0" applyFont="1" applyFill="1" applyBorder="1" applyAlignment="1">
      <alignment horizontal="center"/>
    </xf>
    <xf numFmtId="0" fontId="0" fillId="2" borderId="0" xfId="0" applyFont="1" applyFill="1" applyBorder="1" applyAlignment="1">
      <alignment horizontal="center"/>
    </xf>
    <xf numFmtId="0" fontId="0" fillId="2" borderId="2" xfId="0" applyFont="1" applyFill="1" applyBorder="1" applyAlignment="1">
      <alignment horizontal="center"/>
    </xf>
    <xf numFmtId="0" fontId="1" fillId="2" borderId="0" xfId="0" applyFont="1" applyFill="1" applyBorder="1" applyAlignment="1">
      <alignment horizontal="center"/>
    </xf>
    <xf numFmtId="0" fontId="0" fillId="28" borderId="0" xfId="0" applyFont="1" applyFill="1" applyBorder="1" applyAlignment="1">
      <alignment horizontal="center"/>
    </xf>
    <xf numFmtId="0" fontId="0" fillId="28" borderId="2" xfId="0" applyFont="1" applyFill="1" applyBorder="1" applyAlignment="1">
      <alignment horizontal="center"/>
    </xf>
    <xf numFmtId="0" fontId="1" fillId="2" borderId="73" xfId="0" applyFont="1" applyFill="1" applyBorder="1" applyAlignment="1">
      <alignment horizontal="center"/>
    </xf>
    <xf numFmtId="0" fontId="0" fillId="2" borderId="25" xfId="0" applyFont="1" applyFill="1" applyBorder="1" applyAlignment="1">
      <alignment horizontal="center"/>
    </xf>
    <xf numFmtId="0" fontId="0" fillId="2" borderId="73" xfId="0" applyFont="1" applyFill="1" applyBorder="1" applyAlignment="1">
      <alignment horizontal="center"/>
    </xf>
    <xf numFmtId="0" fontId="0" fillId="2" borderId="14" xfId="0" applyFont="1" applyFill="1" applyBorder="1" applyAlignment="1">
      <alignment horizontal="center"/>
    </xf>
    <xf numFmtId="0" fontId="0" fillId="2" borderId="72" xfId="0" applyFont="1" applyFill="1" applyBorder="1" applyAlignment="1">
      <alignment horizontal="right"/>
    </xf>
    <xf numFmtId="0" fontId="0" fillId="2" borderId="71" xfId="0" applyFont="1" applyFill="1" applyBorder="1" applyAlignment="1">
      <alignment horizontal="right"/>
    </xf>
    <xf numFmtId="0" fontId="0" fillId="2" borderId="70" xfId="0" applyFont="1" applyFill="1" applyBorder="1" applyAlignment="1">
      <alignment horizontal="right"/>
    </xf>
    <xf numFmtId="9" fontId="0" fillId="2" borderId="1" xfId="3" applyFont="1" applyFill="1" applyBorder="1" applyAlignment="1">
      <alignment horizontal="center"/>
    </xf>
    <xf numFmtId="9" fontId="0" fillId="2" borderId="0" xfId="3" applyFont="1" applyFill="1" applyBorder="1" applyAlignment="1">
      <alignment horizontal="center"/>
    </xf>
    <xf numFmtId="9" fontId="0" fillId="2" borderId="2" xfId="3" applyFont="1" applyFill="1" applyBorder="1" applyAlignment="1">
      <alignment horizontal="center"/>
    </xf>
    <xf numFmtId="170" fontId="0" fillId="0" borderId="0" xfId="2" applyNumberFormat="1" applyFont="1"/>
    <xf numFmtId="0" fontId="1" fillId="2" borderId="0" xfId="0" applyFont="1" applyFill="1" applyAlignment="1">
      <alignment horizontal="center"/>
    </xf>
    <xf numFmtId="0" fontId="1" fillId="2" borderId="2" xfId="0" applyFont="1" applyFill="1" applyBorder="1" applyAlignment="1">
      <alignment horizontal="center"/>
    </xf>
    <xf numFmtId="0" fontId="1" fillId="2" borderId="1" xfId="0" applyFont="1" applyFill="1" applyBorder="1" applyAlignment="1">
      <alignment horizontal="center"/>
    </xf>
    <xf numFmtId="3" fontId="0" fillId="2" borderId="0" xfId="0" applyNumberFormat="1" applyFill="1" applyAlignment="1">
      <alignment horizontal="center"/>
    </xf>
    <xf numFmtId="0" fontId="0" fillId="0" borderId="0" xfId="0" applyAlignment="1">
      <alignment horizontal="center"/>
    </xf>
    <xf numFmtId="171" fontId="0" fillId="0" borderId="0" xfId="0" applyNumberFormat="1"/>
    <xf numFmtId="0" fontId="0" fillId="0" borderId="0" xfId="0"/>
    <xf numFmtId="168" fontId="0" fillId="2" borderId="1" xfId="0" applyNumberFormat="1" applyFill="1" applyBorder="1"/>
    <xf numFmtId="168" fontId="0" fillId="2" borderId="0" xfId="0" applyNumberFormat="1" applyFill="1" applyBorder="1"/>
    <xf numFmtId="2" fontId="0" fillId="2" borderId="2" xfId="0" applyNumberFormat="1" applyFill="1" applyBorder="1"/>
    <xf numFmtId="0" fontId="1" fillId="2" borderId="69" xfId="0" applyFont="1" applyFill="1" applyBorder="1"/>
    <xf numFmtId="0" fontId="1" fillId="2" borderId="0" xfId="0" applyFont="1" applyFill="1" applyAlignment="1"/>
    <xf numFmtId="172" fontId="0" fillId="2" borderId="0" xfId="0" applyNumberFormat="1" applyFill="1" applyBorder="1"/>
    <xf numFmtId="2" fontId="0" fillId="2" borderId="0" xfId="0" applyNumberFormat="1" applyFill="1" applyAlignment="1">
      <alignment horizontal="center"/>
    </xf>
    <xf numFmtId="0" fontId="0" fillId="2" borderId="0" xfId="0" applyFont="1" applyFill="1" applyAlignment="1">
      <alignment horizontal="center"/>
    </xf>
    <xf numFmtId="2" fontId="0" fillId="2" borderId="0" xfId="0" applyNumberFormat="1" applyFill="1" applyBorder="1" applyAlignment="1">
      <alignment horizontal="center"/>
    </xf>
    <xf numFmtId="0" fontId="18" fillId="2" borderId="0" xfId="0" applyFont="1" applyFill="1" applyBorder="1" applyAlignment="1">
      <alignment horizontal="center"/>
    </xf>
    <xf numFmtId="2" fontId="0" fillId="0" borderId="0" xfId="0" applyNumberFormat="1" applyAlignment="1">
      <alignment horizontal="center"/>
    </xf>
    <xf numFmtId="2" fontId="0" fillId="23" borderId="0" xfId="0" applyNumberFormat="1" applyFill="1" applyAlignment="1">
      <alignment horizontal="center"/>
    </xf>
    <xf numFmtId="0" fontId="0" fillId="0" borderId="1" xfId="0" applyBorder="1"/>
    <xf numFmtId="0" fontId="0" fillId="23" borderId="73" xfId="0" applyFill="1" applyBorder="1" applyAlignment="1">
      <alignment horizontal="center"/>
    </xf>
    <xf numFmtId="0" fontId="1" fillId="2" borderId="75" xfId="0" applyFont="1" applyFill="1" applyBorder="1" applyAlignment="1">
      <alignment horizontal="center"/>
    </xf>
    <xf numFmtId="0" fontId="1" fillId="2" borderId="74" xfId="0" quotePrefix="1" applyFont="1" applyFill="1" applyBorder="1" applyAlignment="1">
      <alignment horizontal="center"/>
    </xf>
    <xf numFmtId="3" fontId="0" fillId="2" borderId="75" xfId="0" applyNumberFormat="1" applyFill="1" applyBorder="1"/>
    <xf numFmtId="3" fontId="0" fillId="2" borderId="76" xfId="0" applyNumberFormat="1" applyFill="1" applyBorder="1"/>
    <xf numFmtId="3" fontId="0" fillId="2" borderId="74" xfId="0" applyNumberFormat="1" applyFill="1" applyBorder="1"/>
    <xf numFmtId="0" fontId="1" fillId="2" borderId="14" xfId="0" applyFont="1" applyFill="1" applyBorder="1"/>
    <xf numFmtId="0" fontId="1" fillId="2" borderId="25" xfId="0" applyFont="1" applyFill="1" applyBorder="1" applyAlignment="1">
      <alignment horizontal="center"/>
    </xf>
    <xf numFmtId="0" fontId="1" fillId="2" borderId="14" xfId="0" applyFont="1" applyFill="1" applyBorder="1" applyAlignment="1">
      <alignment horizontal="center"/>
    </xf>
    <xf numFmtId="0" fontId="1" fillId="2" borderId="77" xfId="0" applyFont="1" applyFill="1" applyBorder="1"/>
    <xf numFmtId="0" fontId="0" fillId="2" borderId="77" xfId="0" applyFill="1" applyBorder="1"/>
    <xf numFmtId="0" fontId="0" fillId="2" borderId="77" xfId="0" applyFill="1" applyBorder="1" applyAlignment="1">
      <alignment horizontal="center"/>
    </xf>
    <xf numFmtId="2" fontId="0" fillId="2" borderId="77" xfId="0" applyNumberFormat="1" applyFill="1" applyBorder="1" applyAlignment="1">
      <alignment horizontal="center"/>
    </xf>
    <xf numFmtId="0" fontId="0" fillId="2" borderId="24" xfId="0" applyFill="1" applyBorder="1"/>
    <xf numFmtId="3" fontId="0" fillId="2" borderId="0" xfId="0" applyNumberFormat="1" applyFill="1" applyBorder="1" applyAlignment="1">
      <alignment horizontal="center"/>
    </xf>
    <xf numFmtId="3" fontId="0" fillId="2" borderId="2" xfId="0" applyNumberFormat="1" applyFill="1" applyBorder="1" applyAlignment="1">
      <alignment horizontal="center"/>
    </xf>
    <xf numFmtId="3" fontId="0" fillId="0" borderId="0" xfId="0" applyNumberFormat="1" applyAlignment="1">
      <alignment horizontal="center"/>
    </xf>
    <xf numFmtId="0" fontId="0" fillId="2" borderId="78" xfId="0" applyFill="1" applyBorder="1"/>
    <xf numFmtId="3" fontId="0" fillId="2" borderId="78" xfId="0" applyNumberFormat="1" applyFill="1" applyBorder="1" applyAlignment="1">
      <alignment horizontal="center"/>
    </xf>
    <xf numFmtId="167" fontId="0" fillId="2" borderId="1" xfId="0" applyNumberFormat="1" applyFill="1" applyBorder="1" applyAlignment="1">
      <alignment horizontal="center"/>
    </xf>
    <xf numFmtId="167" fontId="0" fillId="2" borderId="0" xfId="0" applyNumberFormat="1" applyFill="1" applyBorder="1" applyAlignment="1">
      <alignment horizontal="center"/>
    </xf>
    <xf numFmtId="4" fontId="0" fillId="2" borderId="0" xfId="0" applyNumberFormat="1" applyFill="1" applyBorder="1" applyAlignment="1">
      <alignment horizontal="center"/>
    </xf>
    <xf numFmtId="0" fontId="1" fillId="2" borderId="71" xfId="0" applyFont="1" applyFill="1" applyBorder="1" applyAlignment="1">
      <alignment horizontal="center"/>
    </xf>
    <xf numFmtId="0" fontId="0" fillId="2" borderId="71" xfId="0" applyFill="1" applyBorder="1"/>
    <xf numFmtId="0" fontId="0" fillId="2" borderId="79" xfId="0" applyFill="1" applyBorder="1"/>
    <xf numFmtId="0" fontId="1" fillId="2" borderId="71" xfId="0" applyFont="1" applyFill="1" applyBorder="1"/>
    <xf numFmtId="0" fontId="1" fillId="2" borderId="79" xfId="0" applyFont="1" applyFill="1" applyBorder="1"/>
    <xf numFmtId="0" fontId="0" fillId="2" borderId="72" xfId="0" applyFont="1" applyFill="1" applyBorder="1"/>
    <xf numFmtId="0" fontId="0" fillId="2" borderId="80" xfId="0" applyFont="1" applyFill="1" applyBorder="1"/>
    <xf numFmtId="0" fontId="1" fillId="2" borderId="81" xfId="0" applyFont="1" applyFill="1" applyBorder="1"/>
    <xf numFmtId="0" fontId="1" fillId="2" borderId="82" xfId="0" applyFont="1" applyFill="1" applyBorder="1" applyAlignment="1">
      <alignment horizontal="center"/>
    </xf>
    <xf numFmtId="0" fontId="0" fillId="2" borderId="80" xfId="0" applyFont="1" applyFill="1" applyBorder="1" applyAlignment="1">
      <alignment horizontal="center"/>
    </xf>
    <xf numFmtId="2" fontId="0" fillId="2" borderId="79" xfId="0" applyNumberFormat="1" applyFill="1" applyBorder="1" applyAlignment="1">
      <alignment horizontal="center"/>
    </xf>
    <xf numFmtId="2" fontId="0" fillId="2" borderId="82" xfId="0" applyNumberFormat="1" applyFill="1" applyBorder="1" applyAlignment="1">
      <alignment horizontal="center"/>
    </xf>
    <xf numFmtId="2" fontId="0" fillId="2" borderId="79" xfId="0" applyNumberFormat="1" applyFont="1" applyFill="1" applyBorder="1" applyAlignment="1">
      <alignment horizontal="center"/>
    </xf>
    <xf numFmtId="168" fontId="0" fillId="2" borderId="71" xfId="0" applyNumberFormat="1" applyFill="1" applyBorder="1" applyAlignment="1">
      <alignment horizontal="center"/>
    </xf>
    <xf numFmtId="168" fontId="19" fillId="2" borderId="79" xfId="0" applyNumberFormat="1" applyFont="1" applyFill="1" applyBorder="1" applyAlignment="1">
      <alignment horizontal="center"/>
    </xf>
    <xf numFmtId="168" fontId="0" fillId="2" borderId="79" xfId="0" applyNumberFormat="1" applyFill="1" applyBorder="1" applyAlignment="1">
      <alignment horizontal="center"/>
    </xf>
    <xf numFmtId="168" fontId="1" fillId="2" borderId="71" xfId="0" applyNumberFormat="1" applyFont="1" applyFill="1" applyBorder="1" applyAlignment="1">
      <alignment horizontal="center"/>
    </xf>
    <xf numFmtId="168" fontId="1" fillId="2" borderId="79" xfId="0" applyNumberFormat="1" applyFont="1" applyFill="1" applyBorder="1" applyAlignment="1">
      <alignment horizontal="center"/>
    </xf>
    <xf numFmtId="168" fontId="0" fillId="2" borderId="71" xfId="0" applyNumberFormat="1" applyFont="1" applyFill="1" applyBorder="1" applyAlignment="1">
      <alignment horizontal="center"/>
    </xf>
    <xf numFmtId="168" fontId="0" fillId="2" borderId="79" xfId="0" applyNumberFormat="1" applyFont="1" applyFill="1" applyBorder="1" applyAlignment="1">
      <alignment horizontal="center"/>
    </xf>
    <xf numFmtId="168" fontId="19" fillId="2" borderId="71" xfId="0" applyNumberFormat="1" applyFont="1" applyFill="1" applyBorder="1" applyAlignment="1">
      <alignment horizontal="center"/>
    </xf>
    <xf numFmtId="0" fontId="0" fillId="2" borderId="25" xfId="0" applyFont="1" applyFill="1" applyBorder="1"/>
    <xf numFmtId="2" fontId="0" fillId="2" borderId="73" xfId="0" applyNumberFormat="1" applyFont="1" applyFill="1" applyBorder="1" applyAlignment="1">
      <alignment horizontal="center"/>
    </xf>
    <xf numFmtId="2" fontId="0" fillId="2" borderId="14" xfId="0" applyNumberFormat="1" applyFont="1" applyFill="1" applyBorder="1" applyAlignment="1">
      <alignment horizontal="center"/>
    </xf>
    <xf numFmtId="2" fontId="0" fillId="2" borderId="82" xfId="0" applyNumberFormat="1" applyFont="1" applyFill="1" applyBorder="1" applyAlignment="1">
      <alignment horizontal="center"/>
    </xf>
    <xf numFmtId="168" fontId="0" fillId="2" borderId="70" xfId="0" applyNumberFormat="1" applyFont="1" applyFill="1" applyBorder="1" applyAlignment="1">
      <alignment horizontal="center"/>
    </xf>
    <xf numFmtId="168" fontId="0" fillId="2" borderId="82" xfId="0" applyNumberFormat="1" applyFont="1" applyFill="1" applyBorder="1" applyAlignment="1">
      <alignment horizontal="center"/>
    </xf>
    <xf numFmtId="168" fontId="0" fillId="13" borderId="71" xfId="0" applyNumberFormat="1" applyFill="1" applyBorder="1" applyAlignment="1">
      <alignment horizontal="center"/>
    </xf>
    <xf numFmtId="168" fontId="0" fillId="13" borderId="76" xfId="0" applyNumberFormat="1" applyFill="1" applyBorder="1" applyAlignment="1">
      <alignment horizontal="center"/>
    </xf>
    <xf numFmtId="168" fontId="0" fillId="13" borderId="70" xfId="0" applyNumberFormat="1" applyFill="1" applyBorder="1" applyAlignment="1">
      <alignment horizontal="center"/>
    </xf>
    <xf numFmtId="168" fontId="0" fillId="13" borderId="74" xfId="0" applyNumberFormat="1" applyFill="1" applyBorder="1" applyAlignment="1">
      <alignment horizontal="center"/>
    </xf>
    <xf numFmtId="168" fontId="0" fillId="23" borderId="0" xfId="0" applyNumberFormat="1" applyFont="1" applyFill="1" applyAlignment="1">
      <alignment horizontal="center"/>
    </xf>
    <xf numFmtId="0" fontId="1" fillId="23" borderId="2" xfId="0" applyFont="1" applyFill="1" applyBorder="1" applyAlignment="1">
      <alignment horizontal="center"/>
    </xf>
    <xf numFmtId="0" fontId="0" fillId="23" borderId="1" xfId="0" applyFont="1" applyFill="1" applyBorder="1"/>
    <xf numFmtId="0" fontId="1" fillId="13" borderId="0" xfId="0" applyFont="1" applyFill="1" applyBorder="1" applyAlignment="1">
      <alignment horizontal="center"/>
    </xf>
    <xf numFmtId="0" fontId="1" fillId="13" borderId="74" xfId="0" applyFont="1" applyFill="1" applyBorder="1" applyAlignment="1">
      <alignment horizontal="center"/>
    </xf>
    <xf numFmtId="0" fontId="0" fillId="13" borderId="72" xfId="0" applyFont="1" applyFill="1" applyBorder="1"/>
    <xf numFmtId="0" fontId="0" fillId="13" borderId="75" xfId="0" applyFont="1" applyFill="1" applyBorder="1"/>
    <xf numFmtId="0" fontId="1" fillId="29" borderId="0" xfId="0" applyFont="1" applyFill="1" applyAlignment="1">
      <alignment horizontal="right"/>
    </xf>
    <xf numFmtId="0" fontId="1" fillId="29" borderId="0" xfId="0" applyFont="1" applyFill="1" applyAlignment="1">
      <alignment horizontal="left"/>
    </xf>
    <xf numFmtId="168" fontId="1" fillId="2" borderId="0" xfId="0" applyNumberFormat="1" applyFont="1" applyFill="1" applyAlignment="1">
      <alignment horizontal="center"/>
    </xf>
    <xf numFmtId="0" fontId="1" fillId="23" borderId="71" xfId="0" applyFont="1" applyFill="1" applyBorder="1" applyAlignment="1">
      <alignment horizontal="center"/>
    </xf>
    <xf numFmtId="0" fontId="0" fillId="23" borderId="72" xfId="0" applyFont="1" applyFill="1" applyBorder="1"/>
    <xf numFmtId="168" fontId="0" fillId="23" borderId="71" xfId="0" applyNumberFormat="1" applyFont="1" applyFill="1" applyBorder="1" applyAlignment="1">
      <alignment horizontal="center"/>
    </xf>
    <xf numFmtId="168" fontId="0" fillId="23" borderId="70" xfId="0" applyNumberFormat="1" applyFont="1" applyFill="1" applyBorder="1" applyAlignment="1">
      <alignment horizontal="center"/>
    </xf>
    <xf numFmtId="168" fontId="0" fillId="2" borderId="71" xfId="0" applyNumberFormat="1" applyFont="1" applyFill="1" applyBorder="1" applyAlignment="1">
      <alignment horizontal="center" vertical="top" wrapText="1"/>
    </xf>
    <xf numFmtId="3" fontId="1" fillId="2" borderId="0" xfId="0" applyNumberFormat="1" applyFont="1" applyFill="1" applyAlignment="1">
      <alignment horizontal="center"/>
    </xf>
    <xf numFmtId="167" fontId="0" fillId="2" borderId="2" xfId="0" applyNumberFormat="1" applyFont="1" applyFill="1" applyBorder="1" applyAlignment="1">
      <alignment horizontal="center" vertical="center"/>
    </xf>
    <xf numFmtId="3" fontId="0" fillId="2" borderId="2" xfId="0" applyNumberFormat="1" applyFont="1" applyFill="1" applyBorder="1" applyAlignment="1">
      <alignment horizontal="center" vertical="center"/>
    </xf>
    <xf numFmtId="167" fontId="0" fillId="2" borderId="1"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168" fontId="1" fillId="2" borderId="0" xfId="0" applyNumberFormat="1" applyFont="1" applyFill="1" applyBorder="1"/>
    <xf numFmtId="168" fontId="0" fillId="2" borderId="0" xfId="0" applyNumberFormat="1" applyFont="1" applyFill="1" applyBorder="1" applyAlignment="1">
      <alignment horizontal="center"/>
    </xf>
    <xf numFmtId="3" fontId="0" fillId="2" borderId="71" xfId="0" applyNumberFormat="1" applyFont="1" applyFill="1" applyBorder="1" applyAlignment="1">
      <alignment horizontal="center"/>
    </xf>
    <xf numFmtId="3" fontId="0" fillId="2" borderId="73" xfId="0" applyNumberFormat="1" applyFont="1" applyFill="1" applyBorder="1" applyAlignment="1">
      <alignment horizontal="center"/>
    </xf>
    <xf numFmtId="168" fontId="1" fillId="2" borderId="73" xfId="0" applyNumberFormat="1" applyFont="1" applyFill="1" applyBorder="1" applyAlignment="1">
      <alignment horizontal="center"/>
    </xf>
    <xf numFmtId="168" fontId="0" fillId="2" borderId="73" xfId="0" applyNumberFormat="1" applyFill="1" applyBorder="1" applyAlignment="1">
      <alignment horizontal="center"/>
    </xf>
    <xf numFmtId="3" fontId="0" fillId="2" borderId="0" xfId="0" applyNumberFormat="1" applyFont="1" applyFill="1" applyBorder="1" applyAlignment="1">
      <alignment horizontal="center"/>
    </xf>
    <xf numFmtId="168" fontId="1" fillId="2" borderId="0" xfId="0" applyNumberFormat="1" applyFont="1" applyFill="1" applyBorder="1" applyAlignment="1">
      <alignment horizontal="center"/>
    </xf>
    <xf numFmtId="3" fontId="0" fillId="2" borderId="14" xfId="0" applyNumberFormat="1" applyFont="1" applyFill="1" applyBorder="1" applyAlignment="1">
      <alignment horizontal="center"/>
    </xf>
    <xf numFmtId="3" fontId="0" fillId="2" borderId="2" xfId="0" applyNumberFormat="1" applyFont="1" applyFill="1" applyBorder="1" applyAlignment="1">
      <alignment horizontal="center"/>
    </xf>
    <xf numFmtId="3" fontId="0" fillId="2" borderId="79" xfId="0" applyNumberFormat="1" applyFont="1" applyFill="1" applyBorder="1" applyAlignment="1">
      <alignment horizontal="center"/>
    </xf>
    <xf numFmtId="168" fontId="0" fillId="2" borderId="79" xfId="0" applyNumberFormat="1" applyFill="1" applyBorder="1"/>
    <xf numFmtId="168" fontId="1" fillId="2" borderId="79" xfId="0" applyNumberFormat="1" applyFont="1" applyFill="1" applyBorder="1"/>
    <xf numFmtId="3" fontId="0" fillId="2" borderId="70" xfId="0" applyNumberFormat="1" applyFont="1" applyFill="1" applyBorder="1" applyAlignment="1">
      <alignment horizontal="center"/>
    </xf>
    <xf numFmtId="3" fontId="0" fillId="2" borderId="82" xfId="0" applyNumberFormat="1" applyFont="1" applyFill="1" applyBorder="1" applyAlignment="1">
      <alignment horizontal="center"/>
    </xf>
    <xf numFmtId="167" fontId="0" fillId="2" borderId="73" xfId="0" applyNumberFormat="1" applyFont="1" applyFill="1" applyBorder="1" applyAlignment="1">
      <alignment horizontal="center"/>
    </xf>
    <xf numFmtId="167" fontId="0" fillId="2" borderId="0" xfId="0" applyNumberFormat="1" applyFont="1" applyFill="1" applyBorder="1" applyAlignment="1">
      <alignment horizontal="center"/>
    </xf>
    <xf numFmtId="167" fontId="0" fillId="2" borderId="71" xfId="0" applyNumberFormat="1" applyFont="1" applyFill="1" applyBorder="1" applyAlignment="1">
      <alignment horizontal="center"/>
    </xf>
    <xf numFmtId="167" fontId="0" fillId="2" borderId="79" xfId="0" applyNumberFormat="1" applyFont="1" applyFill="1" applyBorder="1" applyAlignment="1">
      <alignment horizontal="center"/>
    </xf>
    <xf numFmtId="0" fontId="7" fillId="4" borderId="19" xfId="1" quotePrefix="1" applyFill="1" applyBorder="1"/>
    <xf numFmtId="172" fontId="1" fillId="0" borderId="0" xfId="0" applyNumberFormat="1" applyFont="1"/>
    <xf numFmtId="167" fontId="0" fillId="2" borderId="2" xfId="0" applyNumberFormat="1" applyFill="1" applyBorder="1" applyAlignment="1">
      <alignment horizontal="center"/>
    </xf>
    <xf numFmtId="3" fontId="0" fillId="2" borderId="71" xfId="0" applyNumberFormat="1" applyFill="1" applyBorder="1" applyAlignment="1">
      <alignment horizontal="center"/>
    </xf>
    <xf numFmtId="3" fontId="0" fillId="2" borderId="79" xfId="0" applyNumberFormat="1" applyFill="1" applyBorder="1" applyAlignment="1">
      <alignment horizontal="center"/>
    </xf>
    <xf numFmtId="3" fontId="0" fillId="2" borderId="70" xfId="0" applyNumberFormat="1" applyFill="1" applyBorder="1" applyAlignment="1">
      <alignment horizontal="center"/>
    </xf>
    <xf numFmtId="3" fontId="0" fillId="2" borderId="82" xfId="0" applyNumberFormat="1" applyFill="1" applyBorder="1" applyAlignment="1">
      <alignment horizontal="center"/>
    </xf>
    <xf numFmtId="3" fontId="0" fillId="0" borderId="71" xfId="0" applyNumberFormat="1" applyBorder="1" applyAlignment="1">
      <alignment horizontal="center"/>
    </xf>
    <xf numFmtId="3" fontId="1" fillId="0" borderId="0" xfId="0" applyNumberFormat="1" applyFont="1" applyBorder="1" applyAlignment="1">
      <alignment horizontal="center"/>
    </xf>
    <xf numFmtId="3" fontId="1" fillId="0" borderId="79" xfId="0" applyNumberFormat="1" applyFont="1" applyBorder="1" applyAlignment="1">
      <alignment horizontal="center"/>
    </xf>
    <xf numFmtId="0" fontId="1" fillId="27" borderId="2" xfId="0" applyFont="1" applyFill="1" applyBorder="1" applyAlignment="1">
      <alignment horizontal="center"/>
    </xf>
    <xf numFmtId="0" fontId="1" fillId="27" borderId="0" xfId="0" applyFont="1" applyFill="1"/>
    <xf numFmtId="3" fontId="0" fillId="27" borderId="0" xfId="0" applyNumberFormat="1" applyFill="1" applyBorder="1" applyAlignment="1">
      <alignment horizontal="center"/>
    </xf>
    <xf numFmtId="3" fontId="0" fillId="27" borderId="2" xfId="0" applyNumberFormat="1" applyFill="1" applyBorder="1" applyAlignment="1">
      <alignment horizontal="center"/>
    </xf>
    <xf numFmtId="3" fontId="1" fillId="27" borderId="0" xfId="0" applyNumberFormat="1" applyFont="1" applyFill="1" applyAlignment="1">
      <alignment horizontal="center"/>
    </xf>
    <xf numFmtId="0" fontId="4" fillId="2" borderId="1" xfId="0" applyFont="1" applyFill="1" applyBorder="1"/>
    <xf numFmtId="3" fontId="0" fillId="2" borderId="73" xfId="0" applyNumberFormat="1" applyFill="1" applyBorder="1"/>
    <xf numFmtId="0" fontId="0" fillId="2" borderId="73" xfId="0" applyFill="1" applyBorder="1"/>
    <xf numFmtId="3" fontId="0" fillId="2" borderId="25" xfId="0" applyNumberFormat="1" applyFill="1" applyBorder="1"/>
    <xf numFmtId="172" fontId="0" fillId="2" borderId="0" xfId="0" applyNumberFormat="1" applyFont="1" applyFill="1" applyBorder="1" applyAlignment="1">
      <alignment horizontal="center"/>
    </xf>
    <xf numFmtId="170" fontId="0" fillId="2" borderId="1" xfId="2" applyNumberFormat="1" applyFont="1" applyFill="1" applyBorder="1"/>
    <xf numFmtId="0" fontId="1" fillId="0" borderId="1" xfId="0" applyFont="1" applyBorder="1"/>
    <xf numFmtId="9" fontId="0" fillId="0" borderId="0" xfId="3" applyFont="1" applyBorder="1"/>
    <xf numFmtId="9" fontId="0" fillId="0" borderId="2" xfId="3" applyFont="1" applyBorder="1"/>
    <xf numFmtId="0" fontId="23" fillId="2" borderId="0" xfId="0" applyFont="1" applyFill="1"/>
    <xf numFmtId="173" fontId="0" fillId="0" borderId="0" xfId="0" applyNumberFormat="1"/>
    <xf numFmtId="172" fontId="0" fillId="2" borderId="73" xfId="0" applyNumberFormat="1" applyFill="1" applyBorder="1"/>
    <xf numFmtId="0" fontId="1" fillId="2" borderId="0" xfId="0" quotePrefix="1" applyFont="1" applyFill="1" applyAlignment="1">
      <alignment horizontal="center"/>
    </xf>
    <xf numFmtId="168" fontId="0" fillId="2" borderId="2" xfId="0" applyNumberFormat="1" applyFont="1" applyFill="1" applyBorder="1" applyAlignment="1">
      <alignment horizontal="center"/>
    </xf>
    <xf numFmtId="170" fontId="0" fillId="2" borderId="0" xfId="2" applyNumberFormat="1" applyFont="1" applyFill="1" applyBorder="1"/>
    <xf numFmtId="0" fontId="0" fillId="2" borderId="25" xfId="0" applyFill="1" applyBorder="1"/>
    <xf numFmtId="0" fontId="24" fillId="2" borderId="0" xfId="0" applyFont="1" applyFill="1" applyBorder="1"/>
    <xf numFmtId="3" fontId="1" fillId="0" borderId="0" xfId="0" applyNumberFormat="1" applyFont="1" applyAlignment="1">
      <alignment horizontal="center"/>
    </xf>
    <xf numFmtId="170" fontId="0" fillId="2" borderId="76" xfId="2" applyNumberFormat="1" applyFont="1" applyFill="1" applyBorder="1"/>
    <xf numFmtId="170" fontId="0" fillId="2" borderId="0" xfId="0" applyNumberFormat="1" applyFill="1"/>
    <xf numFmtId="172" fontId="0" fillId="2" borderId="76" xfId="0" applyNumberFormat="1" applyFill="1" applyBorder="1"/>
    <xf numFmtId="172" fontId="0" fillId="2" borderId="76" xfId="0" applyNumberFormat="1" applyFont="1" applyFill="1" applyBorder="1" applyAlignment="1">
      <alignment horizontal="center"/>
    </xf>
    <xf numFmtId="0" fontId="0" fillId="27" borderId="0" xfId="0" applyFill="1" applyAlignment="1">
      <alignment horizontal="center"/>
    </xf>
    <xf numFmtId="172" fontId="0" fillId="2" borderId="1" xfId="0" applyNumberFormat="1" applyFill="1" applyBorder="1"/>
    <xf numFmtId="0" fontId="0" fillId="2" borderId="76" xfId="0" applyFill="1" applyBorder="1"/>
    <xf numFmtId="0" fontId="0" fillId="0" borderId="0" xfId="0" applyFont="1" applyFill="1"/>
    <xf numFmtId="0" fontId="1" fillId="0" borderId="0" xfId="0" applyFont="1" applyFill="1"/>
    <xf numFmtId="0" fontId="1" fillId="0" borderId="66" xfId="0" applyFont="1" applyFill="1" applyBorder="1" applyAlignment="1">
      <alignment horizontal="left" vertical="center" wrapText="1"/>
    </xf>
    <xf numFmtId="0" fontId="1" fillId="0" borderId="67" xfId="0" applyFont="1" applyFill="1" applyBorder="1" applyAlignment="1">
      <alignment horizontal="left" vertical="center" wrapText="1"/>
    </xf>
    <xf numFmtId="0" fontId="1" fillId="0" borderId="68" xfId="0"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horizontal="center"/>
    </xf>
    <xf numFmtId="0" fontId="1" fillId="25" borderId="66" xfId="0" applyFont="1" applyFill="1" applyBorder="1"/>
    <xf numFmtId="169" fontId="1" fillId="25" borderId="67" xfId="10" applyNumberFormat="1" applyFont="1" applyFill="1" applyBorder="1"/>
    <xf numFmtId="169" fontId="1" fillId="25" borderId="67" xfId="10" applyNumberFormat="1" applyFont="1" applyFill="1" applyBorder="1" applyAlignment="1">
      <alignment horizontal="center" wrapText="1"/>
    </xf>
    <xf numFmtId="169" fontId="1" fillId="25" borderId="68" xfId="10" applyNumberFormat="1" applyFont="1" applyFill="1" applyBorder="1" applyAlignment="1">
      <alignment horizontal="center"/>
    </xf>
    <xf numFmtId="0" fontId="0" fillId="0" borderId="12" xfId="0" applyFont="1" applyFill="1" applyBorder="1" applyAlignment="1">
      <alignment horizontal="left"/>
    </xf>
    <xf numFmtId="0" fontId="0" fillId="0" borderId="13" xfId="0" applyFont="1" applyFill="1" applyBorder="1"/>
    <xf numFmtId="0" fontId="0" fillId="0" borderId="83" xfId="0" applyFont="1" applyFill="1" applyBorder="1" applyAlignment="1">
      <alignment horizontal="left" vertical="center" wrapText="1"/>
    </xf>
    <xf numFmtId="0" fontId="0" fillId="0" borderId="15" xfId="0" applyFont="1" applyFill="1" applyBorder="1" applyAlignment="1">
      <alignment horizontal="center"/>
    </xf>
    <xf numFmtId="0" fontId="0" fillId="0" borderId="15" xfId="0" applyFont="1" applyFill="1" applyBorder="1" applyAlignment="1">
      <alignment horizontal="center" vertical="center" wrapText="1"/>
    </xf>
    <xf numFmtId="0" fontId="0" fillId="25" borderId="12" xfId="0" applyFont="1" applyFill="1" applyBorder="1"/>
    <xf numFmtId="169" fontId="9" fillId="25" borderId="13" xfId="10" applyNumberFormat="1" applyFont="1" applyFill="1" applyBorder="1"/>
    <xf numFmtId="169" fontId="9" fillId="25" borderId="83" xfId="10" applyNumberFormat="1" applyFont="1" applyFill="1" applyBorder="1" applyAlignment="1">
      <alignment horizontal="center"/>
    </xf>
    <xf numFmtId="0" fontId="0" fillId="0" borderId="18" xfId="0" applyFont="1" applyFill="1" applyBorder="1" applyAlignment="1">
      <alignment horizontal="left"/>
    </xf>
    <xf numFmtId="0" fontId="0" fillId="0" borderId="19" xfId="0" applyFont="1" applyFill="1" applyBorder="1"/>
    <xf numFmtId="0" fontId="0" fillId="0" borderId="41" xfId="0" applyFont="1" applyFill="1" applyBorder="1" applyAlignment="1">
      <alignment horizontal="left" vertical="center" wrapText="1"/>
    </xf>
    <xf numFmtId="0" fontId="0" fillId="0" borderId="21" xfId="0" applyFont="1" applyFill="1" applyBorder="1" applyAlignment="1">
      <alignment horizontal="center" vertical="center"/>
    </xf>
    <xf numFmtId="0" fontId="0" fillId="0" borderId="21" xfId="0" applyFont="1" applyFill="1" applyBorder="1" applyAlignment="1">
      <alignment horizontal="center" vertical="center" wrapText="1"/>
    </xf>
    <xf numFmtId="0" fontId="0" fillId="25" borderId="18" xfId="0" applyFont="1" applyFill="1" applyBorder="1"/>
    <xf numFmtId="169" fontId="9" fillId="25" borderId="19" xfId="10" applyNumberFormat="1" applyFont="1" applyFill="1" applyBorder="1"/>
    <xf numFmtId="169" fontId="9" fillId="25" borderId="41" xfId="10" applyNumberFormat="1" applyFont="1" applyFill="1" applyBorder="1" applyAlignment="1">
      <alignment horizontal="center"/>
    </xf>
    <xf numFmtId="49" fontId="0" fillId="0" borderId="19" xfId="0" applyNumberFormat="1" applyFont="1" applyFill="1" applyBorder="1"/>
    <xf numFmtId="0" fontId="0" fillId="0" borderId="0" xfId="0" applyFont="1" applyFill="1" applyAlignment="1">
      <alignment horizontal="left" vertical="center"/>
    </xf>
    <xf numFmtId="0" fontId="0" fillId="0" borderId="0" xfId="0" applyFont="1" applyFill="1" applyAlignment="1">
      <alignment horizontal="center" vertical="center"/>
    </xf>
    <xf numFmtId="0" fontId="0" fillId="0" borderId="0" xfId="0" applyFont="1" applyFill="1" applyAlignment="1">
      <alignment horizontal="center"/>
    </xf>
    <xf numFmtId="169" fontId="9" fillId="0" borderId="0" xfId="10" applyNumberFormat="1" applyFont="1" applyFill="1"/>
    <xf numFmtId="169" fontId="9" fillId="0" borderId="13" xfId="10" applyNumberFormat="1" applyFont="1" applyFill="1" applyBorder="1"/>
    <xf numFmtId="169" fontId="9" fillId="0" borderId="0" xfId="10" applyNumberFormat="1" applyFont="1" applyFill="1" applyAlignment="1">
      <alignment horizontal="center"/>
    </xf>
    <xf numFmtId="172" fontId="22" fillId="2" borderId="0" xfId="0" applyNumberFormat="1" applyFont="1" applyFill="1" applyBorder="1" applyAlignment="1">
      <alignment horizontal="center"/>
    </xf>
    <xf numFmtId="0" fontId="0" fillId="2" borderId="0" xfId="0" applyFill="1" applyBorder="1" applyAlignment="1">
      <alignment horizontal="right"/>
    </xf>
    <xf numFmtId="175" fontId="0" fillId="2" borderId="0" xfId="0" applyNumberFormat="1" applyFill="1" applyBorder="1"/>
    <xf numFmtId="169" fontId="0" fillId="0" borderId="0" xfId="0" applyNumberFormat="1" applyFont="1" applyFill="1"/>
    <xf numFmtId="0" fontId="1" fillId="2" borderId="2" xfId="0" applyFont="1" applyFill="1" applyBorder="1" applyAlignment="1">
      <alignment horizontal="center"/>
    </xf>
    <xf numFmtId="176" fontId="1" fillId="0" borderId="0" xfId="0" applyNumberFormat="1" applyFont="1" applyAlignment="1">
      <alignment horizontal="center"/>
    </xf>
    <xf numFmtId="178" fontId="0" fillId="2" borderId="0" xfId="0" applyNumberFormat="1" applyFill="1"/>
    <xf numFmtId="0" fontId="1" fillId="2" borderId="74" xfId="0" applyFont="1" applyFill="1" applyBorder="1"/>
    <xf numFmtId="0" fontId="0" fillId="2" borderId="75" xfId="0" applyFill="1" applyBorder="1"/>
    <xf numFmtId="2" fontId="0" fillId="27" borderId="0" xfId="0" applyNumberFormat="1" applyFill="1" applyAlignment="1">
      <alignment horizontal="center"/>
    </xf>
    <xf numFmtId="178" fontId="0" fillId="2" borderId="76" xfId="0" applyNumberFormat="1" applyFill="1" applyBorder="1"/>
    <xf numFmtId="0" fontId="0" fillId="2" borderId="74" xfId="0" applyFill="1" applyBorder="1"/>
    <xf numFmtId="178" fontId="0" fillId="2" borderId="0" xfId="0" applyNumberFormat="1" applyFill="1" applyBorder="1"/>
    <xf numFmtId="0" fontId="1" fillId="2" borderId="1" xfId="0" applyFont="1" applyFill="1" applyBorder="1" applyAlignment="1">
      <alignment horizontal="center"/>
    </xf>
    <xf numFmtId="0" fontId="1" fillId="2" borderId="0" xfId="0" applyFont="1" applyFill="1" applyAlignment="1">
      <alignment horizontal="center"/>
    </xf>
    <xf numFmtId="0" fontId="1" fillId="2" borderId="0" xfId="0" applyFont="1" applyFill="1" applyBorder="1" applyAlignment="1">
      <alignment horizontal="center"/>
    </xf>
    <xf numFmtId="0" fontId="1" fillId="2" borderId="73" xfId="0" applyFont="1" applyFill="1" applyBorder="1" applyAlignment="1">
      <alignment horizontal="center"/>
    </xf>
    <xf numFmtId="0" fontId="1" fillId="2" borderId="0" xfId="0" applyFont="1" applyFill="1" applyBorder="1" applyAlignment="1">
      <alignment horizontal="center"/>
    </xf>
    <xf numFmtId="0" fontId="1" fillId="2" borderId="1" xfId="0" applyFont="1" applyFill="1" applyBorder="1" applyAlignment="1">
      <alignment horizontal="center"/>
    </xf>
    <xf numFmtId="0" fontId="1" fillId="2" borderId="0" xfId="0" applyFont="1" applyFill="1" applyAlignment="1">
      <alignment horizontal="center"/>
    </xf>
    <xf numFmtId="0" fontId="1" fillId="2" borderId="0" xfId="0" applyFont="1" applyFill="1" applyBorder="1" applyAlignment="1">
      <alignment horizontal="center"/>
    </xf>
    <xf numFmtId="0" fontId="0" fillId="0" borderId="0" xfId="0" applyFill="1"/>
    <xf numFmtId="3" fontId="0" fillId="0" borderId="0" xfId="0" applyNumberFormat="1" applyFont="1" applyAlignment="1">
      <alignment horizontal="center"/>
    </xf>
    <xf numFmtId="0" fontId="1" fillId="2" borderId="0" xfId="0" applyFont="1" applyFill="1" applyAlignment="1">
      <alignment horizontal="center"/>
    </xf>
    <xf numFmtId="0" fontId="1" fillId="2" borderId="0" xfId="0" applyFont="1" applyFill="1" applyBorder="1" applyAlignment="1">
      <alignment horizontal="center"/>
    </xf>
    <xf numFmtId="0" fontId="1" fillId="2" borderId="2" xfId="0" applyFont="1" applyFill="1" applyBorder="1" applyAlignment="1">
      <alignment horizontal="center"/>
    </xf>
    <xf numFmtId="0" fontId="1" fillId="2" borderId="79" xfId="0" applyFont="1" applyFill="1" applyBorder="1" applyAlignment="1">
      <alignment horizontal="center"/>
    </xf>
    <xf numFmtId="0" fontId="1" fillId="2" borderId="71" xfId="0" applyFont="1" applyFill="1" applyBorder="1" applyAlignment="1">
      <alignment horizontal="center"/>
    </xf>
    <xf numFmtId="167" fontId="0" fillId="2" borderId="0" xfId="0" applyNumberFormat="1" applyFont="1" applyFill="1" applyBorder="1" applyAlignment="1">
      <alignment horizontal="center" vertical="center"/>
    </xf>
    <xf numFmtId="3" fontId="0" fillId="2" borderId="0" xfId="0" applyNumberFormat="1" applyFont="1" applyFill="1" applyBorder="1" applyAlignment="1">
      <alignment horizontal="center" vertical="center"/>
    </xf>
    <xf numFmtId="0" fontId="1" fillId="2" borderId="73" xfId="0" applyFont="1" applyFill="1" applyBorder="1" applyAlignment="1">
      <alignment horizontal="center"/>
    </xf>
    <xf numFmtId="0" fontId="4" fillId="2" borderId="0" xfId="0" applyFont="1" applyFill="1" applyBorder="1"/>
    <xf numFmtId="0" fontId="1" fillId="2" borderId="76" xfId="0" applyFont="1" applyFill="1" applyBorder="1"/>
    <xf numFmtId="172" fontId="1" fillId="0" borderId="0" xfId="0" applyNumberFormat="1" applyFont="1" applyFill="1"/>
    <xf numFmtId="0" fontId="0" fillId="2" borderId="1" xfId="0" applyFont="1" applyFill="1" applyBorder="1"/>
    <xf numFmtId="3" fontId="0" fillId="0" borderId="0" xfId="0" applyNumberFormat="1" applyAlignment="1">
      <alignment horizontal="center" vertical="center"/>
    </xf>
    <xf numFmtId="0" fontId="0" fillId="0" borderId="0" xfId="0" applyFill="1" applyBorder="1"/>
    <xf numFmtId="0" fontId="0" fillId="2" borderId="14" xfId="0" applyFill="1" applyBorder="1"/>
    <xf numFmtId="0" fontId="0" fillId="0" borderId="0" xfId="0" applyAlignment="1">
      <alignment horizontal="center"/>
    </xf>
    <xf numFmtId="0" fontId="1" fillId="2" borderId="1" xfId="0" applyFont="1" applyFill="1" applyBorder="1" applyAlignment="1">
      <alignment horizontal="center"/>
    </xf>
    <xf numFmtId="0" fontId="1" fillId="2" borderId="0" xfId="0" applyFont="1" applyFill="1" applyAlignment="1">
      <alignment horizontal="center"/>
    </xf>
    <xf numFmtId="0" fontId="1" fillId="2" borderId="0" xfId="0" applyFont="1" applyFill="1" applyBorder="1" applyAlignment="1">
      <alignment horizontal="center"/>
    </xf>
    <xf numFmtId="0" fontId="1" fillId="2" borderId="70" xfId="0" applyFont="1" applyFill="1" applyBorder="1" applyAlignment="1">
      <alignment horizontal="center"/>
    </xf>
    <xf numFmtId="0" fontId="1" fillId="2" borderId="2" xfId="0" applyFont="1" applyFill="1" applyBorder="1" applyAlignment="1">
      <alignment horizontal="center"/>
    </xf>
    <xf numFmtId="0" fontId="1" fillId="2" borderId="71" xfId="0" applyFont="1" applyFill="1" applyBorder="1" applyAlignment="1">
      <alignment horizontal="center"/>
    </xf>
    <xf numFmtId="0" fontId="0" fillId="30" borderId="0" xfId="0" applyFill="1"/>
    <xf numFmtId="9" fontId="0" fillId="30" borderId="0" xfId="0" applyNumberFormat="1" applyFill="1"/>
    <xf numFmtId="9" fontId="0" fillId="2" borderId="0" xfId="0" applyNumberFormat="1" applyFill="1"/>
    <xf numFmtId="170" fontId="0" fillId="2" borderId="76" xfId="0" applyNumberFormat="1" applyFill="1" applyBorder="1"/>
    <xf numFmtId="0" fontId="1" fillId="2" borderId="25" xfId="0" applyFont="1" applyFill="1" applyBorder="1"/>
    <xf numFmtId="168" fontId="0" fillId="2" borderId="0" xfId="0" applyNumberFormat="1" applyFill="1"/>
    <xf numFmtId="0" fontId="1" fillId="2" borderId="0" xfId="0" applyFont="1" applyFill="1" applyBorder="1" applyAlignment="1">
      <alignment horizontal="center"/>
    </xf>
    <xf numFmtId="2" fontId="0" fillId="2" borderId="0" xfId="0" applyNumberFormat="1" applyFill="1"/>
    <xf numFmtId="2" fontId="0" fillId="2" borderId="2" xfId="0" applyNumberFormat="1" applyFill="1" applyBorder="1" applyAlignment="1">
      <alignment horizontal="center"/>
    </xf>
    <xf numFmtId="0" fontId="1" fillId="2" borderId="76" xfId="0" applyFont="1" applyFill="1" applyBorder="1" applyAlignment="1">
      <alignment horizontal="center"/>
    </xf>
    <xf numFmtId="0" fontId="1" fillId="2" borderId="1" xfId="0" applyFont="1" applyFill="1" applyBorder="1" applyAlignment="1">
      <alignment horizontal="center"/>
    </xf>
    <xf numFmtId="0" fontId="1" fillId="2" borderId="0" xfId="0" applyFont="1" applyFill="1" applyAlignment="1">
      <alignment horizontal="center"/>
    </xf>
    <xf numFmtId="0" fontId="1" fillId="2" borderId="73" xfId="0" applyFont="1" applyFill="1" applyBorder="1" applyAlignment="1">
      <alignment horizontal="center"/>
    </xf>
    <xf numFmtId="2" fontId="0" fillId="2" borderId="1" xfId="0" applyNumberFormat="1" applyFill="1" applyBorder="1"/>
    <xf numFmtId="0" fontId="1" fillId="0" borderId="2" xfId="0" applyFont="1" applyBorder="1"/>
    <xf numFmtId="0" fontId="7" fillId="4" borderId="24" xfId="1" quotePrefix="1" applyFill="1" applyBorder="1"/>
    <xf numFmtId="0" fontId="0" fillId="31" borderId="0" xfId="0" applyFill="1"/>
    <xf numFmtId="0" fontId="1" fillId="30" borderId="0" xfId="0" applyFont="1" applyFill="1"/>
    <xf numFmtId="2" fontId="4" fillId="2" borderId="0" xfId="0" applyNumberFormat="1" applyFont="1" applyFill="1"/>
    <xf numFmtId="167" fontId="0" fillId="2" borderId="25" xfId="0" applyNumberFormat="1" applyFill="1" applyBorder="1" applyAlignment="1">
      <alignment horizontal="center"/>
    </xf>
    <xf numFmtId="167" fontId="0" fillId="2" borderId="73" xfId="0" applyNumberFormat="1" applyFill="1" applyBorder="1" applyAlignment="1">
      <alignment horizontal="center"/>
    </xf>
    <xf numFmtId="0" fontId="4" fillId="2" borderId="75" xfId="0" applyFont="1" applyFill="1" applyBorder="1"/>
    <xf numFmtId="0" fontId="4" fillId="30" borderId="0" xfId="0" applyFont="1" applyFill="1"/>
    <xf numFmtId="0" fontId="1" fillId="2" borderId="1" xfId="0" applyFont="1" applyFill="1" applyBorder="1" applyAlignment="1">
      <alignment horizontal="center"/>
    </xf>
    <xf numFmtId="0" fontId="1" fillId="2" borderId="0" xfId="0" applyFont="1" applyFill="1" applyBorder="1" applyAlignment="1">
      <alignment horizontal="center"/>
    </xf>
    <xf numFmtId="0" fontId="1" fillId="2" borderId="0" xfId="0" applyFont="1" applyFill="1" applyAlignment="1">
      <alignment horizontal="center"/>
    </xf>
    <xf numFmtId="0" fontId="1" fillId="2" borderId="70" xfId="0" applyFont="1" applyFill="1" applyBorder="1" applyAlignment="1">
      <alignment horizontal="center"/>
    </xf>
    <xf numFmtId="0" fontId="1" fillId="2" borderId="2" xfId="0" applyFont="1" applyFill="1" applyBorder="1" applyAlignment="1">
      <alignment horizontal="center"/>
    </xf>
    <xf numFmtId="0" fontId="1" fillId="2" borderId="73" xfId="0" applyFont="1" applyFill="1" applyBorder="1" applyAlignment="1">
      <alignment horizontal="center"/>
    </xf>
    <xf numFmtId="0" fontId="1" fillId="2" borderId="71" xfId="0" applyFont="1" applyFill="1" applyBorder="1" applyAlignment="1">
      <alignment horizontal="center"/>
    </xf>
    <xf numFmtId="0" fontId="5" fillId="30" borderId="0" xfId="0" applyFont="1" applyFill="1"/>
    <xf numFmtId="0" fontId="0" fillId="2" borderId="2" xfId="0" applyFill="1" applyBorder="1" applyAlignment="1">
      <alignment horizontal="center"/>
    </xf>
    <xf numFmtId="172" fontId="0" fillId="2" borderId="0" xfId="0" applyNumberFormat="1" applyFill="1"/>
    <xf numFmtId="0" fontId="4" fillId="2" borderId="25" xfId="0" applyFont="1" applyFill="1" applyBorder="1"/>
    <xf numFmtId="0" fontId="1" fillId="2" borderId="74" xfId="0" applyFont="1" applyFill="1" applyBorder="1" applyAlignment="1">
      <alignment horizontal="center"/>
    </xf>
    <xf numFmtId="0" fontId="18" fillId="2" borderId="73" xfId="0" applyFont="1" applyFill="1" applyBorder="1" applyAlignment="1">
      <alignment horizontal="center"/>
    </xf>
    <xf numFmtId="0" fontId="0" fillId="2" borderId="76" xfId="0" applyFill="1" applyBorder="1" applyAlignment="1">
      <alignment horizontal="center"/>
    </xf>
    <xf numFmtId="0" fontId="0" fillId="2" borderId="73" xfId="0" applyFill="1" applyBorder="1" applyAlignment="1">
      <alignment horizontal="center"/>
    </xf>
    <xf numFmtId="2" fontId="0" fillId="2" borderId="76" xfId="0" applyNumberFormat="1" applyFill="1" applyBorder="1" applyAlignment="1">
      <alignment horizontal="center"/>
    </xf>
    <xf numFmtId="0" fontId="18" fillId="2" borderId="14" xfId="0" applyFont="1" applyFill="1" applyBorder="1" applyAlignment="1">
      <alignment horizontal="center"/>
    </xf>
    <xf numFmtId="0" fontId="0" fillId="2" borderId="74" xfId="0" applyFill="1" applyBorder="1" applyAlignment="1">
      <alignment horizontal="center"/>
    </xf>
    <xf numFmtId="0" fontId="4" fillId="0" borderId="0" xfId="0" applyFont="1"/>
    <xf numFmtId="3" fontId="0" fillId="2" borderId="0" xfId="0" applyNumberFormat="1" applyFont="1" applyFill="1" applyBorder="1"/>
    <xf numFmtId="3" fontId="0" fillId="2" borderId="2" xfId="0" applyNumberFormat="1" applyFont="1" applyFill="1" applyBorder="1"/>
    <xf numFmtId="0" fontId="0" fillId="30" borderId="0" xfId="0" applyFill="1" applyBorder="1"/>
    <xf numFmtId="0" fontId="1" fillId="2" borderId="1" xfId="0" applyFont="1" applyFill="1" applyBorder="1" applyAlignment="1"/>
    <xf numFmtId="0" fontId="1" fillId="2" borderId="75" xfId="0" applyFont="1" applyFill="1" applyBorder="1" applyAlignment="1"/>
    <xf numFmtId="0" fontId="5" fillId="2" borderId="73" xfId="0" applyFont="1" applyFill="1" applyBorder="1"/>
    <xf numFmtId="0" fontId="5" fillId="2" borderId="25" xfId="0" applyFont="1" applyFill="1" applyBorder="1"/>
    <xf numFmtId="172" fontId="1" fillId="2" borderId="0" xfId="0" applyNumberFormat="1" applyFont="1" applyFill="1" applyBorder="1"/>
    <xf numFmtId="172" fontId="1" fillId="2" borderId="76" xfId="0" applyNumberFormat="1" applyFont="1" applyFill="1" applyBorder="1"/>
    <xf numFmtId="0" fontId="5" fillId="2" borderId="14" xfId="0" applyFont="1" applyFill="1" applyBorder="1"/>
    <xf numFmtId="172" fontId="1" fillId="2" borderId="2" xfId="0" applyNumberFormat="1" applyFont="1" applyFill="1" applyBorder="1"/>
    <xf numFmtId="172" fontId="1" fillId="2" borderId="74" xfId="0" applyNumberFormat="1" applyFont="1" applyFill="1" applyBorder="1"/>
    <xf numFmtId="177" fontId="0" fillId="2" borderId="73" xfId="0" applyNumberFormat="1" applyFill="1" applyBorder="1"/>
    <xf numFmtId="0" fontId="1" fillId="30" borderId="25" xfId="0" applyFont="1" applyFill="1" applyBorder="1" applyAlignment="1"/>
    <xf numFmtId="0" fontId="1" fillId="30" borderId="75" xfId="0" applyFont="1" applyFill="1" applyBorder="1" applyAlignment="1"/>
    <xf numFmtId="170" fontId="0" fillId="0" borderId="0" xfId="2" applyNumberFormat="1" applyFont="1" applyFill="1"/>
    <xf numFmtId="177" fontId="0" fillId="2" borderId="25" xfId="0" applyNumberFormat="1" applyFill="1" applyBorder="1"/>
    <xf numFmtId="177" fontId="0" fillId="2" borderId="75" xfId="0" applyNumberFormat="1" applyFill="1" applyBorder="1"/>
    <xf numFmtId="177" fontId="0" fillId="2" borderId="14" xfId="0" applyNumberFormat="1" applyFill="1" applyBorder="1"/>
    <xf numFmtId="172" fontId="0" fillId="2" borderId="74" xfId="0" applyNumberFormat="1" applyFill="1" applyBorder="1"/>
    <xf numFmtId="0" fontId="0" fillId="2" borderId="1" xfId="0" applyFill="1" applyBorder="1" applyAlignment="1">
      <alignment horizontal="center"/>
    </xf>
    <xf numFmtId="2" fontId="0" fillId="2" borderId="1" xfId="0" applyNumberFormat="1" applyFill="1" applyBorder="1" applyAlignment="1">
      <alignment horizontal="center"/>
    </xf>
    <xf numFmtId="3" fontId="0" fillId="2" borderId="72" xfId="0" applyNumberFormat="1" applyFill="1" applyBorder="1"/>
    <xf numFmtId="3" fontId="0" fillId="2" borderId="71" xfId="0" applyNumberFormat="1" applyFill="1" applyBorder="1"/>
    <xf numFmtId="3" fontId="0" fillId="2" borderId="70" xfId="0" applyNumberFormat="1" applyFill="1" applyBorder="1"/>
    <xf numFmtId="168" fontId="6" fillId="2" borderId="0" xfId="1" applyNumberFormat="1" applyFont="1" applyFill="1" applyAlignment="1">
      <alignment horizontal="center"/>
    </xf>
    <xf numFmtId="0" fontId="0" fillId="2" borderId="0" xfId="0" applyFill="1" applyAlignment="1">
      <alignment vertical="top"/>
    </xf>
    <xf numFmtId="0" fontId="4" fillId="2" borderId="0" xfId="0" applyFont="1" applyFill="1" applyAlignment="1">
      <alignment vertical="top"/>
    </xf>
    <xf numFmtId="0" fontId="7" fillId="2" borderId="0" xfId="1" applyFill="1" applyAlignment="1">
      <alignment vertical="top"/>
    </xf>
    <xf numFmtId="9" fontId="0" fillId="2" borderId="0" xfId="3" applyFont="1" applyFill="1" applyBorder="1"/>
    <xf numFmtId="9" fontId="0" fillId="2" borderId="2" xfId="3" applyFont="1" applyFill="1" applyBorder="1"/>
    <xf numFmtId="3" fontId="1" fillId="2" borderId="0" xfId="0" applyNumberFormat="1" applyFont="1" applyFill="1" applyBorder="1" applyAlignment="1">
      <alignment horizontal="center"/>
    </xf>
    <xf numFmtId="3" fontId="1" fillId="2" borderId="79" xfId="0" applyNumberFormat="1" applyFont="1" applyFill="1" applyBorder="1" applyAlignment="1">
      <alignment horizontal="center"/>
    </xf>
    <xf numFmtId="0" fontId="5" fillId="0" borderId="0" xfId="0" applyFont="1" applyBorder="1"/>
    <xf numFmtId="0" fontId="5" fillId="0" borderId="0" xfId="0" applyFont="1" applyFill="1"/>
    <xf numFmtId="0" fontId="0" fillId="30" borderId="0" xfId="0" applyFont="1" applyFill="1"/>
    <xf numFmtId="2" fontId="1" fillId="2" borderId="2" xfId="0" applyNumberFormat="1" applyFont="1" applyFill="1" applyBorder="1" applyAlignment="1">
      <alignment horizontal="center"/>
    </xf>
    <xf numFmtId="0" fontId="7" fillId="2" borderId="0" xfId="1" applyFill="1" applyAlignment="1">
      <alignment vertical="center"/>
    </xf>
    <xf numFmtId="0" fontId="0" fillId="2" borderId="0" xfId="0" applyFill="1" applyAlignment="1">
      <alignment wrapText="1"/>
    </xf>
    <xf numFmtId="0" fontId="0" fillId="2" borderId="0" xfId="0" applyFill="1" applyAlignment="1"/>
    <xf numFmtId="0" fontId="27" fillId="4" borderId="19" xfId="1" quotePrefix="1" applyFont="1" applyFill="1" applyBorder="1"/>
    <xf numFmtId="0" fontId="7" fillId="4" borderId="13" xfId="1" quotePrefix="1" applyFill="1" applyBorder="1"/>
    <xf numFmtId="0" fontId="7" fillId="2" borderId="1" xfId="1" applyFill="1" applyBorder="1" applyAlignment="1">
      <alignment vertical="center"/>
    </xf>
    <xf numFmtId="0" fontId="1" fillId="2" borderId="0" xfId="0" applyFont="1" applyFill="1" applyAlignment="1">
      <alignment horizontal="center"/>
    </xf>
    <xf numFmtId="168" fontId="0" fillId="2" borderId="0" xfId="0" applyNumberFormat="1" applyFill="1" applyBorder="1" applyAlignment="1">
      <alignment horizontal="center" vertical="center"/>
    </xf>
    <xf numFmtId="0" fontId="0" fillId="0" borderId="0" xfId="0" applyBorder="1" applyAlignment="1">
      <alignment horizontal="center" vertical="top" wrapText="1"/>
    </xf>
    <xf numFmtId="0" fontId="0" fillId="0" borderId="0" xfId="0" applyBorder="1" applyAlignment="1">
      <alignment vertical="top" wrapText="1"/>
    </xf>
    <xf numFmtId="0" fontId="0" fillId="0" borderId="0" xfId="0" applyBorder="1" applyAlignment="1">
      <alignment horizontal="right" vertical="top" wrapText="1"/>
    </xf>
    <xf numFmtId="0" fontId="0" fillId="0" borderId="0" xfId="0" applyFill="1" applyBorder="1" applyAlignment="1">
      <alignment vertical="top" wrapText="1"/>
    </xf>
    <xf numFmtId="0" fontId="0" fillId="0" borderId="0" xfId="0" applyBorder="1" applyAlignment="1">
      <alignment horizontal="right"/>
    </xf>
    <xf numFmtId="0" fontId="7" fillId="2" borderId="0" xfId="1" applyFill="1" applyAlignment="1">
      <alignment horizontal="left" vertical="center"/>
    </xf>
    <xf numFmtId="0" fontId="0" fillId="2" borderId="0" xfId="0" applyFill="1" applyAlignment="1">
      <alignment horizontal="left" wrapText="1"/>
    </xf>
    <xf numFmtId="0" fontId="1" fillId="2" borderId="1" xfId="0" applyFont="1" applyFill="1" applyBorder="1" applyAlignment="1">
      <alignment horizontal="center"/>
    </xf>
    <xf numFmtId="0" fontId="4" fillId="0" borderId="1" xfId="0" applyFont="1" applyBorder="1" applyAlignment="1">
      <alignment horizontal="left"/>
    </xf>
    <xf numFmtId="0" fontId="4" fillId="2" borderId="1" xfId="0" applyFont="1" applyFill="1" applyBorder="1" applyAlignment="1">
      <alignment horizontal="left"/>
    </xf>
    <xf numFmtId="0" fontId="1" fillId="2" borderId="0" xfId="0" applyFont="1" applyFill="1" applyAlignment="1">
      <alignment horizontal="center"/>
    </xf>
    <xf numFmtId="0" fontId="1" fillId="2" borderId="70"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79" xfId="0" applyFont="1" applyFill="1" applyBorder="1" applyAlignment="1">
      <alignment horizontal="center"/>
    </xf>
    <xf numFmtId="0" fontId="7" fillId="2" borderId="0" xfId="1" applyFill="1" applyAlignment="1">
      <alignment horizontal="center"/>
    </xf>
    <xf numFmtId="0" fontId="1" fillId="27" borderId="0" xfId="0" applyFont="1" applyFill="1" applyAlignment="1">
      <alignment horizontal="center"/>
    </xf>
    <xf numFmtId="0" fontId="4" fillId="2" borderId="0" xfId="0" applyFont="1" applyFill="1" applyAlignment="1">
      <alignment horizontal="center" vertical="top" wrapText="1"/>
    </xf>
    <xf numFmtId="168" fontId="0" fillId="2" borderId="73" xfId="0" applyNumberFormat="1" applyFill="1" applyBorder="1" applyAlignment="1">
      <alignment horizontal="center" vertical="center"/>
    </xf>
    <xf numFmtId="0" fontId="1" fillId="2" borderId="73" xfId="0" applyFont="1" applyFill="1" applyBorder="1" applyAlignment="1">
      <alignment horizontal="center"/>
    </xf>
    <xf numFmtId="0" fontId="1" fillId="2" borderId="71" xfId="0" applyFont="1" applyFill="1" applyBorder="1" applyAlignment="1">
      <alignment horizontal="center"/>
    </xf>
    <xf numFmtId="167" fontId="0" fillId="2" borderId="0" xfId="0" applyNumberFormat="1" applyFont="1" applyFill="1" applyBorder="1" applyAlignment="1">
      <alignment horizontal="center" vertical="center"/>
    </xf>
    <xf numFmtId="3" fontId="0" fillId="2" borderId="0" xfId="0" applyNumberFormat="1" applyFont="1" applyFill="1" applyBorder="1" applyAlignment="1">
      <alignment horizontal="center" vertical="center"/>
    </xf>
    <xf numFmtId="168" fontId="0" fillId="2" borderId="0" xfId="0" applyNumberFormat="1" applyFill="1" applyBorder="1" applyAlignment="1">
      <alignment horizontal="center" vertical="center"/>
    </xf>
    <xf numFmtId="168" fontId="0" fillId="2" borderId="71" xfId="0" applyNumberFormat="1" applyFill="1" applyBorder="1" applyAlignment="1">
      <alignment horizontal="center" vertical="center"/>
    </xf>
    <xf numFmtId="0" fontId="8" fillId="2" borderId="1" xfId="0" applyFont="1" applyFill="1" applyBorder="1" applyAlignment="1">
      <alignment horizontal="center"/>
    </xf>
    <xf numFmtId="0" fontId="4" fillId="2" borderId="0" xfId="0" applyFont="1" applyFill="1" applyBorder="1" applyAlignment="1">
      <alignment horizontal="left" vertical="top" wrapText="1"/>
    </xf>
    <xf numFmtId="0" fontId="1" fillId="2" borderId="75" xfId="0" applyFont="1" applyFill="1" applyBorder="1" applyAlignment="1">
      <alignment horizontal="center"/>
    </xf>
    <xf numFmtId="0" fontId="14" fillId="10" borderId="44" xfId="4" applyFont="1" applyFill="1" applyBorder="1" applyAlignment="1">
      <alignment horizontal="center" vertical="center" wrapText="1" readingOrder="1"/>
    </xf>
    <xf numFmtId="0" fontId="14" fillId="10" borderId="45" xfId="4" applyFont="1" applyFill="1" applyBorder="1" applyAlignment="1">
      <alignment horizontal="center" vertical="center" wrapText="1" readingOrder="1"/>
    </xf>
    <xf numFmtId="0" fontId="14" fillId="10" borderId="46" xfId="4" applyFont="1" applyFill="1" applyBorder="1" applyAlignment="1">
      <alignment horizontal="center" vertical="center" wrapText="1" readingOrder="1"/>
    </xf>
    <xf numFmtId="0" fontId="14" fillId="7" borderId="44" xfId="4" applyFont="1" applyFill="1" applyBorder="1" applyAlignment="1">
      <alignment horizontal="center" vertical="center" wrapText="1" readingOrder="1"/>
    </xf>
    <xf numFmtId="0" fontId="14" fillId="7" borderId="45" xfId="4" applyFont="1" applyFill="1" applyBorder="1" applyAlignment="1">
      <alignment horizontal="center" vertical="center" wrapText="1" readingOrder="1"/>
    </xf>
    <xf numFmtId="0" fontId="14" fillId="7" borderId="46" xfId="4" applyFont="1" applyFill="1" applyBorder="1" applyAlignment="1">
      <alignment horizontal="center" vertical="center" wrapText="1" readingOrder="1"/>
    </xf>
    <xf numFmtId="0" fontId="15" fillId="10" borderId="44" xfId="4" applyFont="1" applyFill="1" applyBorder="1" applyAlignment="1">
      <alignment horizontal="center" vertical="center" wrapText="1" readingOrder="1"/>
    </xf>
    <xf numFmtId="0" fontId="15" fillId="10" borderId="45" xfId="4" applyFont="1" applyFill="1" applyBorder="1" applyAlignment="1">
      <alignment horizontal="center" vertical="center" wrapText="1" readingOrder="1"/>
    </xf>
    <xf numFmtId="0" fontId="15" fillId="10" borderId="46" xfId="4" applyFont="1" applyFill="1" applyBorder="1" applyAlignment="1">
      <alignment horizontal="center" vertical="center" wrapText="1" readingOrder="1"/>
    </xf>
    <xf numFmtId="0" fontId="15" fillId="8" borderId="47" xfId="4" applyFont="1" applyFill="1" applyBorder="1" applyAlignment="1">
      <alignment horizontal="center" vertical="center" wrapText="1" readingOrder="1"/>
    </xf>
    <xf numFmtId="0" fontId="15" fillId="8" borderId="48" xfId="4" applyFont="1" applyFill="1" applyBorder="1" applyAlignment="1">
      <alignment horizontal="center" vertical="center" wrapText="1" readingOrder="1"/>
    </xf>
    <xf numFmtId="0" fontId="14" fillId="8" borderId="47" xfId="4" applyFont="1" applyFill="1" applyBorder="1" applyAlignment="1">
      <alignment horizontal="center" vertical="center" wrapText="1" readingOrder="1"/>
    </xf>
    <xf numFmtId="0" fontId="14" fillId="8" borderId="48" xfId="4" applyFont="1" applyFill="1" applyBorder="1" applyAlignment="1">
      <alignment horizontal="center" vertical="center" wrapText="1" readingOrder="1"/>
    </xf>
    <xf numFmtId="0" fontId="14" fillId="11" borderId="47" xfId="4" applyFont="1" applyFill="1" applyBorder="1" applyAlignment="1">
      <alignment horizontal="center" vertical="center" wrapText="1" readingOrder="1"/>
    </xf>
    <xf numFmtId="0" fontId="14" fillId="11" borderId="51" xfId="4" applyFont="1" applyFill="1" applyBorder="1" applyAlignment="1">
      <alignment horizontal="center" vertical="center" wrapText="1" readingOrder="1"/>
    </xf>
    <xf numFmtId="0" fontId="14" fillId="11" borderId="48" xfId="4" applyFont="1" applyFill="1" applyBorder="1" applyAlignment="1">
      <alignment horizontal="center" vertical="center" wrapText="1" readingOrder="1"/>
    </xf>
    <xf numFmtId="0" fontId="14" fillId="11" borderId="49" xfId="4" applyFont="1" applyFill="1" applyBorder="1" applyAlignment="1">
      <alignment horizontal="center" vertical="center" wrapText="1" readingOrder="1"/>
    </xf>
    <xf numFmtId="0" fontId="14" fillId="11" borderId="50" xfId="4" applyFont="1" applyFill="1" applyBorder="1" applyAlignment="1">
      <alignment horizontal="center" vertical="center" wrapText="1" readingOrder="1"/>
    </xf>
    <xf numFmtId="0" fontId="14" fillId="11" borderId="52" xfId="4" applyFont="1" applyFill="1" applyBorder="1" applyAlignment="1">
      <alignment horizontal="center" vertical="center" wrapText="1" readingOrder="1"/>
    </xf>
    <xf numFmtId="0" fontId="14" fillId="11" borderId="53" xfId="4" applyFont="1" applyFill="1" applyBorder="1" applyAlignment="1">
      <alignment horizontal="center" vertical="center" wrapText="1" readingOrder="1"/>
    </xf>
    <xf numFmtId="0" fontId="14" fillId="12" borderId="44" xfId="4" applyFont="1" applyFill="1" applyBorder="1" applyAlignment="1">
      <alignment horizontal="center" vertical="center" wrapText="1" readingOrder="1"/>
    </xf>
    <xf numFmtId="0" fontId="14" fillId="12" borderId="46" xfId="4" applyFont="1" applyFill="1" applyBorder="1" applyAlignment="1">
      <alignment horizontal="center" vertical="center" wrapText="1" readingOrder="1"/>
    </xf>
    <xf numFmtId="0" fontId="0" fillId="0" borderId="0" xfId="0" applyAlignment="1">
      <alignment horizontal="center"/>
    </xf>
    <xf numFmtId="2" fontId="5" fillId="2" borderId="0" xfId="0" applyNumberFormat="1" applyFont="1" applyFill="1" applyAlignment="1">
      <alignment horizontal="center"/>
    </xf>
    <xf numFmtId="0" fontId="5" fillId="2" borderId="0" xfId="0" applyFont="1" applyFill="1" applyAlignment="1">
      <alignment horizontal="center"/>
    </xf>
    <xf numFmtId="0" fontId="4" fillId="0" borderId="0" xfId="0" applyFont="1" applyAlignment="1">
      <alignment horizontal="left" vertical="top" wrapText="1"/>
    </xf>
    <xf numFmtId="0" fontId="1"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center"/>
    </xf>
    <xf numFmtId="0" fontId="0" fillId="0" borderId="32" xfId="0" applyFont="1" applyFill="1" applyBorder="1" applyAlignment="1">
      <alignment horizontal="left" vertical="center"/>
    </xf>
    <xf numFmtId="0" fontId="0" fillId="0" borderId="22" xfId="0" applyFont="1" applyFill="1" applyBorder="1" applyAlignment="1">
      <alignment horizontal="left" vertical="center"/>
    </xf>
    <xf numFmtId="0" fontId="0" fillId="25" borderId="24" xfId="0" applyFont="1" applyFill="1" applyBorder="1" applyAlignment="1">
      <alignment horizontal="center"/>
    </xf>
  </cellXfs>
  <cellStyles count="11">
    <cellStyle name="Comma" xfId="2" builtinId="3"/>
    <cellStyle name="Comma 2" xfId="7" xr:uid="{00000000-0005-0000-0000-000000000000}"/>
    <cellStyle name="Comma 3" xfId="8" xr:uid="{00000000-0005-0000-0000-000001000000}"/>
    <cellStyle name="Comma 4" xfId="10" xr:uid="{00000000-0005-0000-0000-000002000000}"/>
    <cellStyle name="Hyperlink" xfId="1" builtinId="8"/>
    <cellStyle name="Normal" xfId="0" builtinId="0"/>
    <cellStyle name="Normal 2" xfId="4" xr:uid="{00000000-0005-0000-0000-000007000000}"/>
    <cellStyle name="Normal 3" xfId="9" xr:uid="{00000000-0005-0000-0000-000008000000}"/>
    <cellStyle name="Normal_analyses" xfId="6" xr:uid="{00000000-0005-0000-0000-000009000000}"/>
    <cellStyle name="Percent" xfId="3" builtinId="5"/>
    <cellStyle name="Percent 2" xfId="5" xr:uid="{00000000-0005-0000-0000-00000A000000}"/>
  </cellStyles>
  <dxfs count="0"/>
  <tableStyles count="0" defaultTableStyle="TableStyleMedium2" defaultPivotStyle="PivotStyleLight16"/>
  <colors>
    <mruColors>
      <color rgb="FFCC99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3"/>
          <c:order val="0"/>
          <c:tx>
            <c:strRef>
              <c:f>#REF!</c:f>
              <c:strCache>
                <c:ptCount val="1"/>
                <c:pt idx="0">
                  <c:v>#REF!</c:v>
                </c:pt>
              </c:strCache>
            </c:strRef>
          </c:tx>
          <c:spPr>
            <a:ln w="28575" cap="rnd">
              <a:solidFill>
                <a:srgbClr val="FF0000"/>
              </a:solidFill>
              <a:round/>
            </a:ln>
            <a:effectLst/>
          </c:spPr>
          <c:marker>
            <c:symbol val="none"/>
          </c:marker>
          <c:val>
            <c:numRef>
              <c:f>#REF!</c:f>
              <c:numCache>
                <c:formatCode>General</c:formatCode>
                <c:ptCount val="1"/>
                <c:pt idx="0">
                  <c:v>1</c:v>
                </c:pt>
              </c:numCache>
            </c:numRef>
          </c:val>
          <c:smooth val="0"/>
          <c:extLst>
            <c:ext xmlns:c16="http://schemas.microsoft.com/office/drawing/2014/chart" uri="{C3380CC4-5D6E-409C-BE32-E72D297353CC}">
              <c16:uniqueId val="{00000000-7AED-4D70-8273-3A76D1DE5906}"/>
            </c:ext>
          </c:extLst>
        </c:ser>
        <c:ser>
          <c:idx val="0"/>
          <c:order val="1"/>
          <c:tx>
            <c:strRef>
              <c:f>#REF!</c:f>
              <c:strCache>
                <c:ptCount val="1"/>
                <c:pt idx="0">
                  <c:v>#REF!</c:v>
                </c:pt>
              </c:strCache>
            </c:strRef>
          </c:tx>
          <c:spPr>
            <a:ln w="28575" cap="rnd">
              <a:solidFill>
                <a:schemeClr val="tx2"/>
              </a:solidFill>
              <a:round/>
            </a:ln>
            <a:effectLst/>
          </c:spPr>
          <c:marker>
            <c:symbol val="none"/>
          </c:marker>
          <c:val>
            <c:numRef>
              <c:f>#REF!</c:f>
              <c:numCache>
                <c:formatCode>General</c:formatCode>
                <c:ptCount val="1"/>
                <c:pt idx="0">
                  <c:v>1</c:v>
                </c:pt>
              </c:numCache>
            </c:numRef>
          </c:val>
          <c:smooth val="0"/>
          <c:extLst>
            <c:ext xmlns:c16="http://schemas.microsoft.com/office/drawing/2014/chart" uri="{C3380CC4-5D6E-409C-BE32-E72D297353CC}">
              <c16:uniqueId val="{00000001-7AED-4D70-8273-3A76D1DE5906}"/>
            </c:ext>
          </c:extLst>
        </c:ser>
        <c:dLbls>
          <c:showLegendKey val="0"/>
          <c:showVal val="0"/>
          <c:showCatName val="0"/>
          <c:showSerName val="0"/>
          <c:showPercent val="0"/>
          <c:showBubbleSize val="0"/>
        </c:dLbls>
        <c:smooth val="0"/>
        <c:axId val="693306175"/>
        <c:axId val="688919759"/>
      </c:lineChart>
      <c:catAx>
        <c:axId val="693306175"/>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dk1"/>
                    </a:solidFill>
                    <a:latin typeface="+mn-lt"/>
                    <a:ea typeface="+mn-ea"/>
                    <a:cs typeface="+mn-cs"/>
                  </a:defRPr>
                </a:pPr>
                <a:r>
                  <a:rPr lang="de-DE" sz="1400"/>
                  <a:t>Year</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dk1"/>
                  </a:solidFill>
                  <a:latin typeface="+mn-lt"/>
                  <a:ea typeface="+mn-ea"/>
                  <a:cs typeface="+mn-cs"/>
                </a:defRPr>
              </a:pPr>
              <a:endParaRPr lang="de-DE"/>
            </a:p>
          </c:txPr>
        </c:title>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de-DE"/>
          </a:p>
        </c:txPr>
        <c:crossAx val="688919759"/>
        <c:crosses val="autoZero"/>
        <c:auto val="1"/>
        <c:lblAlgn val="ctr"/>
        <c:lblOffset val="100"/>
        <c:noMultiLvlLbl val="0"/>
      </c:catAx>
      <c:valAx>
        <c:axId val="688919759"/>
        <c:scaling>
          <c:orientation val="minMax"/>
        </c:scaling>
        <c:delete val="0"/>
        <c:axPos val="l"/>
        <c:title>
          <c:tx>
            <c:rich>
              <a:bodyPr rot="-5400000" spcFirstLastPara="1" vertOverflow="ellipsis" vert="horz" wrap="square" anchor="ctr" anchorCtr="1"/>
              <a:lstStyle/>
              <a:p>
                <a:pPr>
                  <a:defRPr sz="1400" b="0" i="0" u="none" strike="noStrike" kern="1200" baseline="0">
                    <a:solidFill>
                      <a:schemeClr val="dk1"/>
                    </a:solidFill>
                    <a:latin typeface="+mn-lt"/>
                    <a:ea typeface="+mn-ea"/>
                    <a:cs typeface="+mn-cs"/>
                  </a:defRPr>
                </a:pPr>
                <a:r>
                  <a:rPr lang="en-US" sz="1400"/>
                  <a:t>Equipment-related cost</a:t>
                </a:r>
              </a:p>
              <a:p>
                <a:pPr>
                  <a:defRPr sz="1400"/>
                </a:pPr>
                <a:r>
                  <a:rPr lang="en-US" sz="1400"/>
                  <a:t> (net-present value in mio. I$ PPP)</a:t>
                </a:r>
                <a:r>
                  <a:rPr lang="de-DE" sz="1400"/>
                  <a:t>  </a:t>
                </a:r>
                <a:endParaRPr lang="en-US" sz="1400"/>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dk1"/>
                  </a:solidFill>
                  <a:latin typeface="+mn-lt"/>
                  <a:ea typeface="+mn-ea"/>
                  <a:cs typeface="+mn-cs"/>
                </a:defRPr>
              </a:pPr>
              <a:endParaRPr lang="de-DE"/>
            </a:p>
          </c:txPr>
        </c:title>
        <c:numFmt formatCode="#,##0_ ;\-#,##0\ " sourceLinked="0"/>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dk1"/>
                </a:solidFill>
                <a:latin typeface="+mn-lt"/>
                <a:ea typeface="+mn-ea"/>
                <a:cs typeface="+mn-cs"/>
              </a:defRPr>
            </a:pPr>
            <a:endParaRPr lang="de-DE"/>
          </a:p>
        </c:txPr>
        <c:crossAx val="693306175"/>
        <c:crosses val="autoZero"/>
        <c:crossBetween val="between"/>
        <c:dispUnits>
          <c:builtInUnit val="millions"/>
        </c:dispUnits>
      </c:valAx>
      <c:spPr>
        <a:noFill/>
        <a:ln>
          <a:noFill/>
        </a:ln>
        <a:effectLst/>
      </c:spPr>
    </c:plotArea>
    <c:legend>
      <c:legendPos val="t"/>
      <c:layout>
        <c:manualLayout>
          <c:xMode val="edge"/>
          <c:yMode val="edge"/>
          <c:x val="0.58844484439445066"/>
          <c:y val="0.62965137605221588"/>
          <c:w val="0.37378357705286841"/>
          <c:h val="0.19155890733628214"/>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dk1"/>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12700" cap="flat" cmpd="sng" algn="ctr">
      <a:noFill/>
      <a:prstDash val="solid"/>
      <a:miter lim="800000"/>
    </a:ln>
    <a:effectLst/>
  </c:spPr>
  <c:txPr>
    <a:bodyPr/>
    <a:lstStyle/>
    <a:p>
      <a:pPr>
        <a:defRPr>
          <a:solidFill>
            <a:schemeClr val="dk1"/>
          </a:solidFill>
          <a:latin typeface="+mn-lt"/>
          <a:ea typeface="+mn-ea"/>
          <a:cs typeface="+mn-cs"/>
        </a:defRPr>
      </a:pPr>
      <a:endParaRPr lang="de-DE"/>
    </a:p>
  </c:txPr>
  <c:printSettings>
    <c:headerFooter/>
    <c:pageMargins b="0" l="0" r="0" t="0" header="0" footer="0"/>
    <c:pageSetup orientation="landscape"/>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9524</xdr:colOff>
      <xdr:row>40</xdr:row>
      <xdr:rowOff>0</xdr:rowOff>
    </xdr:to>
    <xdr:graphicFrame macro="">
      <xdr:nvGraphicFramePr>
        <xdr:cNvPr id="2" name="Diagramm 1">
          <a:extLst>
            <a:ext uri="{FF2B5EF4-FFF2-40B4-BE49-F238E27FC236}">
              <a16:creationId xmlns:a16="http://schemas.microsoft.com/office/drawing/2014/main" id="{6D7DBB34-C34E-4CDE-99B5-4985083193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Constantin Schmidt" id="{9716911A-286A-AA4E-9911-E779FE60E624}" userId="S::constantin.schmidt@bwedu.de::90bf89f7-66bb-4cc4-be2e-45edaf1d901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0-02-14T13:26:03.26" personId="{9716911A-286A-AA4E-9911-E779FE60E624}" id="{73684BC0-07C3-2440-9148-50461F6B4CDA}">
    <text>Calc of downtime ist nur für 35% der BoQ möglich</text>
  </threadedComment>
</ThreadedComments>
</file>

<file path=xl/threadedComments/threadedComment2.xml><?xml version="1.0" encoding="utf-8"?>
<ThreadedComments xmlns="http://schemas.microsoft.com/office/spreadsheetml/2018/threadedcomments" xmlns:x="http://schemas.openxmlformats.org/spreadsheetml/2006/main">
  <threadedComment ref="M20" dT="2020-03-23T20:16:26.02" personId="{9716911A-286A-AA4E-9911-E779FE60E624}" id="{E441CD9B-8B20-FF4E-B166-E292B1EE6991}">
    <text>Unteschied aus „tatischen“ Erwägungen</text>
  </threadedComment>
</ThreadedComments>
</file>

<file path=xl/threadedComments/threadedComment3.xml><?xml version="1.0" encoding="utf-8"?>
<ThreadedComments xmlns="http://schemas.microsoft.com/office/spreadsheetml/2018/threadedcomments" xmlns:x="http://schemas.openxmlformats.org/spreadsheetml/2006/main">
  <threadedComment ref="K23" dT="2020-03-22T22:10:16.25" personId="{9716911A-286A-AA4E-9911-E779FE60E624}" id="{2BE54995-478A-8843-A2CC-70C479BF7AFF}">
    <text>Nur District Hospitals</text>
  </threadedComment>
  <threadedComment ref="M27" dT="2021-06-10T16:05:35.34" personId="{9716911A-286A-AA4E-9911-E779FE60E624}" id="{EAB60B95-B7E8-1B44-94AA-2825BB17FF69}">
    <text>Share of Devices that are in District Hospitals of the Device Types Considered</text>
  </threadedComment>
  <threadedComment ref="K52" dT="2020-03-22T22:10:16.25" personId="{9716911A-286A-AA4E-9911-E779FE60E624}" id="{96AF01C6-B35A-5B43-BE8D-A175D6D65CE3}">
    <text>Nur District Hospitals</text>
  </threadedComment>
  <threadedComment ref="K77" dT="2020-03-22T22:10:16.25" personId="{9716911A-286A-AA4E-9911-E779FE60E624}" id="{1A25CDA2-5876-ED4A-B098-B90F359C7012}">
    <text>Nur District Hospitals</text>
  </threadedComment>
  <threadedComment ref="K102" dT="2020-03-22T22:10:16.25" personId="{9716911A-286A-AA4E-9911-E779FE60E624}" id="{07D72E7B-375A-C143-AD82-CFEDAB3A8F0B}">
    <text>Nur District Hospitals</text>
  </threadedComment>
  <threadedComment ref="K127" dT="2020-03-22T22:10:16.25" personId="{9716911A-286A-AA4E-9911-E779FE60E624}" id="{D824297A-F435-4D4B-9739-A3EDC614F390}">
    <text>Nur District Hospitals</text>
  </threadedComment>
  <threadedComment ref="K152" dT="2020-03-22T22:10:16.25" personId="{9716911A-286A-AA4E-9911-E779FE60E624}" id="{02AD5409-64CE-134D-9586-8AC99FA062C9}">
    <text>Nur District Hospitals</text>
  </threadedComment>
  <threadedComment ref="K177" dT="2020-03-22T22:10:16.25" personId="{9716911A-286A-AA4E-9911-E779FE60E624}" id="{F7128CE7-3DE3-6648-86B5-A60ED74ECE18}">
    <text>Nur District Hospitals</text>
  </threadedComment>
  <threadedComment ref="K202" dT="2020-03-22T22:10:16.25" personId="{9716911A-286A-AA4E-9911-E779FE60E624}" id="{CD1AC5BC-DE53-0E4D-BAA8-584A839A34A3}">
    <text>Nur District Hospitals</text>
  </threadedComment>
  <threadedComment ref="K227" dT="2020-03-22T22:10:16.25" personId="{9716911A-286A-AA4E-9911-E779FE60E624}" id="{EAA84DCA-B1B0-2D45-9611-36040D8EA83D}">
    <text>Nur District Hospitals</text>
  </threadedComment>
  <threadedComment ref="K252" dT="2020-03-22T22:10:16.25" personId="{9716911A-286A-AA4E-9911-E779FE60E624}" id="{DD544A77-6463-414A-A7D2-ED2C91BC61A7}">
    <text>Nur District Hospitals</text>
  </threadedComment>
  <threadedComment ref="K277" dT="2020-03-22T22:10:16.25" personId="{9716911A-286A-AA4E-9911-E779FE60E624}" id="{F454A2A5-73B3-CF44-9E3E-B558E02C26A8}">
    <text>Nur District Hospitals</text>
  </threadedComment>
  <threadedComment ref="K302" dT="2020-03-22T22:10:16.25" personId="{9716911A-286A-AA4E-9911-E779FE60E624}" id="{88E6A9AC-138B-B549-AE55-F594DFEAA630}">
    <text>Nur District Hospitals</text>
  </threadedComment>
</ThreadedComments>
</file>

<file path=xl/threadedComments/threadedComment4.xml><?xml version="1.0" encoding="utf-8"?>
<ThreadedComments xmlns="http://schemas.microsoft.com/office/spreadsheetml/2018/threadedcomments" xmlns:x="http://schemas.openxmlformats.org/spreadsheetml/2006/main">
  <threadedComment ref="A29" dT="2020-02-14T13:13:04.33" personId="{9716911A-286A-AA4E-9911-E779FE60E624}" id="{5D5A6038-CAB8-1647-820F-75EC0392B46C}">
    <text>Share of the number of devices in of the types we consider in our analysis divided by the total number of devices in the maintenance scheme</text>
  </threadedComment>
</ThreadedComments>
</file>

<file path=xl/threadedComments/threadedComment5.xml><?xml version="1.0" encoding="utf-8"?>
<ThreadedComments xmlns="http://schemas.microsoft.com/office/spreadsheetml/2018/threadedcomments" xmlns:x="http://schemas.openxmlformats.org/spreadsheetml/2006/main">
  <threadedComment ref="B2" dT="2020-03-22T22:07:54.11" personId="{9716911A-286A-AA4E-9911-E779FE60E624}" id="{B949A46E-586A-C74A-861B-653D1C6769DD}">
    <text>Diese Daten kommen vom Consultant, daher schwer einzuschätzen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5.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microsoft.com/office/2017/10/relationships/threadedComment" Target="../threadedComments/threadedComment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
  <dimension ref="A1:J28"/>
  <sheetViews>
    <sheetView tabSelected="1" topLeftCell="A3" zoomScale="130" zoomScaleNormal="130" workbookViewId="0">
      <selection activeCell="C24" sqref="C24"/>
    </sheetView>
  </sheetViews>
  <sheetFormatPr defaultColWidth="8.7109375" defaultRowHeight="15" x14ac:dyDescent="0.25"/>
  <cols>
    <col min="1" max="1" width="3.7109375" customWidth="1"/>
    <col min="2" max="2" width="5.85546875" customWidth="1"/>
    <col min="3" max="3" width="51.85546875" customWidth="1"/>
    <col min="5" max="5" width="4.140625" customWidth="1"/>
    <col min="9" max="9" width="10.140625" bestFit="1" customWidth="1"/>
    <col min="10" max="10" width="10.140625" style="225" customWidth="1"/>
    <col min="11" max="12" width="10.140625" bestFit="1" customWidth="1"/>
  </cols>
  <sheetData>
    <row r="1" spans="1:10" x14ac:dyDescent="0.25">
      <c r="A1" s="450" t="s">
        <v>681</v>
      </c>
      <c r="B1" s="450"/>
      <c r="C1" s="450"/>
      <c r="D1" s="450"/>
      <c r="E1" s="225"/>
      <c r="J1"/>
    </row>
    <row r="2" spans="1:10" x14ac:dyDescent="0.25">
      <c r="A2" s="11" t="s">
        <v>682</v>
      </c>
      <c r="C2" s="1"/>
      <c r="D2" s="529"/>
      <c r="E2" s="225"/>
      <c r="J2"/>
    </row>
    <row r="3" spans="1:10" s="225" customFormat="1" ht="15" customHeight="1" x14ac:dyDescent="0.25">
      <c r="A3" s="1"/>
      <c r="B3" s="1" t="s">
        <v>670</v>
      </c>
      <c r="C3" s="1"/>
      <c r="D3" s="529" t="str">
        <f>HYPERLINK("#"&amp;ADDRESS(1,1,,,"C_fullhouse"),"here")</f>
        <v>here</v>
      </c>
    </row>
    <row r="4" spans="1:10" x14ac:dyDescent="0.25">
      <c r="A4" s="1"/>
      <c r="B4" s="543" t="s">
        <v>672</v>
      </c>
      <c r="C4" s="543"/>
      <c r="D4" s="542" t="str">
        <f>HYPERLINK("#"&amp;ADDRESS(1,1,,,"C_contracted_PLAMAHS"),"here")</f>
        <v>here</v>
      </c>
      <c r="E4" s="225"/>
      <c r="J4"/>
    </row>
    <row r="5" spans="1:10" ht="15" customHeight="1" x14ac:dyDescent="0.25">
      <c r="A5" s="1"/>
      <c r="B5" s="543"/>
      <c r="C5" s="543"/>
      <c r="D5" s="542"/>
      <c r="E5" s="225"/>
      <c r="J5"/>
    </row>
    <row r="6" spans="1:10" x14ac:dyDescent="0.25">
      <c r="A6" s="1"/>
      <c r="B6" s="543" t="s">
        <v>673</v>
      </c>
      <c r="C6" s="543"/>
      <c r="D6" s="529" t="str">
        <f>HYPERLINK("#"&amp;ADDRESS(1,1,,,"C_depreciation_mtn_NPV"),"here")</f>
        <v>here</v>
      </c>
      <c r="E6" s="225"/>
      <c r="J6"/>
    </row>
    <row r="7" spans="1:10" x14ac:dyDescent="0.25">
      <c r="A7" s="1"/>
      <c r="B7" s="543"/>
      <c r="C7" s="543"/>
      <c r="D7" s="529" t="str">
        <f>HYPERLINK("#"&amp;ADDRESS(1,1,,,"C_device_share"),"here")</f>
        <v>here</v>
      </c>
      <c r="E7" s="225"/>
      <c r="J7"/>
    </row>
    <row r="8" spans="1:10" x14ac:dyDescent="0.25">
      <c r="A8" s="1"/>
      <c r="B8" s="1" t="s">
        <v>664</v>
      </c>
      <c r="C8" s="1"/>
      <c r="D8" s="529"/>
      <c r="E8" s="225"/>
      <c r="F8" s="225"/>
      <c r="G8" s="225"/>
    </row>
    <row r="9" spans="1:10" x14ac:dyDescent="0.25">
      <c r="A9" s="1"/>
      <c r="B9" s="1" t="s">
        <v>678</v>
      </c>
      <c r="C9" s="1"/>
      <c r="D9" s="529" t="str">
        <f>HYPERLINK("#"&amp;ADDRESS(1,1,,,"C_depreciation_yearly"),"here")</f>
        <v>here</v>
      </c>
      <c r="E9" s="225"/>
      <c r="F9" s="225"/>
      <c r="G9" s="225"/>
    </row>
    <row r="10" spans="1:10" x14ac:dyDescent="0.25">
      <c r="A10" s="1"/>
      <c r="B10" s="1" t="s">
        <v>679</v>
      </c>
      <c r="C10" s="1"/>
      <c r="D10" s="529" t="str">
        <f>HYPERLINK("#"&amp;ADDRESS(1,1,,,"C_downtime_cost"),"here")</f>
        <v>here</v>
      </c>
      <c r="E10" s="225"/>
      <c r="F10" s="225"/>
      <c r="G10" s="225"/>
    </row>
    <row r="11" spans="1:10" x14ac:dyDescent="0.25">
      <c r="A11" s="1"/>
      <c r="B11" s="1" t="s">
        <v>659</v>
      </c>
      <c r="C11" s="1"/>
      <c r="D11" s="529" t="str">
        <f>HYPERLINK("#"&amp;ADDRESS(1,1,,,"C_services_daily"),"here")</f>
        <v>here</v>
      </c>
      <c r="E11" s="225"/>
      <c r="F11" s="225"/>
      <c r="G11" s="225"/>
    </row>
    <row r="12" spans="1:10" x14ac:dyDescent="0.25">
      <c r="A12" s="1"/>
      <c r="B12" s="1" t="s">
        <v>617</v>
      </c>
      <c r="C12" s="1"/>
      <c r="D12" s="529" t="str">
        <f>HYPERLINK("#"&amp;ADDRESS(1,1,,,"C_overhead_cost"),"here")</f>
        <v>here</v>
      </c>
      <c r="E12" s="225"/>
      <c r="F12" s="225"/>
      <c r="G12" s="225"/>
    </row>
    <row r="13" spans="1:10" ht="8.25" customHeight="1" x14ac:dyDescent="0.25">
      <c r="A13" s="11"/>
      <c r="B13" s="1"/>
      <c r="C13" s="1"/>
      <c r="E13" s="225"/>
      <c r="F13" s="225"/>
      <c r="G13" s="225"/>
    </row>
    <row r="14" spans="1:10" s="225" customFormat="1" x14ac:dyDescent="0.25">
      <c r="A14" s="11" t="s">
        <v>683</v>
      </c>
      <c r="C14" s="1"/>
      <c r="D14" s="529"/>
    </row>
    <row r="15" spans="1:10" x14ac:dyDescent="0.25">
      <c r="A15" s="1"/>
      <c r="B15" s="1" t="s">
        <v>690</v>
      </c>
      <c r="C15" s="1"/>
      <c r="D15" s="529" t="str">
        <f>HYPERLINK("#"&amp;ADDRESS(1,1,,,"D_invoiced_cost"),"here")</f>
        <v>here</v>
      </c>
      <c r="E15" s="225"/>
      <c r="F15" s="225"/>
      <c r="G15" s="225"/>
    </row>
    <row r="16" spans="1:10" x14ac:dyDescent="0.25">
      <c r="A16" s="1"/>
      <c r="B16" s="1" t="s">
        <v>684</v>
      </c>
      <c r="C16" s="1"/>
      <c r="D16" s="529" t="str">
        <f>HYPERLINK("#"&amp;ADDRESS(1,1,,,"D_device_values"),"here")</f>
        <v>here</v>
      </c>
      <c r="E16" s="225"/>
      <c r="F16" s="225"/>
      <c r="G16" s="225"/>
    </row>
    <row r="17" spans="1:10" x14ac:dyDescent="0.25">
      <c r="A17" s="1"/>
      <c r="B17" s="531" t="s">
        <v>685</v>
      </c>
      <c r="C17" s="530"/>
      <c r="D17" s="529" t="str">
        <f>HYPERLINK("#"&amp;ADDRESS(1,1,,,"D_service_prices"),"here")</f>
        <v>here</v>
      </c>
    </row>
    <row r="18" spans="1:10" x14ac:dyDescent="0.25">
      <c r="A18" s="1"/>
      <c r="B18" s="531" t="s">
        <v>686</v>
      </c>
      <c r="C18" s="530"/>
      <c r="D18" s="529" t="str">
        <f>HYPERLINK("#"&amp;ADDRESS(1,1,,,"D_device_lifecycles"),"here")</f>
        <v>here</v>
      </c>
    </row>
    <row r="19" spans="1:10" x14ac:dyDescent="0.25">
      <c r="A19" s="1"/>
      <c r="B19" s="531" t="s">
        <v>687</v>
      </c>
      <c r="C19" s="531"/>
      <c r="D19" s="529" t="str">
        <f>HYPERLINK("#"&amp;ADDRESS(1,1,,,"D_currency_conversion"),"here")</f>
        <v>here</v>
      </c>
    </row>
    <row r="20" spans="1:10" x14ac:dyDescent="0.25">
      <c r="A20" s="1"/>
      <c r="B20" s="531" t="s">
        <v>688</v>
      </c>
      <c r="C20" s="531"/>
      <c r="D20" s="529" t="str">
        <f>HYPERLINK("#"&amp;ADDRESS(1,1,,,"D_fullhouse"),"here")</f>
        <v>here</v>
      </c>
    </row>
    <row r="21" spans="1:10" x14ac:dyDescent="0.25">
      <c r="A21" s="346" t="s">
        <v>689</v>
      </c>
      <c r="B21" s="2"/>
      <c r="C21" s="2"/>
      <c r="D21" s="534"/>
      <c r="F21" s="225"/>
      <c r="J21"/>
    </row>
    <row r="22" spans="1:10" x14ac:dyDescent="0.25">
      <c r="A22" s="426"/>
      <c r="B22" s="441"/>
      <c r="C22" s="441"/>
      <c r="D22" s="441"/>
      <c r="F22" s="225"/>
      <c r="J22"/>
    </row>
    <row r="23" spans="1:10" x14ac:dyDescent="0.25">
      <c r="A23" s="426"/>
      <c r="B23" s="426"/>
      <c r="C23" s="426"/>
      <c r="D23" s="426"/>
      <c r="F23" s="225"/>
      <c r="J23"/>
    </row>
    <row r="24" spans="1:10" x14ac:dyDescent="0.25">
      <c r="F24" s="225"/>
      <c r="J24"/>
    </row>
    <row r="25" spans="1:10" x14ac:dyDescent="0.25">
      <c r="F25" s="225"/>
      <c r="J25"/>
    </row>
    <row r="26" spans="1:10" x14ac:dyDescent="0.25">
      <c r="F26" s="225"/>
      <c r="J26"/>
    </row>
    <row r="27" spans="1:10" x14ac:dyDescent="0.25">
      <c r="A27" s="225"/>
    </row>
    <row r="28" spans="1:10" x14ac:dyDescent="0.25">
      <c r="B28" s="225"/>
      <c r="C28" s="225"/>
      <c r="D28" s="225"/>
    </row>
  </sheetData>
  <mergeCells count="3">
    <mergeCell ref="D4:D5"/>
    <mergeCell ref="B4:C5"/>
    <mergeCell ref="B6:C7"/>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21"/>
  <sheetViews>
    <sheetView workbookViewId="0">
      <selection activeCell="A2" sqref="A2"/>
    </sheetView>
  </sheetViews>
  <sheetFormatPr defaultColWidth="8.7109375" defaultRowHeight="15" x14ac:dyDescent="0.25"/>
  <cols>
    <col min="1" max="1" width="4.85546875" style="225" customWidth="1"/>
    <col min="2" max="2" width="5.28515625" style="225" customWidth="1"/>
    <col min="3" max="3" width="15.140625" style="225" customWidth="1"/>
    <col min="4" max="4" width="11.28515625" style="225" bestFit="1" customWidth="1"/>
    <col min="5" max="6" width="10.28515625" style="225" bestFit="1" customWidth="1"/>
    <col min="7" max="16" width="8.7109375" style="225"/>
    <col min="17" max="17" width="3.28515625" style="225" customWidth="1"/>
    <col min="18" max="16384" width="8.7109375" style="225"/>
  </cols>
  <sheetData>
    <row r="1" spans="1:17" x14ac:dyDescent="0.25">
      <c r="B1" s="331" t="str">
        <f>HYPERLINK("#"&amp;ADDRESS(1,1,,,"MASTER"),"M &lt;=")</f>
        <v>M &lt;=</v>
      </c>
    </row>
    <row r="2" spans="1:17" x14ac:dyDescent="0.25">
      <c r="A2" s="472" t="s">
        <v>670</v>
      </c>
      <c r="B2" s="450"/>
      <c r="C2" s="450"/>
      <c r="D2" s="450"/>
      <c r="E2" s="450"/>
      <c r="F2" s="450"/>
      <c r="G2" s="450"/>
      <c r="H2" s="450"/>
      <c r="I2" s="450"/>
      <c r="J2" s="450"/>
      <c r="K2" s="450"/>
      <c r="L2" s="450"/>
      <c r="M2" s="450"/>
      <c r="N2" s="450"/>
      <c r="O2" s="450"/>
      <c r="P2" s="450"/>
      <c r="Q2" s="450"/>
    </row>
    <row r="3" spans="1:17" x14ac:dyDescent="0.25">
      <c r="A3" s="1"/>
      <c r="B3" s="1"/>
      <c r="C3" s="201" t="s">
        <v>642</v>
      </c>
      <c r="D3" s="1"/>
      <c r="E3" s="1"/>
      <c r="F3" s="184" t="e">
        <f>Master!#REF!</f>
        <v>#REF!</v>
      </c>
      <c r="G3" s="1"/>
      <c r="H3" s="1"/>
      <c r="I3" s="1"/>
      <c r="J3" s="1"/>
      <c r="K3" s="1"/>
      <c r="L3" s="1"/>
      <c r="M3" s="1"/>
      <c r="N3" s="1"/>
      <c r="O3" s="1"/>
      <c r="P3" s="1"/>
      <c r="Q3" s="450"/>
    </row>
    <row r="4" spans="1:17" x14ac:dyDescent="0.25">
      <c r="A4" s="355"/>
      <c r="B4" s="1"/>
      <c r="C4" s="1"/>
      <c r="D4" s="1"/>
      <c r="E4" s="1"/>
      <c r="F4" s="11" t="s">
        <v>422</v>
      </c>
      <c r="G4" s="1"/>
      <c r="H4" s="1"/>
      <c r="I4" s="1"/>
      <c r="J4" s="1"/>
      <c r="K4" s="1"/>
      <c r="L4" s="1"/>
      <c r="M4" s="1"/>
      <c r="N4" s="1"/>
      <c r="O4" s="1"/>
      <c r="P4" s="1"/>
      <c r="Q4" s="450"/>
    </row>
    <row r="5" spans="1:17" x14ac:dyDescent="0.25">
      <c r="A5" s="355"/>
      <c r="B5" s="1"/>
      <c r="C5" s="1"/>
      <c r="D5" s="184" t="s">
        <v>537</v>
      </c>
      <c r="E5" s="184" t="s">
        <v>514</v>
      </c>
      <c r="F5" s="478">
        <v>0</v>
      </c>
      <c r="G5" s="475">
        <v>1</v>
      </c>
      <c r="H5" s="475">
        <v>2</v>
      </c>
      <c r="I5" s="475">
        <v>3</v>
      </c>
      <c r="J5" s="475">
        <v>4</v>
      </c>
      <c r="K5" s="475">
        <v>5</v>
      </c>
      <c r="L5" s="475">
        <v>6</v>
      </c>
      <c r="M5" s="475">
        <v>7</v>
      </c>
      <c r="N5" s="475">
        <v>8</v>
      </c>
      <c r="O5" s="475">
        <v>9</v>
      </c>
      <c r="P5" s="475">
        <v>10</v>
      </c>
      <c r="Q5" s="450"/>
    </row>
    <row r="6" spans="1:17" x14ac:dyDescent="0.25">
      <c r="A6" s="2" t="s">
        <v>584</v>
      </c>
      <c r="B6" s="2"/>
      <c r="C6" s="2"/>
      <c r="D6" s="369">
        <f>SUM(F7:F8)</f>
        <v>910424</v>
      </c>
      <c r="E6" s="369" t="s">
        <v>643</v>
      </c>
      <c r="F6" s="246"/>
      <c r="G6" s="473"/>
      <c r="H6" s="473"/>
      <c r="I6" s="473"/>
      <c r="J6" s="473"/>
      <c r="K6" s="473"/>
      <c r="L6" s="473"/>
      <c r="M6" s="473"/>
      <c r="N6" s="473"/>
      <c r="O6" s="473"/>
      <c r="P6" s="473"/>
      <c r="Q6" s="450"/>
    </row>
    <row r="7" spans="1:17" x14ac:dyDescent="0.25">
      <c r="A7" s="1"/>
      <c r="B7" s="7" t="s">
        <v>582</v>
      </c>
      <c r="C7" s="7"/>
      <c r="D7" s="405" t="e">
        <f>F7+(G7/(1+$F$3)^1)+(H7/(1+$F$3)^2)+(I7/(1+$F$3)^3)+(J7/(1+$F$3)^4)+(K7/(1+$F$3)^5)+(L7/(1+$F$3)^6)+(M7/(1+$F$3)^7)+(N7/(1+$F$3)^8)+(O7/(1+$F$3)^9)+(P7/(1+$F$3)^10)</f>
        <v>#REF!</v>
      </c>
      <c r="E7" s="405" t="e">
        <f>F7+(G7/(1+$F$3)^1)+(H7/(1+$F$3)^2)+(I7/(1+$F$3)^3)</f>
        <v>#REF!</v>
      </c>
      <c r="F7" s="347">
        <f>D_fullhouse!S7</f>
        <v>710424</v>
      </c>
      <c r="G7" s="189"/>
      <c r="H7" s="189"/>
      <c r="I7" s="189"/>
      <c r="J7" s="189"/>
      <c r="K7" s="189"/>
      <c r="L7" s="189"/>
      <c r="M7" s="189"/>
      <c r="N7" s="189"/>
      <c r="O7" s="189"/>
      <c r="P7" s="189"/>
      <c r="Q7" s="450"/>
    </row>
    <row r="8" spans="1:17" x14ac:dyDescent="0.25">
      <c r="A8" s="1"/>
      <c r="B8" s="1" t="s">
        <v>585</v>
      </c>
      <c r="C8" s="1"/>
      <c r="D8" s="405" t="e">
        <f>F8+(G8/(1+$F$3)^1)+(H8/(1+$F$3)^2)+(I8/(1+$F$3)^3)+(J8/(1+$F$3)^4)+(K8/(1+$F$3)^5)+(L8/(1+$F$3)^6)+(M8/(1+$F$3)^7)+(N8/(1+$F$3)^8)+(O8/(1+$F$3)^9)+(P8/(1+$F$3)^10)</f>
        <v>#REF!</v>
      </c>
      <c r="E8" s="405" t="e">
        <f>F8+(G8/(1+$F$3)^1)+(H8/(1+$F$3)^2)+(I8/(1+$F$3)^3)</f>
        <v>#REF!</v>
      </c>
      <c r="F8" s="347">
        <f>D_fullhouse!N7</f>
        <v>200000</v>
      </c>
      <c r="G8" s="189"/>
      <c r="H8" s="189"/>
      <c r="I8" s="189"/>
      <c r="J8" s="189"/>
      <c r="K8" s="189"/>
      <c r="L8" s="189"/>
      <c r="M8" s="189"/>
      <c r="N8" s="189"/>
      <c r="O8" s="189"/>
      <c r="P8" s="189"/>
      <c r="Q8" s="450"/>
    </row>
    <row r="9" spans="1:17" x14ac:dyDescent="0.25">
      <c r="A9" s="1" t="s">
        <v>588</v>
      </c>
      <c r="B9" s="1"/>
      <c r="C9" s="1"/>
      <c r="D9" s="405"/>
      <c r="E9" s="405"/>
      <c r="F9" s="347"/>
      <c r="G9" s="189"/>
      <c r="H9" s="189"/>
      <c r="I9" s="189"/>
      <c r="J9" s="189"/>
      <c r="K9" s="189"/>
      <c r="L9" s="189"/>
      <c r="M9" s="189"/>
      <c r="N9" s="189"/>
      <c r="O9" s="189"/>
      <c r="P9" s="189"/>
      <c r="Q9" s="450"/>
    </row>
    <row r="10" spans="1:17" x14ac:dyDescent="0.25">
      <c r="A10" s="1"/>
      <c r="B10" s="1"/>
      <c r="C10" s="1"/>
      <c r="D10" s="350" t="e">
        <f>F10+(G10/(1+$F$3)^1)+(H10/(1+$F$3)^2)+(I10/(1+$F$3)^3)+(J10/(1+$F$3)^4)+(K10/(1+$F$3)^5)+(L10/(1+$F$3)^6)+(M10/(1+$F$3)^7)+(N10/(1+$F$3)^8)+(O10/(1+$F$3)^9)+(P10/(1+$F$3)^10)</f>
        <v>#REF!</v>
      </c>
      <c r="E10" s="350" t="e">
        <f>F10+(G10/(1+$F$3)^1)+(H10/(1+$F$3)^2)+(I10/(1+$F$3)^3)</f>
        <v>#REF!</v>
      </c>
      <c r="F10" s="347">
        <f>SUM(C_overhead_cost!O5:O7)/25</f>
        <v>3090.3519800042241</v>
      </c>
      <c r="G10" s="189">
        <f>C_overhead_cost!$P$16/25</f>
        <v>125864.07237108157</v>
      </c>
      <c r="H10" s="189">
        <f>C_overhead_cost!$P$16/25</f>
        <v>125864.07237108157</v>
      </c>
      <c r="I10" s="189">
        <f>C_overhead_cost!$P$16/25</f>
        <v>125864.07237108157</v>
      </c>
      <c r="J10" s="189">
        <f>C_overhead_cost!$P$16/25</f>
        <v>125864.07237108157</v>
      </c>
      <c r="K10" s="189">
        <f>C_overhead_cost!$P$16/25</f>
        <v>125864.07237108157</v>
      </c>
      <c r="L10" s="189">
        <f>C_overhead_cost!$P$16/25</f>
        <v>125864.07237108157</v>
      </c>
      <c r="M10" s="189">
        <f>C_overhead_cost!$P$16/25</f>
        <v>125864.07237108157</v>
      </c>
      <c r="N10" s="189">
        <f>C_overhead_cost!$P$16/25</f>
        <v>125864.07237108157</v>
      </c>
      <c r="O10" s="189">
        <f>C_overhead_cost!$P$16/25</f>
        <v>125864.07237108157</v>
      </c>
      <c r="P10" s="189">
        <f>C_overhead_cost!$P$16/25</f>
        <v>125864.07237108157</v>
      </c>
      <c r="Q10" s="450"/>
    </row>
    <row r="11" spans="1:17" x14ac:dyDescent="0.25">
      <c r="A11" s="1" t="s">
        <v>531</v>
      </c>
      <c r="B11" s="1"/>
      <c r="C11" s="1"/>
      <c r="D11" s="350" t="e">
        <f>SUM(D12:D13)</f>
        <v>#REF!</v>
      </c>
      <c r="E11" s="350" t="e">
        <f>SUM(E12:E13)</f>
        <v>#REF!</v>
      </c>
      <c r="F11" s="348"/>
      <c r="G11" s="189"/>
      <c r="H11" s="189"/>
      <c r="I11" s="189"/>
      <c r="J11" s="189"/>
      <c r="K11" s="189"/>
      <c r="L11" s="189"/>
      <c r="M11" s="189"/>
      <c r="N11" s="189"/>
      <c r="O11" s="189"/>
      <c r="P11" s="189"/>
      <c r="Q11" s="450"/>
    </row>
    <row r="12" spans="1:17" x14ac:dyDescent="0.25">
      <c r="A12" s="1"/>
      <c r="B12" s="1" t="s">
        <v>586</v>
      </c>
      <c r="C12" s="1"/>
      <c r="D12" s="350" t="e">
        <f>F12+(G12/(1+$F$3)^1)+(H12/(1+$F$3)^2)+(I12/(1+$F$3)^3)+(J12/(1+$F$3)^4)+(K12/(1+$F$3)^5)+(L12/(1+$F$3)^6)+(M12/(1+$F$3)^7)+(N12/(1+$F$3)^8)+(O12/(1+$F$3)^9)+(P12/(1+$F$3)^10)</f>
        <v>#REF!</v>
      </c>
      <c r="E12" s="350" t="e">
        <f>F12+(G12/(1+$F$3)^1)+(H12/(1+$F$3)^2)+(I12/(1+$F$3)^3)</f>
        <v>#REF!</v>
      </c>
      <c r="F12" s="348"/>
      <c r="G12" s="189">
        <f>D_fullhouse!$M$8</f>
        <v>600000</v>
      </c>
      <c r="H12" s="189">
        <f>G12</f>
        <v>600000</v>
      </c>
      <c r="I12" s="189">
        <f t="shared" ref="I12:P12" si="0">H12</f>
        <v>600000</v>
      </c>
      <c r="J12" s="189">
        <f t="shared" si="0"/>
        <v>600000</v>
      </c>
      <c r="K12" s="189">
        <f t="shared" si="0"/>
        <v>600000</v>
      </c>
      <c r="L12" s="189">
        <f t="shared" si="0"/>
        <v>600000</v>
      </c>
      <c r="M12" s="189">
        <f t="shared" si="0"/>
        <v>600000</v>
      </c>
      <c r="N12" s="189">
        <f t="shared" si="0"/>
        <v>600000</v>
      </c>
      <c r="O12" s="189">
        <f t="shared" si="0"/>
        <v>600000</v>
      </c>
      <c r="P12" s="189">
        <f t="shared" si="0"/>
        <v>600000</v>
      </c>
      <c r="Q12" s="450"/>
    </row>
    <row r="13" spans="1:17" x14ac:dyDescent="0.25">
      <c r="A13" s="1"/>
      <c r="B13" s="1" t="s">
        <v>587</v>
      </c>
      <c r="C13" s="1"/>
      <c r="D13" s="350" t="e">
        <f>F13+(G13/(1+$F$3)^1)+(H13/(1+$F$3)^2)+(I13/(1+$F$3)^3)+(J13/(1+$F$3)^4)+(K13/(1+$F$3)^5)+(L13/(1+$F$3)^6)+(M13/(1+$F$3)^7)+(N13/(1+$F$3)^8)+(O13/(1+$F$3)^9)+(P13/(1+$F$3)^10)</f>
        <v>#REF!</v>
      </c>
      <c r="E13" s="350" t="e">
        <f>F13+(G13/(1+$F$3)^1)+(H13/(1+$F$3)^2)+(I13/(1+$F$3)^3)</f>
        <v>#REF!</v>
      </c>
      <c r="F13" s="348"/>
      <c r="G13" s="189">
        <f>0.7*(D_fullhouse!$O$8+D_fullhouse!$P$8)</f>
        <v>385000</v>
      </c>
      <c r="H13" s="189">
        <f>$G$13</f>
        <v>385000</v>
      </c>
      <c r="I13" s="189">
        <f t="shared" ref="I13:P13" si="1">$G$13</f>
        <v>385000</v>
      </c>
      <c r="J13" s="189">
        <f t="shared" si="1"/>
        <v>385000</v>
      </c>
      <c r="K13" s="189">
        <f t="shared" si="1"/>
        <v>385000</v>
      </c>
      <c r="L13" s="189">
        <f t="shared" si="1"/>
        <v>385000</v>
      </c>
      <c r="M13" s="189">
        <f t="shared" si="1"/>
        <v>385000</v>
      </c>
      <c r="N13" s="189">
        <f t="shared" si="1"/>
        <v>385000</v>
      </c>
      <c r="O13" s="189">
        <f t="shared" si="1"/>
        <v>385000</v>
      </c>
      <c r="P13" s="189">
        <f t="shared" si="1"/>
        <v>385000</v>
      </c>
      <c r="Q13" s="450"/>
    </row>
    <row r="14" spans="1:17" x14ac:dyDescent="0.25">
      <c r="A14" s="1" t="s">
        <v>515</v>
      </c>
      <c r="B14" s="1"/>
      <c r="C14" s="1"/>
      <c r="D14" s="350" t="e">
        <f>F14+(G14/(1+$F$3)^1)+(H14/(1+$F$3)^2)+(I14/(1+$F$3)^3)+(J14/(1+$F$3)^4)+(K14/(1+$F$3)^5)+(L14/(1+$F$3)^6)+(M14/(1+$F$3)^7)+(N14/(1+$F$3)^8)+(O14/(1+$F$3)^9)+(P14/(1+$F$3)^10)</f>
        <v>#REF!</v>
      </c>
      <c r="E14" s="350" t="e">
        <f>F14+(G14/(1+$F$3)^1)+(H14/(1+$F$3)^2)+(I14/(1+$F$3)^3)</f>
        <v>#REF!</v>
      </c>
      <c r="F14" s="348"/>
      <c r="G14" s="153">
        <f>C_depreciation_yearly!$Q$25</f>
        <v>1960858.6551367487</v>
      </c>
      <c r="H14" s="153">
        <f>C_depreciation_yearly!$Q$25</f>
        <v>1960858.6551367487</v>
      </c>
      <c r="I14" s="153">
        <f>C_depreciation_yearly!$Q$25</f>
        <v>1960858.6551367487</v>
      </c>
      <c r="J14" s="153">
        <f>C_depreciation_yearly!$Q$25</f>
        <v>1960858.6551367487</v>
      </c>
      <c r="K14" s="153">
        <f>C_depreciation_yearly!$Q$25</f>
        <v>1960858.6551367487</v>
      </c>
      <c r="L14" s="153">
        <f>C_depreciation_yearly!$Q$25</f>
        <v>1960858.6551367487</v>
      </c>
      <c r="M14" s="153">
        <f>C_depreciation_yearly!$Q$25</f>
        <v>1960858.6551367487</v>
      </c>
      <c r="N14" s="153">
        <f>C_depreciation_yearly!$Q$25</f>
        <v>1960858.6551367487</v>
      </c>
      <c r="O14" s="153">
        <f>C_depreciation_yearly!$Q$25</f>
        <v>1960858.6551367487</v>
      </c>
      <c r="P14" s="153">
        <f>C_depreciation_yearly!$Q$25</f>
        <v>1960858.6551367487</v>
      </c>
      <c r="Q14" s="450"/>
    </row>
    <row r="15" spans="1:17" x14ac:dyDescent="0.25">
      <c r="A15" s="2"/>
      <c r="B15" s="2"/>
      <c r="C15" s="2"/>
      <c r="D15" s="351"/>
      <c r="E15" s="351"/>
      <c r="F15" s="349">
        <f>SUM(F7:F14)</f>
        <v>913514.35198000423</v>
      </c>
      <c r="G15" s="200">
        <f>SUM(G7:G14)</f>
        <v>3071722.7275078301</v>
      </c>
      <c r="H15" s="200">
        <f t="shared" ref="H15:P15" si="2">SUM(H7:H14)</f>
        <v>3071722.7275078301</v>
      </c>
      <c r="I15" s="200">
        <f t="shared" si="2"/>
        <v>3071722.7275078301</v>
      </c>
      <c r="J15" s="200">
        <f t="shared" si="2"/>
        <v>3071722.7275078301</v>
      </c>
      <c r="K15" s="200">
        <f t="shared" si="2"/>
        <v>3071722.7275078301</v>
      </c>
      <c r="L15" s="200">
        <f t="shared" si="2"/>
        <v>3071722.7275078301</v>
      </c>
      <c r="M15" s="200">
        <f t="shared" si="2"/>
        <v>3071722.7275078301</v>
      </c>
      <c r="N15" s="200">
        <f t="shared" si="2"/>
        <v>3071722.7275078301</v>
      </c>
      <c r="O15" s="200">
        <f t="shared" si="2"/>
        <v>3071722.7275078301</v>
      </c>
      <c r="P15" s="200">
        <f t="shared" si="2"/>
        <v>3071722.7275078301</v>
      </c>
      <c r="Q15" s="450"/>
    </row>
    <row r="16" spans="1:17" x14ac:dyDescent="0.25">
      <c r="A16" s="406" t="s">
        <v>538</v>
      </c>
      <c r="B16" s="7" t="s">
        <v>70</v>
      </c>
      <c r="C16" s="7"/>
      <c r="D16" s="231" t="e">
        <f>SUM(D6,D11,D14)</f>
        <v>#REF!</v>
      </c>
      <c r="E16" s="231" t="e">
        <f>SUM(E6,E11,E14)</f>
        <v>#REF!</v>
      </c>
      <c r="F16" s="357"/>
      <c r="G16" s="1"/>
      <c r="H16" s="1"/>
      <c r="I16" s="1"/>
      <c r="J16" s="1"/>
      <c r="K16" s="1"/>
      <c r="L16" s="1"/>
      <c r="M16" s="1"/>
      <c r="N16" s="1"/>
      <c r="O16" s="1"/>
      <c r="P16" s="1"/>
      <c r="Q16" s="450"/>
    </row>
    <row r="17" spans="1:17" x14ac:dyDescent="0.25">
      <c r="A17" s="406" t="s">
        <v>538</v>
      </c>
      <c r="B17" s="7" t="s">
        <v>507</v>
      </c>
      <c r="C17" s="7"/>
      <c r="D17" s="407" t="e">
        <f>D16/10</f>
        <v>#REF!</v>
      </c>
      <c r="E17" s="366" t="e">
        <f>E16/3</f>
        <v>#REF!</v>
      </c>
      <c r="F17" s="357"/>
      <c r="G17" s="1"/>
      <c r="H17" s="1"/>
      <c r="I17" s="1"/>
      <c r="J17" s="1"/>
      <c r="K17" s="1"/>
      <c r="L17" s="1"/>
      <c r="M17" s="1"/>
      <c r="N17" s="1"/>
      <c r="O17" s="1"/>
      <c r="P17" s="1"/>
      <c r="Q17" s="450"/>
    </row>
    <row r="18" spans="1:17" x14ac:dyDescent="0.25">
      <c r="A18" s="1"/>
      <c r="B18" s="1"/>
      <c r="C18" s="1"/>
      <c r="D18" s="1"/>
      <c r="E18" s="1"/>
      <c r="F18" s="1"/>
      <c r="G18" s="1"/>
      <c r="H18" s="1"/>
      <c r="I18" s="1"/>
      <c r="J18" s="1"/>
      <c r="K18" s="1"/>
      <c r="L18" s="1"/>
      <c r="M18" s="1"/>
      <c r="N18" s="1"/>
      <c r="O18" s="1"/>
      <c r="P18" s="1"/>
      <c r="Q18" s="450"/>
    </row>
    <row r="19" spans="1:17" x14ac:dyDescent="0.25">
      <c r="A19" s="199" t="s">
        <v>583</v>
      </c>
      <c r="B19" s="1"/>
      <c r="C19" s="1" t="s">
        <v>644</v>
      </c>
      <c r="D19" s="1"/>
      <c r="E19" s="1"/>
      <c r="F19" s="1"/>
      <c r="G19" s="1"/>
      <c r="H19" s="1"/>
      <c r="I19" s="1"/>
      <c r="J19" s="1"/>
      <c r="K19" s="1"/>
      <c r="L19" s="1"/>
      <c r="M19" s="1"/>
      <c r="N19" s="1"/>
      <c r="O19" s="1"/>
      <c r="P19" s="1"/>
      <c r="Q19" s="450"/>
    </row>
    <row r="20" spans="1:17" x14ac:dyDescent="0.25">
      <c r="A20" s="450"/>
      <c r="B20" s="450"/>
      <c r="C20" s="450"/>
      <c r="D20" s="450"/>
      <c r="E20" s="450"/>
      <c r="F20" s="450"/>
      <c r="G20" s="450"/>
      <c r="H20" s="450"/>
      <c r="I20" s="450"/>
      <c r="J20" s="450"/>
      <c r="K20" s="450"/>
      <c r="L20" s="450"/>
      <c r="M20" s="450"/>
      <c r="N20" s="450"/>
      <c r="O20" s="450"/>
      <c r="P20" s="450"/>
      <c r="Q20" s="450"/>
    </row>
    <row r="21" spans="1:17" x14ac:dyDescent="0.25">
      <c r="A21" s="201" t="s">
        <v>671</v>
      </c>
      <c r="B21" s="201"/>
      <c r="C21" s="201"/>
      <c r="D21" s="201"/>
      <c r="E21" s="201"/>
      <c r="F21" s="201"/>
      <c r="G21" s="201"/>
      <c r="H21" s="201"/>
      <c r="I21" s="201"/>
      <c r="J21" s="201"/>
      <c r="K21" s="201"/>
      <c r="L21" s="201"/>
      <c r="M21" s="201"/>
      <c r="N21" s="201"/>
      <c r="O21" s="201"/>
      <c r="P21" s="201"/>
    </row>
  </sheetData>
  <hyperlinks>
    <hyperlink ref="A19" location="H_fullhouse!A1" display="H_fullhouse" xr:uid="{00000000-0004-0000-0E00-000000000000}"/>
  </hyperlinks>
  <pageMargins left="0.7" right="0.7" top="0.75" bottom="0.75" header="0.3" footer="0.3"/>
  <pageSetup paperSize="9" orientation="portrait" horizontalDpi="0" verticalDpi="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13"/>
  <sheetViews>
    <sheetView zoomScaleNormal="100" workbookViewId="0">
      <selection activeCell="B1" sqref="B1"/>
    </sheetView>
  </sheetViews>
  <sheetFormatPr defaultColWidth="8.7109375" defaultRowHeight="15" x14ac:dyDescent="0.25"/>
  <cols>
    <col min="1" max="1" width="4" style="225" customWidth="1"/>
    <col min="2" max="2" width="5.28515625" style="225" customWidth="1"/>
    <col min="3" max="4" width="8.7109375" style="225"/>
    <col min="5" max="6" width="12" style="225" customWidth="1"/>
    <col min="7" max="7" width="16.85546875" style="225" customWidth="1"/>
    <col min="8" max="8" width="11.140625" style="225" customWidth="1"/>
    <col min="9" max="13" width="8.7109375" style="225"/>
    <col min="14" max="18" width="9.140625" style="225" customWidth="1"/>
    <col min="19" max="19" width="4" style="225" customWidth="1"/>
    <col min="20" max="16384" width="8.7109375" style="225"/>
  </cols>
  <sheetData>
    <row r="1" spans="1:19" x14ac:dyDescent="0.25">
      <c r="B1" s="331" t="str">
        <f>HYPERLINK("#"&amp;ADDRESS(1,1,,,"MASTER"),"M &lt;=")</f>
        <v>M &lt;=</v>
      </c>
    </row>
    <row r="2" spans="1:19" x14ac:dyDescent="0.25">
      <c r="A2" s="450"/>
      <c r="B2" s="472" t="s">
        <v>672</v>
      </c>
      <c r="C2" s="450"/>
      <c r="D2" s="450"/>
      <c r="E2" s="450"/>
      <c r="F2" s="450"/>
      <c r="G2" s="450"/>
      <c r="H2" s="450"/>
      <c r="I2" s="450"/>
      <c r="J2" s="450"/>
      <c r="K2" s="450"/>
      <c r="L2" s="450"/>
      <c r="M2" s="450"/>
      <c r="N2" s="450"/>
      <c r="O2" s="450"/>
      <c r="P2" s="450"/>
      <c r="Q2" s="450"/>
      <c r="R2" s="450"/>
      <c r="S2" s="450"/>
    </row>
    <row r="3" spans="1:19" x14ac:dyDescent="0.25">
      <c r="A3" s="450"/>
      <c r="B3" s="11" t="s">
        <v>668</v>
      </c>
      <c r="C3" s="1"/>
      <c r="D3" s="1"/>
      <c r="E3" s="1"/>
      <c r="F3" s="1"/>
      <c r="G3" s="1"/>
      <c r="H3" s="1"/>
      <c r="I3" s="1"/>
      <c r="J3" s="1"/>
      <c r="K3" s="1"/>
      <c r="L3" s="1"/>
      <c r="M3" s="1"/>
      <c r="N3" s="1"/>
      <c r="O3" s="1"/>
      <c r="P3" s="1"/>
      <c r="Q3" s="1"/>
      <c r="R3" s="1"/>
      <c r="S3" s="450"/>
    </row>
    <row r="4" spans="1:19" x14ac:dyDescent="0.25">
      <c r="A4" s="450"/>
      <c r="B4" s="1"/>
      <c r="C4" s="201" t="s">
        <v>641</v>
      </c>
      <c r="D4" s="1"/>
      <c r="E4" s="1"/>
      <c r="F4" s="1"/>
      <c r="G4" s="1"/>
      <c r="H4" s="1"/>
      <c r="I4" s="1"/>
      <c r="J4" s="1"/>
      <c r="K4" s="1"/>
      <c r="L4" s="1"/>
      <c r="M4" s="1"/>
      <c r="N4" s="1"/>
      <c r="O4" s="1"/>
      <c r="P4" s="1"/>
      <c r="Q4" s="1"/>
      <c r="R4" s="1"/>
      <c r="S4" s="450"/>
    </row>
    <row r="5" spans="1:19" x14ac:dyDescent="0.25">
      <c r="A5" s="450"/>
      <c r="B5" s="1"/>
      <c r="C5" s="201" t="s">
        <v>513</v>
      </c>
      <c r="D5" s="1"/>
      <c r="E5" s="1"/>
      <c r="F5" s="1"/>
      <c r="G5" s="1"/>
      <c r="H5" s="184" t="e">
        <f>Master!#REF!</f>
        <v>#REF!</v>
      </c>
      <c r="I5" s="1"/>
      <c r="J5" s="1"/>
      <c r="K5" s="1"/>
      <c r="L5" s="1"/>
      <c r="M5" s="1"/>
      <c r="N5" s="1"/>
      <c r="O5" s="1"/>
      <c r="P5" s="1"/>
      <c r="Q5" s="1"/>
      <c r="R5" s="1"/>
      <c r="S5" s="450"/>
    </row>
    <row r="6" spans="1:19" x14ac:dyDescent="0.25">
      <c r="A6" s="450"/>
      <c r="B6" s="1"/>
      <c r="C6" s="201"/>
      <c r="D6" s="1"/>
      <c r="E6" s="419" t="s">
        <v>537</v>
      </c>
      <c r="F6" s="419" t="s">
        <v>514</v>
      </c>
      <c r="G6" s="421" t="s">
        <v>593</v>
      </c>
      <c r="H6" s="11" t="s">
        <v>422</v>
      </c>
      <c r="I6" s="1"/>
      <c r="J6" s="1"/>
      <c r="K6" s="1"/>
      <c r="L6" s="1"/>
      <c r="M6" s="1"/>
      <c r="N6" s="1"/>
      <c r="O6" s="1"/>
      <c r="P6" s="1"/>
      <c r="Q6" s="1"/>
      <c r="R6" s="1"/>
      <c r="S6" s="450"/>
    </row>
    <row r="7" spans="1:19" x14ac:dyDescent="0.25">
      <c r="A7" s="450"/>
      <c r="B7" s="355" t="s">
        <v>525</v>
      </c>
      <c r="C7" s="1"/>
      <c r="D7" s="1"/>
      <c r="E7" s="1"/>
      <c r="F7" s="1"/>
      <c r="G7" s="370"/>
      <c r="H7" s="420">
        <v>0</v>
      </c>
      <c r="I7" s="419">
        <v>1</v>
      </c>
      <c r="J7" s="419">
        <v>2</v>
      </c>
      <c r="K7" s="419">
        <v>3</v>
      </c>
      <c r="L7" s="419">
        <v>4</v>
      </c>
      <c r="M7" s="419">
        <v>5</v>
      </c>
      <c r="N7" s="419">
        <v>6</v>
      </c>
      <c r="O7" s="419">
        <v>7</v>
      </c>
      <c r="P7" s="419">
        <v>8</v>
      </c>
      <c r="Q7" s="419">
        <v>9</v>
      </c>
      <c r="R7" s="419">
        <v>10</v>
      </c>
      <c r="S7" s="450"/>
    </row>
    <row r="8" spans="1:19" x14ac:dyDescent="0.25">
      <c r="A8" s="450"/>
      <c r="B8" s="2" t="s">
        <v>0</v>
      </c>
      <c r="C8" s="2"/>
      <c r="D8" s="2"/>
      <c r="E8" s="2"/>
      <c r="F8" s="2"/>
      <c r="G8" s="413"/>
      <c r="H8" s="418"/>
      <c r="I8" s="418"/>
      <c r="J8" s="418"/>
      <c r="K8" s="418"/>
      <c r="L8" s="418"/>
      <c r="M8" s="418"/>
      <c r="N8" s="418"/>
      <c r="O8" s="418"/>
      <c r="P8" s="418"/>
      <c r="Q8" s="418"/>
      <c r="R8" s="418"/>
      <c r="S8" s="450"/>
    </row>
    <row r="9" spans="1:19" x14ac:dyDescent="0.25">
      <c r="A9" s="450"/>
      <c r="B9" s="1"/>
      <c r="C9" s="7" t="s">
        <v>516</v>
      </c>
      <c r="D9" s="7"/>
      <c r="E9" s="350" t="e">
        <f>H9+(I9/(1+H$5)^1)+(J9/(1+H$5)^2)+(K9/(1+H$5)^3)+(L9/(1+H$5)^4)+(M9/(1+H$5)^5)+(N9/(1+H$5)^6)+(O9/(1+H$5)^7)+(P9/(1+H$5)^8)+(Q9/(1+H$5)^9)+(R9/(1+H$5)^10)</f>
        <v>#REF!</v>
      </c>
      <c r="F9" s="350" t="e">
        <f>H9+(I9/(1+H$5)^1)+(J9/(1+H$5)^2)+(K9/(1+H$5)^3)</f>
        <v>#REF!</v>
      </c>
      <c r="G9" s="367"/>
      <c r="H9" s="189">
        <f>C_overhead_cost!$P$9/25</f>
        <v>653576.59657353919</v>
      </c>
      <c r="I9" s="189">
        <f>C_overhead_cost!$P$16/25</f>
        <v>125864.07237108157</v>
      </c>
      <c r="J9" s="189">
        <f>C_overhead_cost!$P$16/25</f>
        <v>125864.07237108157</v>
      </c>
      <c r="K9" s="189">
        <f>C_overhead_cost!$P$16/25</f>
        <v>125864.07237108157</v>
      </c>
      <c r="L9" s="189">
        <f>C_overhead_cost!$P$16/25</f>
        <v>125864.07237108157</v>
      </c>
      <c r="M9" s="189">
        <f>C_overhead_cost!$P$16/25</f>
        <v>125864.07237108157</v>
      </c>
      <c r="N9" s="189">
        <f>C_overhead_cost!$P$16/25</f>
        <v>125864.07237108157</v>
      </c>
      <c r="O9" s="189">
        <f>C_overhead_cost!$P$16/25</f>
        <v>125864.07237108157</v>
      </c>
      <c r="P9" s="189">
        <f>C_overhead_cost!$P$16/25</f>
        <v>125864.07237108157</v>
      </c>
      <c r="Q9" s="189">
        <f>C_overhead_cost!$P$16/25</f>
        <v>125864.07237108157</v>
      </c>
      <c r="R9" s="189">
        <f>C_overhead_cost!$P$16/25</f>
        <v>125864.07237108157</v>
      </c>
      <c r="S9" s="450"/>
    </row>
    <row r="10" spans="1:19" x14ac:dyDescent="0.25">
      <c r="A10" s="450"/>
      <c r="B10" s="1"/>
      <c r="C10" s="1" t="s">
        <v>519</v>
      </c>
      <c r="D10" s="1"/>
      <c r="E10" s="350" t="e">
        <f t="shared" ref="E10:E11" si="0">H10+(I10/(1+H$5)^1)+(J10/(1+H$5)^2)+(K10/(1+H$5)^3)+(L10/(1+H$5)^4)+(M10/(1+H$5)^5)+(N10/(1+H$5)^6)+(O10/(1+H$5)^7)+(P10/(1+H$5)^8)+(Q10/(1+H$5)^9)+(R10/(1+H$5)^10)</f>
        <v>#REF!</v>
      </c>
      <c r="F10" s="350" t="e">
        <f>H10+(I10/(1+H$5)^1)+(J10/(1+H$5)^2)+(K10/(1+H$5)^3)</f>
        <v>#REF!</v>
      </c>
      <c r="G10" s="367" t="e">
        <f>(I10/(1+H$5)^1)+(J10/(1+H$5)^2)+(K10/(1+H$5)^3)</f>
        <v>#REF!</v>
      </c>
      <c r="H10" s="189">
        <f>(1/19)*D_invoiced_cost!C31*10^6*D_currency_conversion!$I$12*D_currency_conversion!$J$12</f>
        <v>903151.68588751694</v>
      </c>
      <c r="I10" s="189">
        <f>(1/19)*D_invoiced_cost!D34*10^6*D_currency_conversion!$I$12*D_currency_conversion!$J$12</f>
        <v>118378.70371204185</v>
      </c>
      <c r="J10" s="189">
        <f>(1/19)*D_invoiced_cost!E34*10^6*D_currency_conversion!$I$12*D_currency_conversion!$J$12</f>
        <v>157286.10448441628</v>
      </c>
      <c r="K10" s="189">
        <f>(1/19)*D_invoiced_cost!F34*10^6*D_currency_conversion!$I$12*D_currency_conversion!$J$12</f>
        <v>176908.41966583562</v>
      </c>
      <c r="L10" s="189">
        <f>0.85*K10+0.15*J10</f>
        <v>173965.07238862271</v>
      </c>
      <c r="M10" s="189">
        <f>0.85*L10+0.15*K10</f>
        <v>174406.57448020464</v>
      </c>
      <c r="N10" s="189">
        <f>(1/19)*D_invoiced_cost!I34*10^6*D_currency_conversion!$I$12*D_currency_conversion!$J$12</f>
        <v>264371.94234862481</v>
      </c>
      <c r="O10" s="189">
        <f>(1/19)*D_invoiced_cost!J34*10^6*(1/D_currency_conversion!$J$6)*D_currency_conversion!$I$12*D_currency_conversion!$J$12</f>
        <v>0</v>
      </c>
      <c r="P10" s="189">
        <f>(1/19)*D_invoiced_cost!K34*10^6*(1/D_currency_conversion!$J$6)*D_currency_conversion!$I$12*D_currency_conversion!$J$12</f>
        <v>0</v>
      </c>
      <c r="Q10" s="189">
        <f>(1/19)*D_invoiced_cost!L34*10^6*(1/D_currency_conversion!$J$6)*D_currency_conversion!$I$12*D_currency_conversion!$J$12</f>
        <v>0</v>
      </c>
      <c r="R10" s="189">
        <f>(1/19)*D_invoiced_cost!M34*10^6*(1/D_currency_conversion!$J$6)*D_currency_conversion!$I$12*D_currency_conversion!$J$12</f>
        <v>0</v>
      </c>
      <c r="S10" s="450"/>
    </row>
    <row r="11" spans="1:19" x14ac:dyDescent="0.25">
      <c r="A11" s="450"/>
      <c r="B11" s="1"/>
      <c r="C11" s="1" t="s">
        <v>520</v>
      </c>
      <c r="D11" s="1"/>
      <c r="E11" s="350" t="e">
        <f t="shared" si="0"/>
        <v>#REF!</v>
      </c>
      <c r="F11" s="350" t="e">
        <f>H11+(I11/(1+H$5)^1)+(J11/(1+H$5)^2)+(K11/(1+H$5)^3)</f>
        <v>#REF!</v>
      </c>
      <c r="G11" s="367" t="e">
        <f>(I11/(1+H$5)^1)+(J11/(1+H$5)^2)+(K11/(1+H$5)^3)</f>
        <v>#REF!</v>
      </c>
      <c r="H11" s="7"/>
      <c r="I11" s="189">
        <f>(1/19)*D_invoiced_cost!D35*10^6*D_currency_conversion!$I$12*D_currency_conversion!$J$12</f>
        <v>9344.7184208951658</v>
      </c>
      <c r="J11" s="189">
        <f>(1/19)*D_invoiced_cost!E35*10^6*D_currency_conversion!$I$12*D_currency_conversion!$J$12</f>
        <v>50924.052237453732</v>
      </c>
      <c r="K11" s="189">
        <f>(1/19)*D_invoiced_cost!F35*10^6*D_currency_conversion!$I$12*D_currency_conversion!$J$12</f>
        <v>29776.119035685806</v>
      </c>
      <c r="L11" s="189">
        <f>(1/19)*D_invoiced_cost!G35*10^6*D_currency_conversion!$I$12*D_currency_conversion!$J$12</f>
        <v>41551.696563275858</v>
      </c>
      <c r="M11" s="189">
        <f>(1/19)*D_invoiced_cost!H35*10^6*D_currency_conversion!$I$12*D_currency_conversion!$J$12</f>
        <v>53327.274090865925</v>
      </c>
      <c r="N11" s="189">
        <f>(1/19)*D_invoiced_cost!I35*10^6*D_currency_conversion!$I$12*D_currency_conversion!$J$12</f>
        <v>65090.596212009179</v>
      </c>
      <c r="O11" s="189">
        <f>(1/19)*D_invoiced_cost!J35*10^6*(1/D_currency_conversion!$J$6)*D_currency_conversion!$I$12*D_currency_conversion!$J$12</f>
        <v>0</v>
      </c>
      <c r="P11" s="189">
        <f>(1/19)*D_invoiced_cost!K35*10^6*(1/D_currency_conversion!$J$6)*D_currency_conversion!$I$12*D_currency_conversion!$J$12</f>
        <v>0</v>
      </c>
      <c r="Q11" s="189">
        <f>(1/19)*D_invoiced_cost!L35*10^6*(1/D_currency_conversion!$J$6)*D_currency_conversion!$I$12*D_currency_conversion!$J$12</f>
        <v>0</v>
      </c>
      <c r="R11" s="189">
        <f>(1/19)*D_invoiced_cost!M35*10^6*(1/D_currency_conversion!$J$6)*D_currency_conversion!$I$12*D_currency_conversion!$J$12</f>
        <v>0</v>
      </c>
      <c r="S11" s="450"/>
    </row>
    <row r="12" spans="1:19" x14ac:dyDescent="0.25">
      <c r="A12" s="450"/>
      <c r="B12" s="450"/>
      <c r="C12" s="450"/>
      <c r="D12" s="450"/>
      <c r="E12" s="450"/>
      <c r="F12" s="450"/>
      <c r="G12" s="450"/>
      <c r="H12" s="450"/>
      <c r="I12" s="450"/>
      <c r="J12" s="450"/>
      <c r="K12" s="450"/>
      <c r="L12" s="450"/>
      <c r="M12" s="450"/>
      <c r="N12" s="450"/>
      <c r="O12" s="450"/>
      <c r="P12" s="450"/>
      <c r="Q12" s="450"/>
      <c r="R12" s="450"/>
      <c r="S12" s="450"/>
    </row>
    <row r="13" spans="1:19" x14ac:dyDescent="0.25">
      <c r="A13" s="201" t="s">
        <v>669</v>
      </c>
      <c r="B13" s="201"/>
      <c r="C13" s="201"/>
      <c r="D13" s="201"/>
      <c r="E13" s="201"/>
      <c r="F13" s="201"/>
      <c r="G13" s="201"/>
      <c r="H13" s="201"/>
      <c r="I13" s="201"/>
      <c r="J13" s="201"/>
      <c r="K13" s="201"/>
      <c r="L13" s="201"/>
      <c r="M13" s="201"/>
      <c r="N13" s="201"/>
      <c r="O13" s="201"/>
      <c r="P13" s="201"/>
      <c r="Q13" s="201"/>
      <c r="R13" s="201"/>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70"/>
  <sheetViews>
    <sheetView topLeftCell="A13" zoomScale="85" zoomScaleNormal="85" workbookViewId="0">
      <selection activeCell="M52" sqref="M52"/>
    </sheetView>
  </sheetViews>
  <sheetFormatPr defaultColWidth="9.140625" defaultRowHeight="15" x14ac:dyDescent="0.25"/>
  <cols>
    <col min="1" max="1" width="5.28515625" style="225" customWidth="1"/>
    <col min="2" max="2" width="11.85546875" style="225" customWidth="1"/>
    <col min="3" max="3" width="9.140625" style="225" customWidth="1"/>
    <col min="4" max="14" width="19.140625" style="225" customWidth="1"/>
    <col min="15" max="15" width="19.42578125" style="225" customWidth="1"/>
    <col min="16" max="16" width="10.28515625" style="225" customWidth="1"/>
    <col min="17" max="26" width="10.85546875" style="225" customWidth="1"/>
    <col min="27" max="27" width="4" style="225" customWidth="1"/>
    <col min="28" max="16384" width="9.140625" style="225"/>
  </cols>
  <sheetData>
    <row r="1" spans="1:27" x14ac:dyDescent="0.25">
      <c r="A1" s="331" t="str">
        <f>HYPERLINK("#"&amp;ADDRESS(1,1,,,"MASTER"),"M &lt;=")</f>
        <v>M &lt;=</v>
      </c>
    </row>
    <row r="2" spans="1:27" x14ac:dyDescent="0.25">
      <c r="A2" s="467" t="s">
        <v>673</v>
      </c>
      <c r="B2" s="450"/>
      <c r="C2" s="450"/>
      <c r="D2" s="450"/>
      <c r="E2" s="450"/>
      <c r="F2" s="450"/>
      <c r="G2" s="450"/>
      <c r="H2" s="450"/>
      <c r="I2" s="450"/>
      <c r="J2" s="450"/>
      <c r="K2" s="450"/>
      <c r="L2" s="450"/>
      <c r="M2" s="450"/>
      <c r="N2" s="450"/>
      <c r="O2" s="450"/>
      <c r="P2" s="450"/>
      <c r="Q2" s="450"/>
      <c r="R2" s="450"/>
      <c r="S2" s="450"/>
      <c r="T2" s="450"/>
      <c r="U2" s="450"/>
      <c r="V2" s="450"/>
      <c r="W2" s="450"/>
      <c r="X2" s="450"/>
      <c r="Y2" s="450"/>
      <c r="Z2" s="450"/>
      <c r="AA2" s="450"/>
    </row>
    <row r="3" spans="1:27" x14ac:dyDescent="0.25">
      <c r="A3" s="1"/>
      <c r="B3" s="201" t="s">
        <v>666</v>
      </c>
      <c r="C3" s="1"/>
      <c r="D3" s="1"/>
      <c r="E3" s="1"/>
      <c r="F3" s="1"/>
      <c r="G3" s="1"/>
      <c r="H3" s="1"/>
      <c r="I3" s="1"/>
      <c r="J3" s="1"/>
      <c r="K3" s="1"/>
      <c r="L3" s="1"/>
      <c r="M3" s="1"/>
      <c r="N3" s="1"/>
      <c r="O3" s="201" t="s">
        <v>639</v>
      </c>
      <c r="P3" s="368" t="e">
        <f>Master!#REF!</f>
        <v>#REF!</v>
      </c>
      <c r="Q3" s="1"/>
      <c r="R3" s="1"/>
      <c r="S3" s="1"/>
      <c r="T3" s="1"/>
      <c r="U3" s="1"/>
      <c r="V3" s="1"/>
      <c r="W3" s="1"/>
      <c r="X3" s="1"/>
      <c r="Y3" s="1"/>
      <c r="Z3" s="1"/>
      <c r="AA3" s="450"/>
    </row>
    <row r="4" spans="1:27" x14ac:dyDescent="0.25">
      <c r="A4" s="1"/>
      <c r="B4" s="201"/>
      <c r="C4" s="1"/>
      <c r="D4" s="11" t="s">
        <v>538</v>
      </c>
      <c r="E4" s="11"/>
      <c r="F4" s="1"/>
      <c r="G4" s="1"/>
      <c r="H4" s="1"/>
      <c r="I4" s="1"/>
      <c r="J4" s="1"/>
      <c r="K4" s="1"/>
      <c r="L4" s="1"/>
      <c r="M4" s="1"/>
      <c r="N4" s="1"/>
      <c r="O4" s="1"/>
      <c r="P4" s="422">
        <v>0</v>
      </c>
      <c r="Q4" s="419">
        <v>1</v>
      </c>
      <c r="R4" s="419">
        <v>2</v>
      </c>
      <c r="S4" s="419">
        <v>3</v>
      </c>
      <c r="T4" s="419">
        <v>4</v>
      </c>
      <c r="U4" s="419">
        <v>5</v>
      </c>
      <c r="V4" s="419">
        <v>6</v>
      </c>
      <c r="W4" s="419">
        <v>7</v>
      </c>
      <c r="X4" s="419">
        <v>8</v>
      </c>
      <c r="Y4" s="419">
        <v>9</v>
      </c>
      <c r="Z4" s="419">
        <v>10</v>
      </c>
      <c r="AA4" s="450"/>
    </row>
    <row r="5" spans="1:27" x14ac:dyDescent="0.25">
      <c r="A5" s="355" t="s">
        <v>640</v>
      </c>
      <c r="B5" s="198"/>
      <c r="C5" s="198"/>
      <c r="D5" s="192" t="s">
        <v>619</v>
      </c>
      <c r="E5" s="192" t="s">
        <v>620</v>
      </c>
      <c r="F5" s="192" t="s">
        <v>537</v>
      </c>
      <c r="G5" s="192" t="s">
        <v>610</v>
      </c>
      <c r="H5" s="192" t="s">
        <v>609</v>
      </c>
      <c r="I5" s="192" t="s">
        <v>608</v>
      </c>
      <c r="J5" s="192" t="s">
        <v>607</v>
      </c>
      <c r="K5" s="192" t="s">
        <v>606</v>
      </c>
      <c r="L5" s="192" t="s">
        <v>603</v>
      </c>
      <c r="M5" s="192" t="s">
        <v>514</v>
      </c>
      <c r="N5" s="192" t="s">
        <v>604</v>
      </c>
      <c r="O5" s="412" t="s">
        <v>605</v>
      </c>
      <c r="P5" s="446"/>
      <c r="Q5" s="445"/>
      <c r="R5" s="445"/>
      <c r="S5" s="445"/>
      <c r="T5" s="445"/>
      <c r="U5" s="445"/>
      <c r="V5" s="445"/>
      <c r="W5" s="445"/>
      <c r="X5" s="445"/>
      <c r="Y5" s="445"/>
      <c r="Z5" s="445"/>
      <c r="AA5" s="450"/>
    </row>
    <row r="6" spans="1:27" x14ac:dyDescent="0.25">
      <c r="A6" s="346" t="s">
        <v>515</v>
      </c>
      <c r="B6" s="7"/>
      <c r="C6" s="1" t="s">
        <v>624</v>
      </c>
      <c r="D6" s="11"/>
      <c r="E6" s="11"/>
      <c r="F6" s="190"/>
      <c r="G6" s="190"/>
      <c r="H6" s="190"/>
      <c r="I6" s="190"/>
      <c r="J6" s="190"/>
      <c r="K6" s="190"/>
      <c r="L6" s="190"/>
      <c r="M6" s="190"/>
      <c r="N6" s="190"/>
      <c r="O6" s="190"/>
      <c r="P6" s="361"/>
      <c r="Q6" s="2"/>
      <c r="R6" s="2"/>
      <c r="S6" s="2"/>
      <c r="T6" s="2"/>
      <c r="U6" s="2"/>
      <c r="V6" s="2"/>
      <c r="W6" s="2"/>
      <c r="X6" s="2"/>
      <c r="Y6" s="2"/>
      <c r="Z6" s="2"/>
      <c r="AA6" s="450"/>
    </row>
    <row r="7" spans="1:27" x14ac:dyDescent="0.25">
      <c r="A7" s="1"/>
      <c r="B7" s="1"/>
      <c r="C7" s="452">
        <v>0.39</v>
      </c>
      <c r="D7" s="360" t="e">
        <f t="shared" ref="D7:D18" si="0">$P7+($Q7/(1+$P$3)^1)+($R7/(1+$P$3)^2)+($S7/(1+$P$3)^3)+($T7/(1+$P$3)^4)+($U7/(1+$P$3)^5)+($V7/(1+$P$3)^6)+($W7/(1+$P$3)^7)+($X7/(1+$P$3)^8)+($Y7/(1+$P$3)^9)+($Z7/(1+$P$3)^10)+Z7*(1/(1+$P$3)^11+1/(1+$P$3)^12+1/(1+$P$3)^13+1/(1+$P$3)^14+1/(1+$P$3)^15+1/(1+$P$3)^16+1/(1+$P$3)^17+1/(1+$P$3)^18+1/(1+$P$3)^19+1/(1+$P$3)^20)</f>
        <v>#REF!</v>
      </c>
      <c r="E7" s="360" t="e">
        <f t="shared" ref="E7:E18" si="1">$P7+($Q7/(1+$P$3)^1)+($R7/(1+$P$3)^2)+($S7/(1+$P$3)^3)+($T7/(1+$P$3)^4)+($U7/(1+$P$3)^5)+($V7/(1+$P$3)^6)+($W7/(1+$P$3)^7)+($X7/(1+$P$3)^8)+($Y7/(1+$P$3)^9)+($Z7/(1+$P$3)^10)+Z7*(1/(1+$P$3)^11+1/(1+$P$3)^12+1/(1+$P$3)^13+1/(1+$P$3)^14+1/(1+$P$3)^15)</f>
        <v>#REF!</v>
      </c>
      <c r="F7" s="360" t="e">
        <f t="shared" ref="F7:F18" si="2">($Q7/(1+$P$3)^1)+($R7/(1+$P$3)^2)+($S7/(1+$P$3)^3)+($T7/(1+$P$3)^4)+($U7/(1+$P$3)^5)+($V7/(1+$P$3)^6)+($W7/(1+$P$3)^7)+($X7/(1+$P$3)^8)+($Y7/(1+$P$3)^9)+($Z7/(1+$P$3)^10)</f>
        <v>#REF!</v>
      </c>
      <c r="G7" s="360" t="e">
        <f t="shared" ref="G7:G18" si="3">($Q7/(1+$P$3)^1)+($R7/(1+$P$3)^2)+($S7/(1+$P$3)^3)+($T7/(1+$P$3)^4)+($U7/(1+$P$3)^5)+($V7/(1+$P$3)^6)+($W7/(1+$P$3)^7)+($X7/(1+$P$3)^8)+($Y7/(1+$P$3)^9)</f>
        <v>#REF!</v>
      </c>
      <c r="H7" s="360" t="e">
        <f t="shared" ref="H7:H18" si="4">($Q7/(1+$P$3)^1)+($R7/(1+$P$3)^2)+($S7/(1+$P$3)^3)+($T7/(1+$P$3)^4)+($U7/(1+$P$3)^5)+($V7/(1+$P$3)^6)+($W7/(1+$P$3)^7)+($X7/(1+$P$3)^8)</f>
        <v>#REF!</v>
      </c>
      <c r="I7" s="360" t="e">
        <f t="shared" ref="I7:I18" si="5">($Q7/(1+$P$3)^1)+($R7/(1+$P$3)^2)+($S7/(1+$P$3)^3)+($T7/(1+$P$3)^4)+($U7/(1+$P$3)^5)+($V7/(1+$P$3)^6)+($W7/(1+$P$3)^7)</f>
        <v>#REF!</v>
      </c>
      <c r="J7" s="360" t="e">
        <f t="shared" ref="J7:J18" si="6">($Q7/(1+$P$3)^1)+($R7/(1+$P$3)^2)+($S7/(1+$P$3)^3)+($T7/(1+$P$3)^4)+($U7/(1+$P$3)^5)+($V7/(1+$P$3)^6)</f>
        <v>#REF!</v>
      </c>
      <c r="K7" s="360" t="e">
        <f t="shared" ref="K7:K18" si="7">($Q7/(1+$P$3)^1)+($R7/(1+$P$3)^2)+($S7/(1+$P$3)^3)+($T7/(1+$P$3)^4)+($U7/(1+$P$3)^5)</f>
        <v>#REF!</v>
      </c>
      <c r="L7" s="360" t="e">
        <f t="shared" ref="L7:L18" si="8">($Q7/(1+$P$3)^1)+($R7/(1+$P$3)^2)+($S7/(1+$P$3)^3)+($T7/(1+$P$3)^4)</f>
        <v>#REF!</v>
      </c>
      <c r="M7" s="360" t="e">
        <f t="shared" ref="M7:M18" si="9">($Q7/(1+$P$3)^1)+($R7/(1+$P$3)^2)+($S7/(1+$P$3)^3)</f>
        <v>#REF!</v>
      </c>
      <c r="N7" s="360" t="e">
        <f t="shared" ref="N7:N18" si="10">($Q7/(1+$P$3)^1)+($R7/(1+$P$3)^2)</f>
        <v>#REF!</v>
      </c>
      <c r="O7" s="364" t="e">
        <f t="shared" ref="O7:O18" si="11">($Q7/(1+$P$3)^1)</f>
        <v>#REF!</v>
      </c>
      <c r="P7" s="7"/>
      <c r="Q7" s="253" t="e">
        <f>C_depreciation_yearly!$O$25</f>
        <v>#REF!</v>
      </c>
      <c r="R7" s="253" t="e">
        <f>C_depreciation_yearly!$O$25</f>
        <v>#REF!</v>
      </c>
      <c r="S7" s="253" t="e">
        <f>C_depreciation_yearly!$O$25</f>
        <v>#REF!</v>
      </c>
      <c r="T7" s="253" t="e">
        <f>C_depreciation_yearly!$O$25</f>
        <v>#REF!</v>
      </c>
      <c r="U7" s="253" t="e">
        <f>C_depreciation_yearly!$O$25</f>
        <v>#REF!</v>
      </c>
      <c r="V7" s="253" t="e">
        <f>C_depreciation_yearly!$O$25</f>
        <v>#REF!</v>
      </c>
      <c r="W7" s="253" t="e">
        <f>C_depreciation_yearly!$O$25</f>
        <v>#REF!</v>
      </c>
      <c r="X7" s="253" t="e">
        <f>C_depreciation_yearly!$O$25</f>
        <v>#REF!</v>
      </c>
      <c r="Y7" s="253" t="e">
        <f>C_depreciation_yearly!$O$25</f>
        <v>#REF!</v>
      </c>
      <c r="Z7" s="253" t="e">
        <f>C_depreciation_yearly!$O$25</f>
        <v>#REF!</v>
      </c>
      <c r="AA7" s="450"/>
    </row>
    <row r="8" spans="1:27" x14ac:dyDescent="0.25">
      <c r="A8" s="1"/>
      <c r="B8" s="1"/>
      <c r="C8" s="452">
        <v>0</v>
      </c>
      <c r="D8" s="360" t="e">
        <f t="shared" si="0"/>
        <v>#REF!</v>
      </c>
      <c r="E8" s="360" t="e">
        <f t="shared" si="1"/>
        <v>#REF!</v>
      </c>
      <c r="F8" s="360" t="e">
        <f t="shared" si="2"/>
        <v>#REF!</v>
      </c>
      <c r="G8" s="360" t="e">
        <f t="shared" si="3"/>
        <v>#REF!</v>
      </c>
      <c r="H8" s="360" t="e">
        <f t="shared" si="4"/>
        <v>#REF!</v>
      </c>
      <c r="I8" s="360" t="e">
        <f t="shared" si="5"/>
        <v>#REF!</v>
      </c>
      <c r="J8" s="360" t="e">
        <f t="shared" si="6"/>
        <v>#REF!</v>
      </c>
      <c r="K8" s="360" t="e">
        <f t="shared" si="7"/>
        <v>#REF!</v>
      </c>
      <c r="L8" s="360" t="e">
        <f t="shared" si="8"/>
        <v>#REF!</v>
      </c>
      <c r="M8" s="360" t="e">
        <f t="shared" si="9"/>
        <v>#REF!</v>
      </c>
      <c r="N8" s="360" t="e">
        <f t="shared" si="10"/>
        <v>#REF!</v>
      </c>
      <c r="O8" s="364" t="e">
        <f t="shared" si="11"/>
        <v>#REF!</v>
      </c>
      <c r="P8" s="7"/>
      <c r="Q8" s="253">
        <f>C_depreciation_yearly!$O$54</f>
        <v>35295455.79246147</v>
      </c>
      <c r="R8" s="253">
        <f>C_depreciation_yearly!$O$54</f>
        <v>35295455.79246147</v>
      </c>
      <c r="S8" s="253">
        <f>C_depreciation_yearly!$O$54</f>
        <v>35295455.79246147</v>
      </c>
      <c r="T8" s="253">
        <f>C_depreciation_yearly!$O$54</f>
        <v>35295455.79246147</v>
      </c>
      <c r="U8" s="253">
        <f>C_depreciation_yearly!$O$54</f>
        <v>35295455.79246147</v>
      </c>
      <c r="V8" s="253">
        <f>C_depreciation_yearly!$O$54</f>
        <v>35295455.79246147</v>
      </c>
      <c r="W8" s="253">
        <f>C_depreciation_yearly!$O$54</f>
        <v>35295455.79246147</v>
      </c>
      <c r="X8" s="253">
        <f>C_depreciation_yearly!$O$54</f>
        <v>35295455.79246147</v>
      </c>
      <c r="Y8" s="253">
        <f>C_depreciation_yearly!$O$54</f>
        <v>35295455.79246147</v>
      </c>
      <c r="Z8" s="253">
        <f>C_depreciation_yearly!$O$54</f>
        <v>35295455.79246147</v>
      </c>
      <c r="AA8" s="450"/>
    </row>
    <row r="9" spans="1:27" x14ac:dyDescent="0.25">
      <c r="A9" s="1"/>
      <c r="B9" s="1"/>
      <c r="C9" s="452">
        <f>C8+0.05</f>
        <v>0.05</v>
      </c>
      <c r="D9" s="360" t="e">
        <f t="shared" si="0"/>
        <v>#REF!</v>
      </c>
      <c r="E9" s="360" t="e">
        <f t="shared" si="1"/>
        <v>#REF!</v>
      </c>
      <c r="F9" s="360" t="e">
        <f t="shared" si="2"/>
        <v>#REF!</v>
      </c>
      <c r="G9" s="360" t="e">
        <f t="shared" si="3"/>
        <v>#REF!</v>
      </c>
      <c r="H9" s="360" t="e">
        <f t="shared" si="4"/>
        <v>#REF!</v>
      </c>
      <c r="I9" s="360" t="e">
        <f t="shared" si="5"/>
        <v>#REF!</v>
      </c>
      <c r="J9" s="360" t="e">
        <f t="shared" si="6"/>
        <v>#REF!</v>
      </c>
      <c r="K9" s="360" t="e">
        <f t="shared" si="7"/>
        <v>#REF!</v>
      </c>
      <c r="L9" s="360" t="e">
        <f t="shared" si="8"/>
        <v>#REF!</v>
      </c>
      <c r="M9" s="360" t="e">
        <f t="shared" si="9"/>
        <v>#REF!</v>
      </c>
      <c r="N9" s="360" t="e">
        <f t="shared" si="10"/>
        <v>#REF!</v>
      </c>
      <c r="O9" s="364" t="e">
        <f t="shared" si="11"/>
        <v>#REF!</v>
      </c>
      <c r="P9" s="7"/>
      <c r="Q9" s="253">
        <f>C_depreciation_yearly!$O$79</f>
        <v>37153111.360485762</v>
      </c>
      <c r="R9" s="253">
        <f>C_depreciation_yearly!$O$79</f>
        <v>37153111.360485762</v>
      </c>
      <c r="S9" s="253">
        <f>C_depreciation_yearly!$O$79</f>
        <v>37153111.360485762</v>
      </c>
      <c r="T9" s="253">
        <f>C_depreciation_yearly!$O$79</f>
        <v>37153111.360485762</v>
      </c>
      <c r="U9" s="253">
        <f>C_depreciation_yearly!$O$79</f>
        <v>37153111.360485762</v>
      </c>
      <c r="V9" s="253">
        <f>C_depreciation_yearly!$O$79</f>
        <v>37153111.360485762</v>
      </c>
      <c r="W9" s="253">
        <f>C_depreciation_yearly!$O$79</f>
        <v>37153111.360485762</v>
      </c>
      <c r="X9" s="253">
        <f>C_depreciation_yearly!$O$79</f>
        <v>37153111.360485762</v>
      </c>
      <c r="Y9" s="253">
        <f>C_depreciation_yearly!$O$79</f>
        <v>37153111.360485762</v>
      </c>
      <c r="Z9" s="253">
        <f>C_depreciation_yearly!$O$79</f>
        <v>37153111.360485762</v>
      </c>
      <c r="AA9" s="450"/>
    </row>
    <row r="10" spans="1:27" x14ac:dyDescent="0.25">
      <c r="A10" s="1"/>
      <c r="B10" s="1"/>
      <c r="C10" s="452">
        <f t="shared" ref="C10:C18" si="12">C9+0.05</f>
        <v>0.1</v>
      </c>
      <c r="D10" s="360" t="e">
        <f t="shared" si="0"/>
        <v>#REF!</v>
      </c>
      <c r="E10" s="360" t="e">
        <f t="shared" si="1"/>
        <v>#REF!</v>
      </c>
      <c r="F10" s="360" t="e">
        <f t="shared" si="2"/>
        <v>#REF!</v>
      </c>
      <c r="G10" s="360" t="e">
        <f t="shared" si="3"/>
        <v>#REF!</v>
      </c>
      <c r="H10" s="360" t="e">
        <f t="shared" si="4"/>
        <v>#REF!</v>
      </c>
      <c r="I10" s="360" t="e">
        <f t="shared" si="5"/>
        <v>#REF!</v>
      </c>
      <c r="J10" s="360" t="e">
        <f t="shared" si="6"/>
        <v>#REF!</v>
      </c>
      <c r="K10" s="360" t="e">
        <f t="shared" si="7"/>
        <v>#REF!</v>
      </c>
      <c r="L10" s="360" t="e">
        <f t="shared" si="8"/>
        <v>#REF!</v>
      </c>
      <c r="M10" s="360" t="e">
        <f t="shared" si="9"/>
        <v>#REF!</v>
      </c>
      <c r="N10" s="360" t="e">
        <f t="shared" si="10"/>
        <v>#REF!</v>
      </c>
      <c r="O10" s="364" t="e">
        <f t="shared" si="11"/>
        <v>#REF!</v>
      </c>
      <c r="P10" s="7"/>
      <c r="Q10" s="253">
        <f>C_depreciation_yearly!$O$104</f>
        <v>39217173.102734968</v>
      </c>
      <c r="R10" s="253">
        <f>C_depreciation_yearly!$O$104</f>
        <v>39217173.102734968</v>
      </c>
      <c r="S10" s="253">
        <f>C_depreciation_yearly!$O$104</f>
        <v>39217173.102734968</v>
      </c>
      <c r="T10" s="253">
        <f>C_depreciation_yearly!$O$104</f>
        <v>39217173.102734968</v>
      </c>
      <c r="U10" s="253">
        <f>C_depreciation_yearly!$O$104</f>
        <v>39217173.102734968</v>
      </c>
      <c r="V10" s="253">
        <f>C_depreciation_yearly!$O$104</f>
        <v>39217173.102734968</v>
      </c>
      <c r="W10" s="253">
        <f>C_depreciation_yearly!$O$104</f>
        <v>39217173.102734968</v>
      </c>
      <c r="X10" s="253">
        <f>C_depreciation_yearly!$O$104</f>
        <v>39217173.102734968</v>
      </c>
      <c r="Y10" s="253">
        <f>C_depreciation_yearly!$O$104</f>
        <v>39217173.102734968</v>
      </c>
      <c r="Z10" s="253">
        <f>C_depreciation_yearly!$O$104</f>
        <v>39217173.102734968</v>
      </c>
      <c r="AA10" s="450"/>
    </row>
    <row r="11" spans="1:27" x14ac:dyDescent="0.25">
      <c r="A11" s="1"/>
      <c r="B11" s="1"/>
      <c r="C11" s="452">
        <f t="shared" si="12"/>
        <v>0.15000000000000002</v>
      </c>
      <c r="D11" s="360" t="e">
        <f t="shared" si="0"/>
        <v>#REF!</v>
      </c>
      <c r="E11" s="360" t="e">
        <f t="shared" si="1"/>
        <v>#REF!</v>
      </c>
      <c r="F11" s="360" t="e">
        <f t="shared" si="2"/>
        <v>#REF!</v>
      </c>
      <c r="G11" s="360" t="e">
        <f t="shared" si="3"/>
        <v>#REF!</v>
      </c>
      <c r="H11" s="360" t="e">
        <f t="shared" si="4"/>
        <v>#REF!</v>
      </c>
      <c r="I11" s="360" t="e">
        <f t="shared" si="5"/>
        <v>#REF!</v>
      </c>
      <c r="J11" s="360" t="e">
        <f t="shared" si="6"/>
        <v>#REF!</v>
      </c>
      <c r="K11" s="360" t="e">
        <f t="shared" si="7"/>
        <v>#REF!</v>
      </c>
      <c r="L11" s="360" t="e">
        <f t="shared" si="8"/>
        <v>#REF!</v>
      </c>
      <c r="M11" s="360" t="e">
        <f t="shared" si="9"/>
        <v>#REF!</v>
      </c>
      <c r="N11" s="360" t="e">
        <f t="shared" si="10"/>
        <v>#REF!</v>
      </c>
      <c r="O11" s="364" t="e">
        <f t="shared" si="11"/>
        <v>#REF!</v>
      </c>
      <c r="P11" s="7"/>
      <c r="Q11" s="253">
        <f>C_depreciation_yearly!$O$129</f>
        <v>41524065.638189971</v>
      </c>
      <c r="R11" s="253">
        <f>C_depreciation_yearly!$O$129</f>
        <v>41524065.638189971</v>
      </c>
      <c r="S11" s="253">
        <f>C_depreciation_yearly!$O$129</f>
        <v>41524065.638189971</v>
      </c>
      <c r="T11" s="253">
        <f>C_depreciation_yearly!$O$129</f>
        <v>41524065.638189971</v>
      </c>
      <c r="U11" s="253">
        <f>C_depreciation_yearly!$O$129</f>
        <v>41524065.638189971</v>
      </c>
      <c r="V11" s="253">
        <f>C_depreciation_yearly!$O$129</f>
        <v>41524065.638189971</v>
      </c>
      <c r="W11" s="253">
        <f>C_depreciation_yearly!$O$129</f>
        <v>41524065.638189971</v>
      </c>
      <c r="X11" s="253">
        <f>C_depreciation_yearly!$O$129</f>
        <v>41524065.638189971</v>
      </c>
      <c r="Y11" s="253">
        <f>C_depreciation_yearly!$O$129</f>
        <v>41524065.638189971</v>
      </c>
      <c r="Z11" s="253">
        <f>C_depreciation_yearly!$O$129</f>
        <v>41524065.638189971</v>
      </c>
      <c r="AA11" s="450"/>
    </row>
    <row r="12" spans="1:27" x14ac:dyDescent="0.25">
      <c r="A12" s="1"/>
      <c r="B12" s="1"/>
      <c r="C12" s="452">
        <f t="shared" si="12"/>
        <v>0.2</v>
      </c>
      <c r="D12" s="360" t="e">
        <f t="shared" si="0"/>
        <v>#REF!</v>
      </c>
      <c r="E12" s="360" t="e">
        <f t="shared" si="1"/>
        <v>#REF!</v>
      </c>
      <c r="F12" s="360" t="e">
        <f t="shared" si="2"/>
        <v>#REF!</v>
      </c>
      <c r="G12" s="360" t="e">
        <f t="shared" si="3"/>
        <v>#REF!</v>
      </c>
      <c r="H12" s="360" t="e">
        <f t="shared" si="4"/>
        <v>#REF!</v>
      </c>
      <c r="I12" s="360" t="e">
        <f t="shared" si="5"/>
        <v>#REF!</v>
      </c>
      <c r="J12" s="360" t="e">
        <f t="shared" si="6"/>
        <v>#REF!</v>
      </c>
      <c r="K12" s="360" t="e">
        <f t="shared" si="7"/>
        <v>#REF!</v>
      </c>
      <c r="L12" s="360" t="e">
        <f t="shared" si="8"/>
        <v>#REF!</v>
      </c>
      <c r="M12" s="360" t="e">
        <f t="shared" si="9"/>
        <v>#REF!</v>
      </c>
      <c r="N12" s="360" t="e">
        <f t="shared" si="10"/>
        <v>#REF!</v>
      </c>
      <c r="O12" s="364" t="e">
        <f t="shared" si="11"/>
        <v>#REF!</v>
      </c>
      <c r="P12" s="7"/>
      <c r="Q12" s="253">
        <f>C_depreciation_yearly!$O$154</f>
        <v>44119319.740576841</v>
      </c>
      <c r="R12" s="253">
        <f>C_depreciation_yearly!$O$154</f>
        <v>44119319.740576841</v>
      </c>
      <c r="S12" s="253">
        <f>C_depreciation_yearly!$O$154</f>
        <v>44119319.740576841</v>
      </c>
      <c r="T12" s="253">
        <f>C_depreciation_yearly!$O$154</f>
        <v>44119319.740576841</v>
      </c>
      <c r="U12" s="253">
        <f>C_depreciation_yearly!$O$154</f>
        <v>44119319.740576841</v>
      </c>
      <c r="V12" s="253">
        <f>C_depreciation_yearly!$O$154</f>
        <v>44119319.740576841</v>
      </c>
      <c r="W12" s="253">
        <f>C_depreciation_yearly!$O$154</f>
        <v>44119319.740576841</v>
      </c>
      <c r="X12" s="253">
        <f>C_depreciation_yearly!$O$154</f>
        <v>44119319.740576841</v>
      </c>
      <c r="Y12" s="253">
        <f>C_depreciation_yearly!$O$154</f>
        <v>44119319.740576841</v>
      </c>
      <c r="Z12" s="253">
        <f>C_depreciation_yearly!$O$154</f>
        <v>44119319.740576841</v>
      </c>
      <c r="AA12" s="450"/>
    </row>
    <row r="13" spans="1:27" x14ac:dyDescent="0.25">
      <c r="A13" s="1"/>
      <c r="B13" s="1"/>
      <c r="C13" s="452">
        <f t="shared" si="12"/>
        <v>0.25</v>
      </c>
      <c r="D13" s="360" t="e">
        <f t="shared" si="0"/>
        <v>#REF!</v>
      </c>
      <c r="E13" s="360" t="e">
        <f t="shared" si="1"/>
        <v>#REF!</v>
      </c>
      <c r="F13" s="360" t="e">
        <f t="shared" si="2"/>
        <v>#REF!</v>
      </c>
      <c r="G13" s="360" t="e">
        <f t="shared" si="3"/>
        <v>#REF!</v>
      </c>
      <c r="H13" s="360" t="e">
        <f t="shared" si="4"/>
        <v>#REF!</v>
      </c>
      <c r="I13" s="360" t="e">
        <f t="shared" si="5"/>
        <v>#REF!</v>
      </c>
      <c r="J13" s="360" t="e">
        <f t="shared" si="6"/>
        <v>#REF!</v>
      </c>
      <c r="K13" s="360" t="e">
        <f t="shared" si="7"/>
        <v>#REF!</v>
      </c>
      <c r="L13" s="360" t="e">
        <f t="shared" si="8"/>
        <v>#REF!</v>
      </c>
      <c r="M13" s="360" t="e">
        <f t="shared" si="9"/>
        <v>#REF!</v>
      </c>
      <c r="N13" s="360" t="e">
        <f t="shared" si="10"/>
        <v>#REF!</v>
      </c>
      <c r="O13" s="364" t="e">
        <f t="shared" si="11"/>
        <v>#REF!</v>
      </c>
      <c r="P13" s="7"/>
      <c r="Q13" s="253">
        <f>C_depreciation_yearly!$O$179</f>
        <v>47060607.723281965</v>
      </c>
      <c r="R13" s="253">
        <f>C_depreciation_yearly!$O$179</f>
        <v>47060607.723281965</v>
      </c>
      <c r="S13" s="253">
        <f>C_depreciation_yearly!$O$179</f>
        <v>47060607.723281965</v>
      </c>
      <c r="T13" s="253">
        <f>C_depreciation_yearly!$O$179</f>
        <v>47060607.723281965</v>
      </c>
      <c r="U13" s="253">
        <f>C_depreciation_yearly!$O$179</f>
        <v>47060607.723281965</v>
      </c>
      <c r="V13" s="253">
        <f>C_depreciation_yearly!$O$179</f>
        <v>47060607.723281965</v>
      </c>
      <c r="W13" s="253">
        <f>C_depreciation_yearly!$O$179</f>
        <v>47060607.723281965</v>
      </c>
      <c r="X13" s="253">
        <f>C_depreciation_yearly!$O$179</f>
        <v>47060607.723281965</v>
      </c>
      <c r="Y13" s="253">
        <f>C_depreciation_yearly!$O$179</f>
        <v>47060607.723281965</v>
      </c>
      <c r="Z13" s="253">
        <f>C_depreciation_yearly!$O$179</f>
        <v>47060607.723281965</v>
      </c>
      <c r="AA13" s="450"/>
    </row>
    <row r="14" spans="1:27" x14ac:dyDescent="0.25">
      <c r="A14" s="1"/>
      <c r="B14" s="1"/>
      <c r="C14" s="452">
        <f t="shared" si="12"/>
        <v>0.3</v>
      </c>
      <c r="D14" s="360" t="e">
        <f t="shared" si="0"/>
        <v>#REF!</v>
      </c>
      <c r="E14" s="360" t="e">
        <f t="shared" si="1"/>
        <v>#REF!</v>
      </c>
      <c r="F14" s="360" t="e">
        <f t="shared" si="2"/>
        <v>#REF!</v>
      </c>
      <c r="G14" s="360" t="e">
        <f t="shared" si="3"/>
        <v>#REF!</v>
      </c>
      <c r="H14" s="360" t="e">
        <f t="shared" si="4"/>
        <v>#REF!</v>
      </c>
      <c r="I14" s="360" t="e">
        <f t="shared" si="5"/>
        <v>#REF!</v>
      </c>
      <c r="J14" s="360" t="e">
        <f t="shared" si="6"/>
        <v>#REF!</v>
      </c>
      <c r="K14" s="360" t="e">
        <f t="shared" si="7"/>
        <v>#REF!</v>
      </c>
      <c r="L14" s="360" t="e">
        <f t="shared" si="8"/>
        <v>#REF!</v>
      </c>
      <c r="M14" s="360" t="e">
        <f t="shared" si="9"/>
        <v>#REF!</v>
      </c>
      <c r="N14" s="360" t="e">
        <f t="shared" si="10"/>
        <v>#REF!</v>
      </c>
      <c r="O14" s="364" t="e">
        <f t="shared" si="11"/>
        <v>#REF!</v>
      </c>
      <c r="P14" s="7"/>
      <c r="Q14" s="253">
        <f>C_depreciation_yearly!$O$204</f>
        <v>50422079.703516394</v>
      </c>
      <c r="R14" s="253">
        <f>C_depreciation_yearly!$O$204</f>
        <v>50422079.703516394</v>
      </c>
      <c r="S14" s="253">
        <f>C_depreciation_yearly!$O$204</f>
        <v>50422079.703516394</v>
      </c>
      <c r="T14" s="253">
        <f>C_depreciation_yearly!$O$204</f>
        <v>50422079.703516394</v>
      </c>
      <c r="U14" s="253">
        <f>C_depreciation_yearly!$O$204</f>
        <v>50422079.703516394</v>
      </c>
      <c r="V14" s="253">
        <f>C_depreciation_yearly!$O$204</f>
        <v>50422079.703516394</v>
      </c>
      <c r="W14" s="253">
        <f>C_depreciation_yearly!$O$204</f>
        <v>50422079.703516394</v>
      </c>
      <c r="X14" s="253">
        <f>C_depreciation_yearly!$O$204</f>
        <v>50422079.703516394</v>
      </c>
      <c r="Y14" s="253">
        <f>C_depreciation_yearly!$O$204</f>
        <v>50422079.703516394</v>
      </c>
      <c r="Z14" s="253">
        <f>C_depreciation_yearly!$O$204</f>
        <v>50422079.703516394</v>
      </c>
      <c r="AA14" s="450"/>
    </row>
    <row r="15" spans="1:27" x14ac:dyDescent="0.25">
      <c r="A15" s="1"/>
      <c r="B15" s="1"/>
      <c r="C15" s="452">
        <f t="shared" si="12"/>
        <v>0.35</v>
      </c>
      <c r="D15" s="360" t="e">
        <f t="shared" si="0"/>
        <v>#REF!</v>
      </c>
      <c r="E15" s="360" t="e">
        <f t="shared" si="1"/>
        <v>#REF!</v>
      </c>
      <c r="F15" s="360" t="e">
        <f t="shared" si="2"/>
        <v>#REF!</v>
      </c>
      <c r="G15" s="360" t="e">
        <f t="shared" si="3"/>
        <v>#REF!</v>
      </c>
      <c r="H15" s="360" t="e">
        <f t="shared" si="4"/>
        <v>#REF!</v>
      </c>
      <c r="I15" s="360" t="e">
        <f t="shared" si="5"/>
        <v>#REF!</v>
      </c>
      <c r="J15" s="360" t="e">
        <f t="shared" si="6"/>
        <v>#REF!</v>
      </c>
      <c r="K15" s="360" t="e">
        <f t="shared" si="7"/>
        <v>#REF!</v>
      </c>
      <c r="L15" s="360" t="e">
        <f t="shared" si="8"/>
        <v>#REF!</v>
      </c>
      <c r="M15" s="360" t="e">
        <f t="shared" si="9"/>
        <v>#REF!</v>
      </c>
      <c r="N15" s="360" t="e">
        <f t="shared" si="10"/>
        <v>#REF!</v>
      </c>
      <c r="O15" s="364" t="e">
        <f t="shared" si="11"/>
        <v>#REF!</v>
      </c>
      <c r="P15" s="7"/>
      <c r="Q15" s="253">
        <f>C_depreciation_yearly!$O$229</f>
        <v>54300701.219171502</v>
      </c>
      <c r="R15" s="253">
        <f>C_depreciation_yearly!$O$229</f>
        <v>54300701.219171502</v>
      </c>
      <c r="S15" s="253">
        <f>C_depreciation_yearly!$O$229</f>
        <v>54300701.219171502</v>
      </c>
      <c r="T15" s="253">
        <f>C_depreciation_yearly!$O$229</f>
        <v>54300701.219171502</v>
      </c>
      <c r="U15" s="253">
        <f>C_depreciation_yearly!$O$229</f>
        <v>54300701.219171502</v>
      </c>
      <c r="V15" s="253">
        <f>C_depreciation_yearly!$O$229</f>
        <v>54300701.219171502</v>
      </c>
      <c r="W15" s="253">
        <f>C_depreciation_yearly!$O$229</f>
        <v>54300701.219171502</v>
      </c>
      <c r="X15" s="253">
        <f>C_depreciation_yearly!$O$229</f>
        <v>54300701.219171502</v>
      </c>
      <c r="Y15" s="253">
        <f>C_depreciation_yearly!$O$229</f>
        <v>54300701.219171502</v>
      </c>
      <c r="Z15" s="253">
        <f>C_depreciation_yearly!$O$229</f>
        <v>54300701.219171502</v>
      </c>
      <c r="AA15" s="450"/>
    </row>
    <row r="16" spans="1:27" x14ac:dyDescent="0.25">
      <c r="A16" s="1"/>
      <c r="B16" s="1"/>
      <c r="C16" s="452">
        <f t="shared" si="12"/>
        <v>0.39999999999999997</v>
      </c>
      <c r="D16" s="360" t="e">
        <f t="shared" si="0"/>
        <v>#REF!</v>
      </c>
      <c r="E16" s="360" t="e">
        <f t="shared" si="1"/>
        <v>#REF!</v>
      </c>
      <c r="F16" s="360" t="e">
        <f t="shared" si="2"/>
        <v>#REF!</v>
      </c>
      <c r="G16" s="360" t="e">
        <f t="shared" si="3"/>
        <v>#REF!</v>
      </c>
      <c r="H16" s="360" t="e">
        <f t="shared" si="4"/>
        <v>#REF!</v>
      </c>
      <c r="I16" s="360" t="e">
        <f t="shared" si="5"/>
        <v>#REF!</v>
      </c>
      <c r="J16" s="360" t="e">
        <f t="shared" si="6"/>
        <v>#REF!</v>
      </c>
      <c r="K16" s="360" t="e">
        <f t="shared" si="7"/>
        <v>#REF!</v>
      </c>
      <c r="L16" s="360" t="e">
        <f t="shared" si="8"/>
        <v>#REF!</v>
      </c>
      <c r="M16" s="360" t="e">
        <f t="shared" si="9"/>
        <v>#REF!</v>
      </c>
      <c r="N16" s="360" t="e">
        <f t="shared" si="10"/>
        <v>#REF!</v>
      </c>
      <c r="O16" s="364" t="e">
        <f t="shared" si="11"/>
        <v>#REF!</v>
      </c>
      <c r="P16" s="7"/>
      <c r="Q16" s="253">
        <f>C_depreciation_yearly!$O$254</f>
        <v>58825759.65410246</v>
      </c>
      <c r="R16" s="253">
        <f>C_depreciation_yearly!$O$254</f>
        <v>58825759.65410246</v>
      </c>
      <c r="S16" s="253">
        <f>C_depreciation_yearly!$O$254</f>
        <v>58825759.65410246</v>
      </c>
      <c r="T16" s="253">
        <f>C_depreciation_yearly!$O$254</f>
        <v>58825759.65410246</v>
      </c>
      <c r="U16" s="253">
        <f>C_depreciation_yearly!$O$254</f>
        <v>58825759.65410246</v>
      </c>
      <c r="V16" s="253">
        <f>C_depreciation_yearly!$O$254</f>
        <v>58825759.65410246</v>
      </c>
      <c r="W16" s="253">
        <f>C_depreciation_yearly!$O$254</f>
        <v>58825759.65410246</v>
      </c>
      <c r="X16" s="253">
        <f>C_depreciation_yearly!$O$254</f>
        <v>58825759.65410246</v>
      </c>
      <c r="Y16" s="253">
        <f>C_depreciation_yearly!$O$254</f>
        <v>58825759.65410246</v>
      </c>
      <c r="Z16" s="253">
        <f>C_depreciation_yearly!$O$254</f>
        <v>58825759.65410246</v>
      </c>
      <c r="AA16" s="450"/>
    </row>
    <row r="17" spans="1:27" x14ac:dyDescent="0.25">
      <c r="A17" s="1"/>
      <c r="B17" s="1"/>
      <c r="C17" s="452">
        <f t="shared" si="12"/>
        <v>0.44999999999999996</v>
      </c>
      <c r="D17" s="360" t="e">
        <f t="shared" si="0"/>
        <v>#REF!</v>
      </c>
      <c r="E17" s="360" t="e">
        <f t="shared" si="1"/>
        <v>#REF!</v>
      </c>
      <c r="F17" s="360" t="e">
        <f t="shared" si="2"/>
        <v>#REF!</v>
      </c>
      <c r="G17" s="360" t="e">
        <f t="shared" si="3"/>
        <v>#REF!</v>
      </c>
      <c r="H17" s="360" t="e">
        <f t="shared" si="4"/>
        <v>#REF!</v>
      </c>
      <c r="I17" s="360" t="e">
        <f t="shared" si="5"/>
        <v>#REF!</v>
      </c>
      <c r="J17" s="360" t="e">
        <f t="shared" si="6"/>
        <v>#REF!</v>
      </c>
      <c r="K17" s="360" t="e">
        <f t="shared" si="7"/>
        <v>#REF!</v>
      </c>
      <c r="L17" s="360" t="e">
        <f t="shared" si="8"/>
        <v>#REF!</v>
      </c>
      <c r="M17" s="360" t="e">
        <f t="shared" si="9"/>
        <v>#REF!</v>
      </c>
      <c r="N17" s="360" t="e">
        <f t="shared" si="10"/>
        <v>#REF!</v>
      </c>
      <c r="O17" s="364" t="e">
        <f t="shared" si="11"/>
        <v>#REF!</v>
      </c>
      <c r="P17" s="7"/>
      <c r="Q17" s="253">
        <f>C_depreciation_yearly!$O$279</f>
        <v>64173555.986293584</v>
      </c>
      <c r="R17" s="253">
        <f>C_depreciation_yearly!$O$279</f>
        <v>64173555.986293584</v>
      </c>
      <c r="S17" s="253">
        <f>C_depreciation_yearly!$O$279</f>
        <v>64173555.986293584</v>
      </c>
      <c r="T17" s="253">
        <f>C_depreciation_yearly!$O$279</f>
        <v>64173555.986293584</v>
      </c>
      <c r="U17" s="253">
        <f>C_depreciation_yearly!$O$279</f>
        <v>64173555.986293584</v>
      </c>
      <c r="V17" s="253">
        <f>C_depreciation_yearly!$O$279</f>
        <v>64173555.986293584</v>
      </c>
      <c r="W17" s="253">
        <f>C_depreciation_yearly!$O$279</f>
        <v>64173555.986293584</v>
      </c>
      <c r="X17" s="253">
        <f>C_depreciation_yearly!$O$279</f>
        <v>64173555.986293584</v>
      </c>
      <c r="Y17" s="253">
        <f>C_depreciation_yearly!$O$279</f>
        <v>64173555.986293584</v>
      </c>
      <c r="Z17" s="253">
        <f>C_depreciation_yearly!$O$279</f>
        <v>64173555.986293584</v>
      </c>
      <c r="AA17" s="450"/>
    </row>
    <row r="18" spans="1:27" x14ac:dyDescent="0.25">
      <c r="A18" s="1"/>
      <c r="B18" s="1"/>
      <c r="C18" s="452">
        <f t="shared" si="12"/>
        <v>0.49999999999999994</v>
      </c>
      <c r="D18" s="360" t="e">
        <f t="shared" si="0"/>
        <v>#REF!</v>
      </c>
      <c r="E18" s="360" t="e">
        <f t="shared" si="1"/>
        <v>#REF!</v>
      </c>
      <c r="F18" s="360" t="e">
        <f t="shared" si="2"/>
        <v>#REF!</v>
      </c>
      <c r="G18" s="360" t="e">
        <f t="shared" si="3"/>
        <v>#REF!</v>
      </c>
      <c r="H18" s="360" t="e">
        <f t="shared" si="4"/>
        <v>#REF!</v>
      </c>
      <c r="I18" s="360" t="e">
        <f t="shared" si="5"/>
        <v>#REF!</v>
      </c>
      <c r="J18" s="360" t="e">
        <f t="shared" si="6"/>
        <v>#REF!</v>
      </c>
      <c r="K18" s="360" t="e">
        <f t="shared" si="7"/>
        <v>#REF!</v>
      </c>
      <c r="L18" s="360" t="e">
        <f t="shared" si="8"/>
        <v>#REF!</v>
      </c>
      <c r="M18" s="360" t="e">
        <f t="shared" si="9"/>
        <v>#REF!</v>
      </c>
      <c r="N18" s="360" t="e">
        <f t="shared" si="10"/>
        <v>#REF!</v>
      </c>
      <c r="O18" s="364" t="e">
        <f t="shared" si="11"/>
        <v>#REF!</v>
      </c>
      <c r="P18" s="7"/>
      <c r="Q18" s="253">
        <f>C_depreciation_yearly!$O$304</f>
        <v>70590911.58492294</v>
      </c>
      <c r="R18" s="253">
        <f>C_depreciation_yearly!$O$304</f>
        <v>70590911.58492294</v>
      </c>
      <c r="S18" s="253">
        <f>C_depreciation_yearly!$O$304</f>
        <v>70590911.58492294</v>
      </c>
      <c r="T18" s="253">
        <f>C_depreciation_yearly!$O$304</f>
        <v>70590911.58492294</v>
      </c>
      <c r="U18" s="253">
        <f>C_depreciation_yearly!$O$304</f>
        <v>70590911.58492294</v>
      </c>
      <c r="V18" s="253">
        <f>C_depreciation_yearly!$O$304</f>
        <v>70590911.58492294</v>
      </c>
      <c r="W18" s="253">
        <f>C_depreciation_yearly!$O$304</f>
        <v>70590911.58492294</v>
      </c>
      <c r="X18" s="253">
        <f>C_depreciation_yearly!$O$304</f>
        <v>70590911.58492294</v>
      </c>
      <c r="Y18" s="253">
        <f>C_depreciation_yearly!$O$304</f>
        <v>70590911.58492294</v>
      </c>
      <c r="Z18" s="253">
        <f>C_depreciation_yearly!$O$304</f>
        <v>70590911.58492294</v>
      </c>
      <c r="AA18" s="450"/>
    </row>
    <row r="19" spans="1:27" x14ac:dyDescent="0.25">
      <c r="A19" s="1"/>
      <c r="B19" s="1"/>
      <c r="C19" s="452"/>
      <c r="D19" s="360"/>
      <c r="E19" s="360"/>
      <c r="F19" s="360"/>
      <c r="G19" s="360"/>
      <c r="H19" s="360"/>
      <c r="I19" s="360"/>
      <c r="J19" s="360"/>
      <c r="K19" s="360"/>
      <c r="L19" s="360"/>
      <c r="M19" s="360"/>
      <c r="N19" s="360"/>
      <c r="O19" s="364"/>
      <c r="P19" s="7"/>
      <c r="Q19" s="253"/>
      <c r="R19" s="253"/>
      <c r="S19" s="253"/>
      <c r="T19" s="253"/>
      <c r="U19" s="253"/>
      <c r="V19" s="253"/>
      <c r="W19" s="253"/>
      <c r="X19" s="253"/>
      <c r="Y19" s="253"/>
      <c r="Z19" s="253"/>
      <c r="AA19" s="450"/>
    </row>
    <row r="20" spans="1:27" x14ac:dyDescent="0.25">
      <c r="A20" s="362" t="s">
        <v>530</v>
      </c>
      <c r="B20" s="7"/>
      <c r="C20" s="7"/>
      <c r="D20" s="7"/>
      <c r="E20" s="7"/>
      <c r="F20" s="7"/>
      <c r="G20" s="7"/>
      <c r="H20" s="7"/>
      <c r="I20" s="7"/>
      <c r="J20" s="7"/>
      <c r="K20" s="7"/>
      <c r="L20" s="7"/>
      <c r="M20" s="7"/>
      <c r="N20" s="7"/>
      <c r="O20" s="370"/>
      <c r="P20" s="203"/>
      <c r="Q20" s="203"/>
      <c r="R20" s="203"/>
      <c r="S20" s="203"/>
      <c r="T20" s="203"/>
      <c r="U20" s="203"/>
      <c r="V20" s="203"/>
      <c r="W20" s="203"/>
      <c r="X20" s="203"/>
      <c r="Y20" s="203"/>
      <c r="Z20" s="203"/>
      <c r="AA20" s="450"/>
    </row>
    <row r="21" spans="1:27" x14ac:dyDescent="0.25">
      <c r="A21" s="362"/>
      <c r="B21" s="7" t="s">
        <v>618</v>
      </c>
      <c r="C21" s="7">
        <v>1</v>
      </c>
      <c r="D21" s="360" t="e">
        <f>$P21+($Q21/(1+$P$3)^1)+($R21/(1+$P$3)^2)+($S21/(1+$P$3)^3)+($T21/(1+$P$3)^4)+($U21/(1+$P$3)^5)+($V21/(1+$P$3)^6)+($W21/(1+$P$3)^7)+($X21/(1+$P$3)^8)+($Y21/(1+$P$3)^9)+($Z21/(1+$P$3)^10)+Z7*(1/(1+P3)^11+1/(1+P3)^12+1/(1+P3)^13+1/(1+P3)^14+1/(1+P3)^15+1/(1+P3)^16+1/(1+P3)^17+1/(1+P3)^18+1/(1+P3)^19+1/(1+P3)^20)</f>
        <v>#REF!</v>
      </c>
      <c r="E21" s="360" t="e">
        <f>$P21+($Q21/(1+$P$3)^1)+($R21/(1+$P$3)^2)+($S21/(1+$P$3)^3)+($T21/(1+$P$3)^4)+($U21/(1+$P$3)^5)+($V21/(1+$P$3)^6)+($W21/(1+$P$3)^7)+($X21/(1+$P$3)^8)+($Y21/(1+$P$3)^9)+($Z21/(1+$P$3)^10)+Z7*(1/(1+P3)^11+1/(1+P3)^12+1/(1+P3)^13+1/(1+P3)^14+1/(1+P3)^15)</f>
        <v>#REF!</v>
      </c>
      <c r="F21" s="360" t="e">
        <f>$P21+($Q21/(1+$P$3)^1)+($R21/(1+$P$3)^2)+($S21/(1+$P$3)^3)+($T21/(1+$P$3)^4)+($U21/(1+$P$3)^5)+($V21/(1+$P$3)^6)+($W21/(1+$P$3)^7)+($X21/(1+$P$3)^8)+($Y21/(1+$P$3)^9)+($Z21/(1+$P$3)^10)</f>
        <v>#REF!</v>
      </c>
      <c r="G21" s="360" t="e">
        <f>$P21+($Q21/(1+$P$3)^1)+($R21/(1+$P$3)^2)+($S21/(1+$P$3)^3)+($T21/(1+$P$3)^4)+($U21/(1+$P$3)^5)+($V21/(1+$P$3)^6)+($W21/(1+$P$3)^7)+($X21/(1+$P$3)^8)+($Y21/(1+$P$3)^9)</f>
        <v>#REF!</v>
      </c>
      <c r="H21" s="360" t="e">
        <f>$P21+($Q21/(1+$P$3)^1)+($R21/(1+$P$3)^2)+($S21/(1+$P$3)^3)+($T21/(1+$P$3)^4)+($U21/(1+$P$3)^5)+($V21/(1+$P$3)^6)+($W21/(1+$P$3)^7)+($X21/(1+$P$3)^8)</f>
        <v>#REF!</v>
      </c>
      <c r="I21" s="360" t="e">
        <f>$P21+($Q21/(1+$P$3)^1)+($R21/(1+$P$3)^2)+($S21/(1+$P$3)^3)+($T21/(1+$P$3)^4)+($U21/(1+$P$3)^5)+($V21/(1+$P$3)^6)+($W21/(1+$P$3)^7)</f>
        <v>#REF!</v>
      </c>
      <c r="J21" s="360" t="e">
        <f>$P21+($Q21/(1+$P$3)^1)+($R21/(1+$P$3)^2)+($S21/(1+$P$3)^3)+($T21/(1+$P$3)^4)+($U21/(1+$P$3)^5)+($V21/(1+$P$3)^6)</f>
        <v>#REF!</v>
      </c>
      <c r="K21" s="360" t="e">
        <f>$P21+($Q21/(1+$P$3)^1)+($R21/(1+$P$3)^2)+($S21/(1+$P$3)^3)+($T21/(1+$P$3)^4)+($U21/(1+$P$3)^5)</f>
        <v>#REF!</v>
      </c>
      <c r="L21" s="360" t="e">
        <f>$P21+($Q21/(1+$P$3)^1)+($R21/(1+$P$3)^2)+($S21/(1+$P$3)^3)+($T21/(1+$P$3)^4)</f>
        <v>#REF!</v>
      </c>
      <c r="M21" s="360" t="e">
        <f>$P21+($Q21/(1+$P$3)^1)+($R21/(1+$P$3)^2)+($S21/(1+$P$3)^3)</f>
        <v>#REF!</v>
      </c>
      <c r="N21" s="360" t="e">
        <f>$P21+($Q21/(1+$P$3)^1)+($R21/(1+$P$3)^2)</f>
        <v>#REF!</v>
      </c>
      <c r="O21" s="364" t="e">
        <f>$P21+($Q21/(1+$P$3)^1)</f>
        <v>#REF!</v>
      </c>
      <c r="P21" s="203"/>
      <c r="Q21" s="318">
        <f>C_downtime_cost!$AC$25*19</f>
        <v>399683.62757514417</v>
      </c>
      <c r="R21" s="318">
        <f>C_downtime_cost!$AC$25*19</f>
        <v>399683.62757514417</v>
      </c>
      <c r="S21" s="318">
        <f>C_downtime_cost!$AC$25*19</f>
        <v>399683.62757514417</v>
      </c>
      <c r="T21" s="318">
        <f>C_downtime_cost!$AC$25*19</f>
        <v>399683.62757514417</v>
      </c>
      <c r="U21" s="318">
        <f>C_downtime_cost!$AC$25*19</f>
        <v>399683.62757514417</v>
      </c>
      <c r="V21" s="318">
        <f>C_downtime_cost!$AC$25*19</f>
        <v>399683.62757514417</v>
      </c>
      <c r="W21" s="318">
        <f>C_downtime_cost!$AC$25*19</f>
        <v>399683.62757514417</v>
      </c>
      <c r="X21" s="318">
        <f>C_downtime_cost!$AC$25*19</f>
        <v>399683.62757514417</v>
      </c>
      <c r="Y21" s="318">
        <f>C_downtime_cost!$AC$25*19</f>
        <v>399683.62757514417</v>
      </c>
      <c r="Z21" s="318">
        <f>C_downtime_cost!$AC$25*19</f>
        <v>399683.62757514417</v>
      </c>
      <c r="AA21" s="450"/>
    </row>
    <row r="22" spans="1:27" x14ac:dyDescent="0.25">
      <c r="A22" s="362"/>
      <c r="B22" s="7" t="s">
        <v>532</v>
      </c>
      <c r="C22" s="7">
        <v>2</v>
      </c>
      <c r="D22" s="360" t="e">
        <f>$P22+($Q22/(1+$P$3)^1)+($R22/(1+$P$3)^2)+($S22/(1+$P$3)^3)+($T22/(1+$P$3)^4)+($U22/(1+$P$3)^5)+($V22/(1+$P$3)^6)+($W22/(1+$P$3)^7)+($X22/(1+$P$3)^8)+($Y22/(1+$P$3)^9)+($Z22/(1+$P$3)^10)+Z7*(1/(1+P3)^11+1/(1+P3)^12+1/(1+P3)^13+1/(1+P3)^14+1/(1+P3)^15+1/(1+P3)^16+1/(1+P3)^17+1/(1+P3)^18+1/(1+P3)^19+1/(1+P3)^20)</f>
        <v>#REF!</v>
      </c>
      <c r="E22" s="360" t="e">
        <f>$P22+($Q22/(1+$P$3)^1)+($R22/(1+$P$3)^2)+($S22/(1+$P$3)^3)+($T22/(1+$P$3)^4)+($U22/(1+$P$3)^5)+($V22/(1+$P$3)^6)+($W22/(1+$P$3)^7)+($X22/(1+$P$3)^8)+($Y22/(1+$P$3)^9)+($Z22/(1+$P$3)^10)++Z7*(1/(1+P3)^11+1/(1+P3)^12+1/(1+P3)^13+1/(1+P3)^14+1/(1+P3)^15)</f>
        <v>#REF!</v>
      </c>
      <c r="F22" s="360" t="e">
        <f>$P22+($Q22/(1+$P$3)^1)+($R22/(1+$P$3)^2)+($S22/(1+$P$3)^3)+($T22/(1+$P$3)^4)+($U22/(1+$P$3)^5)+($V22/(1+$P$3)^6)+($W22/(1+$P$3)^7)+($X22/(1+$P$3)^8)+($Y22/(1+$P$3)^9)+($Z22/(1+$P$3)^10)</f>
        <v>#REF!</v>
      </c>
      <c r="G22" s="360" t="e">
        <f>$P22+($Q22/(1+$P$3)^1)+($R22/(1+$P$3)^2)+($S22/(1+$P$3)^3)+($T22/(1+$P$3)^4)+($U22/(1+$P$3)^5)+($V22/(1+$P$3)^6)+($W22/(1+$P$3)^7)+($X22/(1+$P$3)^8)+($Y22/(1+$P$3)^9)</f>
        <v>#REF!</v>
      </c>
      <c r="H22" s="360" t="e">
        <f>$P22+($Q22/(1+$P$3)^1)+($R22/(1+$P$3)^2)+($S22/(1+$P$3)^3)+($T22/(1+$P$3)^4)+($U22/(1+$P$3)^5)+($V22/(1+$P$3)^6)+($W22/(1+$P$3)^7)+($X22/(1+$P$3)^8)</f>
        <v>#REF!</v>
      </c>
      <c r="I22" s="360" t="e">
        <f>$P22+($Q22/(1+$P$3)^1)+($R22/(1+$P$3)^2)+($S22/(1+$P$3)^3)+($T22/(1+$P$3)^4)+($U22/(1+$P$3)^5)+($V22/(1+$P$3)^6)+($W22/(1+$P$3)^7)</f>
        <v>#REF!</v>
      </c>
      <c r="J22" s="360" t="e">
        <f>$P22+($Q22/(1+$P$3)^1)+($R22/(1+$P$3)^2)+($S22/(1+$P$3)^3)+($T22/(1+$P$3)^4)+($U22/(1+$P$3)^5)+($V22/(1+$P$3)^6)</f>
        <v>#REF!</v>
      </c>
      <c r="K22" s="360" t="e">
        <f>$P22+($Q22/(1+$P$3)^1)+($R22/(1+$P$3)^2)+($S22/(1+$P$3)^3)+($T22/(1+$P$3)^4)+($U22/(1+$P$3)^5)</f>
        <v>#REF!</v>
      </c>
      <c r="L22" s="360" t="e">
        <f>$P22+($Q22/(1+$P$3)^1)+($R22/(1+$P$3)^2)+($S22/(1+$P$3)^3)+($T22/(1+$P$3)^4)</f>
        <v>#REF!</v>
      </c>
      <c r="M22" s="360" t="e">
        <f>$P22+($Q22/(1+$P$3)^1)+($R22/(1+$P$3)^2)+($S22/(1+$P$3)^3)</f>
        <v>#REF!</v>
      </c>
      <c r="N22" s="360" t="e">
        <f>$P22+($Q22/(1+$P$3)^1)+($R22/(1+$P$3)^2)</f>
        <v>#REF!</v>
      </c>
      <c r="O22" s="364" t="e">
        <f>$P22+($Q22/(1+$P$3)^1)</f>
        <v>#REF!</v>
      </c>
      <c r="P22" s="203"/>
      <c r="Q22" s="318">
        <f>C_downtime_cost!$AE$25*19</f>
        <v>1228457.5573850365</v>
      </c>
      <c r="R22" s="318">
        <f>C_downtime_cost!$AE$25*19</f>
        <v>1228457.5573850365</v>
      </c>
      <c r="S22" s="318">
        <f>C_downtime_cost!$AE$25*19</f>
        <v>1228457.5573850365</v>
      </c>
      <c r="T22" s="318">
        <f>C_downtime_cost!$AE$25*19</f>
        <v>1228457.5573850365</v>
      </c>
      <c r="U22" s="318">
        <f>C_downtime_cost!$AE$25*19</f>
        <v>1228457.5573850365</v>
      </c>
      <c r="V22" s="318">
        <f>C_downtime_cost!$AE$25*19</f>
        <v>1228457.5573850365</v>
      </c>
      <c r="W22" s="318">
        <f>C_downtime_cost!$AE$25*19</f>
        <v>1228457.5573850365</v>
      </c>
      <c r="X22" s="318">
        <f>C_downtime_cost!$AE$25*19</f>
        <v>1228457.5573850365</v>
      </c>
      <c r="Y22" s="318">
        <f>C_downtime_cost!$AE$25*19</f>
        <v>1228457.5573850365</v>
      </c>
      <c r="Z22" s="318">
        <f>C_downtime_cost!$AE$25*19</f>
        <v>1228457.5573850365</v>
      </c>
      <c r="AA22" s="450"/>
    </row>
    <row r="23" spans="1:27" x14ac:dyDescent="0.25">
      <c r="A23" s="1"/>
      <c r="B23" s="7" t="s">
        <v>532</v>
      </c>
      <c r="C23" s="7">
        <v>3</v>
      </c>
      <c r="D23" s="360" t="e">
        <f>$P23+($Q23/(1+$P$3)^1)+($R23/(1+$P$3)^2)+($S23/(1+$P$3)^3)+($T23/(1+$P$3)^4)+($U23/(1+$P$3)^5)+($V23/(1+$P$3)^6)+($W23/(1+$P$3)^7)+($X23/(1+$P$3)^8)+($Y23/(1+$P$3)^9)+($Z23/(1+$P$3)^10)+Z7*(1/(1+P3)^11+1/(1+P3)^12+1/(1+P3)^13+1/(1+P3)^14+1/(1+P3)^15+1/(1+P3)^16+1/(1+P3)^17+1/(1+P3)^18+1/(1+P3)^19+1/(1+P3)^20)</f>
        <v>#REF!</v>
      </c>
      <c r="E23" s="360" t="e">
        <f>$P23+($Q23/(1+$P$3)^1)+($R23/(1+$P$3)^2)+($S23/(1+$P$3)^3)+($T23/(1+$P$3)^4)+($U23/(1+$P$3)^5)+($V23/(1+$P$3)^6)+($W23/(1+$P$3)^7)+($X23/(1+$P$3)^8)+($Y23/(1+$P$3)^9)+($Z23/(1+$P$3)^10)+Z7*(1/(1+P3)^11+1/(1+P3)^12+1/(1+P3)^13+1/(1+P3)^14+1/(1+P3)^15)</f>
        <v>#REF!</v>
      </c>
      <c r="F23" s="360" t="e">
        <f>$P23+($Q23/(1+$P$3)^1)+($R23/(1+$P$3)^2)+($S23/(1+$P$3)^3)+($T23/(1+$P$3)^4)+($U23/(1+$P$3)^5)+($V23/(1+$P$3)^6)+($W23/(1+$P$3)^7)+($X23/(1+$P$3)^8)+($Y23/(1+$P$3)^9)+($Z23/(1+$P$3)^10)</f>
        <v>#REF!</v>
      </c>
      <c r="G23" s="360" t="e">
        <f>$P23+($Q23/(1+$P$3)^1)+($R23/(1+$P$3)^2)+($S23/(1+$P$3)^3)+($T23/(1+$P$3)^4)+($U23/(1+$P$3)^5)+($V23/(1+$P$3)^6)+($W23/(1+$P$3)^7)+($X23/(1+$P$3)^8)+($Y23/(1+$P$3)^9)</f>
        <v>#REF!</v>
      </c>
      <c r="H23" s="360" t="e">
        <f>$P23+($Q23/(1+$P$3)^1)+($R23/(1+$P$3)^2)+($S23/(1+$P$3)^3)+($T23/(1+$P$3)^4)+($U23/(1+$P$3)^5)+($V23/(1+$P$3)^6)+($W23/(1+$P$3)^7)+($X23/(1+$P$3)^8)</f>
        <v>#REF!</v>
      </c>
      <c r="I23" s="360" t="e">
        <f>$P23+($Q23/(1+$P$3)^1)+($R23/(1+$P$3)^2)+($S23/(1+$P$3)^3)+($T23/(1+$P$3)^4)+($U23/(1+$P$3)^5)+($V23/(1+$P$3)^6)+($W23/(1+$P$3)^7)</f>
        <v>#REF!</v>
      </c>
      <c r="J23" s="360" t="e">
        <f>$P23+($Q23/(1+$P$3)^1)+($R23/(1+$P$3)^2)+($S23/(1+$P$3)^3)+($T23/(1+$P$3)^4)+($U23/(1+$P$3)^5)+($V23/(1+$P$3)^6)</f>
        <v>#REF!</v>
      </c>
      <c r="K23" s="360" t="e">
        <f>$P23+($Q23/(1+$P$3)^1)+($R23/(1+$P$3)^2)+($S23/(1+$P$3)^3)+($T23/(1+$P$3)^4)+($U23/(1+$P$3)^5)</f>
        <v>#REF!</v>
      </c>
      <c r="L23" s="360" t="e">
        <f>$P23+($Q23/(1+$P$3)^1)+($R23/(1+$P$3)^2)+($S23/(1+$P$3)^3)+($T23/(1+$P$3)^4)</f>
        <v>#REF!</v>
      </c>
      <c r="M23" s="360" t="e">
        <f>$P23+($Q23/(1+$P$3)^1)+($R23/(1+$P$3)^2)+($S23/(1+$P$3)^3)</f>
        <v>#REF!</v>
      </c>
      <c r="N23" s="360" t="e">
        <f>$P23+($Q23/(1+$P$3)^1)+($R23/(1+$P$3)^2)</f>
        <v>#REF!</v>
      </c>
      <c r="O23" s="364" t="e">
        <f>$P23+($Q23/(1+$P$3)^1)</f>
        <v>#REF!</v>
      </c>
      <c r="P23" s="231"/>
      <c r="Q23" s="318">
        <f>C_downtime_cost!$AG$25*19</f>
        <v>40537779.285190083</v>
      </c>
      <c r="R23" s="318">
        <f>C_downtime_cost!$AG$25*19</f>
        <v>40537779.285190083</v>
      </c>
      <c r="S23" s="318">
        <f>C_downtime_cost!$AG$25*19</f>
        <v>40537779.285190083</v>
      </c>
      <c r="T23" s="318">
        <f>C_downtime_cost!$AG$25*19</f>
        <v>40537779.285190083</v>
      </c>
      <c r="U23" s="318">
        <f>C_downtime_cost!$AG$25*19</f>
        <v>40537779.285190083</v>
      </c>
      <c r="V23" s="318">
        <f>C_downtime_cost!$AG$25*19</f>
        <v>40537779.285190083</v>
      </c>
      <c r="W23" s="318">
        <f>C_downtime_cost!$AG$25*19</f>
        <v>40537779.285190083</v>
      </c>
      <c r="X23" s="318">
        <f>C_downtime_cost!$AG$25*19</f>
        <v>40537779.285190083</v>
      </c>
      <c r="Y23" s="318">
        <f>C_downtime_cost!$AG$25*19</f>
        <v>40537779.285190083</v>
      </c>
      <c r="Z23" s="318">
        <f>C_downtime_cost!$AG$25*19</f>
        <v>40537779.285190083</v>
      </c>
      <c r="AA23" s="450"/>
    </row>
    <row r="24" spans="1:27" x14ac:dyDescent="0.25">
      <c r="A24" s="1"/>
      <c r="B24" s="1"/>
      <c r="C24" s="1"/>
      <c r="D24" s="1"/>
      <c r="E24" s="1"/>
      <c r="F24" s="1"/>
      <c r="G24" s="1"/>
      <c r="H24" s="1"/>
      <c r="I24" s="1"/>
      <c r="J24" s="1"/>
      <c r="K24" s="1"/>
      <c r="L24" s="1"/>
      <c r="M24" s="1"/>
      <c r="N24" s="1"/>
      <c r="O24" s="370"/>
      <c r="P24" s="1"/>
      <c r="Q24" s="1"/>
      <c r="R24" s="1"/>
      <c r="S24" s="1"/>
      <c r="T24" s="1"/>
      <c r="U24" s="1"/>
      <c r="V24" s="1"/>
      <c r="W24" s="1"/>
      <c r="X24" s="1"/>
      <c r="Y24" s="1"/>
      <c r="Z24" s="1"/>
      <c r="AA24" s="450"/>
    </row>
    <row r="25" spans="1:27" x14ac:dyDescent="0.25">
      <c r="A25" s="1" t="s">
        <v>1</v>
      </c>
      <c r="B25" s="1"/>
      <c r="C25" s="1" t="s">
        <v>624</v>
      </c>
      <c r="D25" s="1"/>
      <c r="E25" s="1"/>
      <c r="F25" s="1"/>
      <c r="G25" s="1"/>
      <c r="H25" s="1"/>
      <c r="I25" s="1"/>
      <c r="J25" s="1"/>
      <c r="K25" s="1"/>
      <c r="L25" s="1"/>
      <c r="M25" s="1"/>
      <c r="N25" s="1"/>
      <c r="O25" s="370"/>
      <c r="P25" s="1"/>
      <c r="Q25" s="1"/>
      <c r="R25" s="1"/>
      <c r="S25" s="1"/>
      <c r="T25" s="1"/>
      <c r="U25" s="1"/>
      <c r="V25" s="1"/>
      <c r="W25" s="1"/>
      <c r="X25" s="1"/>
      <c r="Y25" s="1"/>
      <c r="Z25" s="1"/>
      <c r="AA25" s="450"/>
    </row>
    <row r="26" spans="1:27" x14ac:dyDescent="0.25">
      <c r="A26" s="1"/>
      <c r="B26" s="1"/>
      <c r="C26" s="452">
        <v>0.39</v>
      </c>
      <c r="D26" s="365" t="e">
        <f>D7+D$22</f>
        <v>#REF!</v>
      </c>
      <c r="E26" s="365" t="e">
        <f>E7+E$22</f>
        <v>#REF!</v>
      </c>
      <c r="F26" s="365" t="e">
        <f t="shared" ref="F26:O26" si="13">F7+F$22</f>
        <v>#REF!</v>
      </c>
      <c r="G26" s="365" t="e">
        <f t="shared" si="13"/>
        <v>#REF!</v>
      </c>
      <c r="H26" s="365" t="e">
        <f t="shared" si="13"/>
        <v>#REF!</v>
      </c>
      <c r="I26" s="365" t="e">
        <f t="shared" si="13"/>
        <v>#REF!</v>
      </c>
      <c r="J26" s="365" t="e">
        <f t="shared" si="13"/>
        <v>#REF!</v>
      </c>
      <c r="K26" s="365" t="e">
        <f t="shared" si="13"/>
        <v>#REF!</v>
      </c>
      <c r="L26" s="365" t="e">
        <f t="shared" si="13"/>
        <v>#REF!</v>
      </c>
      <c r="M26" s="365" t="e">
        <f t="shared" si="13"/>
        <v>#REF!</v>
      </c>
      <c r="N26" s="365" t="e">
        <f t="shared" si="13"/>
        <v>#REF!</v>
      </c>
      <c r="O26" s="453" t="e">
        <f t="shared" si="13"/>
        <v>#REF!</v>
      </c>
      <c r="P26" s="1"/>
      <c r="Q26" s="1"/>
      <c r="R26" s="1"/>
      <c r="S26" s="1"/>
      <c r="T26" s="1"/>
      <c r="U26" s="1"/>
      <c r="V26" s="1"/>
      <c r="W26" s="1"/>
      <c r="X26" s="1"/>
      <c r="Y26" s="1"/>
      <c r="Z26" s="1"/>
      <c r="AA26" s="450"/>
    </row>
    <row r="27" spans="1:27" x14ac:dyDescent="0.25">
      <c r="A27" s="1"/>
      <c r="B27" s="1"/>
      <c r="C27" s="452">
        <v>0</v>
      </c>
      <c r="D27" s="365" t="e">
        <f t="shared" ref="D27:O37" si="14">D8+D$22</f>
        <v>#REF!</v>
      </c>
      <c r="E27" s="365" t="e">
        <f t="shared" si="14"/>
        <v>#REF!</v>
      </c>
      <c r="F27" s="365" t="e">
        <f t="shared" si="14"/>
        <v>#REF!</v>
      </c>
      <c r="G27" s="365" t="e">
        <f t="shared" si="14"/>
        <v>#REF!</v>
      </c>
      <c r="H27" s="365" t="e">
        <f t="shared" si="14"/>
        <v>#REF!</v>
      </c>
      <c r="I27" s="365" t="e">
        <f t="shared" si="14"/>
        <v>#REF!</v>
      </c>
      <c r="J27" s="365" t="e">
        <f t="shared" si="14"/>
        <v>#REF!</v>
      </c>
      <c r="K27" s="365" t="e">
        <f t="shared" si="14"/>
        <v>#REF!</v>
      </c>
      <c r="L27" s="365" t="e">
        <f t="shared" si="14"/>
        <v>#REF!</v>
      </c>
      <c r="M27" s="365" t="e">
        <f t="shared" si="14"/>
        <v>#REF!</v>
      </c>
      <c r="N27" s="365" t="e">
        <f t="shared" si="14"/>
        <v>#REF!</v>
      </c>
      <c r="O27" s="453" t="e">
        <f t="shared" si="14"/>
        <v>#REF!</v>
      </c>
      <c r="P27" s="1"/>
      <c r="Q27" s="1"/>
      <c r="R27" s="1"/>
      <c r="S27" s="1"/>
      <c r="T27" s="1"/>
      <c r="U27" s="1"/>
      <c r="V27" s="1"/>
      <c r="W27" s="1"/>
      <c r="X27" s="1"/>
      <c r="Y27" s="1"/>
      <c r="Z27" s="1"/>
      <c r="AA27" s="450"/>
    </row>
    <row r="28" spans="1:27" x14ac:dyDescent="0.25">
      <c r="A28" s="1"/>
      <c r="B28" s="1"/>
      <c r="C28" s="452">
        <f>C27+0.05</f>
        <v>0.05</v>
      </c>
      <c r="D28" s="365" t="e">
        <f t="shared" si="14"/>
        <v>#REF!</v>
      </c>
      <c r="E28" s="365" t="e">
        <f t="shared" si="14"/>
        <v>#REF!</v>
      </c>
      <c r="F28" s="365" t="e">
        <f t="shared" si="14"/>
        <v>#REF!</v>
      </c>
      <c r="G28" s="365" t="e">
        <f t="shared" si="14"/>
        <v>#REF!</v>
      </c>
      <c r="H28" s="365" t="e">
        <f t="shared" si="14"/>
        <v>#REF!</v>
      </c>
      <c r="I28" s="365" t="e">
        <f t="shared" si="14"/>
        <v>#REF!</v>
      </c>
      <c r="J28" s="365" t="e">
        <f t="shared" si="14"/>
        <v>#REF!</v>
      </c>
      <c r="K28" s="365" t="e">
        <f t="shared" si="14"/>
        <v>#REF!</v>
      </c>
      <c r="L28" s="365" t="e">
        <f t="shared" si="14"/>
        <v>#REF!</v>
      </c>
      <c r="M28" s="365" t="e">
        <f t="shared" si="14"/>
        <v>#REF!</v>
      </c>
      <c r="N28" s="365" t="e">
        <f t="shared" si="14"/>
        <v>#REF!</v>
      </c>
      <c r="O28" s="453" t="e">
        <f t="shared" si="14"/>
        <v>#REF!</v>
      </c>
      <c r="P28" s="1"/>
      <c r="Q28" s="1"/>
      <c r="R28" s="1"/>
      <c r="S28" s="1"/>
      <c r="T28" s="1"/>
      <c r="U28" s="1"/>
      <c r="V28" s="1"/>
      <c r="W28" s="1"/>
      <c r="X28" s="1"/>
      <c r="Y28" s="1"/>
      <c r="Z28" s="1"/>
      <c r="AA28" s="450"/>
    </row>
    <row r="29" spans="1:27" x14ac:dyDescent="0.25">
      <c r="A29" s="1"/>
      <c r="B29" s="1"/>
      <c r="C29" s="452">
        <f t="shared" ref="C29:C37" si="15">C28+0.05</f>
        <v>0.1</v>
      </c>
      <c r="D29" s="365" t="e">
        <f t="shared" si="14"/>
        <v>#REF!</v>
      </c>
      <c r="E29" s="365" t="e">
        <f t="shared" si="14"/>
        <v>#REF!</v>
      </c>
      <c r="F29" s="365" t="e">
        <f t="shared" si="14"/>
        <v>#REF!</v>
      </c>
      <c r="G29" s="365" t="e">
        <f t="shared" si="14"/>
        <v>#REF!</v>
      </c>
      <c r="H29" s="365" t="e">
        <f t="shared" si="14"/>
        <v>#REF!</v>
      </c>
      <c r="I29" s="365" t="e">
        <f t="shared" si="14"/>
        <v>#REF!</v>
      </c>
      <c r="J29" s="365" t="e">
        <f t="shared" si="14"/>
        <v>#REF!</v>
      </c>
      <c r="K29" s="365" t="e">
        <f t="shared" si="14"/>
        <v>#REF!</v>
      </c>
      <c r="L29" s="365" t="e">
        <f t="shared" si="14"/>
        <v>#REF!</v>
      </c>
      <c r="M29" s="365" t="e">
        <f t="shared" si="14"/>
        <v>#REF!</v>
      </c>
      <c r="N29" s="365" t="e">
        <f t="shared" si="14"/>
        <v>#REF!</v>
      </c>
      <c r="O29" s="453" t="e">
        <f t="shared" si="14"/>
        <v>#REF!</v>
      </c>
      <c r="P29" s="1"/>
      <c r="Q29" s="1"/>
      <c r="R29" s="1"/>
      <c r="S29" s="1"/>
      <c r="T29" s="1"/>
      <c r="U29" s="1"/>
      <c r="V29" s="1"/>
      <c r="W29" s="1"/>
      <c r="X29" s="1"/>
      <c r="Y29" s="1"/>
      <c r="Z29" s="1"/>
      <c r="AA29" s="450"/>
    </row>
    <row r="30" spans="1:27" x14ac:dyDescent="0.25">
      <c r="A30" s="1"/>
      <c r="B30" s="1"/>
      <c r="C30" s="452">
        <f t="shared" si="15"/>
        <v>0.15000000000000002</v>
      </c>
      <c r="D30" s="365" t="e">
        <f t="shared" si="14"/>
        <v>#REF!</v>
      </c>
      <c r="E30" s="365" t="e">
        <f t="shared" si="14"/>
        <v>#REF!</v>
      </c>
      <c r="F30" s="365" t="e">
        <f t="shared" si="14"/>
        <v>#REF!</v>
      </c>
      <c r="G30" s="365" t="e">
        <f t="shared" si="14"/>
        <v>#REF!</v>
      </c>
      <c r="H30" s="365" t="e">
        <f t="shared" si="14"/>
        <v>#REF!</v>
      </c>
      <c r="I30" s="365" t="e">
        <f t="shared" si="14"/>
        <v>#REF!</v>
      </c>
      <c r="J30" s="365" t="e">
        <f t="shared" si="14"/>
        <v>#REF!</v>
      </c>
      <c r="K30" s="365" t="e">
        <f t="shared" si="14"/>
        <v>#REF!</v>
      </c>
      <c r="L30" s="365" t="e">
        <f t="shared" si="14"/>
        <v>#REF!</v>
      </c>
      <c r="M30" s="365" t="e">
        <f t="shared" si="14"/>
        <v>#REF!</v>
      </c>
      <c r="N30" s="365" t="e">
        <f t="shared" si="14"/>
        <v>#REF!</v>
      </c>
      <c r="O30" s="453" t="e">
        <f t="shared" si="14"/>
        <v>#REF!</v>
      </c>
      <c r="P30" s="1"/>
      <c r="Q30" s="1"/>
      <c r="R30" s="1"/>
      <c r="S30" s="1"/>
      <c r="T30" s="1"/>
      <c r="U30" s="1"/>
      <c r="V30" s="1"/>
      <c r="W30" s="1"/>
      <c r="X30" s="1"/>
      <c r="Y30" s="1"/>
      <c r="Z30" s="1"/>
      <c r="AA30" s="450"/>
    </row>
    <row r="31" spans="1:27" x14ac:dyDescent="0.25">
      <c r="A31" s="1"/>
      <c r="B31" s="1"/>
      <c r="C31" s="452">
        <f t="shared" si="15"/>
        <v>0.2</v>
      </c>
      <c r="D31" s="365" t="e">
        <f t="shared" si="14"/>
        <v>#REF!</v>
      </c>
      <c r="E31" s="365" t="e">
        <f t="shared" si="14"/>
        <v>#REF!</v>
      </c>
      <c r="F31" s="365" t="e">
        <f t="shared" si="14"/>
        <v>#REF!</v>
      </c>
      <c r="G31" s="365" t="e">
        <f t="shared" si="14"/>
        <v>#REF!</v>
      </c>
      <c r="H31" s="365" t="e">
        <f t="shared" si="14"/>
        <v>#REF!</v>
      </c>
      <c r="I31" s="365" t="e">
        <f t="shared" si="14"/>
        <v>#REF!</v>
      </c>
      <c r="J31" s="365" t="e">
        <f t="shared" si="14"/>
        <v>#REF!</v>
      </c>
      <c r="K31" s="365" t="e">
        <f t="shared" si="14"/>
        <v>#REF!</v>
      </c>
      <c r="L31" s="365" t="e">
        <f t="shared" si="14"/>
        <v>#REF!</v>
      </c>
      <c r="M31" s="365" t="e">
        <f t="shared" si="14"/>
        <v>#REF!</v>
      </c>
      <c r="N31" s="365" t="e">
        <f t="shared" si="14"/>
        <v>#REF!</v>
      </c>
      <c r="O31" s="453" t="e">
        <f t="shared" si="14"/>
        <v>#REF!</v>
      </c>
      <c r="P31" s="1"/>
      <c r="Q31" s="1"/>
      <c r="R31" s="1"/>
      <c r="S31" s="1"/>
      <c r="T31" s="1"/>
      <c r="U31" s="1"/>
      <c r="V31" s="1"/>
      <c r="W31" s="1"/>
      <c r="X31" s="1"/>
      <c r="Y31" s="1"/>
      <c r="Z31" s="1"/>
      <c r="AA31" s="450"/>
    </row>
    <row r="32" spans="1:27" x14ac:dyDescent="0.25">
      <c r="A32" s="1"/>
      <c r="B32" s="1"/>
      <c r="C32" s="452">
        <f t="shared" si="15"/>
        <v>0.25</v>
      </c>
      <c r="D32" s="365" t="e">
        <f t="shared" si="14"/>
        <v>#REF!</v>
      </c>
      <c r="E32" s="365" t="e">
        <f t="shared" si="14"/>
        <v>#REF!</v>
      </c>
      <c r="F32" s="365" t="e">
        <f t="shared" si="14"/>
        <v>#REF!</v>
      </c>
      <c r="G32" s="365" t="e">
        <f t="shared" si="14"/>
        <v>#REF!</v>
      </c>
      <c r="H32" s="365" t="e">
        <f t="shared" si="14"/>
        <v>#REF!</v>
      </c>
      <c r="I32" s="365" t="e">
        <f t="shared" si="14"/>
        <v>#REF!</v>
      </c>
      <c r="J32" s="365" t="e">
        <f t="shared" si="14"/>
        <v>#REF!</v>
      </c>
      <c r="K32" s="365" t="e">
        <f t="shared" si="14"/>
        <v>#REF!</v>
      </c>
      <c r="L32" s="365" t="e">
        <f t="shared" si="14"/>
        <v>#REF!</v>
      </c>
      <c r="M32" s="365" t="e">
        <f t="shared" si="14"/>
        <v>#REF!</v>
      </c>
      <c r="N32" s="365" t="e">
        <f t="shared" si="14"/>
        <v>#REF!</v>
      </c>
      <c r="O32" s="453" t="e">
        <f t="shared" si="14"/>
        <v>#REF!</v>
      </c>
      <c r="P32" s="1"/>
      <c r="Q32" s="1"/>
      <c r="R32" s="1"/>
      <c r="S32" s="1"/>
      <c r="T32" s="1"/>
      <c r="U32" s="1"/>
      <c r="V32" s="1"/>
      <c r="W32" s="1"/>
      <c r="X32" s="1"/>
      <c r="Y32" s="1"/>
      <c r="Z32" s="1"/>
      <c r="AA32" s="450"/>
    </row>
    <row r="33" spans="1:27" x14ac:dyDescent="0.25">
      <c r="A33" s="1"/>
      <c r="B33" s="1"/>
      <c r="C33" s="452">
        <f t="shared" si="15"/>
        <v>0.3</v>
      </c>
      <c r="D33" s="365" t="e">
        <f t="shared" si="14"/>
        <v>#REF!</v>
      </c>
      <c r="E33" s="365" t="e">
        <f t="shared" si="14"/>
        <v>#REF!</v>
      </c>
      <c r="F33" s="365" t="e">
        <f t="shared" si="14"/>
        <v>#REF!</v>
      </c>
      <c r="G33" s="365" t="e">
        <f t="shared" si="14"/>
        <v>#REF!</v>
      </c>
      <c r="H33" s="365" t="e">
        <f t="shared" si="14"/>
        <v>#REF!</v>
      </c>
      <c r="I33" s="365" t="e">
        <f t="shared" si="14"/>
        <v>#REF!</v>
      </c>
      <c r="J33" s="365" t="e">
        <f t="shared" si="14"/>
        <v>#REF!</v>
      </c>
      <c r="K33" s="365" t="e">
        <f t="shared" si="14"/>
        <v>#REF!</v>
      </c>
      <c r="L33" s="365" t="e">
        <f t="shared" si="14"/>
        <v>#REF!</v>
      </c>
      <c r="M33" s="365" t="e">
        <f t="shared" si="14"/>
        <v>#REF!</v>
      </c>
      <c r="N33" s="365" t="e">
        <f t="shared" si="14"/>
        <v>#REF!</v>
      </c>
      <c r="O33" s="453" t="e">
        <f t="shared" si="14"/>
        <v>#REF!</v>
      </c>
      <c r="P33" s="1"/>
      <c r="Q33" s="1"/>
      <c r="R33" s="1"/>
      <c r="S33" s="1"/>
      <c r="T33" s="1"/>
      <c r="U33" s="1"/>
      <c r="V33" s="1"/>
      <c r="W33" s="1"/>
      <c r="X33" s="1"/>
      <c r="Y33" s="1"/>
      <c r="Z33" s="1"/>
      <c r="AA33" s="450"/>
    </row>
    <row r="34" spans="1:27" x14ac:dyDescent="0.25">
      <c r="A34" s="1"/>
      <c r="B34" s="1"/>
      <c r="C34" s="452">
        <f t="shared" si="15"/>
        <v>0.35</v>
      </c>
      <c r="D34" s="365" t="e">
        <f t="shared" si="14"/>
        <v>#REF!</v>
      </c>
      <c r="E34" s="365" t="e">
        <f t="shared" si="14"/>
        <v>#REF!</v>
      </c>
      <c r="F34" s="365" t="e">
        <f t="shared" si="14"/>
        <v>#REF!</v>
      </c>
      <c r="G34" s="365" t="e">
        <f t="shared" si="14"/>
        <v>#REF!</v>
      </c>
      <c r="H34" s="365" t="e">
        <f t="shared" si="14"/>
        <v>#REF!</v>
      </c>
      <c r="I34" s="365" t="e">
        <f t="shared" si="14"/>
        <v>#REF!</v>
      </c>
      <c r="J34" s="365" t="e">
        <f t="shared" si="14"/>
        <v>#REF!</v>
      </c>
      <c r="K34" s="365" t="e">
        <f t="shared" si="14"/>
        <v>#REF!</v>
      </c>
      <c r="L34" s="365" t="e">
        <f t="shared" si="14"/>
        <v>#REF!</v>
      </c>
      <c r="M34" s="365" t="e">
        <f t="shared" si="14"/>
        <v>#REF!</v>
      </c>
      <c r="N34" s="365" t="e">
        <f t="shared" si="14"/>
        <v>#REF!</v>
      </c>
      <c r="O34" s="453" t="e">
        <f>O15+O$22</f>
        <v>#REF!</v>
      </c>
      <c r="P34" s="1"/>
      <c r="Q34" s="1"/>
      <c r="R34" s="1"/>
      <c r="S34" s="1"/>
      <c r="T34" s="1"/>
      <c r="U34" s="1"/>
      <c r="V34" s="1"/>
      <c r="W34" s="1"/>
      <c r="X34" s="1"/>
      <c r="Y34" s="1"/>
      <c r="Z34" s="1"/>
      <c r="AA34" s="450"/>
    </row>
    <row r="35" spans="1:27" x14ac:dyDescent="0.25">
      <c r="A35" s="1"/>
      <c r="B35" s="1"/>
      <c r="C35" s="452">
        <f t="shared" si="15"/>
        <v>0.39999999999999997</v>
      </c>
      <c r="D35" s="365" t="e">
        <f t="shared" si="14"/>
        <v>#REF!</v>
      </c>
      <c r="E35" s="365" t="e">
        <f t="shared" si="14"/>
        <v>#REF!</v>
      </c>
      <c r="F35" s="365" t="e">
        <f t="shared" si="14"/>
        <v>#REF!</v>
      </c>
      <c r="G35" s="365" t="e">
        <f t="shared" si="14"/>
        <v>#REF!</v>
      </c>
      <c r="H35" s="365" t="e">
        <f t="shared" si="14"/>
        <v>#REF!</v>
      </c>
      <c r="I35" s="365" t="e">
        <f t="shared" si="14"/>
        <v>#REF!</v>
      </c>
      <c r="J35" s="365" t="e">
        <f t="shared" si="14"/>
        <v>#REF!</v>
      </c>
      <c r="K35" s="365" t="e">
        <f t="shared" si="14"/>
        <v>#REF!</v>
      </c>
      <c r="L35" s="365" t="e">
        <f t="shared" si="14"/>
        <v>#REF!</v>
      </c>
      <c r="M35" s="365" t="e">
        <f t="shared" si="14"/>
        <v>#REF!</v>
      </c>
      <c r="N35" s="365" t="e">
        <f t="shared" si="14"/>
        <v>#REF!</v>
      </c>
      <c r="O35" s="453" t="e">
        <f t="shared" si="14"/>
        <v>#REF!</v>
      </c>
      <c r="P35" s="1"/>
      <c r="Q35" s="1"/>
      <c r="R35" s="1"/>
      <c r="S35" s="1"/>
      <c r="T35" s="1"/>
      <c r="U35" s="1"/>
      <c r="V35" s="1"/>
      <c r="W35" s="1"/>
      <c r="X35" s="1"/>
      <c r="Y35" s="1"/>
      <c r="Z35" s="1"/>
      <c r="AA35" s="450"/>
    </row>
    <row r="36" spans="1:27" x14ac:dyDescent="0.25">
      <c r="A36" s="1"/>
      <c r="B36" s="1"/>
      <c r="C36" s="452">
        <f t="shared" si="15"/>
        <v>0.44999999999999996</v>
      </c>
      <c r="D36" s="365" t="e">
        <f t="shared" si="14"/>
        <v>#REF!</v>
      </c>
      <c r="E36" s="365" t="e">
        <f t="shared" si="14"/>
        <v>#REF!</v>
      </c>
      <c r="F36" s="365" t="e">
        <f t="shared" si="14"/>
        <v>#REF!</v>
      </c>
      <c r="G36" s="365" t="e">
        <f t="shared" si="14"/>
        <v>#REF!</v>
      </c>
      <c r="H36" s="365" t="e">
        <f t="shared" si="14"/>
        <v>#REF!</v>
      </c>
      <c r="I36" s="365" t="e">
        <f t="shared" si="14"/>
        <v>#REF!</v>
      </c>
      <c r="J36" s="365" t="e">
        <f t="shared" si="14"/>
        <v>#REF!</v>
      </c>
      <c r="K36" s="365" t="e">
        <f t="shared" si="14"/>
        <v>#REF!</v>
      </c>
      <c r="L36" s="365" t="e">
        <f t="shared" si="14"/>
        <v>#REF!</v>
      </c>
      <c r="M36" s="365" t="e">
        <f t="shared" si="14"/>
        <v>#REF!</v>
      </c>
      <c r="N36" s="365" t="e">
        <f t="shared" si="14"/>
        <v>#REF!</v>
      </c>
      <c r="O36" s="453" t="e">
        <f t="shared" si="14"/>
        <v>#REF!</v>
      </c>
      <c r="P36" s="1"/>
      <c r="Q36" s="1"/>
      <c r="R36" s="1"/>
      <c r="S36" s="1"/>
      <c r="T36" s="1"/>
      <c r="U36" s="1"/>
      <c r="V36" s="1"/>
      <c r="W36" s="1"/>
      <c r="X36" s="1"/>
      <c r="Y36" s="1"/>
      <c r="Z36" s="1"/>
      <c r="AA36" s="450"/>
    </row>
    <row r="37" spans="1:27" x14ac:dyDescent="0.25">
      <c r="A37" s="1"/>
      <c r="B37" s="1"/>
      <c r="C37" s="452">
        <f t="shared" si="15"/>
        <v>0.49999999999999994</v>
      </c>
      <c r="D37" s="365" t="e">
        <f t="shared" si="14"/>
        <v>#REF!</v>
      </c>
      <c r="E37" s="365" t="e">
        <f t="shared" si="14"/>
        <v>#REF!</v>
      </c>
      <c r="F37" s="365" t="e">
        <f t="shared" si="14"/>
        <v>#REF!</v>
      </c>
      <c r="G37" s="365" t="e">
        <f t="shared" si="14"/>
        <v>#REF!</v>
      </c>
      <c r="H37" s="365" t="e">
        <f t="shared" si="14"/>
        <v>#REF!</v>
      </c>
      <c r="I37" s="365" t="e">
        <f t="shared" si="14"/>
        <v>#REF!</v>
      </c>
      <c r="J37" s="365" t="e">
        <f t="shared" si="14"/>
        <v>#REF!</v>
      </c>
      <c r="K37" s="365" t="e">
        <f t="shared" si="14"/>
        <v>#REF!</v>
      </c>
      <c r="L37" s="365" t="e">
        <f t="shared" si="14"/>
        <v>#REF!</v>
      </c>
      <c r="M37" s="365" t="e">
        <f t="shared" si="14"/>
        <v>#REF!</v>
      </c>
      <c r="N37" s="365" t="e">
        <f t="shared" si="14"/>
        <v>#REF!</v>
      </c>
      <c r="O37" s="453" t="e">
        <f t="shared" si="14"/>
        <v>#REF!</v>
      </c>
      <c r="P37" s="1"/>
      <c r="Q37" s="1"/>
      <c r="R37" s="1"/>
      <c r="S37" s="1"/>
      <c r="T37" s="1"/>
      <c r="U37" s="1"/>
      <c r="V37" s="1"/>
      <c r="W37" s="1"/>
      <c r="X37" s="1"/>
      <c r="Y37" s="1"/>
      <c r="Z37" s="1"/>
      <c r="AA37" s="450"/>
    </row>
    <row r="38" spans="1:27" x14ac:dyDescent="0.25">
      <c r="A38" s="1"/>
      <c r="B38" s="1"/>
      <c r="C38" s="1"/>
      <c r="D38" s="1"/>
      <c r="E38" s="1"/>
      <c r="F38" s="1"/>
      <c r="G38" s="1"/>
      <c r="H38" s="1"/>
      <c r="I38" s="1"/>
      <c r="J38" s="1"/>
      <c r="K38" s="1"/>
      <c r="L38" s="1"/>
      <c r="M38" s="1"/>
      <c r="N38" s="1"/>
      <c r="O38" s="370"/>
      <c r="P38" s="1"/>
      <c r="Q38" s="1"/>
      <c r="R38" s="1"/>
      <c r="S38" s="1"/>
      <c r="T38" s="1"/>
      <c r="U38" s="1"/>
      <c r="V38" s="1"/>
      <c r="W38" s="1"/>
      <c r="X38" s="1"/>
      <c r="Y38" s="1"/>
      <c r="Z38" s="1"/>
      <c r="AA38" s="450"/>
    </row>
    <row r="39" spans="1:27" x14ac:dyDescent="0.25">
      <c r="A39" s="1"/>
      <c r="B39" s="1"/>
      <c r="C39" s="1"/>
      <c r="D39" s="11" t="s">
        <v>538</v>
      </c>
      <c r="E39" s="11"/>
      <c r="F39" s="11"/>
      <c r="G39" s="1"/>
      <c r="H39" s="1"/>
      <c r="I39" s="1"/>
      <c r="J39" s="1"/>
      <c r="K39" s="1"/>
      <c r="L39" s="1"/>
      <c r="M39" s="1"/>
      <c r="N39" s="1"/>
      <c r="O39" s="370"/>
      <c r="P39" s="11" t="s">
        <v>422</v>
      </c>
      <c r="Q39" s="1"/>
      <c r="R39" s="1"/>
      <c r="S39" s="1"/>
      <c r="T39" s="1"/>
      <c r="U39" s="1"/>
      <c r="V39" s="1"/>
      <c r="W39" s="1"/>
      <c r="X39" s="1"/>
      <c r="Y39" s="1"/>
      <c r="Z39" s="1"/>
      <c r="AA39" s="450"/>
    </row>
    <row r="40" spans="1:27" x14ac:dyDescent="0.25">
      <c r="A40" s="355" t="s">
        <v>626</v>
      </c>
      <c r="B40" s="1"/>
      <c r="C40" s="1"/>
      <c r="D40" s="11" t="s">
        <v>619</v>
      </c>
      <c r="E40" s="11" t="s">
        <v>620</v>
      </c>
      <c r="F40" s="11" t="s">
        <v>537</v>
      </c>
      <c r="G40" s="11" t="s">
        <v>610</v>
      </c>
      <c r="H40" s="11" t="s">
        <v>609</v>
      </c>
      <c r="I40" s="11" t="s">
        <v>608</v>
      </c>
      <c r="J40" s="11" t="s">
        <v>607</v>
      </c>
      <c r="K40" s="11" t="s">
        <v>606</v>
      </c>
      <c r="L40" s="11" t="s">
        <v>603</v>
      </c>
      <c r="M40" s="11" t="s">
        <v>514</v>
      </c>
      <c r="N40" s="11" t="s">
        <v>604</v>
      </c>
      <c r="O40" s="437" t="s">
        <v>605</v>
      </c>
      <c r="P40" s="425">
        <v>0</v>
      </c>
      <c r="Q40" s="424">
        <v>1</v>
      </c>
      <c r="R40" s="424">
        <v>2</v>
      </c>
      <c r="S40" s="424">
        <v>3</v>
      </c>
      <c r="T40" s="424">
        <v>4</v>
      </c>
      <c r="U40" s="424">
        <v>5</v>
      </c>
      <c r="V40" s="424">
        <v>6</v>
      </c>
      <c r="W40" s="424">
        <v>7</v>
      </c>
      <c r="X40" s="424">
        <v>8</v>
      </c>
      <c r="Y40" s="424">
        <v>9</v>
      </c>
      <c r="Z40" s="424">
        <v>10</v>
      </c>
      <c r="AA40" s="450"/>
    </row>
    <row r="41" spans="1:27" x14ac:dyDescent="0.25">
      <c r="A41" s="346" t="s">
        <v>0</v>
      </c>
      <c r="B41" s="2"/>
      <c r="C41" s="2"/>
      <c r="D41" s="2"/>
      <c r="E41" s="2"/>
      <c r="F41" s="2"/>
      <c r="G41" s="2"/>
      <c r="H41" s="2"/>
      <c r="I41" s="2"/>
      <c r="J41" s="2"/>
      <c r="K41" s="2"/>
      <c r="L41" s="2"/>
      <c r="M41" s="2"/>
      <c r="N41" s="2"/>
      <c r="O41" s="413"/>
      <c r="P41" s="423"/>
      <c r="Q41" s="423"/>
      <c r="R41" s="423"/>
      <c r="S41" s="423"/>
      <c r="T41" s="423"/>
      <c r="U41" s="423"/>
      <c r="V41" s="423"/>
      <c r="W41" s="423"/>
      <c r="X41" s="423"/>
      <c r="Y41" s="423"/>
      <c r="Z41" s="423"/>
      <c r="AA41" s="450"/>
    </row>
    <row r="42" spans="1:27" x14ac:dyDescent="0.25">
      <c r="A42" s="201"/>
      <c r="B42" s="1" t="s">
        <v>519</v>
      </c>
      <c r="C42" s="1"/>
      <c r="D42" s="360" t="e">
        <f>F42+Z42*(1/(1+$P$3)^11+1/(1+$P$3)^12+1/(1+$P$3)^13+1/(1+$P$3)^14+1/(1+$P$3)^15+1/(1+$P$3)^16+1/(1+$P$3)^17+1/(1+$P$3)^18+1/(1+$P$3)^19+1/(1+$P$3)^20)</f>
        <v>#REF!</v>
      </c>
      <c r="E42" s="360" t="e">
        <f>F42+Z42*(1/(1+$P$3)^11+1/(1+$P$3)^12+1/(1+$P$3)^13+1/(1+$P$3)^14+1/(1+$P$3)^15)</f>
        <v>#REF!</v>
      </c>
      <c r="F42" s="360" t="e">
        <f>($Q42/(1+$P$3)^1)+($R42/(1+$P$3)^2)+($S42/(1+$P$3)^3)+($T42/(1+$P$3)^4)+($U42/(1+$P$3)^5)+($V42/(1+$P$3)^6)+($W42/(1+$P$3)^7)+($X42/(1+$P$3)^8)+($Y42/(1+$P$3)^9)+($Z42/(1+$P$3)^10)</f>
        <v>#REF!</v>
      </c>
      <c r="G42" s="360" t="e">
        <f>($Q42/(1+$P$3)^1)+($R42/(1+$P$3)^2)+($S42/(1+$P$3)^3)+($T42/(1+$P$3)^4)+($U42/(1+$P$3)^5)+($V42/(1+$P$3)^6)+($W42/(1+$P$3)^7)+($X42/(1+$P$3)^8)+($Y42/(1+$P$3)^9)</f>
        <v>#REF!</v>
      </c>
      <c r="H42" s="360" t="e">
        <f>($Q42/(1+$P$3)^1)+($R42/(1+$P$3)^2)+($S42/(1+$P$3)^3)+($T42/(1+$P$3)^4)+($U42/(1+$P$3)^5)+($V42/(1+$P$3)^6)+($W42/(1+$P$3)^7)+($X42/(1+$P$3)^8)</f>
        <v>#REF!</v>
      </c>
      <c r="I42" s="360" t="e">
        <f>($Q42/(1+$P$3)^1)+($R42/(1+$P$3)^2)+($S42/(1+$P$3)^3)+($T42/(1+$P$3)^4)+($U42/(1+$P$3)^5)+($V42/(1+$P$3)^6)+($W42/(1+$P$3)^7)</f>
        <v>#REF!</v>
      </c>
      <c r="J42" s="360" t="e">
        <f>($Q42/(1+$P$3)^1)+($R42/(1+$P$3)^2)+($S42/(1+$P$3)^3)+($T42/(1+$P$3)^4)+($U42/(1+$P$3)^5)+($V42/(1+$P$3)^6)</f>
        <v>#REF!</v>
      </c>
      <c r="K42" s="360" t="e">
        <f>($Q42/(1+$P$3)^1)+($R42/(1+$P$3)^2)+($S42/(1+$P$3)^3)+($T42/(1+$P$3)^4)+($U42/(1+$P$3)^5)</f>
        <v>#REF!</v>
      </c>
      <c r="L42" s="360" t="e">
        <f>($Q42/(1+$P$3)^1)+($R42/(1+$P$3)^2)+($S42/(1+$P$3)^3)+($T42/(1+$P$3)^4)</f>
        <v>#REF!</v>
      </c>
      <c r="M42" s="360" t="e">
        <f>($Q42/(1+$P$3)^1)+($R42/(1+$P$3)^2)+($S42/(1+$P$3)^3)</f>
        <v>#REF!</v>
      </c>
      <c r="N42" s="360" t="e">
        <f>($Q42/(1+$P$3)^1)+($R42/(1+$P$3)^2)</f>
        <v>#REF!</v>
      </c>
      <c r="O42" s="364" t="e">
        <f>($Q42/(1+$P$3)^1)</f>
        <v>#REF!</v>
      </c>
      <c r="P42" s="189">
        <f>D_invoiced_cost!C31*10^6*D_currency_conversion!$I$12*D_currency_conversion!$J$12*C_depreciation_yearly!M27</f>
        <v>5109016.9467361951</v>
      </c>
      <c r="Q42" s="189">
        <f>D_invoiced_cost!D31*10^6*D_currency_conversion!$I$12*D_currency_conversion!$J$12*C_depreciation_yearly!$M$27</f>
        <v>4520704.8605845002</v>
      </c>
      <c r="R42" s="189">
        <f>D_invoiced_cost!E31*10^6*D_currency_conversion!$I$12*D_currency_conversion!$J$12*C_depreciation_yearly!M27</f>
        <v>5562610.2005599886</v>
      </c>
      <c r="S42" s="189">
        <f>D_invoiced_cost!F31*10^6*D_currency_conversion!$I$12*D_currency_conversion!$J$12*C_depreciation_yearly!M27</f>
        <v>6428785.5228279177</v>
      </c>
      <c r="T42" s="189">
        <f>D_invoiced_cost!G31*10^6*D_currency_conversion!$I$12*D_currency_conversion!$J$12*C_depreciation_yearly!$M$27</f>
        <v>6659880.5688688699</v>
      </c>
      <c r="U42" s="189">
        <f>D_invoiced_cost!H31*10^6*D_currency_conversion!$I$12*D_currency_conversion!$J$12*C_depreciation_yearly!M27</f>
        <v>6659880.5688688699</v>
      </c>
      <c r="V42" s="189">
        <f>U42</f>
        <v>6659880.5688688699</v>
      </c>
      <c r="W42" s="189">
        <f t="shared" ref="W42:Z42" si="16">V42</f>
        <v>6659880.5688688699</v>
      </c>
      <c r="X42" s="189">
        <f t="shared" si="16"/>
        <v>6659880.5688688699</v>
      </c>
      <c r="Y42" s="189">
        <f t="shared" si="16"/>
        <v>6659880.5688688699</v>
      </c>
      <c r="Z42" s="189">
        <f t="shared" si="16"/>
        <v>6659880.5688688699</v>
      </c>
      <c r="AA42" s="450"/>
    </row>
    <row r="43" spans="1:27" x14ac:dyDescent="0.25">
      <c r="A43" s="201"/>
      <c r="B43" s="1" t="s">
        <v>520</v>
      </c>
      <c r="C43" s="1"/>
      <c r="D43" s="360" t="e">
        <f>F43+Z43*(1/(1+$P$3)^11+1/(1+$P$3)^12+1/(1+$P$3)^13+1/(1+$P$3)^14+1/(1+$P$3)^15+1/(1+$P$3)^16+1/(1+$P$3)^17+1/(1+$P$3)^18+1/(1+$P$3)^19+1/(1+$P$3)^20)</f>
        <v>#REF!</v>
      </c>
      <c r="E43" s="360" t="e">
        <f>F43+Z43*(1/(1+$P$3)^11+1/(1+$P$3)^12+1/(1+$P$3)^13+1/(1+$P$3)^14+1/(1+$P$3)^15)</f>
        <v>#REF!</v>
      </c>
      <c r="F43" s="360" t="e">
        <f>($Q43/(1+$P$3)^1)+($R43/(1+$P$3)^2)+($S43/(1+$P$3)^3)+($T43/(1+$P$3)^4)+($U43/(1+$P$3)^5)+($V43/(1+$P$3)^6)+($W43/(1+$P$3)^7)+($X43/(1+$P$3)^8)+($Y43/(1+$P$3)^9)+($Z43/(1+$P$3)^10)</f>
        <v>#REF!</v>
      </c>
      <c r="G43" s="360" t="e">
        <f>($Q43/(1+$P$3)^1)+($R43/(1+$P$3)^2)+($S43/(1+$P$3)^3)+($T43/(1+$P$3)^4)+($U43/(1+$P$3)^5)+($V43/(1+$P$3)^6)+($W43/(1+$P$3)^7)+($X43/(1+$P$3)^8)+($Y43/(1+$P$3)^9)</f>
        <v>#REF!</v>
      </c>
      <c r="H43" s="360" t="e">
        <f>($Q43/(1+$P$3)^1)+($R43/(1+$P$3)^2)+($S43/(1+$P$3)^3)+($T43/(1+$P$3)^4)+($U43/(1+$P$3)^5)+($V43/(1+$P$3)^6)+($W43/(1+$P$3)^7)+($X43/(1+$P$3)^8)</f>
        <v>#REF!</v>
      </c>
      <c r="I43" s="360" t="e">
        <f>($Q43/(1+$P$3)^1)+($R43/(1+$P$3)^2)+($S43/(1+$P$3)^3)+($T43/(1+$P$3)^4)+($U43/(1+$P$3)^5)+($V43/(1+$P$3)^6)+($W43/(1+$P$3)^7)</f>
        <v>#REF!</v>
      </c>
      <c r="J43" s="360" t="e">
        <f>($Q43/(1+$P$3)^1)+($R43/(1+$P$3)^2)+($S43/(1+$P$3)^3)+($T43/(1+$P$3)^4)+($U43/(1+$P$3)^5)+($V43/(1+$P$3)^6)</f>
        <v>#REF!</v>
      </c>
      <c r="K43" s="360" t="e">
        <f>($Q43/(1+$P$3)^1)+($R43/(1+$P$3)^2)+($S43/(1+$P$3)^3)+($T43/(1+$P$3)^4)+($U43/(1+$P$3)^5)</f>
        <v>#REF!</v>
      </c>
      <c r="L43" s="360" t="e">
        <f>($Q43/(1+$P$3)^1)+($R43/(1+$P$3)^2)+($S43/(1+$P$3)^3)+($T43/(1+$P$3)^4)</f>
        <v>#REF!</v>
      </c>
      <c r="M43" s="360" t="e">
        <f>($Q43/(1+$P$3)^1)+($R43/(1+$P$3)^2)+($S43/(1+$P$3)^3)</f>
        <v>#REF!</v>
      </c>
      <c r="N43" s="360" t="e">
        <f>($Q43/(1+$P$3)^1)+($R43/(1+$P$3)^2)</f>
        <v>#REF!</v>
      </c>
      <c r="O43" s="364" t="e">
        <f>($Q43/(1+$P$3)^1)</f>
        <v>#REF!</v>
      </c>
      <c r="P43" s="7"/>
      <c r="Q43" s="189">
        <f>D_invoiced_cost!D32*10^6*D_currency_conversion!$I$12*D_currency_conversion!$J$12*C_depreciation_yearly!$M$27</f>
        <v>328826.55092752288</v>
      </c>
      <c r="R43" s="189">
        <f>D_invoiced_cost!E32*10^6*D_currency_conversion!$I$12*D_currency_conversion!$J$12*C_depreciation_yearly!$M$27</f>
        <v>328826.55092752288</v>
      </c>
      <c r="S43" s="189">
        <f>D_invoiced_cost!F32*10^6*D_currency_conversion!$I$12*D_currency_conversion!$J$12*C_depreciation_yearly!$M$27</f>
        <v>328826.55092752288</v>
      </c>
      <c r="T43" s="189">
        <f>D_invoiced_cost!G32*10^6*D_currency_conversion!$I$12*D_currency_conversion!$J$12*C_depreciation_yearly!$M$27</f>
        <v>394591.86111302755</v>
      </c>
      <c r="U43" s="189">
        <f>T43</f>
        <v>394591.86111302755</v>
      </c>
      <c r="V43" s="189">
        <f t="shared" ref="V43:Z43" si="17">U43</f>
        <v>394591.86111302755</v>
      </c>
      <c r="W43" s="189">
        <f t="shared" si="17"/>
        <v>394591.86111302755</v>
      </c>
      <c r="X43" s="189">
        <f t="shared" si="17"/>
        <v>394591.86111302755</v>
      </c>
      <c r="Y43" s="189">
        <f t="shared" si="17"/>
        <v>394591.86111302755</v>
      </c>
      <c r="Z43" s="189">
        <f t="shared" si="17"/>
        <v>394591.86111302755</v>
      </c>
      <c r="AA43" s="450"/>
    </row>
    <row r="44" spans="1:27" x14ac:dyDescent="0.25">
      <c r="A44" s="201" t="s">
        <v>515</v>
      </c>
      <c r="B44" s="1"/>
      <c r="C44" s="1"/>
      <c r="D44" s="360" t="e">
        <f>F44+Z44*(1/(1+$P$3)^11+1/(1+$P$3)^12+1/(1+$P$3)^13+1/(1+$P$3)^14+1/(1+$P$3)^15+1/(1+$P$3)^16+1/(1+$P$3)^17+1/(1+$P$3)^18+1/(1+$P$3)^19+1/(1+$P$3)^20)</f>
        <v>#REF!</v>
      </c>
      <c r="E44" s="360" t="e">
        <f>F44+Z44*(1/(1+$P$3)^11+1/(1+$P$3)^12+1/(1+$P$3)^13+1/(1+$P$3)^14+1/(1+$P$3)^15)</f>
        <v>#REF!</v>
      </c>
      <c r="F44" s="360" t="e">
        <f>($Q44/(1+$P$3)^1)+($R44/(1+$P$3)^2)+($S44/(1+$P$3)^3)+($T44/(1+$P$3)^4)+($U44/(1+$P$3)^5)+($V44/(1+$P$3)^6)+($W44/(1+$P$3)^7)+($X44/(1+$P$3)^8)+($Y44/(1+$P$3)^9)+($Z44/(1+$P$3)^10)</f>
        <v>#REF!</v>
      </c>
      <c r="G44" s="360" t="e">
        <f>($Q44/(1+$P$3)^1)+($R44/(1+$P$3)^2)+($S44/(1+$P$3)^3)+($T44/(1+$P$3)^4)+($U44/(1+$P$3)^5)+($V44/(1+$P$3)^6)+($W44/(1+$P$3)^7)+($X44/(1+$P$3)^8)+($Y44/(1+$P$3)^9)</f>
        <v>#REF!</v>
      </c>
      <c r="H44" s="360" t="e">
        <f>($Q44/(1+$P$3)^1)+($R44/(1+$P$3)^2)+($S44/(1+$P$3)^3)+($T44/(1+$P$3)^4)+($U44/(1+$P$3)^5)+($V44/(1+$P$3)^6)+($W44/(1+$P$3)^7)+($X44/(1+$P$3)^8)</f>
        <v>#REF!</v>
      </c>
      <c r="I44" s="360" t="e">
        <f>($Q44/(1+$P$3)^1)+($R44/(1+$P$3)^2)+($S44/(1+$P$3)^3)+($T44/(1+$P$3)^4)+($U44/(1+$P$3)^5)+($V44/(1+$P$3)^6)+($W44/(1+$P$3)^7)</f>
        <v>#REF!</v>
      </c>
      <c r="J44" s="360" t="e">
        <f>($Q44/(1+$P$3)^1)+($R44/(1+$P$3)^2)+($S44/(1+$P$3)^3)+($T44/(1+$P$3)^4)+($U44/(1+$P$3)^5)+($V44/(1+$P$3)^6)</f>
        <v>#REF!</v>
      </c>
      <c r="K44" s="360" t="e">
        <f>($Q44/(1+$P$3)^1)+($R44/(1+$P$3)^2)+($S44/(1+$P$3)^3)+($T44/(1+$P$3)^4)+($U44/(1+$P$3)^5)</f>
        <v>#REF!</v>
      </c>
      <c r="L44" s="360" t="e">
        <f>($Q44/(1+$P$3)^1)+($R44/(1+$P$3)^2)+($S44/(1+$P$3)^3)+($T44/(1+$P$3)^4)</f>
        <v>#REF!</v>
      </c>
      <c r="M44" s="360" t="e">
        <f>($Q44/(1+$P$3)^1)+($R44/(1+$P$3)^2)+($S44/(1+$P$3)^3)</f>
        <v>#REF!</v>
      </c>
      <c r="N44" s="360" t="e">
        <f>($Q44/(1+$P$3)^1)+($R44/(1+$P$3)^2)</f>
        <v>#REF!</v>
      </c>
      <c r="O44" s="364" t="e">
        <f>($Q44/(1+$P$3)^1)</f>
        <v>#REF!</v>
      </c>
      <c r="P44" s="7"/>
      <c r="Q44" s="153">
        <f>C_depreciation_yearly!$N$25</f>
        <v>35295455.79246147</v>
      </c>
      <c r="R44" s="153">
        <f>C_depreciation_yearly!$N$25</f>
        <v>35295455.79246147</v>
      </c>
      <c r="S44" s="153">
        <f>C_depreciation_yearly!$N$25</f>
        <v>35295455.79246147</v>
      </c>
      <c r="T44" s="153">
        <f>C_depreciation_yearly!$N$25</f>
        <v>35295455.79246147</v>
      </c>
      <c r="U44" s="153">
        <f>C_depreciation_yearly!$N$25</f>
        <v>35295455.79246147</v>
      </c>
      <c r="V44" s="153">
        <f>C_depreciation_yearly!$N$25</f>
        <v>35295455.79246147</v>
      </c>
      <c r="W44" s="153">
        <f>C_depreciation_yearly!$N$25</f>
        <v>35295455.79246147</v>
      </c>
      <c r="X44" s="153">
        <f>C_depreciation_yearly!$N$25</f>
        <v>35295455.79246147</v>
      </c>
      <c r="Y44" s="153">
        <f>C_depreciation_yearly!$N$25</f>
        <v>35295455.79246147</v>
      </c>
      <c r="Z44" s="153">
        <f>C_depreciation_yearly!$N$25</f>
        <v>35295455.79246147</v>
      </c>
      <c r="AA44" s="450"/>
    </row>
    <row r="45" spans="1:27" x14ac:dyDescent="0.25">
      <c r="A45" s="201" t="s">
        <v>613</v>
      </c>
      <c r="B45" s="1"/>
      <c r="C45" s="1"/>
      <c r="D45" s="360" t="e">
        <f>SUM(D42:D44)+C_overhead_cost!Q40</f>
        <v>#REF!</v>
      </c>
      <c r="E45" s="360" t="e">
        <f>SUM(E42:E44)+C_overhead_cost!P40</f>
        <v>#REF!</v>
      </c>
      <c r="F45" s="360" t="e">
        <f>SUM(F42:F44)+C_overhead_cost!O40</f>
        <v>#REF!</v>
      </c>
      <c r="G45" s="360" t="e">
        <f>SUM(G42:G44)+C_overhead_cost!N40</f>
        <v>#REF!</v>
      </c>
      <c r="H45" s="360" t="e">
        <f>SUM(H42:H44)+C_overhead_cost!M40</f>
        <v>#REF!</v>
      </c>
      <c r="I45" s="360" t="e">
        <f>SUM(I42:I44)+C_overhead_cost!L40</f>
        <v>#REF!</v>
      </c>
      <c r="J45" s="360" t="e">
        <f>SUM(J42:J44)+C_overhead_cost!K40</f>
        <v>#REF!</v>
      </c>
      <c r="K45" s="360" t="e">
        <f>SUM(K42:K44)+C_overhead_cost!J40</f>
        <v>#REF!</v>
      </c>
      <c r="L45" s="360" t="e">
        <f>SUM(L42:L44)+C_overhead_cost!I40</f>
        <v>#REF!</v>
      </c>
      <c r="M45" s="360" t="e">
        <f>SUM(M42:M44)+C_overhead_cost!H40</f>
        <v>#REF!</v>
      </c>
      <c r="N45" s="360" t="e">
        <f>SUM(N42:N44)+C_overhead_cost!G40</f>
        <v>#REF!</v>
      </c>
      <c r="O45" s="364" t="e">
        <f>SUM(O42:O44)+C_overhead_cost!F40</f>
        <v>#REF!</v>
      </c>
      <c r="P45" s="7"/>
      <c r="Q45" s="153"/>
      <c r="R45" s="153"/>
      <c r="S45" s="153"/>
      <c r="T45" s="153"/>
      <c r="U45" s="153"/>
      <c r="V45" s="153"/>
      <c r="W45" s="153"/>
      <c r="X45" s="153"/>
      <c r="Y45" s="153"/>
      <c r="Z45" s="153"/>
      <c r="AA45" s="450"/>
    </row>
    <row r="46" spans="1:27" x14ac:dyDescent="0.25">
      <c r="A46" s="362" t="s">
        <v>530</v>
      </c>
      <c r="B46" s="7"/>
      <c r="C46" s="7"/>
      <c r="D46" s="360"/>
      <c r="E46" s="360"/>
      <c r="F46" s="7"/>
      <c r="G46" s="7"/>
      <c r="H46" s="7"/>
      <c r="I46" s="7"/>
      <c r="J46" s="7"/>
      <c r="K46" s="7"/>
      <c r="L46" s="7"/>
      <c r="M46" s="7" t="s">
        <v>611</v>
      </c>
      <c r="N46" s="7"/>
      <c r="O46" s="370"/>
      <c r="P46" s="203"/>
      <c r="Q46" s="203"/>
      <c r="R46" s="203"/>
      <c r="S46" s="203"/>
      <c r="T46" s="203"/>
      <c r="U46" s="203"/>
      <c r="V46" s="203"/>
      <c r="W46" s="203"/>
      <c r="X46" s="203"/>
      <c r="Y46" s="203"/>
      <c r="Z46" s="203"/>
      <c r="AA46" s="450"/>
    </row>
    <row r="47" spans="1:27" x14ac:dyDescent="0.25">
      <c r="A47" s="362"/>
      <c r="B47" s="7" t="s">
        <v>618</v>
      </c>
      <c r="C47" s="7">
        <v>1</v>
      </c>
      <c r="D47" s="360" t="e">
        <f>F47+Z47*(1/(1+$P$3)^11+1/(1+$P$3)^12+1/(1+$P$3)^13+1/(1+$P$3)^14+1/(1+$P$3)^15+1/(1+$P$3)^16+1/(1+$P$3)^17+1/(1+$P$3)^18+1/(1+$P$3)^19+1/(1+$P$3)^20)</f>
        <v>#REF!</v>
      </c>
      <c r="E47" s="360" t="e">
        <f>F47+Z47*(1/(1+$P$3)^11+1/(1+$P$3)^12+1/(1+$P$3)^13+1/(1+$P$3)^14+1/(1+$P$3)^15)</f>
        <v>#REF!</v>
      </c>
      <c r="F47" s="360" t="e">
        <f>$P47+($Q47/(1+$P$3)^1)+($R47/(1+$P$3)^2)+($S47/(1+$P$3)^3)+($T47/(1+$P$3)^4)+($U47/(1+$P$3)^5)+($V47/(1+$P$3)^6)+($W47/(1+$P$3)^7)+($X47/(1+$P$3)^8)+($Y47/(1+$P$3)^9)+($Z47/(1+$P$3)^10)</f>
        <v>#REF!</v>
      </c>
      <c r="G47" s="360" t="e">
        <f>$P47+($Q47/(1+$P$3)^1)+($R47/(1+$P$3)^2)+($S47/(1+$P$3)^3)+($T47/(1+$P$3)^4)+($U47/(1+$P$3)^5)+($V47/(1+$P$3)^6)+($W47/(1+$P$3)^7)+($X47/(1+$P$3)^8)+($Y47/(1+$P$3)^9)</f>
        <v>#REF!</v>
      </c>
      <c r="H47" s="360" t="e">
        <f>$P47+($Q47/(1+$P$3)^1)+($R47/(1+$P$3)^2)+($S47/(1+$P$3)^3)+($T47/(1+$P$3)^4)+($U47/(1+$P$3)^5)+($V47/(1+$P$3)^6)+($W47/(1+$P$3)^7)+($X47/(1+$P$3)^8)</f>
        <v>#REF!</v>
      </c>
      <c r="I47" s="360" t="e">
        <f>$P47+($Q47/(1+$P$3)^1)+($R47/(1+$P$3)^2)+($S47/(1+$P$3)^3)+($T47/(1+$P$3)^4)+($U47/(1+$P$3)^5)+($V47/(1+$P$3)^6)+($W47/(1+$P$3)^7)</f>
        <v>#REF!</v>
      </c>
      <c r="J47" s="360" t="e">
        <f>$P47+($Q47/(1+$P$3)^1)+($R47/(1+$P$3)^2)+($S47/(1+$P$3)^3)+($T47/(1+$P$3)^4)+($U47/(1+$P$3)^5)+($V47/(1+$P$3)^6)</f>
        <v>#REF!</v>
      </c>
      <c r="K47" s="360" t="e">
        <f>$P47+($Q47/(1+$P$3)^1)+($R47/(1+$P$3)^2)+($S47/(1+$P$3)^3)+($T47/(1+$P$3)^4)+($U47/(1+$P$3)^5)</f>
        <v>#REF!</v>
      </c>
      <c r="L47" s="360" t="e">
        <f>$P47+($Q47/(1+$P$3)^1)+($R47/(1+$P$3)^2)+($S47/(1+$P$3)^3)+($T47/(1+$P$3)^4)</f>
        <v>#REF!</v>
      </c>
      <c r="M47" s="360" t="e">
        <f>$P47+($Q47/(1+$P$3)^1)+($R47/(1+$P$3)^2)+($S47/(1+$P$3)^3)</f>
        <v>#REF!</v>
      </c>
      <c r="N47" s="360" t="e">
        <f>$P47+($Q47/(1+$P$3)^1)+($R47/(1+$P$3)^2)</f>
        <v>#REF!</v>
      </c>
      <c r="O47" s="364" t="e">
        <f>$P47+($Q47/(1+$P$3)^1)</f>
        <v>#REF!</v>
      </c>
      <c r="P47" s="203"/>
      <c r="Q47" s="318">
        <f>C_downtime_cost!$AD$25*19</f>
        <v>490639.84406610456</v>
      </c>
      <c r="R47" s="318">
        <f>C_downtime_cost!$AD$25*19</f>
        <v>490639.84406610456</v>
      </c>
      <c r="S47" s="318">
        <f>C_downtime_cost!$AD$25*19</f>
        <v>490639.84406610456</v>
      </c>
      <c r="T47" s="318">
        <f>C_downtime_cost!$AD$25*19</f>
        <v>490639.84406610456</v>
      </c>
      <c r="U47" s="318">
        <f>C_downtime_cost!$AD$25*19</f>
        <v>490639.84406610456</v>
      </c>
      <c r="V47" s="318">
        <f>C_downtime_cost!$AD$25*19</f>
        <v>490639.84406610456</v>
      </c>
      <c r="W47" s="318">
        <f>C_downtime_cost!$AD$25*19</f>
        <v>490639.84406610456</v>
      </c>
      <c r="X47" s="318">
        <f>C_downtime_cost!$AD$25*19</f>
        <v>490639.84406610456</v>
      </c>
      <c r="Y47" s="318">
        <f>C_downtime_cost!$AD$25*19</f>
        <v>490639.84406610456</v>
      </c>
      <c r="Z47" s="318">
        <f>C_downtime_cost!$AD$25*19</f>
        <v>490639.84406610456</v>
      </c>
      <c r="AA47" s="450"/>
    </row>
    <row r="48" spans="1:27" x14ac:dyDescent="0.25">
      <c r="A48" s="362"/>
      <c r="B48" s="7" t="s">
        <v>532</v>
      </c>
      <c r="C48" s="7">
        <v>2</v>
      </c>
      <c r="D48" s="360" t="e">
        <f>F48+Z48*(1/(1+$P$3)^11+1/(1+$P$3)^12+1/(1+$P$3)^13+1/(1+$P$3)^14+1/(1+$P$3)^15+1/(1+$P$3)^16+1/(1+$P$3)^17+1/(1+$P$3)^18+1/(1+$P$3)^19+1/(1+$P$3)^20)</f>
        <v>#REF!</v>
      </c>
      <c r="E48" s="360" t="e">
        <f>F48+Z48*(1/(1+$P$3)^11+1/(1+$P$3)^12+1/(1+$P$3)^13+1/(1+$P$3)^14+1/(1+$P$3)^15)</f>
        <v>#REF!</v>
      </c>
      <c r="F48" s="360" t="e">
        <f>$P48+($Q48/(1+$P$3)^1)+($R48/(1+$P$3)^2)+($S48/(1+$P$3)^3)+($T48/(1+$P$3)^4)+($U48/(1+$P$3)^5)+($V48/(1+$P$3)^6)+($W48/(1+$P$3)^7)+($X48/(1+$P$3)^8)+($Y48/(1+$P$3)^9)+($Z48/(1+$P$3)^10)</f>
        <v>#REF!</v>
      </c>
      <c r="G48" s="360" t="e">
        <f>$P48+($Q48/(1+$P$3)^1)+($R48/(1+$P$3)^2)+($S48/(1+$P$3)^3)+($T48/(1+$P$3)^4)+($U48/(1+$P$3)^5)+($V48/(1+$P$3)^6)+($W48/(1+$P$3)^7)+($X48/(1+$P$3)^8)+($Y48/(1+$P$3)^9)</f>
        <v>#REF!</v>
      </c>
      <c r="H48" s="360" t="e">
        <f>$P48+($Q48/(1+$P$3)^1)+($R48/(1+$P$3)^2)+($S48/(1+$P$3)^3)+($T48/(1+$P$3)^4)+($U48/(1+$P$3)^5)+($V48/(1+$P$3)^6)+($W48/(1+$P$3)^7)+($X48/(1+$P$3)^8)</f>
        <v>#REF!</v>
      </c>
      <c r="I48" s="360" t="e">
        <f>$P48+($Q48/(1+$P$3)^1)+($R48/(1+$P$3)^2)+($S48/(1+$P$3)^3)+($T48/(1+$P$3)^4)+($U48/(1+$P$3)^5)+($V48/(1+$P$3)^6)+($W48/(1+$P$3)^7)</f>
        <v>#REF!</v>
      </c>
      <c r="J48" s="360" t="e">
        <f>$P48+($Q48/(1+$P$3)^1)+($R48/(1+$P$3)^2)+($S48/(1+$P$3)^3)+($T48/(1+$P$3)^4)+($U48/(1+$P$3)^5)+($V48/(1+$P$3)^6)</f>
        <v>#REF!</v>
      </c>
      <c r="K48" s="360" t="e">
        <f>$P48+($Q48/(1+$P$3)^1)+($R48/(1+$P$3)^2)+($S48/(1+$P$3)^3)+($T48/(1+$P$3)^4)+($U48/(1+$P$3)^5)</f>
        <v>#REF!</v>
      </c>
      <c r="L48" s="360" t="e">
        <f>$P48+($Q48/(1+$P$3)^1)+($R48/(1+$P$3)^2)+($S48/(1+$P$3)^3)+($T48/(1+$P$3)^4)</f>
        <v>#REF!</v>
      </c>
      <c r="M48" s="360" t="e">
        <f>$P48+($Q48/(1+$P$3)^1)+($R48/(1+$P$3)^2)+($S48/(1+$P$3)^3)</f>
        <v>#REF!</v>
      </c>
      <c r="N48" s="360" t="e">
        <f>$P48+($Q48/(1+$P$3)^1)+($R48/(1+$P$3)^2)</f>
        <v>#REF!</v>
      </c>
      <c r="O48" s="364" t="e">
        <f>$P48+($Q48/(1+$P$3)^1)</f>
        <v>#REF!</v>
      </c>
      <c r="P48" s="203"/>
      <c r="Q48" s="318">
        <f>C_downtime_cost!$AF$25*19</f>
        <v>774635.6773904243</v>
      </c>
      <c r="R48" s="318">
        <f>C_downtime_cost!$AF$25*19</f>
        <v>774635.6773904243</v>
      </c>
      <c r="S48" s="318">
        <f>C_downtime_cost!$AF$25*19</f>
        <v>774635.6773904243</v>
      </c>
      <c r="T48" s="318">
        <f>C_downtime_cost!$AF$25*19</f>
        <v>774635.6773904243</v>
      </c>
      <c r="U48" s="318">
        <f>C_downtime_cost!$AF$25*19</f>
        <v>774635.6773904243</v>
      </c>
      <c r="V48" s="318">
        <f>C_downtime_cost!$AF$25*19</f>
        <v>774635.6773904243</v>
      </c>
      <c r="W48" s="318">
        <f>C_downtime_cost!$AF$25*19</f>
        <v>774635.6773904243</v>
      </c>
      <c r="X48" s="318">
        <f>C_downtime_cost!$AF$25*19</f>
        <v>774635.6773904243</v>
      </c>
      <c r="Y48" s="318">
        <f>C_downtime_cost!$AF$25*19</f>
        <v>774635.6773904243</v>
      </c>
      <c r="Z48" s="318">
        <f>C_downtime_cost!$AF$25*19</f>
        <v>774635.6773904243</v>
      </c>
      <c r="AA48" s="450"/>
    </row>
    <row r="49" spans="1:27" x14ac:dyDescent="0.25">
      <c r="A49" s="362"/>
      <c r="B49" s="7" t="s">
        <v>532</v>
      </c>
      <c r="C49" s="7">
        <v>3</v>
      </c>
      <c r="D49" s="360" t="e">
        <f>F49+Z49*(1/(1+$P$3)^11+1/(1+$P$3)^12+1/(1+$P$3)^13+1/(1+$P$3)^14+1/(1+$P$3)^15+1/(1+$P$3)^16+1/(1+$P$3)^17+1/(1+$P$3)^18+1/(1+$P$3)^19+1/(1+$P$3)^20)</f>
        <v>#REF!</v>
      </c>
      <c r="E49" s="360" t="e">
        <f>F49+Z49*(1/(1+$P$3)^11+1/(1+$P$3)^12+1/(1+$P$3)^13+1/(1+$P$3)^14+1/(1+$P$3)^15)</f>
        <v>#REF!</v>
      </c>
      <c r="F49" s="360" t="e">
        <f>$P49+($Q49/(1+$P$3)^1)+($R49/(1+$P$3)^2)+($S49/(1+$P$3)^3)+($T49/(1+$P$3)^4)+($U49/(1+$P$3)^5)+($V49/(1+$P$3)^6)+($W49/(1+$P$3)^7)+($X49/(1+$P$3)^8)+($Y49/(1+$P$3)^9)+($Z49/(1+$P$3)^10)</f>
        <v>#REF!</v>
      </c>
      <c r="G49" s="360" t="e">
        <f>$P49+($Q49/(1+$P$3)^1)+($R49/(1+$P$3)^2)+($S49/(1+$P$3)^3)+($T49/(1+$P$3)^4)+($U49/(1+$P$3)^5)+($V49/(1+$P$3)^6)+($W49/(1+$P$3)^7)+($X49/(1+$P$3)^8)+($Y49/(1+$P$3)^9)</f>
        <v>#REF!</v>
      </c>
      <c r="H49" s="360" t="e">
        <f>$P49+($Q49/(1+$P$3)^1)+($R49/(1+$P$3)^2)+($S49/(1+$P$3)^3)+($T49/(1+$P$3)^4)+($U49/(1+$P$3)^5)+($V49/(1+$P$3)^6)+($W49/(1+$P$3)^7)+($X49/(1+$P$3)^8)</f>
        <v>#REF!</v>
      </c>
      <c r="I49" s="360" t="e">
        <f>$P49+($Q49/(1+$P$3)^1)+($R49/(1+$P$3)^2)+($S49/(1+$P$3)^3)+($T49/(1+$P$3)^4)+($U49/(1+$P$3)^5)+($V49/(1+$P$3)^6)+($W49/(1+$P$3)^7)</f>
        <v>#REF!</v>
      </c>
      <c r="J49" s="360" t="e">
        <f>$P49+($Q49/(1+$P$3)^1)+($R49/(1+$P$3)^2)+($S49/(1+$P$3)^3)+($T49/(1+$P$3)^4)+($U49/(1+$P$3)^5)+($V49/(1+$P$3)^6)</f>
        <v>#REF!</v>
      </c>
      <c r="K49" s="360" t="e">
        <f>$P49+($Q49/(1+$P$3)^1)+($R49/(1+$P$3)^2)+($S49/(1+$P$3)^3)+($T49/(1+$P$3)^4)+($U49/(1+$P$3)^5)</f>
        <v>#REF!</v>
      </c>
      <c r="L49" s="360" t="e">
        <f>$P49+($Q49/(1+$P$3)^1)+($R49/(1+$P$3)^2)+($S49/(1+$P$3)^3)+($T49/(1+$P$3)^4)</f>
        <v>#REF!</v>
      </c>
      <c r="M49" s="360" t="e">
        <f>$P49+($Q49/(1+$P$3)^1)+($R49/(1+$P$3)^2)+($S49/(1+$P$3)^3)</f>
        <v>#REF!</v>
      </c>
      <c r="N49" s="360" t="e">
        <f>$P49+($Q49/(1+$P$3)^1)+($R49/(1+$P$3)^2)</f>
        <v>#REF!</v>
      </c>
      <c r="O49" s="364" t="e">
        <f>$P49+($Q49/(1+$P$3)^1)</f>
        <v>#REF!</v>
      </c>
      <c r="P49" s="203"/>
      <c r="Q49" s="318">
        <f>C_downtime_cost!$AH$25*19</f>
        <v>2252098.8491772274</v>
      </c>
      <c r="R49" s="318">
        <f>C_downtime_cost!$AH$25*19</f>
        <v>2252098.8491772274</v>
      </c>
      <c r="S49" s="318">
        <f>C_downtime_cost!$AH$25*19</f>
        <v>2252098.8491772274</v>
      </c>
      <c r="T49" s="318">
        <f>C_downtime_cost!$AH$25*19</f>
        <v>2252098.8491772274</v>
      </c>
      <c r="U49" s="318">
        <f>C_downtime_cost!$AH$25*19</f>
        <v>2252098.8491772274</v>
      </c>
      <c r="V49" s="318">
        <f>C_downtime_cost!$AH$25*19</f>
        <v>2252098.8491772274</v>
      </c>
      <c r="W49" s="318">
        <f>C_downtime_cost!$AH$25*19</f>
        <v>2252098.8491772274</v>
      </c>
      <c r="X49" s="318">
        <f>C_downtime_cost!$AH$25*19</f>
        <v>2252098.8491772274</v>
      </c>
      <c r="Y49" s="318">
        <f>C_downtime_cost!$AH$25*19</f>
        <v>2252098.8491772274</v>
      </c>
      <c r="Z49" s="318">
        <f>C_downtime_cost!$AH$25*18</f>
        <v>2133567.3307994786</v>
      </c>
      <c r="AA49" s="450"/>
    </row>
    <row r="50" spans="1:27" x14ac:dyDescent="0.25">
      <c r="A50" s="362"/>
      <c r="B50" s="7"/>
      <c r="C50" s="7"/>
      <c r="D50" s="360"/>
      <c r="E50" s="360"/>
      <c r="F50" s="360"/>
      <c r="G50" s="360"/>
      <c r="H50" s="360"/>
      <c r="I50" s="360"/>
      <c r="J50" s="360"/>
      <c r="K50" s="360"/>
      <c r="L50" s="360"/>
      <c r="M50" s="360"/>
      <c r="N50" s="360"/>
      <c r="O50" s="364"/>
      <c r="P50" s="203"/>
      <c r="Q50" s="318"/>
      <c r="R50" s="318"/>
      <c r="S50" s="318"/>
      <c r="T50" s="318"/>
      <c r="U50" s="318"/>
      <c r="V50" s="318"/>
      <c r="W50" s="318"/>
      <c r="X50" s="318"/>
      <c r="Y50" s="318"/>
      <c r="Z50" s="318"/>
      <c r="AA50" s="450"/>
    </row>
    <row r="51" spans="1:27" x14ac:dyDescent="0.25">
      <c r="A51" s="362" t="s">
        <v>616</v>
      </c>
      <c r="B51" s="7"/>
      <c r="C51" s="7"/>
      <c r="D51" s="360">
        <f>C_overhead_cost!$Q$31</f>
        <v>21448431.861074675</v>
      </c>
      <c r="E51" s="360">
        <f>C_overhead_cost!$Q$31</f>
        <v>21448431.861074675</v>
      </c>
      <c r="F51" s="360">
        <f>C_overhead_cost!$Q$31</f>
        <v>21448431.861074675</v>
      </c>
      <c r="G51" s="360">
        <f>C_overhead_cost!$Q$31</f>
        <v>21448431.861074675</v>
      </c>
      <c r="H51" s="360">
        <f>C_overhead_cost!$Q$31</f>
        <v>21448431.861074675</v>
      </c>
      <c r="I51" s="360">
        <f>C_overhead_cost!$Q$31</f>
        <v>21448431.861074675</v>
      </c>
      <c r="J51" s="360">
        <f>C_overhead_cost!$Q$31</f>
        <v>21448431.861074675</v>
      </c>
      <c r="K51" s="360">
        <f>C_overhead_cost!$Q$31</f>
        <v>21448431.861074675</v>
      </c>
      <c r="L51" s="360">
        <f>C_overhead_cost!$Q$31</f>
        <v>21448431.861074675</v>
      </c>
      <c r="M51" s="360">
        <f>C_overhead_cost!$Q$31</f>
        <v>21448431.861074675</v>
      </c>
      <c r="N51" s="360">
        <f>C_overhead_cost!$Q$31</f>
        <v>21448431.861074675</v>
      </c>
      <c r="O51" s="360">
        <f>C_overhead_cost!$Q$31</f>
        <v>21448431.861074675</v>
      </c>
      <c r="P51" s="210"/>
      <c r="Q51" s="318"/>
      <c r="R51" s="318"/>
      <c r="S51" s="318"/>
      <c r="T51" s="318"/>
      <c r="U51" s="318"/>
      <c r="V51" s="318"/>
      <c r="W51" s="318"/>
      <c r="X51" s="318"/>
      <c r="Y51" s="318"/>
      <c r="Z51" s="318"/>
      <c r="AA51" s="450"/>
    </row>
    <row r="52" spans="1:27" x14ac:dyDescent="0.25">
      <c r="A52" s="362" t="s">
        <v>1</v>
      </c>
      <c r="B52" s="7"/>
      <c r="C52" s="7"/>
      <c r="D52" s="360" t="e">
        <f>D45+D51+D48</f>
        <v>#REF!</v>
      </c>
      <c r="E52" s="360" t="e">
        <f t="shared" ref="E52:N52" si="18">E45+E51+E48</f>
        <v>#REF!</v>
      </c>
      <c r="F52" s="360" t="e">
        <f>F45+F51+F48</f>
        <v>#REF!</v>
      </c>
      <c r="G52" s="360" t="e">
        <f t="shared" si="18"/>
        <v>#REF!</v>
      </c>
      <c r="H52" s="360" t="e">
        <f t="shared" si="18"/>
        <v>#REF!</v>
      </c>
      <c r="I52" s="360" t="e">
        <f t="shared" si="18"/>
        <v>#REF!</v>
      </c>
      <c r="J52" s="360" t="e">
        <f t="shared" si="18"/>
        <v>#REF!</v>
      </c>
      <c r="K52" s="360" t="e">
        <f t="shared" si="18"/>
        <v>#REF!</v>
      </c>
      <c r="L52" s="360" t="e">
        <f t="shared" si="18"/>
        <v>#REF!</v>
      </c>
      <c r="M52" s="360" t="e">
        <f t="shared" si="18"/>
        <v>#REF!</v>
      </c>
      <c r="N52" s="360" t="e">
        <f t="shared" si="18"/>
        <v>#REF!</v>
      </c>
      <c r="O52" s="360" t="e">
        <f>O45+O51+O48</f>
        <v>#REF!</v>
      </c>
      <c r="P52" s="210"/>
      <c r="Q52" s="318"/>
      <c r="R52" s="318"/>
      <c r="S52" s="318"/>
      <c r="T52" s="318"/>
      <c r="U52" s="318"/>
      <c r="V52" s="318"/>
      <c r="W52" s="318"/>
      <c r="X52" s="318"/>
      <c r="Y52" s="318"/>
      <c r="Z52" s="318"/>
      <c r="AA52" s="450"/>
    </row>
    <row r="53" spans="1:27" x14ac:dyDescent="0.25">
      <c r="A53" s="450"/>
      <c r="B53" s="450"/>
      <c r="C53" s="450"/>
      <c r="D53" s="450"/>
      <c r="E53" s="450"/>
      <c r="F53" s="450"/>
      <c r="G53" s="450"/>
      <c r="H53" s="450"/>
      <c r="I53" s="450"/>
      <c r="J53" s="450"/>
      <c r="K53" s="450"/>
      <c r="L53" s="450"/>
      <c r="M53" s="450"/>
      <c r="N53" s="450"/>
      <c r="O53" s="450"/>
      <c r="P53" s="450"/>
      <c r="Q53" s="450"/>
      <c r="R53" s="450"/>
      <c r="S53" s="450"/>
      <c r="T53" s="450"/>
      <c r="U53" s="450"/>
      <c r="V53" s="450"/>
      <c r="W53" s="450"/>
      <c r="X53" s="450"/>
      <c r="Y53" s="450"/>
      <c r="Z53" s="450"/>
      <c r="AA53" s="450"/>
    </row>
    <row r="54" spans="1:27" x14ac:dyDescent="0.25">
      <c r="A54" s="201" t="s">
        <v>667</v>
      </c>
      <c r="B54" s="1"/>
      <c r="C54" s="1"/>
      <c r="D54" s="1"/>
      <c r="E54" s="1"/>
      <c r="F54" s="1"/>
      <c r="G54" s="1"/>
      <c r="H54" s="1"/>
      <c r="I54" s="1"/>
      <c r="J54" s="1"/>
      <c r="K54" s="1"/>
      <c r="L54" s="1"/>
      <c r="M54" s="1"/>
      <c r="N54" s="1"/>
      <c r="O54" s="1"/>
      <c r="P54" s="1"/>
      <c r="Q54" s="1"/>
      <c r="R54" s="1"/>
      <c r="S54" s="1"/>
      <c r="T54" s="1"/>
      <c r="U54" s="1"/>
      <c r="V54" s="1"/>
      <c r="W54" s="1"/>
      <c r="X54" s="1"/>
      <c r="Y54" s="1"/>
      <c r="Z54" s="1"/>
      <c r="AA54" s="1"/>
    </row>
    <row r="70" spans="15:15" x14ac:dyDescent="0.25">
      <c r="O70" s="225">
        <f>N70</f>
        <v>0</v>
      </c>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
  <dimension ref="A1:Y25"/>
  <sheetViews>
    <sheetView workbookViewId="0">
      <selection activeCell="E1" sqref="E1"/>
    </sheetView>
  </sheetViews>
  <sheetFormatPr defaultColWidth="8.7109375" defaultRowHeight="15" x14ac:dyDescent="0.25"/>
  <cols>
    <col min="1" max="2" width="3.85546875" customWidth="1"/>
    <col min="3" max="3" width="19.42578125" bestFit="1" customWidth="1"/>
    <col min="5" max="5" width="9.140625" style="225"/>
    <col min="6" max="6" width="8.28515625" customWidth="1"/>
    <col min="7" max="9" width="4.42578125" style="225" customWidth="1"/>
    <col min="10" max="10" width="7.85546875" customWidth="1"/>
    <col min="11" max="13" width="10.7109375" customWidth="1"/>
    <col min="14" max="19" width="5.7109375" customWidth="1"/>
  </cols>
  <sheetData>
    <row r="1" spans="1:25" s="225" customFormat="1" x14ac:dyDescent="0.25">
      <c r="A1" s="526" t="s">
        <v>664</v>
      </c>
      <c r="B1" s="426"/>
      <c r="C1" s="426"/>
      <c r="D1" s="426"/>
      <c r="E1" s="532" t="str">
        <f>HYPERLINK("#"&amp;ADDRESS(1,1,,,"MASTER"),"M &lt;=")</f>
        <v>M &lt;=</v>
      </c>
      <c r="F1" s="426"/>
      <c r="J1" s="450" t="s">
        <v>674</v>
      </c>
      <c r="K1" s="450"/>
      <c r="L1" s="450"/>
      <c r="M1" s="450"/>
      <c r="N1" s="450"/>
      <c r="O1" s="450"/>
      <c r="P1" s="450"/>
      <c r="Q1" s="450"/>
      <c r="R1" s="450"/>
      <c r="S1" s="450"/>
      <c r="T1" s="238"/>
      <c r="U1" s="238"/>
      <c r="V1" s="238"/>
      <c r="W1" s="238"/>
      <c r="X1" s="238"/>
      <c r="Y1" s="238"/>
    </row>
    <row r="2" spans="1:25" x14ac:dyDescent="0.25">
      <c r="A2" s="527" t="s">
        <v>419</v>
      </c>
      <c r="B2" s="527"/>
      <c r="C2" s="527"/>
      <c r="D2" s="527"/>
      <c r="E2" s="527"/>
      <c r="F2" s="527"/>
      <c r="J2" s="1" t="s">
        <v>405</v>
      </c>
      <c r="K2" s="547" t="s">
        <v>417</v>
      </c>
      <c r="L2" s="547"/>
      <c r="M2" s="547"/>
      <c r="N2" s="547" t="s">
        <v>675</v>
      </c>
      <c r="O2" s="547"/>
      <c r="P2" s="547"/>
      <c r="Q2" s="547"/>
      <c r="R2" s="547"/>
      <c r="S2" s="547"/>
    </row>
    <row r="3" spans="1:25" s="10" customFormat="1" x14ac:dyDescent="0.25">
      <c r="A3" s="11">
        <v>1</v>
      </c>
      <c r="B3" s="11" t="s">
        <v>11</v>
      </c>
      <c r="C3" s="11"/>
      <c r="D3" s="11"/>
      <c r="E3" s="11"/>
      <c r="F3" s="11"/>
      <c r="J3" s="26" t="s">
        <v>401</v>
      </c>
      <c r="K3" s="208" t="s">
        <v>418</v>
      </c>
      <c r="L3" s="26" t="s">
        <v>416</v>
      </c>
      <c r="M3" s="26" t="s">
        <v>420</v>
      </c>
      <c r="N3" s="548" t="s">
        <v>418</v>
      </c>
      <c r="O3" s="549"/>
      <c r="P3" s="549" t="s">
        <v>416</v>
      </c>
      <c r="Q3" s="549"/>
      <c r="R3" s="549" t="s">
        <v>420</v>
      </c>
      <c r="S3" s="549"/>
      <c r="T3"/>
      <c r="U3"/>
      <c r="V3"/>
      <c r="W3"/>
      <c r="X3"/>
      <c r="Y3"/>
    </row>
    <row r="4" spans="1:25" x14ac:dyDescent="0.25">
      <c r="A4" s="1"/>
      <c r="B4" s="1" t="s">
        <v>9</v>
      </c>
      <c r="C4" s="1" t="s">
        <v>16</v>
      </c>
      <c r="D4" s="184" t="s">
        <v>31</v>
      </c>
      <c r="E4" s="184" t="s">
        <v>31</v>
      </c>
      <c r="F4" s="1"/>
      <c r="J4" s="197">
        <v>1</v>
      </c>
      <c r="K4" s="209">
        <f>L4+M4</f>
        <v>776</v>
      </c>
      <c r="L4" s="202">
        <v>81</v>
      </c>
      <c r="M4" s="202">
        <v>695</v>
      </c>
      <c r="N4" s="212">
        <v>507</v>
      </c>
      <c r="O4" s="215">
        <f>N4/K4</f>
        <v>0.65335051546391754</v>
      </c>
      <c r="P4" s="212">
        <v>68</v>
      </c>
      <c r="Q4" s="215">
        <f>P4/L4</f>
        <v>0.83950617283950613</v>
      </c>
      <c r="R4" s="212">
        <v>439</v>
      </c>
      <c r="S4" s="215">
        <f>R4/M4</f>
        <v>0.63165467625899285</v>
      </c>
    </row>
    <row r="5" spans="1:25" x14ac:dyDescent="0.25">
      <c r="A5" s="1"/>
      <c r="B5" s="1" t="s">
        <v>10</v>
      </c>
      <c r="C5" s="1" t="s">
        <v>17</v>
      </c>
      <c r="D5" s="184" t="s">
        <v>32</v>
      </c>
      <c r="E5" s="184" t="s">
        <v>32</v>
      </c>
      <c r="F5" s="1"/>
      <c r="J5" s="205">
        <v>2</v>
      </c>
      <c r="K5" s="210">
        <f t="shared" ref="K5:K12" si="0">L5+M5</f>
        <v>921</v>
      </c>
      <c r="L5" s="203">
        <v>83</v>
      </c>
      <c r="M5" s="203">
        <v>838</v>
      </c>
      <c r="N5" s="213">
        <v>602</v>
      </c>
      <c r="O5" s="216">
        <f t="shared" ref="O5:O12" si="1">N5/K5</f>
        <v>0.65363735070575457</v>
      </c>
      <c r="P5" s="213">
        <v>71</v>
      </c>
      <c r="Q5" s="216">
        <f t="shared" ref="Q5:Q12" si="2">P5/L5</f>
        <v>0.85542168674698793</v>
      </c>
      <c r="R5" s="213">
        <v>531</v>
      </c>
      <c r="S5" s="216">
        <f t="shared" ref="S5:S9" si="3">R5/M5</f>
        <v>0.63365155131264916</v>
      </c>
      <c r="T5" s="10"/>
      <c r="U5" s="10"/>
      <c r="V5" s="10"/>
      <c r="W5" s="10"/>
      <c r="X5" s="10"/>
      <c r="Y5" s="10"/>
    </row>
    <row r="6" spans="1:25" x14ac:dyDescent="0.25">
      <c r="A6" s="1"/>
      <c r="B6" s="1" t="s">
        <v>15</v>
      </c>
      <c r="C6" s="1" t="s">
        <v>18</v>
      </c>
      <c r="D6" s="184" t="s">
        <v>33</v>
      </c>
      <c r="E6" s="184" t="s">
        <v>33</v>
      </c>
      <c r="F6" s="1"/>
      <c r="J6" s="205">
        <v>3</v>
      </c>
      <c r="K6" s="210">
        <f t="shared" si="0"/>
        <v>1000</v>
      </c>
      <c r="L6" s="203">
        <v>85</v>
      </c>
      <c r="M6" s="203">
        <v>915</v>
      </c>
      <c r="N6" s="213">
        <v>658</v>
      </c>
      <c r="O6" s="216">
        <f t="shared" si="1"/>
        <v>0.65800000000000003</v>
      </c>
      <c r="P6" s="213">
        <v>74</v>
      </c>
      <c r="Q6" s="216">
        <f t="shared" si="2"/>
        <v>0.87058823529411766</v>
      </c>
      <c r="R6" s="213">
        <v>584</v>
      </c>
      <c r="S6" s="216">
        <f t="shared" si="3"/>
        <v>0.6382513661202186</v>
      </c>
    </row>
    <row r="7" spans="1:25" s="10" customFormat="1" x14ac:dyDescent="0.25">
      <c r="A7" s="11">
        <v>2</v>
      </c>
      <c r="B7" s="11" t="s">
        <v>43</v>
      </c>
      <c r="C7" s="11"/>
      <c r="D7" s="219"/>
      <c r="E7" s="219"/>
      <c r="F7" s="11"/>
      <c r="J7" s="205">
        <v>4</v>
      </c>
      <c r="K7" s="210">
        <f t="shared" si="0"/>
        <v>1075</v>
      </c>
      <c r="L7" s="203">
        <v>87</v>
      </c>
      <c r="M7" s="203">
        <v>988</v>
      </c>
      <c r="N7" s="213">
        <v>714</v>
      </c>
      <c r="O7" s="216">
        <f t="shared" si="1"/>
        <v>0.66418604651162794</v>
      </c>
      <c r="P7" s="213">
        <v>76</v>
      </c>
      <c r="Q7" s="216">
        <f t="shared" si="2"/>
        <v>0.87356321839080464</v>
      </c>
      <c r="R7" s="213">
        <v>638</v>
      </c>
      <c r="S7" s="216">
        <f t="shared" si="3"/>
        <v>0.64574898785425106</v>
      </c>
      <c r="T7"/>
      <c r="U7"/>
      <c r="V7"/>
      <c r="W7"/>
      <c r="X7"/>
      <c r="Y7"/>
    </row>
    <row r="8" spans="1:25" x14ac:dyDescent="0.25">
      <c r="A8" s="1"/>
      <c r="B8" s="1" t="s">
        <v>9</v>
      </c>
      <c r="C8" s="1" t="s">
        <v>19</v>
      </c>
      <c r="D8" s="184" t="s">
        <v>34</v>
      </c>
      <c r="E8" s="184"/>
      <c r="F8" s="1"/>
      <c r="J8" s="205">
        <v>5</v>
      </c>
      <c r="K8" s="210">
        <f t="shared" si="0"/>
        <v>1108</v>
      </c>
      <c r="L8" s="203">
        <v>92</v>
      </c>
      <c r="M8" s="203">
        <v>1016</v>
      </c>
      <c r="N8" s="213">
        <v>730</v>
      </c>
      <c r="O8" s="216">
        <f t="shared" si="1"/>
        <v>0.65884476534296033</v>
      </c>
      <c r="P8" s="213">
        <v>81</v>
      </c>
      <c r="Q8" s="216">
        <f t="shared" si="2"/>
        <v>0.88043478260869568</v>
      </c>
      <c r="R8" s="213">
        <v>649</v>
      </c>
      <c r="S8" s="216">
        <f t="shared" si="3"/>
        <v>0.63877952755905509</v>
      </c>
      <c r="T8" s="10"/>
      <c r="U8" s="10"/>
      <c r="V8" s="10"/>
      <c r="W8" s="10"/>
      <c r="X8" s="10"/>
      <c r="Y8" s="10"/>
    </row>
    <row r="9" spans="1:25" x14ac:dyDescent="0.25">
      <c r="A9" s="1"/>
      <c r="B9" s="1" t="s">
        <v>10</v>
      </c>
      <c r="C9" s="1" t="s">
        <v>20</v>
      </c>
      <c r="D9" s="184" t="s">
        <v>34</v>
      </c>
      <c r="E9" s="184"/>
      <c r="F9" s="1"/>
      <c r="J9" s="205">
        <v>6</v>
      </c>
      <c r="K9" s="210">
        <f t="shared" si="0"/>
        <v>1132</v>
      </c>
      <c r="L9" s="203">
        <v>97</v>
      </c>
      <c r="M9" s="203">
        <v>1035</v>
      </c>
      <c r="N9" s="213">
        <v>749</v>
      </c>
      <c r="O9" s="216">
        <f t="shared" si="1"/>
        <v>0.66166077738515905</v>
      </c>
      <c r="P9" s="213">
        <v>86</v>
      </c>
      <c r="Q9" s="216">
        <f t="shared" si="2"/>
        <v>0.88659793814432986</v>
      </c>
      <c r="R9" s="213">
        <v>663</v>
      </c>
      <c r="S9" s="216">
        <f t="shared" si="3"/>
        <v>0.64057971014492754</v>
      </c>
      <c r="T9" s="10"/>
      <c r="U9" s="10"/>
      <c r="V9" s="10"/>
      <c r="W9" s="10"/>
      <c r="X9" s="10"/>
      <c r="Y9" s="10"/>
    </row>
    <row r="10" spans="1:25" s="10" customFormat="1" x14ac:dyDescent="0.25">
      <c r="A10" s="11">
        <v>3</v>
      </c>
      <c r="B10" s="11" t="s">
        <v>42</v>
      </c>
      <c r="C10" s="11"/>
      <c r="D10" s="219"/>
      <c r="E10" s="219"/>
      <c r="F10" s="11"/>
      <c r="J10" s="205">
        <v>7</v>
      </c>
      <c r="K10" s="210">
        <f t="shared" si="0"/>
        <v>97</v>
      </c>
      <c r="L10" s="203">
        <v>97</v>
      </c>
      <c r="M10" s="206"/>
      <c r="N10" s="213">
        <v>86</v>
      </c>
      <c r="O10" s="216">
        <f>N10/K10</f>
        <v>0.88659793814432986</v>
      </c>
      <c r="P10" s="213">
        <v>86</v>
      </c>
      <c r="Q10" s="216">
        <f t="shared" si="2"/>
        <v>0.88659793814432986</v>
      </c>
      <c r="R10" s="206"/>
      <c r="S10" s="206"/>
    </row>
    <row r="11" spans="1:25" x14ac:dyDescent="0.25">
      <c r="A11" s="1"/>
      <c r="B11" s="1" t="s">
        <v>9</v>
      </c>
      <c r="C11" s="1" t="s">
        <v>24</v>
      </c>
      <c r="D11" s="184" t="s">
        <v>35</v>
      </c>
      <c r="E11" s="184"/>
      <c r="F11" s="1"/>
      <c r="J11" s="205">
        <v>8</v>
      </c>
      <c r="K11" s="210">
        <f t="shared" si="0"/>
        <v>98</v>
      </c>
      <c r="L11" s="203">
        <v>98</v>
      </c>
      <c r="M11" s="206"/>
      <c r="N11" s="213">
        <v>87</v>
      </c>
      <c r="O11" s="216">
        <f t="shared" si="1"/>
        <v>0.88775510204081631</v>
      </c>
      <c r="P11" s="213">
        <v>87</v>
      </c>
      <c r="Q11" s="216">
        <f t="shared" si="2"/>
        <v>0.88775510204081631</v>
      </c>
      <c r="R11" s="206"/>
      <c r="S11" s="206"/>
    </row>
    <row r="12" spans="1:25" x14ac:dyDescent="0.25">
      <c r="A12" s="1"/>
      <c r="B12" s="1" t="s">
        <v>10</v>
      </c>
      <c r="C12" s="1" t="s">
        <v>25</v>
      </c>
      <c r="D12" s="184" t="s">
        <v>36</v>
      </c>
      <c r="E12" s="184"/>
      <c r="F12" s="1"/>
      <c r="J12" s="9">
        <v>9</v>
      </c>
      <c r="K12" s="211">
        <f t="shared" si="0"/>
        <v>96</v>
      </c>
      <c r="L12" s="204">
        <v>96</v>
      </c>
      <c r="M12" s="207"/>
      <c r="N12" s="214">
        <v>85</v>
      </c>
      <c r="O12" s="217">
        <f t="shared" si="1"/>
        <v>0.88541666666666663</v>
      </c>
      <c r="P12" s="214">
        <v>85</v>
      </c>
      <c r="Q12" s="217">
        <f t="shared" si="2"/>
        <v>0.88541666666666663</v>
      </c>
      <c r="R12" s="206"/>
      <c r="S12" s="206"/>
      <c r="T12" s="225"/>
      <c r="U12" s="225"/>
      <c r="V12" s="225"/>
      <c r="W12" s="225"/>
      <c r="X12" s="225"/>
      <c r="Y12" s="225"/>
    </row>
    <row r="13" spans="1:25" x14ac:dyDescent="0.25">
      <c r="A13" s="1"/>
      <c r="B13" s="1" t="s">
        <v>15</v>
      </c>
      <c r="C13" s="1" t="s">
        <v>26</v>
      </c>
      <c r="D13" s="184" t="s">
        <v>37</v>
      </c>
      <c r="E13" s="184"/>
      <c r="F13" s="1"/>
      <c r="J13" s="545" t="s">
        <v>676</v>
      </c>
      <c r="K13" s="545"/>
      <c r="L13" s="545"/>
      <c r="M13" s="545"/>
      <c r="N13" s="545"/>
      <c r="O13" s="545"/>
      <c r="P13" s="545"/>
      <c r="Q13" s="545"/>
      <c r="R13" s="545"/>
      <c r="S13" s="545"/>
      <c r="T13" s="225"/>
      <c r="U13" s="225"/>
      <c r="V13" s="225"/>
      <c r="W13" s="225"/>
      <c r="X13" s="225"/>
      <c r="Y13" s="225"/>
    </row>
    <row r="14" spans="1:25" x14ac:dyDescent="0.25">
      <c r="A14" s="1"/>
      <c r="B14" s="1" t="s">
        <v>21</v>
      </c>
      <c r="C14" s="1" t="s">
        <v>27</v>
      </c>
      <c r="D14" s="184" t="s">
        <v>38</v>
      </c>
      <c r="E14" s="184"/>
      <c r="F14" s="1"/>
    </row>
    <row r="15" spans="1:25" x14ac:dyDescent="0.25">
      <c r="A15" s="1"/>
      <c r="B15" s="1" t="s">
        <v>22</v>
      </c>
      <c r="C15" s="1" t="s">
        <v>28</v>
      </c>
      <c r="D15" s="184" t="s">
        <v>39</v>
      </c>
      <c r="E15" s="184"/>
      <c r="F15" s="1"/>
      <c r="J15" s="450" t="s">
        <v>665</v>
      </c>
      <c r="K15" s="450"/>
      <c r="L15" s="450"/>
      <c r="M15" s="450"/>
      <c r="N15" s="450"/>
    </row>
    <row r="16" spans="1:25" ht="15.75" thickBot="1" x14ac:dyDescent="0.3">
      <c r="A16" s="1"/>
      <c r="B16" s="1" t="s">
        <v>23</v>
      </c>
      <c r="C16" s="1" t="s">
        <v>29</v>
      </c>
      <c r="D16" s="184" t="s">
        <v>40</v>
      </c>
      <c r="E16" s="184"/>
      <c r="F16" s="1"/>
      <c r="J16" s="11"/>
      <c r="K16" s="11"/>
      <c r="L16" s="11"/>
      <c r="M16" s="14"/>
      <c r="N16" s="11" t="s">
        <v>614</v>
      </c>
    </row>
    <row r="17" spans="1:25" s="10" customFormat="1" ht="15.75" thickTop="1" x14ac:dyDescent="0.25">
      <c r="A17" s="11">
        <v>4</v>
      </c>
      <c r="B17" s="11" t="s">
        <v>2</v>
      </c>
      <c r="C17" s="11"/>
      <c r="D17" s="219"/>
      <c r="E17" s="219"/>
      <c r="F17" s="11"/>
      <c r="J17" s="256" t="s">
        <v>433</v>
      </c>
      <c r="K17" s="256"/>
      <c r="L17" s="256"/>
      <c r="M17" s="257">
        <f>AVERAGE($K$4:$K$9)</f>
        <v>1002</v>
      </c>
      <c r="N17" s="257">
        <f>AVERAGE($K$4:$K$9)</f>
        <v>1002</v>
      </c>
      <c r="S17"/>
      <c r="T17"/>
      <c r="U17"/>
      <c r="V17"/>
      <c r="W17"/>
      <c r="X17"/>
    </row>
    <row r="18" spans="1:25" x14ac:dyDescent="0.25">
      <c r="A18" s="1"/>
      <c r="B18" s="1" t="s">
        <v>9</v>
      </c>
      <c r="C18" s="1" t="s">
        <v>8</v>
      </c>
      <c r="D18" s="184" t="s">
        <v>5</v>
      </c>
      <c r="E18" s="184" t="s">
        <v>5</v>
      </c>
      <c r="F18" s="1"/>
      <c r="J18" s="1" t="s">
        <v>457</v>
      </c>
      <c r="K18" s="1"/>
      <c r="L18" s="1"/>
      <c r="M18" s="222">
        <f>MAX($K$4:$K$12)</f>
        <v>1132</v>
      </c>
      <c r="N18" s="222">
        <f>MAX($K$4:$K$12)</f>
        <v>1132</v>
      </c>
    </row>
    <row r="19" spans="1:25" x14ac:dyDescent="0.25">
      <c r="A19" s="1"/>
      <c r="B19" s="1" t="s">
        <v>10</v>
      </c>
      <c r="C19" s="1" t="s">
        <v>30</v>
      </c>
      <c r="D19" s="184" t="s">
        <v>41</v>
      </c>
      <c r="E19" s="184"/>
      <c r="F19" s="1"/>
      <c r="J19" s="1" t="s">
        <v>456</v>
      </c>
      <c r="K19" s="1"/>
      <c r="L19" s="1"/>
      <c r="M19" s="222">
        <f>MAX(N4:N9)</f>
        <v>749</v>
      </c>
      <c r="N19" s="440">
        <f>C_depreciation_yearly!K23</f>
        <v>419</v>
      </c>
    </row>
    <row r="20" spans="1:25" s="10" customFormat="1" x14ac:dyDescent="0.25">
      <c r="A20" s="11">
        <v>5</v>
      </c>
      <c r="B20" s="11" t="s">
        <v>12</v>
      </c>
      <c r="C20" s="11"/>
      <c r="D20" s="233" t="s">
        <v>4</v>
      </c>
      <c r="E20" s="233" t="s">
        <v>4</v>
      </c>
      <c r="F20" s="11"/>
      <c r="J20" s="198" t="s">
        <v>432</v>
      </c>
      <c r="K20" s="198"/>
      <c r="L20" s="198"/>
      <c r="M20" s="528">
        <f>M19/M18</f>
        <v>0.66166077738515905</v>
      </c>
      <c r="N20" s="528">
        <f>N19/N18</f>
        <v>0.37014134275618377</v>
      </c>
      <c r="T20"/>
      <c r="U20"/>
      <c r="V20"/>
      <c r="W20"/>
      <c r="X20"/>
      <c r="Y20"/>
    </row>
    <row r="21" spans="1:25" s="10" customFormat="1" x14ac:dyDescent="0.25">
      <c r="A21" s="11">
        <v>6</v>
      </c>
      <c r="B21" s="11" t="s">
        <v>13</v>
      </c>
      <c r="C21" s="11"/>
      <c r="D21" s="233" t="s">
        <v>3</v>
      </c>
      <c r="E21" s="233" t="s">
        <v>3</v>
      </c>
      <c r="F21" s="11"/>
      <c r="J21" s="546" t="s">
        <v>677</v>
      </c>
      <c r="K21" s="546"/>
      <c r="L21" s="546"/>
      <c r="M21" s="546"/>
      <c r="N21" s="546"/>
      <c r="T21"/>
      <c r="U21"/>
      <c r="V21"/>
      <c r="W21"/>
      <c r="X21"/>
      <c r="Y21"/>
    </row>
    <row r="22" spans="1:25" s="10" customFormat="1" x14ac:dyDescent="0.25">
      <c r="T22"/>
      <c r="U22"/>
      <c r="V22"/>
      <c r="W22"/>
      <c r="X22"/>
      <c r="Y22"/>
    </row>
    <row r="24" spans="1:25" s="225" customFormat="1" x14ac:dyDescent="0.25">
      <c r="T24"/>
      <c r="U24"/>
      <c r="V24"/>
      <c r="W24"/>
      <c r="X24"/>
      <c r="Y24"/>
    </row>
    <row r="25" spans="1:25" s="225" customFormat="1" x14ac:dyDescent="0.25">
      <c r="T25"/>
      <c r="U25"/>
      <c r="V25"/>
      <c r="W25"/>
      <c r="X25"/>
      <c r="Y25"/>
    </row>
  </sheetData>
  <mergeCells count="7">
    <mergeCell ref="J13:S13"/>
    <mergeCell ref="J21:N21"/>
    <mergeCell ref="K2:M2"/>
    <mergeCell ref="N3:O3"/>
    <mergeCell ref="P3:Q3"/>
    <mergeCell ref="R3:S3"/>
    <mergeCell ref="N2:S2"/>
  </mergeCells>
  <pageMargins left="0.7" right="0.7" top="0.75" bottom="0.75" header="0.3" footer="0.3"/>
  <pageSetup paperSize="9" orientation="portrait" horizontalDpi="0" verticalDpi="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7"/>
  <dimension ref="A1:S304"/>
  <sheetViews>
    <sheetView zoomScaleNormal="100" workbookViewId="0">
      <selection activeCell="M27" sqref="M27"/>
    </sheetView>
  </sheetViews>
  <sheetFormatPr defaultColWidth="8.7109375" defaultRowHeight="15" x14ac:dyDescent="0.25"/>
  <cols>
    <col min="1" max="2" width="3.85546875" customWidth="1"/>
    <col min="3" max="3" width="19.42578125" bestFit="1" customWidth="1"/>
    <col min="5" max="5" width="15.42578125" customWidth="1"/>
    <col min="6" max="6" width="15.42578125" style="225" customWidth="1"/>
    <col min="11" max="12" width="12" style="225" customWidth="1"/>
    <col min="13" max="13" width="14.42578125" style="225" customWidth="1"/>
    <col min="14" max="14" width="10.140625" bestFit="1" customWidth="1"/>
    <col min="15" max="15" width="12" bestFit="1" customWidth="1"/>
    <col min="16" max="16" width="14.42578125" style="225" customWidth="1"/>
    <col min="17" max="17" width="9.140625" style="225"/>
    <col min="18" max="18" width="12" style="225" bestFit="1" customWidth="1"/>
  </cols>
  <sheetData>
    <row r="1" spans="1:19" s="225" customFormat="1" x14ac:dyDescent="0.25">
      <c r="A1" s="525" t="s">
        <v>678</v>
      </c>
      <c r="B1" s="17"/>
      <c r="C1" s="17"/>
      <c r="D1" s="17"/>
      <c r="E1" s="17"/>
      <c r="F1" s="17"/>
      <c r="G1" s="17"/>
      <c r="H1" s="17"/>
    </row>
    <row r="2" spans="1:19" x14ac:dyDescent="0.25">
      <c r="A2" s="7" t="s">
        <v>14</v>
      </c>
      <c r="B2" s="7"/>
      <c r="C2" s="7"/>
      <c r="D2" s="533" t="str">
        <f>HYPERLINK("#"&amp;ADDRESS(1,1,,,"MASTER"),"M &lt;=")</f>
        <v>M &lt;=</v>
      </c>
      <c r="E2" s="474" t="s">
        <v>229</v>
      </c>
      <c r="F2" s="474" t="s">
        <v>229</v>
      </c>
      <c r="G2" s="550" t="s">
        <v>44</v>
      </c>
      <c r="H2" s="550"/>
      <c r="I2" s="547" t="s">
        <v>454</v>
      </c>
      <c r="J2" s="547"/>
      <c r="K2" s="475" t="s">
        <v>405</v>
      </c>
      <c r="L2" s="475" t="s">
        <v>517</v>
      </c>
      <c r="M2" s="479" t="s">
        <v>459</v>
      </c>
      <c r="N2" s="550" t="s">
        <v>458</v>
      </c>
      <c r="O2" s="551"/>
      <c r="P2" s="475" t="s">
        <v>518</v>
      </c>
      <c r="Q2" s="547" t="s">
        <v>522</v>
      </c>
      <c r="R2" s="547"/>
      <c r="S2" s="474" t="s">
        <v>523</v>
      </c>
    </row>
    <row r="3" spans="1:19" x14ac:dyDescent="0.25">
      <c r="A3" s="198"/>
      <c r="B3" s="198"/>
      <c r="C3" s="198"/>
      <c r="D3" s="198"/>
      <c r="E3" s="477" t="s">
        <v>627</v>
      </c>
      <c r="F3" s="477" t="s">
        <v>628</v>
      </c>
      <c r="G3" s="477" t="s">
        <v>7</v>
      </c>
      <c r="H3" s="477" t="s">
        <v>6</v>
      </c>
      <c r="I3" s="477" t="s">
        <v>7</v>
      </c>
      <c r="J3" s="477" t="s">
        <v>6</v>
      </c>
      <c r="K3" s="477" t="s">
        <v>455</v>
      </c>
      <c r="L3" s="477" t="s">
        <v>455</v>
      </c>
      <c r="M3" s="476" t="s">
        <v>627</v>
      </c>
      <c r="N3" s="477" t="s">
        <v>7</v>
      </c>
      <c r="O3" s="269" t="s">
        <v>6</v>
      </c>
      <c r="P3" s="477" t="s">
        <v>629</v>
      </c>
      <c r="Q3" s="477" t="s">
        <v>7</v>
      </c>
      <c r="R3" s="477" t="s">
        <v>6</v>
      </c>
      <c r="S3" s="474" t="s">
        <v>524</v>
      </c>
    </row>
    <row r="4" spans="1:19" s="10" customFormat="1" x14ac:dyDescent="0.25">
      <c r="A4" s="3">
        <v>1</v>
      </c>
      <c r="B4" s="3" t="s">
        <v>11</v>
      </c>
      <c r="C4" s="3"/>
      <c r="D4" s="3"/>
      <c r="E4" s="473"/>
      <c r="F4" s="473"/>
      <c r="G4" s="3"/>
      <c r="H4" s="3"/>
      <c r="I4" s="3"/>
      <c r="J4" s="3"/>
      <c r="K4" s="3"/>
      <c r="L4" s="3"/>
      <c r="M4" s="264"/>
      <c r="N4" s="190"/>
      <c r="O4" s="265"/>
      <c r="P4" s="190"/>
      <c r="Q4" s="11"/>
      <c r="R4" s="11"/>
      <c r="S4" s="3"/>
    </row>
    <row r="5" spans="1:19" x14ac:dyDescent="0.25">
      <c r="A5" s="7"/>
      <c r="B5" s="7" t="s">
        <v>9</v>
      </c>
      <c r="C5" s="7" t="s">
        <v>16</v>
      </c>
      <c r="D5" s="7" t="s">
        <v>31</v>
      </c>
      <c r="E5" s="253">
        <f>1000*D_device_values!$Q$4*(1/D_currency_conversion!$H$7)*D_currency_conversion!$H$6</f>
        <v>849913.18946918368</v>
      </c>
      <c r="F5" s="253">
        <f>E5*D_currency_conversion!$I$12*D_currency_conversion!$J$12</f>
        <v>997381.25631597533</v>
      </c>
      <c r="G5" s="188">
        <f>D_device_lifecycles!$X$4</f>
        <v>7.5</v>
      </c>
      <c r="H5" s="188" t="e">
        <f>D_device_lifecycles!$Y$4</f>
        <v>#REF!</v>
      </c>
      <c r="I5" s="253">
        <f>$F5/G5</f>
        <v>132984.1675087967</v>
      </c>
      <c r="J5" s="253" t="e">
        <f>$F5/H5</f>
        <v>#REF!</v>
      </c>
      <c r="K5" s="253">
        <v>11</v>
      </c>
      <c r="L5" s="259">
        <f>K5/18</f>
        <v>0.61111111111111116</v>
      </c>
      <c r="M5" s="334">
        <f>K5*E5</f>
        <v>9349045.0841610208</v>
      </c>
      <c r="N5" s="253">
        <f>K5*I5</f>
        <v>1462825.8425967637</v>
      </c>
      <c r="O5" s="335" t="e">
        <f>K5*J5</f>
        <v>#REF!</v>
      </c>
      <c r="P5" s="253">
        <f>L5*E5</f>
        <v>519391.3935645012</v>
      </c>
      <c r="Q5" s="253">
        <f>I5*L5</f>
        <v>81268.102366486884</v>
      </c>
      <c r="R5" s="253" t="e">
        <f>L5*J5</f>
        <v>#REF!</v>
      </c>
      <c r="S5" s="521" t="e">
        <f>(G5-H5)/G5</f>
        <v>#REF!</v>
      </c>
    </row>
    <row r="6" spans="1:19" x14ac:dyDescent="0.25">
      <c r="A6" s="7"/>
      <c r="B6" s="7" t="s">
        <v>10</v>
      </c>
      <c r="C6" s="7" t="s">
        <v>17</v>
      </c>
      <c r="D6" s="7" t="s">
        <v>32</v>
      </c>
      <c r="E6" s="253">
        <f>1000*D_device_values!$Q$5*(1/D_currency_conversion!$H$7)*D_currency_conversion!$H$6</f>
        <v>64714.20224384647</v>
      </c>
      <c r="F6" s="253">
        <f>E6*D_currency_conversion!$I$12*D_currency_conversion!$J$12</f>
        <v>75942.735252485436</v>
      </c>
      <c r="G6" s="188">
        <f>D_device_lifecycles!$X$5</f>
        <v>9</v>
      </c>
      <c r="H6" s="188" t="e">
        <f>D_device_lifecycles!$Y$5</f>
        <v>#REF!</v>
      </c>
      <c r="I6" s="253">
        <f t="shared" ref="I6:I22" si="0">$F6/G6</f>
        <v>8438.081694720604</v>
      </c>
      <c r="J6" s="253" t="e">
        <f t="shared" ref="J6:J22" si="1">$F6/H6</f>
        <v>#REF!</v>
      </c>
      <c r="K6" s="253">
        <v>53</v>
      </c>
      <c r="L6" s="259">
        <f t="shared" ref="L6:L7" si="2">K6/18</f>
        <v>2.9444444444444446</v>
      </c>
      <c r="M6" s="334">
        <f t="shared" ref="M6:M22" si="3">K6*E6</f>
        <v>3429852.718923863</v>
      </c>
      <c r="N6" s="253">
        <f>K6*I6</f>
        <v>447218.32982019201</v>
      </c>
      <c r="O6" s="335" t="e">
        <f>K6*J6</f>
        <v>#REF!</v>
      </c>
      <c r="P6" s="253">
        <f t="shared" ref="P6:P7" si="4">L6*E6</f>
        <v>190547.37327354794</v>
      </c>
      <c r="Q6" s="253">
        <f>I6*L6</f>
        <v>24845.462767788445</v>
      </c>
      <c r="R6" s="253" t="e">
        <f>L6*J6</f>
        <v>#REF!</v>
      </c>
      <c r="S6" s="521" t="e">
        <f t="shared" ref="S6:S7" si="5">(G6-H6)/G6</f>
        <v>#REF!</v>
      </c>
    </row>
    <row r="7" spans="1:19" x14ac:dyDescent="0.25">
      <c r="A7" s="7"/>
      <c r="B7" s="7" t="s">
        <v>15</v>
      </c>
      <c r="C7" s="7" t="s">
        <v>18</v>
      </c>
      <c r="D7" s="7" t="s">
        <v>33</v>
      </c>
      <c r="E7" s="253">
        <f>1000*D_device_values!$Q$6*(1/D_currency_conversion!$H$7)*D_currency_conversion!$H$6</f>
        <v>207085.44718030869</v>
      </c>
      <c r="F7" s="253">
        <f>E7*D_currency_conversion!$I$12*D_currency_conversion!$J$12</f>
        <v>243016.75280795337</v>
      </c>
      <c r="G7" s="188">
        <f>D_device_lifecycles!$X$6</f>
        <v>10</v>
      </c>
      <c r="H7" s="188" t="e">
        <f>D_device_lifecycles!$Y$6</f>
        <v>#REF!</v>
      </c>
      <c r="I7" s="253">
        <f t="shared" si="0"/>
        <v>24301.675280795338</v>
      </c>
      <c r="J7" s="253" t="e">
        <f t="shared" si="1"/>
        <v>#REF!</v>
      </c>
      <c r="K7" s="253">
        <v>41</v>
      </c>
      <c r="L7" s="259">
        <f t="shared" si="2"/>
        <v>2.2777777777777777</v>
      </c>
      <c r="M7" s="334">
        <f t="shared" si="3"/>
        <v>8490503.3343926556</v>
      </c>
      <c r="N7" s="253">
        <f>K7*I7</f>
        <v>996368.6865126089</v>
      </c>
      <c r="O7" s="335" t="e">
        <f>K7*J7</f>
        <v>#REF!</v>
      </c>
      <c r="P7" s="253">
        <f t="shared" si="4"/>
        <v>471694.62968848087</v>
      </c>
      <c r="Q7" s="253">
        <f>I7*L7</f>
        <v>55353.815917367159</v>
      </c>
      <c r="R7" s="253" t="e">
        <f>L7*J7</f>
        <v>#REF!</v>
      </c>
      <c r="S7" s="521" t="e">
        <f t="shared" si="5"/>
        <v>#REF!</v>
      </c>
    </row>
    <row r="8" spans="1:19" s="10" customFormat="1" x14ac:dyDescent="0.25">
      <c r="A8" s="190">
        <v>2</v>
      </c>
      <c r="B8" s="190" t="s">
        <v>43</v>
      </c>
      <c r="C8" s="190"/>
      <c r="D8" s="190"/>
      <c r="E8" s="474"/>
      <c r="F8" s="253"/>
      <c r="G8" s="188"/>
      <c r="H8" s="188"/>
      <c r="I8" s="253"/>
      <c r="J8" s="253"/>
      <c r="K8" s="253"/>
      <c r="L8" s="253"/>
      <c r="M8" s="334"/>
      <c r="N8" s="253"/>
      <c r="O8" s="335"/>
      <c r="P8" s="253"/>
      <c r="Q8" s="253"/>
      <c r="R8" s="253"/>
      <c r="S8" s="521"/>
    </row>
    <row r="9" spans="1:19" x14ac:dyDescent="0.25">
      <c r="A9" s="7"/>
      <c r="B9" s="7" t="s">
        <v>9</v>
      </c>
      <c r="C9" s="7" t="s">
        <v>19</v>
      </c>
      <c r="D9" s="7" t="s">
        <v>34</v>
      </c>
      <c r="E9" s="253">
        <f>1000*D_device_values!$Q$8*(1/D_currency_conversion!$H$7)*D_currency_conversion!$H$6</f>
        <v>173469.52185035453</v>
      </c>
      <c r="F9" s="253">
        <f>E9*D_currency_conversion!$I$12*D_currency_conversion!$J$12</f>
        <v>203568.14293433359</v>
      </c>
      <c r="G9" s="188">
        <f>D_device_lifecycles!$X$8</f>
        <v>10</v>
      </c>
      <c r="H9" s="188" t="e">
        <f>D_device_lifecycles!$Y$8</f>
        <v>#REF!</v>
      </c>
      <c r="I9" s="253">
        <f t="shared" si="0"/>
        <v>20356.814293433359</v>
      </c>
      <c r="J9" s="253" t="e">
        <f t="shared" si="1"/>
        <v>#REF!</v>
      </c>
      <c r="K9" s="253">
        <v>22</v>
      </c>
      <c r="L9" s="259">
        <f t="shared" ref="L9:L10" si="6">K9/18</f>
        <v>1.2222222222222223</v>
      </c>
      <c r="M9" s="334">
        <f t="shared" si="3"/>
        <v>3816329.4807077996</v>
      </c>
      <c r="N9" s="253">
        <f>K9*I9</f>
        <v>447849.9144555339</v>
      </c>
      <c r="O9" s="335" t="e">
        <f>K9*J9</f>
        <v>#REF!</v>
      </c>
      <c r="P9" s="253">
        <f t="shared" ref="P9:P10" si="7">L9*E9</f>
        <v>212018.30448376667</v>
      </c>
      <c r="Q9" s="253">
        <f t="shared" ref="Q9:Q10" si="8">I9*L9</f>
        <v>24880.550803085218</v>
      </c>
      <c r="R9" s="253" t="e">
        <f t="shared" ref="R9:R10" si="9">L9*J9</f>
        <v>#REF!</v>
      </c>
      <c r="S9" s="521" t="e">
        <f t="shared" ref="S9:S10" si="10">(G9-H9)/G9</f>
        <v>#REF!</v>
      </c>
    </row>
    <row r="10" spans="1:19" x14ac:dyDescent="0.25">
      <c r="A10" s="7"/>
      <c r="B10" s="7" t="s">
        <v>10</v>
      </c>
      <c r="C10" s="7" t="s">
        <v>20</v>
      </c>
      <c r="D10" s="7" t="s">
        <v>34</v>
      </c>
      <c r="E10" s="253">
        <f>1000*D_device_values!$Q$9*(1/D_currency_conversion!$H$7)*D_currency_conversion!$H$6</f>
        <v>173732.7429469417</v>
      </c>
      <c r="F10" s="253">
        <f>E10*D_currency_conversion!$I$12*D_currency_conversion!$J$12</f>
        <v>203877.03540859552</v>
      </c>
      <c r="G10" s="188">
        <f>D_device_lifecycles!$X$9</f>
        <v>11</v>
      </c>
      <c r="H10" s="188" t="e">
        <f>D_device_lifecycles!$Y$9</f>
        <v>#REF!</v>
      </c>
      <c r="I10" s="253">
        <f t="shared" si="0"/>
        <v>18534.275946235957</v>
      </c>
      <c r="J10" s="253" t="e">
        <f>$F10/H10</f>
        <v>#REF!</v>
      </c>
      <c r="K10" s="253">
        <v>22</v>
      </c>
      <c r="L10" s="259">
        <f t="shared" si="6"/>
        <v>1.2222222222222223</v>
      </c>
      <c r="M10" s="334">
        <f t="shared" si="3"/>
        <v>3822120.3448327174</v>
      </c>
      <c r="N10" s="253">
        <f>K10*I10</f>
        <v>407754.07081719104</v>
      </c>
      <c r="O10" s="335" t="e">
        <f>K10*J10</f>
        <v>#REF!</v>
      </c>
      <c r="P10" s="253">
        <f t="shared" si="7"/>
        <v>212340.0191573732</v>
      </c>
      <c r="Q10" s="253">
        <f t="shared" si="8"/>
        <v>22653.003934288394</v>
      </c>
      <c r="R10" s="253" t="e">
        <f t="shared" si="9"/>
        <v>#REF!</v>
      </c>
      <c r="S10" s="521" t="e">
        <f t="shared" si="10"/>
        <v>#REF!</v>
      </c>
    </row>
    <row r="11" spans="1:19" s="10" customFormat="1" x14ac:dyDescent="0.25">
      <c r="A11" s="190">
        <v>3</v>
      </c>
      <c r="B11" s="190" t="s">
        <v>42</v>
      </c>
      <c r="C11" s="190"/>
      <c r="D11" s="190"/>
      <c r="E11" s="474"/>
      <c r="F11" s="253"/>
      <c r="G11" s="188"/>
      <c r="H11" s="188"/>
      <c r="I11" s="253"/>
      <c r="J11" s="253"/>
      <c r="K11" s="253"/>
      <c r="L11" s="253"/>
      <c r="M11" s="334"/>
      <c r="N11" s="253"/>
      <c r="O11" s="335"/>
      <c r="P11" s="253"/>
      <c r="Q11" s="253"/>
      <c r="R11" s="253"/>
      <c r="S11" s="521"/>
    </row>
    <row r="12" spans="1:19" x14ac:dyDescent="0.25">
      <c r="A12" s="7"/>
      <c r="B12" s="7" t="s">
        <v>9</v>
      </c>
      <c r="C12" s="7" t="s">
        <v>24</v>
      </c>
      <c r="D12" s="7" t="s">
        <v>35</v>
      </c>
      <c r="E12" s="253">
        <f>1000*D_device_values!$Q$11*(1/D_currency_conversion!$H$7)*D_currency_conversion!$H$6</f>
        <v>1064482.5920110256</v>
      </c>
      <c r="F12" s="253">
        <f>E12*D_currency_conversion!$I$12*D_currency_conversion!$J$12</f>
        <v>1249180.502316393</v>
      </c>
      <c r="G12" s="188">
        <f>D_device_lifecycles!$X$11</f>
        <v>10</v>
      </c>
      <c r="H12" s="188" t="e">
        <f>D_device_lifecycles!$Y$11</f>
        <v>#REF!</v>
      </c>
      <c r="I12" s="253">
        <f t="shared" si="0"/>
        <v>124918.0502316393</v>
      </c>
      <c r="J12" s="253" t="e">
        <f t="shared" si="1"/>
        <v>#REF!</v>
      </c>
      <c r="K12" s="253">
        <v>4</v>
      </c>
      <c r="L12" s="259">
        <f t="shared" ref="L12:L17" si="11">K12/18</f>
        <v>0.22222222222222221</v>
      </c>
      <c r="M12" s="334">
        <f t="shared" si="3"/>
        <v>4257930.3680441026</v>
      </c>
      <c r="N12" s="253">
        <f t="shared" ref="N12:N17" si="12">K12*I12</f>
        <v>499672.20092655718</v>
      </c>
      <c r="O12" s="335" t="e">
        <f t="shared" ref="O12:O17" si="13">K12*J12</f>
        <v>#REF!</v>
      </c>
      <c r="P12" s="253">
        <f t="shared" ref="P12:P17" si="14">L12*E12</f>
        <v>236551.68711356123</v>
      </c>
      <c r="Q12" s="253">
        <f t="shared" ref="Q12:Q17" si="15">I12*L12</f>
        <v>27759.566718142065</v>
      </c>
      <c r="R12" s="253" t="e">
        <f t="shared" ref="R12:R17" si="16">L12*J12</f>
        <v>#REF!</v>
      </c>
      <c r="S12" s="521" t="e">
        <f t="shared" ref="S12:S17" si="17">(G12-H12)/G12</f>
        <v>#REF!</v>
      </c>
    </row>
    <row r="13" spans="1:19" x14ac:dyDescent="0.25">
      <c r="A13" s="7"/>
      <c r="B13" s="7" t="s">
        <v>10</v>
      </c>
      <c r="C13" s="7" t="s">
        <v>25</v>
      </c>
      <c r="D13" s="7" t="s">
        <v>36</v>
      </c>
      <c r="E13" s="253">
        <f>1000*D_device_values!$Q$12*(1/D_currency_conversion!$H$7)*D_currency_conversion!$H$6</f>
        <v>362399.53256554028</v>
      </c>
      <c r="F13" s="253">
        <f>E13*D_currency_conversion!$I$12*D_currency_conversion!$J$12</f>
        <v>425279.31741391844</v>
      </c>
      <c r="G13" s="188">
        <f>D_device_lifecycles!$X$12</f>
        <v>9</v>
      </c>
      <c r="H13" s="188" t="e">
        <f>D_device_lifecycles!$Y$12</f>
        <v>#REF!</v>
      </c>
      <c r="I13" s="253">
        <f t="shared" si="0"/>
        <v>47253.257490435382</v>
      </c>
      <c r="J13" s="253" t="e">
        <f t="shared" si="1"/>
        <v>#REF!</v>
      </c>
      <c r="K13" s="253">
        <v>13</v>
      </c>
      <c r="L13" s="259">
        <f t="shared" si="11"/>
        <v>0.72222222222222221</v>
      </c>
      <c r="M13" s="334">
        <f t="shared" si="3"/>
        <v>4711193.9233520236</v>
      </c>
      <c r="N13" s="253">
        <f t="shared" si="12"/>
        <v>614292.34737565997</v>
      </c>
      <c r="O13" s="335" t="e">
        <f t="shared" si="13"/>
        <v>#REF!</v>
      </c>
      <c r="P13" s="253">
        <f t="shared" si="14"/>
        <v>261732.9957417791</v>
      </c>
      <c r="Q13" s="253">
        <f t="shared" si="15"/>
        <v>34127.352631981106</v>
      </c>
      <c r="R13" s="253" t="e">
        <f t="shared" si="16"/>
        <v>#REF!</v>
      </c>
      <c r="S13" s="521" t="e">
        <f t="shared" si="17"/>
        <v>#REF!</v>
      </c>
    </row>
    <row r="14" spans="1:19" x14ac:dyDescent="0.25">
      <c r="A14" s="7"/>
      <c r="B14" s="7" t="s">
        <v>15</v>
      </c>
      <c r="C14" s="7" t="s">
        <v>26</v>
      </c>
      <c r="D14" s="7" t="s">
        <v>37</v>
      </c>
      <c r="E14" s="253">
        <f>1000*D_device_values!$Q$13*(1/D_currency_conversion!$H$7)*D_currency_conversion!$H$6</f>
        <v>369662.42145046114</v>
      </c>
      <c r="F14" s="253">
        <f>E14*D_currency_conversion!$I$12*D_currency_conversion!$J$12</f>
        <v>433802.38698182325</v>
      </c>
      <c r="G14" s="188">
        <f>D_device_lifecycles!$X$13</f>
        <v>7</v>
      </c>
      <c r="H14" s="188" t="e">
        <f>D_device_lifecycles!$Y$13</f>
        <v>#REF!</v>
      </c>
      <c r="I14" s="253">
        <f t="shared" si="0"/>
        <v>61971.769568831893</v>
      </c>
      <c r="J14" s="253" t="e">
        <f t="shared" si="1"/>
        <v>#REF!</v>
      </c>
      <c r="K14" s="253">
        <v>19</v>
      </c>
      <c r="L14" s="259">
        <f t="shared" si="11"/>
        <v>1.0555555555555556</v>
      </c>
      <c r="M14" s="334">
        <f t="shared" si="3"/>
        <v>7023586.0075587621</v>
      </c>
      <c r="N14" s="253">
        <f t="shared" si="12"/>
        <v>1177463.621807806</v>
      </c>
      <c r="O14" s="335" t="e">
        <f t="shared" si="13"/>
        <v>#REF!</v>
      </c>
      <c r="P14" s="253">
        <f t="shared" si="14"/>
        <v>390199.22264215344</v>
      </c>
      <c r="Q14" s="253">
        <f t="shared" si="15"/>
        <v>65414.645655989225</v>
      </c>
      <c r="R14" s="253" t="e">
        <f t="shared" si="16"/>
        <v>#REF!</v>
      </c>
      <c r="S14" s="521" t="e">
        <f t="shared" si="17"/>
        <v>#REF!</v>
      </c>
    </row>
    <row r="15" spans="1:19" x14ac:dyDescent="0.25">
      <c r="A15" s="7"/>
      <c r="B15" s="7" t="s">
        <v>21</v>
      </c>
      <c r="C15" s="7" t="s">
        <v>27</v>
      </c>
      <c r="D15" s="7" t="s">
        <v>38</v>
      </c>
      <c r="E15" s="253">
        <f>1000*D_device_values!$Q$14*(1/D_currency_conversion!$H$7)*D_currency_conversion!$H$6</f>
        <v>116485.56403892365</v>
      </c>
      <c r="F15" s="253">
        <f>E15*D_currency_conversion!$I$12*D_currency_conversion!$J$12</f>
        <v>136696.92345447378</v>
      </c>
      <c r="G15" s="188">
        <f>D_device_lifecycles!$X$14</f>
        <v>8</v>
      </c>
      <c r="H15" s="188" t="e">
        <f>D_device_lifecycles!$Y$14</f>
        <v>#REF!</v>
      </c>
      <c r="I15" s="253">
        <f t="shared" si="0"/>
        <v>17087.115431809223</v>
      </c>
      <c r="J15" s="253" t="e">
        <f t="shared" si="1"/>
        <v>#REF!</v>
      </c>
      <c r="K15" s="253">
        <v>60</v>
      </c>
      <c r="L15" s="259">
        <f t="shared" si="11"/>
        <v>3.3333333333333335</v>
      </c>
      <c r="M15" s="334">
        <f t="shared" si="3"/>
        <v>6989133.8423354188</v>
      </c>
      <c r="N15" s="253">
        <f t="shared" si="12"/>
        <v>1025226.9259085534</v>
      </c>
      <c r="O15" s="335" t="e">
        <f t="shared" si="13"/>
        <v>#REF!</v>
      </c>
      <c r="P15" s="253">
        <f t="shared" si="14"/>
        <v>388285.21346307884</v>
      </c>
      <c r="Q15" s="253">
        <f t="shared" si="15"/>
        <v>56957.051439364077</v>
      </c>
      <c r="R15" s="253" t="e">
        <f t="shared" si="16"/>
        <v>#REF!</v>
      </c>
      <c r="S15" s="521" t="e">
        <f t="shared" si="17"/>
        <v>#REF!</v>
      </c>
    </row>
    <row r="16" spans="1:19" x14ac:dyDescent="0.25">
      <c r="A16" s="7"/>
      <c r="B16" s="7" t="s">
        <v>22</v>
      </c>
      <c r="C16" s="7" t="s">
        <v>28</v>
      </c>
      <c r="D16" s="7" t="s">
        <v>39</v>
      </c>
      <c r="E16" s="253">
        <f>1000*D_device_values!$Q$15*(1/D_currency_conversion!$H$7)*D_currency_conversion!$H$6</f>
        <v>253752.59020685713</v>
      </c>
      <c r="F16" s="253">
        <f>E16*D_currency_conversion!$I$12*D_currency_conversion!$J$12</f>
        <v>297781.09146890056</v>
      </c>
      <c r="G16" s="188">
        <f>D_device_lifecycles!$X$15</f>
        <v>12</v>
      </c>
      <c r="H16" s="188" t="e">
        <f>D_device_lifecycles!$Y$15</f>
        <v>#REF!</v>
      </c>
      <c r="I16" s="253">
        <f t="shared" si="0"/>
        <v>24815.090955741714</v>
      </c>
      <c r="J16" s="253" t="e">
        <f t="shared" si="1"/>
        <v>#REF!</v>
      </c>
      <c r="K16" s="253">
        <v>21</v>
      </c>
      <c r="L16" s="259">
        <f t="shared" si="11"/>
        <v>1.1666666666666667</v>
      </c>
      <c r="M16" s="334">
        <f t="shared" si="3"/>
        <v>5328804.3943440001</v>
      </c>
      <c r="N16" s="253">
        <f t="shared" si="12"/>
        <v>521116.91007057601</v>
      </c>
      <c r="O16" s="335" t="e">
        <f t="shared" si="13"/>
        <v>#REF!</v>
      </c>
      <c r="P16" s="253">
        <f t="shared" si="14"/>
        <v>296044.68857466668</v>
      </c>
      <c r="Q16" s="253">
        <f t="shared" si="15"/>
        <v>28950.939448365334</v>
      </c>
      <c r="R16" s="253" t="e">
        <f t="shared" si="16"/>
        <v>#REF!</v>
      </c>
      <c r="S16" s="521" t="e">
        <f t="shared" si="17"/>
        <v>#REF!</v>
      </c>
    </row>
    <row r="17" spans="1:19" x14ac:dyDescent="0.25">
      <c r="A17" s="7"/>
      <c r="B17" s="7" t="s">
        <v>23</v>
      </c>
      <c r="C17" s="7" t="s">
        <v>29</v>
      </c>
      <c r="D17" s="7" t="s">
        <v>40</v>
      </c>
      <c r="E17" s="253">
        <f>1000*D_device_values!$Q$16*(1/D_currency_conversion!$H$7)*D_currency_conversion!$H$6</f>
        <v>869019.28727450978</v>
      </c>
      <c r="F17" s="253">
        <f>E17*D_currency_conversion!$I$12*D_currency_conversion!$J$12</f>
        <v>1019802.4448190901</v>
      </c>
      <c r="G17" s="188">
        <f>D_device_lifecycles!$X$16</f>
        <v>15</v>
      </c>
      <c r="H17" s="188" t="e">
        <f>D_device_lifecycles!$Y$16</f>
        <v>#REF!</v>
      </c>
      <c r="I17" s="253">
        <f t="shared" si="0"/>
        <v>67986.829654606001</v>
      </c>
      <c r="J17" s="253" t="e">
        <f t="shared" si="1"/>
        <v>#REF!</v>
      </c>
      <c r="K17" s="253">
        <v>18</v>
      </c>
      <c r="L17" s="259">
        <f t="shared" si="11"/>
        <v>1</v>
      </c>
      <c r="M17" s="334">
        <f t="shared" si="3"/>
        <v>15642347.170941176</v>
      </c>
      <c r="N17" s="253">
        <f t="shared" si="12"/>
        <v>1223762.9337829081</v>
      </c>
      <c r="O17" s="335" t="e">
        <f t="shared" si="13"/>
        <v>#REF!</v>
      </c>
      <c r="P17" s="253">
        <f t="shared" si="14"/>
        <v>869019.28727450978</v>
      </c>
      <c r="Q17" s="253">
        <f t="shared" si="15"/>
        <v>67986.829654606001</v>
      </c>
      <c r="R17" s="253" t="e">
        <f t="shared" si="16"/>
        <v>#REF!</v>
      </c>
      <c r="S17" s="521" t="e">
        <f t="shared" si="17"/>
        <v>#REF!</v>
      </c>
    </row>
    <row r="18" spans="1:19" s="10" customFormat="1" x14ac:dyDescent="0.25">
      <c r="A18" s="190">
        <v>4</v>
      </c>
      <c r="B18" s="190" t="s">
        <v>2</v>
      </c>
      <c r="C18" s="190"/>
      <c r="D18" s="190"/>
      <c r="E18" s="474"/>
      <c r="F18" s="253"/>
      <c r="G18" s="188"/>
      <c r="H18" s="188"/>
      <c r="I18" s="253"/>
      <c r="J18" s="253"/>
      <c r="K18" s="253"/>
      <c r="L18" s="253"/>
      <c r="M18" s="334"/>
      <c r="N18" s="253"/>
      <c r="O18" s="335"/>
      <c r="P18" s="253"/>
      <c r="Q18" s="253"/>
      <c r="R18" s="253"/>
      <c r="S18" s="521"/>
    </row>
    <row r="19" spans="1:19" x14ac:dyDescent="0.25">
      <c r="A19" s="7"/>
      <c r="B19" s="7" t="s">
        <v>9</v>
      </c>
      <c r="C19" s="7" t="s">
        <v>8</v>
      </c>
      <c r="D19" s="7" t="s">
        <v>5</v>
      </c>
      <c r="E19" s="253">
        <f>1000*D_device_values!$Q$18*(1/D_currency_conversion!$H$7)*D_currency_conversion!$H$6</f>
        <v>320982.44312947843</v>
      </c>
      <c r="F19" s="253">
        <f>E19*D_currency_conversion!$I$12*D_currency_conversion!$J$12</f>
        <v>376675.96685232763</v>
      </c>
      <c r="G19" s="188">
        <f>D_device_lifecycles!$X$18</f>
        <v>8</v>
      </c>
      <c r="H19" s="188" t="e">
        <f>D_device_lifecycles!$Y$18</f>
        <v>#REF!</v>
      </c>
      <c r="I19" s="253">
        <f t="shared" si="0"/>
        <v>47084.495856540954</v>
      </c>
      <c r="J19" s="253" t="e">
        <f t="shared" si="1"/>
        <v>#REF!</v>
      </c>
      <c r="K19" s="253">
        <v>21</v>
      </c>
      <c r="L19" s="259">
        <f t="shared" ref="L19:L22" si="18">K19/18</f>
        <v>1.1666666666666667</v>
      </c>
      <c r="M19" s="334">
        <f t="shared" si="3"/>
        <v>6740631.3057190469</v>
      </c>
      <c r="N19" s="253">
        <f>K19*I19</f>
        <v>988774.41298736003</v>
      </c>
      <c r="O19" s="335" t="e">
        <f>K19*J19</f>
        <v>#REF!</v>
      </c>
      <c r="P19" s="253">
        <f t="shared" ref="P19:P22" si="19">L19*E19</f>
        <v>374479.51698439155</v>
      </c>
      <c r="Q19" s="253">
        <f t="shared" ref="Q19:Q20" si="20">I19*L19</f>
        <v>54931.911832631115</v>
      </c>
      <c r="R19" s="253" t="e">
        <f t="shared" ref="R19:R22" si="21">L19*J19</f>
        <v>#REF!</v>
      </c>
      <c r="S19" s="521" t="e">
        <f t="shared" ref="S19:S22" si="22">(G19-H19)/G19</f>
        <v>#REF!</v>
      </c>
    </row>
    <row r="20" spans="1:19" x14ac:dyDescent="0.25">
      <c r="A20" s="7"/>
      <c r="B20" s="7" t="s">
        <v>10</v>
      </c>
      <c r="C20" s="7" t="s">
        <v>30</v>
      </c>
      <c r="D20" s="7" t="s">
        <v>41</v>
      </c>
      <c r="E20" s="253">
        <f>1000*D_device_values!$Q$19*(1/D_currency_conversion!$H$7)*D_currency_conversion!$H$6</f>
        <v>841284.62917000416</v>
      </c>
      <c r="F20" s="253">
        <f>E20*D_currency_conversion!$I$12*D_currency_conversion!$J$12</f>
        <v>987255.55828231061</v>
      </c>
      <c r="G20" s="188">
        <f>D_device_lifecycles!$X$19</f>
        <v>9</v>
      </c>
      <c r="H20" s="188" t="e">
        <f>D_device_lifecycles!$Y$19</f>
        <v>#REF!</v>
      </c>
      <c r="I20" s="253">
        <f>$F20/G20</f>
        <v>109695.06203136785</v>
      </c>
      <c r="J20" s="253" t="e">
        <f t="shared" si="1"/>
        <v>#REF!</v>
      </c>
      <c r="K20" s="253">
        <v>17</v>
      </c>
      <c r="L20" s="259">
        <f t="shared" si="18"/>
        <v>0.94444444444444442</v>
      </c>
      <c r="M20" s="334">
        <f t="shared" si="3"/>
        <v>14301838.695890071</v>
      </c>
      <c r="N20" s="253">
        <f>K20*I20</f>
        <v>1864816.0545332534</v>
      </c>
      <c r="O20" s="335" t="e">
        <f>K20*J20</f>
        <v>#REF!</v>
      </c>
      <c r="P20" s="253">
        <f t="shared" si="19"/>
        <v>794546.59421611507</v>
      </c>
      <c r="Q20" s="253">
        <f t="shared" si="20"/>
        <v>103600.89191851408</v>
      </c>
      <c r="R20" s="253" t="e">
        <f t="shared" si="21"/>
        <v>#REF!</v>
      </c>
      <c r="S20" s="521" t="e">
        <f t="shared" si="22"/>
        <v>#REF!</v>
      </c>
    </row>
    <row r="21" spans="1:19" s="10" customFormat="1" x14ac:dyDescent="0.25">
      <c r="A21" s="190">
        <v>5</v>
      </c>
      <c r="B21" s="190" t="s">
        <v>12</v>
      </c>
      <c r="C21" s="190"/>
      <c r="D21" s="191" t="s">
        <v>4</v>
      </c>
      <c r="E21" s="253">
        <f>1000*D_device_values!$Q$20*(1/D_currency_conversion!$H$7)*D_currency_conversion!$H$6</f>
        <v>1216627.0021843137</v>
      </c>
      <c r="F21" s="253">
        <f>E21*D_currency_conversion!$I$12*D_currency_conversion!$J$12</f>
        <v>1427723.4227467263</v>
      </c>
      <c r="G21" s="188">
        <f>D_device_lifecycles!$X$20</f>
        <v>10</v>
      </c>
      <c r="H21" s="188" t="e">
        <f>D_device_lifecycles!$Y$20</f>
        <v>#REF!</v>
      </c>
      <c r="I21" s="253">
        <f t="shared" si="0"/>
        <v>142772.34227467264</v>
      </c>
      <c r="J21" s="253" t="e">
        <f t="shared" si="1"/>
        <v>#REF!</v>
      </c>
      <c r="K21" s="253">
        <v>50</v>
      </c>
      <c r="L21" s="259">
        <f t="shared" si="18"/>
        <v>2.7777777777777777</v>
      </c>
      <c r="M21" s="334">
        <f t="shared" si="3"/>
        <v>60831350.109215684</v>
      </c>
      <c r="N21" s="253">
        <f>K21*I21</f>
        <v>7138617.1137336325</v>
      </c>
      <c r="O21" s="335" t="e">
        <f>K21*J21</f>
        <v>#REF!</v>
      </c>
      <c r="P21" s="253">
        <f t="shared" si="19"/>
        <v>3379519.4505119827</v>
      </c>
      <c r="Q21" s="253">
        <f>I21*L21</f>
        <v>396589.83965186845</v>
      </c>
      <c r="R21" s="253" t="e">
        <f t="shared" si="21"/>
        <v>#REF!</v>
      </c>
      <c r="S21" s="521" t="e">
        <f t="shared" si="22"/>
        <v>#REF!</v>
      </c>
    </row>
    <row r="22" spans="1:19" s="10" customFormat="1" x14ac:dyDescent="0.25">
      <c r="A22" s="192">
        <v>6</v>
      </c>
      <c r="B22" s="192" t="s">
        <v>13</v>
      </c>
      <c r="C22" s="192"/>
      <c r="D22" s="193" t="s">
        <v>3</v>
      </c>
      <c r="E22" s="254">
        <f>1000*D_device_values!$Q$21*(1/D_currency_conversion!$H$7)*D_currency_conversion!$H$6</f>
        <v>3519053.3760707863</v>
      </c>
      <c r="F22" s="254">
        <f>E22*D_currency_conversion!$I$12*D_currency_conversion!$J$12</f>
        <v>4129642.792648667</v>
      </c>
      <c r="G22" s="194">
        <f>D_device_lifecycles!$X$21</f>
        <v>8</v>
      </c>
      <c r="H22" s="194" t="e">
        <f>D_device_lifecycles!$Y$21</f>
        <v>#REF!</v>
      </c>
      <c r="I22" s="254">
        <f t="shared" si="0"/>
        <v>516205.34908108338</v>
      </c>
      <c r="J22" s="254" t="e">
        <f t="shared" si="1"/>
        <v>#REF!</v>
      </c>
      <c r="K22" s="254">
        <v>47</v>
      </c>
      <c r="L22" s="333">
        <f t="shared" si="18"/>
        <v>2.6111111111111112</v>
      </c>
      <c r="M22" s="336">
        <f t="shared" si="3"/>
        <v>165395508.67532694</v>
      </c>
      <c r="N22" s="254">
        <f>K22*I22</f>
        <v>24261651.406810917</v>
      </c>
      <c r="O22" s="337" t="e">
        <f>K22*J22</f>
        <v>#REF!</v>
      </c>
      <c r="P22" s="254">
        <f t="shared" si="19"/>
        <v>9188639.3708514981</v>
      </c>
      <c r="Q22" s="254">
        <f>I22*L22</f>
        <v>1347869.5226006065</v>
      </c>
      <c r="R22" s="254" t="e">
        <f t="shared" si="21"/>
        <v>#REF!</v>
      </c>
      <c r="S22" s="522" t="e">
        <f t="shared" si="22"/>
        <v>#REF!</v>
      </c>
    </row>
    <row r="23" spans="1:19" x14ac:dyDescent="0.25">
      <c r="A23" s="201" t="s">
        <v>663</v>
      </c>
      <c r="B23" s="1"/>
      <c r="C23" s="1"/>
      <c r="D23" s="1"/>
      <c r="E23" s="1"/>
      <c r="F23" s="1"/>
      <c r="G23" s="1"/>
      <c r="H23" s="1"/>
      <c r="I23" s="1"/>
      <c r="J23" s="1"/>
      <c r="K23" s="222">
        <f>SUM(K5:K22)</f>
        <v>419</v>
      </c>
      <c r="L23" s="222">
        <v>240</v>
      </c>
      <c r="M23" s="334">
        <f t="shared" ref="M23:R23" si="23">SUM(M5:M22)</f>
        <v>320130175.45574528</v>
      </c>
      <c r="N23" s="523">
        <f t="shared" si="23"/>
        <v>43077410.772139512</v>
      </c>
      <c r="O23" s="524" t="e">
        <f t="shared" si="23"/>
        <v>#REF!</v>
      </c>
      <c r="P23" s="222">
        <f t="shared" si="23"/>
        <v>17785009.747541405</v>
      </c>
      <c r="Q23" s="307">
        <f>SUM(Q5:Q22)</f>
        <v>2393189.4873410841</v>
      </c>
      <c r="R23" s="307" t="e">
        <f t="shared" si="23"/>
        <v>#REF!</v>
      </c>
      <c r="S23" s="1"/>
    </row>
    <row r="24" spans="1:19" x14ac:dyDescent="0.25">
      <c r="A24" s="11" t="s">
        <v>230</v>
      </c>
      <c r="B24" s="1"/>
      <c r="C24" s="1"/>
      <c r="D24" s="1"/>
      <c r="E24" s="199" t="s">
        <v>231</v>
      </c>
      <c r="F24" s="199"/>
      <c r="G24" s="552" t="s">
        <v>400</v>
      </c>
      <c r="H24" s="552"/>
    </row>
    <row r="25" spans="1:19" x14ac:dyDescent="0.25">
      <c r="J25" t="s">
        <v>615</v>
      </c>
      <c r="K25" s="363">
        <f>SUM(K5:K7,K19,K21,K22)</f>
        <v>223</v>
      </c>
      <c r="L25" s="225" t="s">
        <v>536</v>
      </c>
      <c r="M25" s="427">
        <f>SUM(M5:M7,M19,M21,M22)</f>
        <v>254236891.22773921</v>
      </c>
      <c r="N25" s="363">
        <f>SUM(N5:N7,N19,N21,N22)</f>
        <v>35295455.79246147</v>
      </c>
      <c r="O25" s="363" t="e">
        <f>SUM(O5:O7,O19,O21,O22)</f>
        <v>#REF!</v>
      </c>
      <c r="P25" s="225" t="s">
        <v>536</v>
      </c>
      <c r="Q25" s="363">
        <f>SUM(Q5:Q7,Q19,Q21,Q22)</f>
        <v>1960858.6551367487</v>
      </c>
      <c r="R25" s="363" t="e">
        <f>SUM(R5:R7,R19,R21,R22)</f>
        <v>#REF!</v>
      </c>
    </row>
    <row r="26" spans="1:19" s="225" customFormat="1" x14ac:dyDescent="0.25">
      <c r="K26" s="363"/>
      <c r="M26" s="427"/>
      <c r="N26" s="363"/>
      <c r="O26" s="363"/>
      <c r="Q26" s="363"/>
      <c r="R26" s="363"/>
    </row>
    <row r="27" spans="1:19" x14ac:dyDescent="0.25">
      <c r="L27" s="225" t="s">
        <v>591</v>
      </c>
      <c r="M27" s="410">
        <f>K25/C_device_share!M19</f>
        <v>0.29773030707610149</v>
      </c>
    </row>
    <row r="29" spans="1:19" x14ac:dyDescent="0.25">
      <c r="A29" s="466" t="s">
        <v>638</v>
      </c>
      <c r="B29" s="466"/>
      <c r="C29" s="466"/>
      <c r="D29" s="466"/>
      <c r="E29" s="466"/>
      <c r="F29" s="466"/>
      <c r="G29" s="466"/>
      <c r="H29" s="466"/>
      <c r="I29" s="466"/>
      <c r="J29" s="466"/>
      <c r="K29" s="466"/>
      <c r="L29" s="466"/>
      <c r="M29" s="466"/>
      <c r="N29" s="466"/>
      <c r="O29" s="466"/>
      <c r="P29" s="466"/>
      <c r="Q29" s="466"/>
      <c r="R29" s="466"/>
      <c r="S29" s="466"/>
    </row>
    <row r="30" spans="1:19" x14ac:dyDescent="0.25">
      <c r="A30" s="450" t="s">
        <v>623</v>
      </c>
      <c r="B30" s="450"/>
      <c r="C30" s="450"/>
      <c r="D30" s="451">
        <v>0</v>
      </c>
      <c r="E30" s="450"/>
      <c r="F30" s="450"/>
      <c r="G30" s="450"/>
      <c r="H30" s="450"/>
      <c r="I30" s="450"/>
      <c r="J30" s="450"/>
      <c r="K30" s="450"/>
      <c r="L30" s="450"/>
      <c r="M30" s="450"/>
      <c r="N30" s="450"/>
      <c r="O30" s="450"/>
      <c r="P30" s="450"/>
      <c r="Q30" s="450"/>
      <c r="R30" s="450"/>
      <c r="S30" s="450"/>
    </row>
    <row r="31" spans="1:19" x14ac:dyDescent="0.25">
      <c r="A31" s="196" t="s">
        <v>14</v>
      </c>
      <c r="B31" s="196"/>
      <c r="C31" s="196"/>
      <c r="D31" s="331" t="str">
        <f>HYPERLINK("#"&amp;ADDRESS(1,1,,,"MASTER"),"M &lt;=")</f>
        <v>M &lt;=</v>
      </c>
      <c r="E31" s="444" t="s">
        <v>229</v>
      </c>
      <c r="F31" s="444" t="s">
        <v>229</v>
      </c>
      <c r="G31" s="544" t="s">
        <v>44</v>
      </c>
      <c r="H31" s="544"/>
      <c r="I31" s="547" t="s">
        <v>454</v>
      </c>
      <c r="J31" s="547"/>
      <c r="K31" s="445" t="s">
        <v>405</v>
      </c>
      <c r="L31" s="445" t="s">
        <v>517</v>
      </c>
      <c r="M31" s="449" t="s">
        <v>459</v>
      </c>
      <c r="N31" s="550" t="s">
        <v>458</v>
      </c>
      <c r="O31" s="551"/>
      <c r="P31" s="445" t="s">
        <v>518</v>
      </c>
      <c r="Q31" s="553" t="s">
        <v>522</v>
      </c>
      <c r="R31" s="553"/>
      <c r="S31" s="446" t="s">
        <v>523</v>
      </c>
    </row>
    <row r="32" spans="1:19" x14ac:dyDescent="0.25">
      <c r="A32" s="198"/>
      <c r="B32" s="198"/>
      <c r="C32" s="198"/>
      <c r="D32" s="198"/>
      <c r="E32" s="448" t="s">
        <v>627</v>
      </c>
      <c r="F32" s="448" t="s">
        <v>628</v>
      </c>
      <c r="G32" s="448" t="s">
        <v>7</v>
      </c>
      <c r="H32" s="448" t="s">
        <v>6</v>
      </c>
      <c r="I32" s="448" t="s">
        <v>7</v>
      </c>
      <c r="J32" s="448" t="s">
        <v>6</v>
      </c>
      <c r="K32" s="448" t="s">
        <v>455</v>
      </c>
      <c r="L32" s="448" t="s">
        <v>455</v>
      </c>
      <c r="M32" s="447" t="s">
        <v>627</v>
      </c>
      <c r="N32" s="448" t="s">
        <v>7</v>
      </c>
      <c r="O32" s="269" t="s">
        <v>6</v>
      </c>
      <c r="P32" s="448" t="s">
        <v>629</v>
      </c>
      <c r="Q32" s="341" t="s">
        <v>7</v>
      </c>
      <c r="R32" s="341" t="s">
        <v>6</v>
      </c>
      <c r="S32" s="446" t="s">
        <v>524</v>
      </c>
    </row>
    <row r="33" spans="1:19" x14ac:dyDescent="0.25">
      <c r="A33" s="3">
        <v>1</v>
      </c>
      <c r="B33" s="3" t="s">
        <v>11</v>
      </c>
      <c r="C33" s="3"/>
      <c r="D33" s="3"/>
      <c r="E33" s="444"/>
      <c r="F33" s="444"/>
      <c r="G33" s="3"/>
      <c r="H33" s="3"/>
      <c r="I33" s="3"/>
      <c r="J33" s="3"/>
      <c r="K33" s="3"/>
      <c r="L33" s="3"/>
      <c r="M33" s="264"/>
      <c r="N33" s="190"/>
      <c r="O33" s="265"/>
      <c r="P33" s="190"/>
      <c r="Q33" s="342"/>
      <c r="R33" s="342"/>
      <c r="S33" s="352"/>
    </row>
    <row r="34" spans="1:19" x14ac:dyDescent="0.25">
      <c r="A34" s="7"/>
      <c r="B34" s="7" t="s">
        <v>9</v>
      </c>
      <c r="C34" s="7" t="s">
        <v>16</v>
      </c>
      <c r="D34" s="7" t="s">
        <v>31</v>
      </c>
      <c r="E34" s="253">
        <f>1000*D_device_values!$Q$4*(1/D_currency_conversion!$H$7)*D_currency_conversion!$H$6</f>
        <v>849913.18946918368</v>
      </c>
      <c r="F34" s="253">
        <f>E34*D_currency_conversion!$I$12*D_currency_conversion!$J$12</f>
        <v>997381.25631597533</v>
      </c>
      <c r="G34" s="188">
        <f>D_device_lifecycles!$X$4</f>
        <v>7.5</v>
      </c>
      <c r="H34" s="188">
        <f>G34*(1-$D$30)</f>
        <v>7.5</v>
      </c>
      <c r="I34" s="253">
        <f>$F34/G34</f>
        <v>132984.1675087967</v>
      </c>
      <c r="J34" s="253">
        <f>$F34/H34</f>
        <v>132984.1675087967</v>
      </c>
      <c r="K34" s="253">
        <v>11</v>
      </c>
      <c r="L34" s="259">
        <f>K34/18</f>
        <v>0.61111111111111116</v>
      </c>
      <c r="M34" s="334">
        <f>K34*E34</f>
        <v>9349045.0841610208</v>
      </c>
      <c r="N34" s="253">
        <f>K34*I34</f>
        <v>1462825.8425967637</v>
      </c>
      <c r="O34" s="335">
        <f>K34*J34</f>
        <v>1462825.8425967637</v>
      </c>
      <c r="P34" s="253">
        <f>L34*E34</f>
        <v>519391.3935645012</v>
      </c>
      <c r="Q34" s="343">
        <f>I34*L34</f>
        <v>81268.102366486884</v>
      </c>
      <c r="R34" s="343">
        <f>L34*J34</f>
        <v>81268.102366486884</v>
      </c>
      <c r="S34" s="353">
        <f>(G34-H34)/G34</f>
        <v>0</v>
      </c>
    </row>
    <row r="35" spans="1:19" x14ac:dyDescent="0.25">
      <c r="A35" s="7"/>
      <c r="B35" s="7" t="s">
        <v>10</v>
      </c>
      <c r="C35" s="7" t="s">
        <v>17</v>
      </c>
      <c r="D35" s="7" t="s">
        <v>32</v>
      </c>
      <c r="E35" s="253">
        <f>1000*D_device_values!$Q$5*(1/D_currency_conversion!$H$7)*D_currency_conversion!$H$6</f>
        <v>64714.20224384647</v>
      </c>
      <c r="F35" s="253">
        <f>E35*D_currency_conversion!$I$12*D_currency_conversion!$J$12</f>
        <v>75942.735252485436</v>
      </c>
      <c r="G35" s="188">
        <f>D_device_lifecycles!$X$5</f>
        <v>9</v>
      </c>
      <c r="H35" s="188">
        <f t="shared" ref="H35:H51" si="24">G35*(1-$D$30)</f>
        <v>9</v>
      </c>
      <c r="I35" s="253">
        <f t="shared" ref="I35:I36" si="25">$F35/G35</f>
        <v>8438.081694720604</v>
      </c>
      <c r="J35" s="253">
        <f t="shared" ref="J35:J36" si="26">$F35/H35</f>
        <v>8438.081694720604</v>
      </c>
      <c r="K35" s="253">
        <v>53</v>
      </c>
      <c r="L35" s="259">
        <f t="shared" ref="L35:L36" si="27">K35/18</f>
        <v>2.9444444444444446</v>
      </c>
      <c r="M35" s="334">
        <f t="shared" ref="M35:M36" si="28">K35*E35</f>
        <v>3429852.718923863</v>
      </c>
      <c r="N35" s="253">
        <f>K35*I35</f>
        <v>447218.32982019201</v>
      </c>
      <c r="O35" s="335">
        <f>K35*J35</f>
        <v>447218.32982019201</v>
      </c>
      <c r="P35" s="253">
        <f t="shared" ref="P35:P36" si="29">L35*E35</f>
        <v>190547.37327354794</v>
      </c>
      <c r="Q35" s="343">
        <f>I35*L35</f>
        <v>24845.462767788445</v>
      </c>
      <c r="R35" s="343">
        <f>L35*J35</f>
        <v>24845.462767788445</v>
      </c>
      <c r="S35" s="353">
        <f t="shared" ref="S35:S36" si="30">(G35-H35)/G35</f>
        <v>0</v>
      </c>
    </row>
    <row r="36" spans="1:19" x14ac:dyDescent="0.25">
      <c r="A36" s="7"/>
      <c r="B36" s="7" t="s">
        <v>15</v>
      </c>
      <c r="C36" s="7" t="s">
        <v>18</v>
      </c>
      <c r="D36" s="7" t="s">
        <v>33</v>
      </c>
      <c r="E36" s="253">
        <f>1000*D_device_values!$Q$6*(1/D_currency_conversion!$H$7)*D_currency_conversion!$H$6</f>
        <v>207085.44718030869</v>
      </c>
      <c r="F36" s="253">
        <f>E36*D_currency_conversion!$I$12*D_currency_conversion!$J$12</f>
        <v>243016.75280795337</v>
      </c>
      <c r="G36" s="188">
        <f>D_device_lifecycles!$X$6</f>
        <v>10</v>
      </c>
      <c r="H36" s="188">
        <f t="shared" si="24"/>
        <v>10</v>
      </c>
      <c r="I36" s="253">
        <f t="shared" si="25"/>
        <v>24301.675280795338</v>
      </c>
      <c r="J36" s="253">
        <f t="shared" si="26"/>
        <v>24301.675280795338</v>
      </c>
      <c r="K36" s="253">
        <v>41</v>
      </c>
      <c r="L36" s="259">
        <f t="shared" si="27"/>
        <v>2.2777777777777777</v>
      </c>
      <c r="M36" s="334">
        <f t="shared" si="28"/>
        <v>8490503.3343926556</v>
      </c>
      <c r="N36" s="253">
        <f>K36*I36</f>
        <v>996368.6865126089</v>
      </c>
      <c r="O36" s="335">
        <f>K36*J36</f>
        <v>996368.6865126089</v>
      </c>
      <c r="P36" s="253">
        <f t="shared" si="29"/>
        <v>471694.62968848087</v>
      </c>
      <c r="Q36" s="343">
        <f>I36*L36</f>
        <v>55353.815917367159</v>
      </c>
      <c r="R36" s="343">
        <f>L36*J36</f>
        <v>55353.815917367159</v>
      </c>
      <c r="S36" s="353">
        <f t="shared" si="30"/>
        <v>0</v>
      </c>
    </row>
    <row r="37" spans="1:19" x14ac:dyDescent="0.25">
      <c r="A37" s="190">
        <v>2</v>
      </c>
      <c r="B37" s="190" t="s">
        <v>43</v>
      </c>
      <c r="C37" s="190"/>
      <c r="D37" s="190"/>
      <c r="E37" s="456"/>
      <c r="F37" s="253"/>
      <c r="G37" s="188"/>
      <c r="H37" s="188"/>
      <c r="I37" s="253"/>
      <c r="J37" s="253"/>
      <c r="K37" s="253"/>
      <c r="L37" s="253"/>
      <c r="M37" s="334"/>
      <c r="N37" s="253"/>
      <c r="O37" s="335"/>
      <c r="P37" s="253"/>
      <c r="Q37" s="343"/>
      <c r="R37" s="343"/>
      <c r="S37" s="353"/>
    </row>
    <row r="38" spans="1:19" x14ac:dyDescent="0.25">
      <c r="A38" s="7"/>
      <c r="B38" s="7" t="s">
        <v>9</v>
      </c>
      <c r="C38" s="7" t="s">
        <v>19</v>
      </c>
      <c r="D38" s="7" t="s">
        <v>34</v>
      </c>
      <c r="E38" s="253">
        <f>1000*D_device_values!$Q$8*(1/D_currency_conversion!$H$7)*D_currency_conversion!$H$6</f>
        <v>173469.52185035453</v>
      </c>
      <c r="F38" s="253">
        <f>E38*D_currency_conversion!$I$12*D_currency_conversion!$J$12</f>
        <v>203568.14293433359</v>
      </c>
      <c r="G38" s="188">
        <f>D_device_lifecycles!$X$8</f>
        <v>10</v>
      </c>
      <c r="H38" s="188">
        <f t="shared" si="24"/>
        <v>10</v>
      </c>
      <c r="I38" s="253">
        <f t="shared" ref="I38:I39" si="31">$F38/G38</f>
        <v>20356.814293433359</v>
      </c>
      <c r="J38" s="253">
        <f t="shared" ref="J38" si="32">$F38/H38</f>
        <v>20356.814293433359</v>
      </c>
      <c r="K38" s="253">
        <v>22</v>
      </c>
      <c r="L38" s="259">
        <f t="shared" ref="L38:L39" si="33">K38/18</f>
        <v>1.2222222222222223</v>
      </c>
      <c r="M38" s="334">
        <f t="shared" ref="M38:M39" si="34">K38*E38</f>
        <v>3816329.4807077996</v>
      </c>
      <c r="N38" s="253">
        <f>K38*I38</f>
        <v>447849.9144555339</v>
      </c>
      <c r="O38" s="335">
        <f>K38*J38</f>
        <v>447849.9144555339</v>
      </c>
      <c r="P38" s="253">
        <f t="shared" ref="P38:P39" si="35">L38*E38</f>
        <v>212018.30448376667</v>
      </c>
      <c r="Q38" s="343">
        <f t="shared" ref="Q38:Q39" si="36">I38*L38</f>
        <v>24880.550803085218</v>
      </c>
      <c r="R38" s="343">
        <f t="shared" ref="R38:R39" si="37">L38*J38</f>
        <v>24880.550803085218</v>
      </c>
      <c r="S38" s="353">
        <f t="shared" ref="S38:S39" si="38">(G38-H38)/G38</f>
        <v>0</v>
      </c>
    </row>
    <row r="39" spans="1:19" x14ac:dyDescent="0.25">
      <c r="A39" s="7"/>
      <c r="B39" s="7" t="s">
        <v>10</v>
      </c>
      <c r="C39" s="7" t="s">
        <v>20</v>
      </c>
      <c r="D39" s="7" t="s">
        <v>34</v>
      </c>
      <c r="E39" s="253">
        <f>1000*D_device_values!$Q$9*(1/D_currency_conversion!$H$7)*D_currency_conversion!$H$6</f>
        <v>173732.7429469417</v>
      </c>
      <c r="F39" s="253">
        <f>E39*D_currency_conversion!$I$12*D_currency_conversion!$J$12</f>
        <v>203877.03540859552</v>
      </c>
      <c r="G39" s="188">
        <f>D_device_lifecycles!$X$9</f>
        <v>11</v>
      </c>
      <c r="H39" s="188">
        <f t="shared" si="24"/>
        <v>11</v>
      </c>
      <c r="I39" s="253">
        <f t="shared" si="31"/>
        <v>18534.275946235957</v>
      </c>
      <c r="J39" s="253">
        <f>$F39/H39</f>
        <v>18534.275946235957</v>
      </c>
      <c r="K39" s="253">
        <v>22</v>
      </c>
      <c r="L39" s="259">
        <f t="shared" si="33"/>
        <v>1.2222222222222223</v>
      </c>
      <c r="M39" s="334">
        <f t="shared" si="34"/>
        <v>3822120.3448327174</v>
      </c>
      <c r="N39" s="253">
        <f>K39*I39</f>
        <v>407754.07081719104</v>
      </c>
      <c r="O39" s="335">
        <f>K39*J39</f>
        <v>407754.07081719104</v>
      </c>
      <c r="P39" s="253">
        <f t="shared" si="35"/>
        <v>212340.0191573732</v>
      </c>
      <c r="Q39" s="343">
        <f t="shared" si="36"/>
        <v>22653.003934288394</v>
      </c>
      <c r="R39" s="343">
        <f t="shared" si="37"/>
        <v>22653.003934288394</v>
      </c>
      <c r="S39" s="353">
        <f t="shared" si="38"/>
        <v>0</v>
      </c>
    </row>
    <row r="40" spans="1:19" x14ac:dyDescent="0.25">
      <c r="A40" s="190">
        <v>3</v>
      </c>
      <c r="B40" s="190" t="s">
        <v>42</v>
      </c>
      <c r="C40" s="190"/>
      <c r="D40" s="190"/>
      <c r="E40" s="456"/>
      <c r="F40" s="253"/>
      <c r="G40" s="188"/>
      <c r="H40" s="188"/>
      <c r="I40" s="253"/>
      <c r="J40" s="253"/>
      <c r="K40" s="253"/>
      <c r="L40" s="253"/>
      <c r="M40" s="334"/>
      <c r="N40" s="253"/>
      <c r="O40" s="335"/>
      <c r="P40" s="253"/>
      <c r="Q40" s="343"/>
      <c r="R40" s="343"/>
      <c r="S40" s="353"/>
    </row>
    <row r="41" spans="1:19" x14ac:dyDescent="0.25">
      <c r="A41" s="7"/>
      <c r="B41" s="7" t="s">
        <v>9</v>
      </c>
      <c r="C41" s="7" t="s">
        <v>24</v>
      </c>
      <c r="D41" s="7" t="s">
        <v>35</v>
      </c>
      <c r="E41" s="253">
        <f>1000*D_device_values!$Q$11*(1/D_currency_conversion!$H$7)*D_currency_conversion!$H$6</f>
        <v>1064482.5920110256</v>
      </c>
      <c r="F41" s="253">
        <f>E41*D_currency_conversion!$I$12*D_currency_conversion!$J$12</f>
        <v>1249180.502316393</v>
      </c>
      <c r="G41" s="188">
        <f>D_device_lifecycles!$X$11</f>
        <v>10</v>
      </c>
      <c r="H41" s="188">
        <f t="shared" si="24"/>
        <v>10</v>
      </c>
      <c r="I41" s="253">
        <f t="shared" ref="I41:I46" si="39">$F41/G41</f>
        <v>124918.0502316393</v>
      </c>
      <c r="J41" s="253">
        <f t="shared" ref="J41:J46" si="40">$F41/H41</f>
        <v>124918.0502316393</v>
      </c>
      <c r="K41" s="253">
        <v>4</v>
      </c>
      <c r="L41" s="259">
        <f t="shared" ref="L41:L46" si="41">K41/18</f>
        <v>0.22222222222222221</v>
      </c>
      <c r="M41" s="334">
        <f t="shared" ref="M41:M46" si="42">K41*E41</f>
        <v>4257930.3680441026</v>
      </c>
      <c r="N41" s="253">
        <f t="shared" ref="N41:N46" si="43">K41*I41</f>
        <v>499672.20092655718</v>
      </c>
      <c r="O41" s="335">
        <f t="shared" ref="O41:O46" si="44">K41*J41</f>
        <v>499672.20092655718</v>
      </c>
      <c r="P41" s="253">
        <f t="shared" ref="P41:P46" si="45">L41*E41</f>
        <v>236551.68711356123</v>
      </c>
      <c r="Q41" s="343">
        <f t="shared" ref="Q41:Q46" si="46">I41*L41</f>
        <v>27759.566718142065</v>
      </c>
      <c r="R41" s="343">
        <f t="shared" ref="R41:R46" si="47">L41*J41</f>
        <v>27759.566718142065</v>
      </c>
      <c r="S41" s="353">
        <f t="shared" ref="S41:S46" si="48">(G41-H41)/G41</f>
        <v>0</v>
      </c>
    </row>
    <row r="42" spans="1:19" x14ac:dyDescent="0.25">
      <c r="A42" s="7"/>
      <c r="B42" s="7" t="s">
        <v>10</v>
      </c>
      <c r="C42" s="7" t="s">
        <v>25</v>
      </c>
      <c r="D42" s="7" t="s">
        <v>36</v>
      </c>
      <c r="E42" s="253">
        <f>1000*D_device_values!$Q$12*(1/D_currency_conversion!$H$7)*D_currency_conversion!$H$6</f>
        <v>362399.53256554028</v>
      </c>
      <c r="F42" s="253">
        <f>E42*D_currency_conversion!$I$12*D_currency_conversion!$J$12</f>
        <v>425279.31741391844</v>
      </c>
      <c r="G42" s="188">
        <f>D_device_lifecycles!$X$12</f>
        <v>9</v>
      </c>
      <c r="H42" s="188">
        <f t="shared" si="24"/>
        <v>9</v>
      </c>
      <c r="I42" s="253">
        <f t="shared" si="39"/>
        <v>47253.257490435382</v>
      </c>
      <c r="J42" s="253">
        <f t="shared" si="40"/>
        <v>47253.257490435382</v>
      </c>
      <c r="K42" s="253">
        <v>13</v>
      </c>
      <c r="L42" s="259">
        <f t="shared" si="41"/>
        <v>0.72222222222222221</v>
      </c>
      <c r="M42" s="334">
        <f t="shared" si="42"/>
        <v>4711193.9233520236</v>
      </c>
      <c r="N42" s="253">
        <f t="shared" si="43"/>
        <v>614292.34737565997</v>
      </c>
      <c r="O42" s="335">
        <f t="shared" si="44"/>
        <v>614292.34737565997</v>
      </c>
      <c r="P42" s="253">
        <f t="shared" si="45"/>
        <v>261732.9957417791</v>
      </c>
      <c r="Q42" s="343">
        <f t="shared" si="46"/>
        <v>34127.352631981106</v>
      </c>
      <c r="R42" s="343">
        <f t="shared" si="47"/>
        <v>34127.352631981106</v>
      </c>
      <c r="S42" s="353">
        <f t="shared" si="48"/>
        <v>0</v>
      </c>
    </row>
    <row r="43" spans="1:19" x14ac:dyDescent="0.25">
      <c r="A43" s="7"/>
      <c r="B43" s="7" t="s">
        <v>15</v>
      </c>
      <c r="C43" s="7" t="s">
        <v>26</v>
      </c>
      <c r="D43" s="7" t="s">
        <v>37</v>
      </c>
      <c r="E43" s="253">
        <f>1000*D_device_values!$Q$13*(1/D_currency_conversion!$H$7)*D_currency_conversion!$H$6</f>
        <v>369662.42145046114</v>
      </c>
      <c r="F43" s="253">
        <f>E43*D_currency_conversion!$I$12*D_currency_conversion!$J$12</f>
        <v>433802.38698182325</v>
      </c>
      <c r="G43" s="188">
        <f>D_device_lifecycles!$X$13</f>
        <v>7</v>
      </c>
      <c r="H43" s="188">
        <f t="shared" si="24"/>
        <v>7</v>
      </c>
      <c r="I43" s="253">
        <f t="shared" si="39"/>
        <v>61971.769568831893</v>
      </c>
      <c r="J43" s="253">
        <f t="shared" si="40"/>
        <v>61971.769568831893</v>
      </c>
      <c r="K43" s="253">
        <v>19</v>
      </c>
      <c r="L43" s="259">
        <f t="shared" si="41"/>
        <v>1.0555555555555556</v>
      </c>
      <c r="M43" s="334">
        <f t="shared" si="42"/>
        <v>7023586.0075587621</v>
      </c>
      <c r="N43" s="253">
        <f t="shared" si="43"/>
        <v>1177463.621807806</v>
      </c>
      <c r="O43" s="335">
        <f t="shared" si="44"/>
        <v>1177463.621807806</v>
      </c>
      <c r="P43" s="253">
        <f t="shared" si="45"/>
        <v>390199.22264215344</v>
      </c>
      <c r="Q43" s="343">
        <f t="shared" si="46"/>
        <v>65414.645655989225</v>
      </c>
      <c r="R43" s="343">
        <f t="shared" si="47"/>
        <v>65414.645655989225</v>
      </c>
      <c r="S43" s="353">
        <f t="shared" si="48"/>
        <v>0</v>
      </c>
    </row>
    <row r="44" spans="1:19" x14ac:dyDescent="0.25">
      <c r="A44" s="7"/>
      <c r="B44" s="7" t="s">
        <v>21</v>
      </c>
      <c r="C44" s="7" t="s">
        <v>27</v>
      </c>
      <c r="D44" s="7" t="s">
        <v>38</v>
      </c>
      <c r="E44" s="253">
        <f>1000*D_device_values!$Q$14*(1/D_currency_conversion!$H$7)*D_currency_conversion!$H$6</f>
        <v>116485.56403892365</v>
      </c>
      <c r="F44" s="253">
        <f>E44*D_currency_conversion!$I$12*D_currency_conversion!$J$12</f>
        <v>136696.92345447378</v>
      </c>
      <c r="G44" s="188">
        <f>D_device_lifecycles!$X$14</f>
        <v>8</v>
      </c>
      <c r="H44" s="188">
        <f t="shared" si="24"/>
        <v>8</v>
      </c>
      <c r="I44" s="253">
        <f t="shared" si="39"/>
        <v>17087.115431809223</v>
      </c>
      <c r="J44" s="253">
        <f t="shared" si="40"/>
        <v>17087.115431809223</v>
      </c>
      <c r="K44" s="253">
        <v>60</v>
      </c>
      <c r="L44" s="259">
        <f t="shared" si="41"/>
        <v>3.3333333333333335</v>
      </c>
      <c r="M44" s="334">
        <f t="shared" si="42"/>
        <v>6989133.8423354188</v>
      </c>
      <c r="N44" s="253">
        <f t="shared" si="43"/>
        <v>1025226.9259085534</v>
      </c>
      <c r="O44" s="335">
        <f t="shared" si="44"/>
        <v>1025226.9259085534</v>
      </c>
      <c r="P44" s="253">
        <f t="shared" si="45"/>
        <v>388285.21346307884</v>
      </c>
      <c r="Q44" s="343">
        <f t="shared" si="46"/>
        <v>56957.051439364077</v>
      </c>
      <c r="R44" s="343">
        <f t="shared" si="47"/>
        <v>56957.051439364077</v>
      </c>
      <c r="S44" s="353">
        <f t="shared" si="48"/>
        <v>0</v>
      </c>
    </row>
    <row r="45" spans="1:19" x14ac:dyDescent="0.25">
      <c r="A45" s="7"/>
      <c r="B45" s="7" t="s">
        <v>22</v>
      </c>
      <c r="C45" s="7" t="s">
        <v>28</v>
      </c>
      <c r="D45" s="7" t="s">
        <v>39</v>
      </c>
      <c r="E45" s="253">
        <f>1000*D_device_values!$Q$15*(1/D_currency_conversion!$H$7)*D_currency_conversion!$H$6</f>
        <v>253752.59020685713</v>
      </c>
      <c r="F45" s="253">
        <f>E45*D_currency_conversion!$I$12*D_currency_conversion!$J$12</f>
        <v>297781.09146890056</v>
      </c>
      <c r="G45" s="188">
        <f>D_device_lifecycles!$X$15</f>
        <v>12</v>
      </c>
      <c r="H45" s="188">
        <f t="shared" si="24"/>
        <v>12</v>
      </c>
      <c r="I45" s="253">
        <f t="shared" si="39"/>
        <v>24815.090955741714</v>
      </c>
      <c r="J45" s="253">
        <f t="shared" si="40"/>
        <v>24815.090955741714</v>
      </c>
      <c r="K45" s="253">
        <v>21</v>
      </c>
      <c r="L45" s="259">
        <f t="shared" si="41"/>
        <v>1.1666666666666667</v>
      </c>
      <c r="M45" s="334">
        <f t="shared" si="42"/>
        <v>5328804.3943440001</v>
      </c>
      <c r="N45" s="253">
        <f t="shared" si="43"/>
        <v>521116.91007057601</v>
      </c>
      <c r="O45" s="335">
        <f t="shared" si="44"/>
        <v>521116.91007057601</v>
      </c>
      <c r="P45" s="253">
        <f t="shared" si="45"/>
        <v>296044.68857466668</v>
      </c>
      <c r="Q45" s="343">
        <f t="shared" si="46"/>
        <v>28950.939448365334</v>
      </c>
      <c r="R45" s="343">
        <f t="shared" si="47"/>
        <v>28950.939448365334</v>
      </c>
      <c r="S45" s="353">
        <f t="shared" si="48"/>
        <v>0</v>
      </c>
    </row>
    <row r="46" spans="1:19" x14ac:dyDescent="0.25">
      <c r="A46" s="7"/>
      <c r="B46" s="7" t="s">
        <v>23</v>
      </c>
      <c r="C46" s="7" t="s">
        <v>29</v>
      </c>
      <c r="D46" s="7" t="s">
        <v>40</v>
      </c>
      <c r="E46" s="253">
        <f>1000*D_device_values!$Q$16*(1/D_currency_conversion!$H$7)*D_currency_conversion!$H$6</f>
        <v>869019.28727450978</v>
      </c>
      <c r="F46" s="253">
        <f>E46*D_currency_conversion!$I$12*D_currency_conversion!$J$12</f>
        <v>1019802.4448190901</v>
      </c>
      <c r="G46" s="188">
        <f>D_device_lifecycles!$X$16</f>
        <v>15</v>
      </c>
      <c r="H46" s="188">
        <f t="shared" si="24"/>
        <v>15</v>
      </c>
      <c r="I46" s="253">
        <f t="shared" si="39"/>
        <v>67986.829654606001</v>
      </c>
      <c r="J46" s="253">
        <f t="shared" si="40"/>
        <v>67986.829654606001</v>
      </c>
      <c r="K46" s="253">
        <v>18</v>
      </c>
      <c r="L46" s="259">
        <f t="shared" si="41"/>
        <v>1</v>
      </c>
      <c r="M46" s="334">
        <f t="shared" si="42"/>
        <v>15642347.170941176</v>
      </c>
      <c r="N46" s="253">
        <f t="shared" si="43"/>
        <v>1223762.9337829081</v>
      </c>
      <c r="O46" s="335">
        <f t="shared" si="44"/>
        <v>1223762.9337829081</v>
      </c>
      <c r="P46" s="253">
        <f t="shared" si="45"/>
        <v>869019.28727450978</v>
      </c>
      <c r="Q46" s="343">
        <f t="shared" si="46"/>
        <v>67986.829654606001</v>
      </c>
      <c r="R46" s="343">
        <f t="shared" si="47"/>
        <v>67986.829654606001</v>
      </c>
      <c r="S46" s="353">
        <f t="shared" si="48"/>
        <v>0</v>
      </c>
    </row>
    <row r="47" spans="1:19" x14ac:dyDescent="0.25">
      <c r="A47" s="190">
        <v>4</v>
      </c>
      <c r="B47" s="190" t="s">
        <v>2</v>
      </c>
      <c r="C47" s="190"/>
      <c r="D47" s="190"/>
      <c r="E47" s="456"/>
      <c r="F47" s="253"/>
      <c r="G47" s="188"/>
      <c r="H47" s="188"/>
      <c r="I47" s="253"/>
      <c r="J47" s="253"/>
      <c r="K47" s="253"/>
      <c r="L47" s="253"/>
      <c r="M47" s="334"/>
      <c r="N47" s="253"/>
      <c r="O47" s="335"/>
      <c r="P47" s="253"/>
      <c r="Q47" s="343"/>
      <c r="R47" s="343"/>
      <c r="S47" s="353"/>
    </row>
    <row r="48" spans="1:19" x14ac:dyDescent="0.25">
      <c r="A48" s="7"/>
      <c r="B48" s="7" t="s">
        <v>9</v>
      </c>
      <c r="C48" s="7" t="s">
        <v>8</v>
      </c>
      <c r="D48" s="7" t="s">
        <v>5</v>
      </c>
      <c r="E48" s="253">
        <f>1000*D_device_values!$Q$18*(1/D_currency_conversion!$H$7)*D_currency_conversion!$H$6</f>
        <v>320982.44312947843</v>
      </c>
      <c r="F48" s="253">
        <f>E48*D_currency_conversion!$I$12*D_currency_conversion!$J$12</f>
        <v>376675.96685232763</v>
      </c>
      <c r="G48" s="188">
        <f>D_device_lifecycles!$X$18</f>
        <v>8</v>
      </c>
      <c r="H48" s="188">
        <f t="shared" si="24"/>
        <v>8</v>
      </c>
      <c r="I48" s="253">
        <f t="shared" ref="I48:I51" si="49">$F48/G48</f>
        <v>47084.495856540954</v>
      </c>
      <c r="J48" s="253">
        <f t="shared" ref="J48:J51" si="50">$F48/H48</f>
        <v>47084.495856540954</v>
      </c>
      <c r="K48" s="253">
        <v>21</v>
      </c>
      <c r="L48" s="259">
        <f t="shared" ref="L48:L51" si="51">K48/18</f>
        <v>1.1666666666666667</v>
      </c>
      <c r="M48" s="334">
        <f t="shared" ref="M48:M51" si="52">K48*E48</f>
        <v>6740631.3057190469</v>
      </c>
      <c r="N48" s="253">
        <f>K48*I48</f>
        <v>988774.41298736003</v>
      </c>
      <c r="O48" s="335">
        <f>K48*J48</f>
        <v>988774.41298736003</v>
      </c>
      <c r="P48" s="253">
        <f t="shared" ref="P48:P51" si="53">L48*E48</f>
        <v>374479.51698439155</v>
      </c>
      <c r="Q48" s="343">
        <f t="shared" ref="Q48:Q49" si="54">I48*L48</f>
        <v>54931.911832631115</v>
      </c>
      <c r="R48" s="343">
        <f t="shared" ref="R48:R51" si="55">L48*J48</f>
        <v>54931.911832631115</v>
      </c>
      <c r="S48" s="353">
        <f t="shared" ref="S48:S51" si="56">(G48-H48)/G48</f>
        <v>0</v>
      </c>
    </row>
    <row r="49" spans="1:19" x14ac:dyDescent="0.25">
      <c r="A49" s="7"/>
      <c r="B49" s="7" t="s">
        <v>10</v>
      </c>
      <c r="C49" s="7" t="s">
        <v>30</v>
      </c>
      <c r="D49" s="7" t="s">
        <v>41</v>
      </c>
      <c r="E49" s="253">
        <f>1000*D_device_values!$Q$19*(1/D_currency_conversion!$H$7)*D_currency_conversion!$H$6</f>
        <v>841284.62917000416</v>
      </c>
      <c r="F49" s="253">
        <f>E49*D_currency_conversion!$I$12*D_currency_conversion!$J$12</f>
        <v>987255.55828231061</v>
      </c>
      <c r="G49" s="188">
        <f>D_device_lifecycles!$X$19</f>
        <v>9</v>
      </c>
      <c r="H49" s="188">
        <f t="shared" si="24"/>
        <v>9</v>
      </c>
      <c r="I49" s="253">
        <f t="shared" si="49"/>
        <v>109695.06203136785</v>
      </c>
      <c r="J49" s="253">
        <f t="shared" si="50"/>
        <v>109695.06203136785</v>
      </c>
      <c r="K49" s="253">
        <v>17</v>
      </c>
      <c r="L49" s="259">
        <f t="shared" si="51"/>
        <v>0.94444444444444442</v>
      </c>
      <c r="M49" s="334">
        <f t="shared" si="52"/>
        <v>14301838.695890071</v>
      </c>
      <c r="N49" s="253">
        <f>K49*I49</f>
        <v>1864816.0545332534</v>
      </c>
      <c r="O49" s="335">
        <f>K49*J49</f>
        <v>1864816.0545332534</v>
      </c>
      <c r="P49" s="253">
        <f t="shared" si="53"/>
        <v>794546.59421611507</v>
      </c>
      <c r="Q49" s="343">
        <f t="shared" si="54"/>
        <v>103600.89191851408</v>
      </c>
      <c r="R49" s="343">
        <f t="shared" si="55"/>
        <v>103600.89191851408</v>
      </c>
      <c r="S49" s="353">
        <f t="shared" si="56"/>
        <v>0</v>
      </c>
    </row>
    <row r="50" spans="1:19" x14ac:dyDescent="0.25">
      <c r="A50" s="190">
        <v>5</v>
      </c>
      <c r="B50" s="190" t="s">
        <v>12</v>
      </c>
      <c r="C50" s="190"/>
      <c r="D50" s="191" t="s">
        <v>4</v>
      </c>
      <c r="E50" s="253">
        <f>1000*D_device_values!$Q$20*(1/D_currency_conversion!$H$7)*D_currency_conversion!$H$6</f>
        <v>1216627.0021843137</v>
      </c>
      <c r="F50" s="253">
        <f>E50*D_currency_conversion!$I$12*D_currency_conversion!$J$12</f>
        <v>1427723.4227467263</v>
      </c>
      <c r="G50" s="188">
        <f>D_device_lifecycles!$X$20</f>
        <v>10</v>
      </c>
      <c r="H50" s="188">
        <f t="shared" si="24"/>
        <v>10</v>
      </c>
      <c r="I50" s="253">
        <f t="shared" si="49"/>
        <v>142772.34227467264</v>
      </c>
      <c r="J50" s="253">
        <f t="shared" si="50"/>
        <v>142772.34227467264</v>
      </c>
      <c r="K50" s="253">
        <v>50</v>
      </c>
      <c r="L50" s="259">
        <f t="shared" si="51"/>
        <v>2.7777777777777777</v>
      </c>
      <c r="M50" s="334">
        <f t="shared" si="52"/>
        <v>60831350.109215684</v>
      </c>
      <c r="N50" s="253">
        <f>K50*I50</f>
        <v>7138617.1137336325</v>
      </c>
      <c r="O50" s="335">
        <f>K50*J50</f>
        <v>7138617.1137336325</v>
      </c>
      <c r="P50" s="253">
        <f t="shared" si="53"/>
        <v>3379519.4505119827</v>
      </c>
      <c r="Q50" s="343">
        <f>I50*L50</f>
        <v>396589.83965186845</v>
      </c>
      <c r="R50" s="343">
        <f t="shared" si="55"/>
        <v>396589.83965186845</v>
      </c>
      <c r="S50" s="353">
        <f t="shared" si="56"/>
        <v>0</v>
      </c>
    </row>
    <row r="51" spans="1:19" x14ac:dyDescent="0.25">
      <c r="A51" s="192">
        <v>6</v>
      </c>
      <c r="B51" s="192" t="s">
        <v>13</v>
      </c>
      <c r="C51" s="192"/>
      <c r="D51" s="193" t="s">
        <v>3</v>
      </c>
      <c r="E51" s="254">
        <f>1000*D_device_values!$Q$21*(1/D_currency_conversion!$H$7)*D_currency_conversion!$H$6</f>
        <v>3519053.3760707863</v>
      </c>
      <c r="F51" s="254">
        <f>E51*D_currency_conversion!$I$12*D_currency_conversion!$J$12</f>
        <v>4129642.792648667</v>
      </c>
      <c r="G51" s="194">
        <f>D_device_lifecycles!$X$21</f>
        <v>8</v>
      </c>
      <c r="H51" s="194">
        <f t="shared" si="24"/>
        <v>8</v>
      </c>
      <c r="I51" s="254">
        <f t="shared" si="49"/>
        <v>516205.34908108338</v>
      </c>
      <c r="J51" s="254">
        <f t="shared" si="50"/>
        <v>516205.34908108338</v>
      </c>
      <c r="K51" s="254">
        <v>47</v>
      </c>
      <c r="L51" s="333">
        <f t="shared" si="51"/>
        <v>2.6111111111111112</v>
      </c>
      <c r="M51" s="336">
        <f t="shared" si="52"/>
        <v>165395508.67532694</v>
      </c>
      <c r="N51" s="254">
        <f>K51*I51</f>
        <v>24261651.406810917</v>
      </c>
      <c r="O51" s="337">
        <f>K51*J51</f>
        <v>24261651.406810917</v>
      </c>
      <c r="P51" s="254">
        <f t="shared" si="53"/>
        <v>9188639.3708514981</v>
      </c>
      <c r="Q51" s="344">
        <f>I51*L51</f>
        <v>1347869.5226006065</v>
      </c>
      <c r="R51" s="344">
        <f t="shared" si="55"/>
        <v>1347869.5226006065</v>
      </c>
      <c r="S51" s="354">
        <f t="shared" si="56"/>
        <v>0</v>
      </c>
    </row>
    <row r="52" spans="1:19" x14ac:dyDescent="0.25">
      <c r="A52" s="1"/>
      <c r="B52" s="1"/>
      <c r="C52" s="1"/>
      <c r="D52" s="1"/>
      <c r="E52" s="1"/>
      <c r="F52" s="1"/>
      <c r="G52" s="1"/>
      <c r="H52" s="1"/>
      <c r="I52" s="225"/>
      <c r="J52" s="225"/>
      <c r="K52" s="255">
        <f>SUM(K34:K51)</f>
        <v>419</v>
      </c>
      <c r="L52" s="255">
        <v>240</v>
      </c>
      <c r="M52" s="338">
        <f t="shared" ref="M52:P52" si="57">SUM(M34:M51)</f>
        <v>320130175.45574528</v>
      </c>
      <c r="N52" s="339">
        <f t="shared" si="57"/>
        <v>43077410.772139512</v>
      </c>
      <c r="O52" s="340">
        <f t="shared" si="57"/>
        <v>43077410.772139512</v>
      </c>
      <c r="P52" s="255">
        <f t="shared" si="57"/>
        <v>17785009.747541405</v>
      </c>
      <c r="Q52" s="345">
        <f>SUM(Q34:Q51)</f>
        <v>2393189.4873410841</v>
      </c>
      <c r="R52" s="345">
        <f t="shared" ref="R52" si="58">SUM(R34:R51)</f>
        <v>2393189.4873410841</v>
      </c>
      <c r="S52" s="225"/>
    </row>
    <row r="53" spans="1:19" x14ac:dyDescent="0.25">
      <c r="A53" s="11" t="s">
        <v>230</v>
      </c>
      <c r="B53" s="1"/>
      <c r="C53" s="1"/>
      <c r="D53" s="1"/>
      <c r="E53" s="199" t="s">
        <v>231</v>
      </c>
      <c r="F53" s="199"/>
      <c r="G53" s="552" t="s">
        <v>400</v>
      </c>
      <c r="H53" s="552"/>
      <c r="I53" s="225"/>
      <c r="J53" s="225"/>
      <c r="N53" s="225"/>
      <c r="O53" s="225"/>
      <c r="S53" s="225"/>
    </row>
    <row r="54" spans="1:19" x14ac:dyDescent="0.25">
      <c r="A54" s="225"/>
      <c r="B54" s="225"/>
      <c r="C54" s="225"/>
      <c r="D54" s="225"/>
      <c r="E54" s="225"/>
      <c r="G54" s="225"/>
      <c r="H54" s="225"/>
      <c r="I54" s="225"/>
      <c r="J54" s="225" t="s">
        <v>615</v>
      </c>
      <c r="K54" s="363">
        <f>SUM(K34:K36,K48,K50,K51)</f>
        <v>223</v>
      </c>
      <c r="L54" s="225" t="s">
        <v>536</v>
      </c>
      <c r="M54" s="427">
        <f>SUM(M34:M36,M48,M50,M51)</f>
        <v>254236891.22773921</v>
      </c>
      <c r="N54" s="363">
        <f>SUM(N34:N36,N48,N50,N51)</f>
        <v>35295455.79246147</v>
      </c>
      <c r="O54" s="363">
        <f>SUM(O34:O36,O48,O50,O51)</f>
        <v>35295455.79246147</v>
      </c>
      <c r="P54" s="225" t="s">
        <v>536</v>
      </c>
      <c r="Q54" s="363">
        <f>SUM(Q34:Q36,Q48,Q50,Q51)</f>
        <v>1960858.6551367487</v>
      </c>
      <c r="R54" s="363">
        <f>SUM(R34:R36,R48,R50,R51)</f>
        <v>1960858.6551367487</v>
      </c>
      <c r="S54" s="225"/>
    </row>
    <row r="55" spans="1:19" x14ac:dyDescent="0.25">
      <c r="A55" s="450" t="s">
        <v>623</v>
      </c>
      <c r="B55" s="450"/>
      <c r="C55" s="450"/>
      <c r="D55" s="451">
        <v>0.05</v>
      </c>
      <c r="E55" s="450"/>
      <c r="F55" s="450"/>
      <c r="G55" s="450"/>
      <c r="H55" s="450"/>
      <c r="I55" s="450"/>
      <c r="J55" s="450"/>
      <c r="K55" s="450"/>
      <c r="L55" s="450"/>
      <c r="M55" s="450"/>
      <c r="N55" s="450"/>
      <c r="O55" s="450"/>
      <c r="P55" s="450"/>
      <c r="Q55" s="450"/>
      <c r="R55" s="450"/>
      <c r="S55" s="450"/>
    </row>
    <row r="56" spans="1:19" x14ac:dyDescent="0.25">
      <c r="A56" s="196" t="s">
        <v>14</v>
      </c>
      <c r="B56" s="196"/>
      <c r="C56" s="196"/>
      <c r="D56" s="331" t="str">
        <f>HYPERLINK("#"&amp;ADDRESS(1,1,,,"MASTER"),"M &lt;=")</f>
        <v>M &lt;=</v>
      </c>
      <c r="E56" s="444" t="s">
        <v>229</v>
      </c>
      <c r="F56" s="444" t="s">
        <v>229</v>
      </c>
      <c r="G56" s="544" t="s">
        <v>44</v>
      </c>
      <c r="H56" s="544"/>
      <c r="I56" s="547" t="s">
        <v>454</v>
      </c>
      <c r="J56" s="547"/>
      <c r="K56" s="445" t="s">
        <v>405</v>
      </c>
      <c r="L56" s="445" t="s">
        <v>517</v>
      </c>
      <c r="M56" s="449" t="s">
        <v>459</v>
      </c>
      <c r="N56" s="550" t="s">
        <v>458</v>
      </c>
      <c r="O56" s="551"/>
      <c r="P56" s="445" t="s">
        <v>518</v>
      </c>
      <c r="Q56" s="553" t="s">
        <v>522</v>
      </c>
      <c r="R56" s="553"/>
      <c r="S56" s="446" t="s">
        <v>523</v>
      </c>
    </row>
    <row r="57" spans="1:19" x14ac:dyDescent="0.25">
      <c r="A57" s="198"/>
      <c r="B57" s="198"/>
      <c r="C57" s="198"/>
      <c r="D57" s="198"/>
      <c r="E57" s="448" t="s">
        <v>627</v>
      </c>
      <c r="F57" s="448" t="s">
        <v>628</v>
      </c>
      <c r="G57" s="448" t="s">
        <v>7</v>
      </c>
      <c r="H57" s="448" t="s">
        <v>6</v>
      </c>
      <c r="I57" s="448" t="s">
        <v>7</v>
      </c>
      <c r="J57" s="448" t="s">
        <v>6</v>
      </c>
      <c r="K57" s="448" t="s">
        <v>455</v>
      </c>
      <c r="L57" s="448" t="s">
        <v>455</v>
      </c>
      <c r="M57" s="447" t="s">
        <v>627</v>
      </c>
      <c r="N57" s="448" t="s">
        <v>7</v>
      </c>
      <c r="O57" s="269" t="s">
        <v>6</v>
      </c>
      <c r="P57" s="448" t="s">
        <v>629</v>
      </c>
      <c r="Q57" s="341" t="s">
        <v>7</v>
      </c>
      <c r="R57" s="341" t="s">
        <v>6</v>
      </c>
      <c r="S57" s="446" t="s">
        <v>524</v>
      </c>
    </row>
    <row r="58" spans="1:19" x14ac:dyDescent="0.25">
      <c r="A58" s="3">
        <v>1</v>
      </c>
      <c r="B58" s="3" t="s">
        <v>11</v>
      </c>
      <c r="C58" s="3"/>
      <c r="D58" s="3"/>
      <c r="E58" s="444"/>
      <c r="F58" s="444"/>
      <c r="G58" s="3"/>
      <c r="H58" s="3"/>
      <c r="I58" s="3"/>
      <c r="J58" s="3"/>
      <c r="K58" s="3"/>
      <c r="L58" s="3"/>
      <c r="M58" s="264"/>
      <c r="N58" s="190"/>
      <c r="O58" s="265"/>
      <c r="P58" s="190"/>
      <c r="Q58" s="342"/>
      <c r="R58" s="342"/>
      <c r="S58" s="352"/>
    </row>
    <row r="59" spans="1:19" x14ac:dyDescent="0.25">
      <c r="A59" s="7"/>
      <c r="B59" s="7" t="s">
        <v>9</v>
      </c>
      <c r="C59" s="7" t="s">
        <v>16</v>
      </c>
      <c r="D59" s="7" t="s">
        <v>31</v>
      </c>
      <c r="E59" s="253">
        <f>1000*D_device_values!$Q$4*(1/D_currency_conversion!$H$7)*D_currency_conversion!$H$6</f>
        <v>849913.18946918368</v>
      </c>
      <c r="F59" s="253">
        <f>E59*D_currency_conversion!$I$12*D_currency_conversion!$J$12</f>
        <v>997381.25631597533</v>
      </c>
      <c r="G59" s="188">
        <f>D_device_lifecycles!$X$4</f>
        <v>7.5</v>
      </c>
      <c r="H59" s="188">
        <f>G59*(1-$D$55)</f>
        <v>7.125</v>
      </c>
      <c r="I59" s="253">
        <f>$F59/G59</f>
        <v>132984.1675087967</v>
      </c>
      <c r="J59" s="253">
        <f>$F59/H59</f>
        <v>139983.33421978602</v>
      </c>
      <c r="K59" s="253">
        <v>11</v>
      </c>
      <c r="L59" s="259">
        <f>K59/18</f>
        <v>0.61111111111111116</v>
      </c>
      <c r="M59" s="334">
        <f>K59*E59</f>
        <v>9349045.0841610208</v>
      </c>
      <c r="N59" s="253">
        <f>K59*I59</f>
        <v>1462825.8425967637</v>
      </c>
      <c r="O59" s="335">
        <f>K59*J59</f>
        <v>1539816.6764176462</v>
      </c>
      <c r="P59" s="253">
        <f>L59*E59</f>
        <v>519391.3935645012</v>
      </c>
      <c r="Q59" s="343">
        <f>I59*L59</f>
        <v>81268.102366486884</v>
      </c>
      <c r="R59" s="343">
        <f>L59*J59</f>
        <v>85545.370912091457</v>
      </c>
      <c r="S59" s="353">
        <f>(G59-H59)/G59</f>
        <v>0.05</v>
      </c>
    </row>
    <row r="60" spans="1:19" x14ac:dyDescent="0.25">
      <c r="A60" s="7"/>
      <c r="B60" s="7" t="s">
        <v>10</v>
      </c>
      <c r="C60" s="7" t="s">
        <v>17</v>
      </c>
      <c r="D60" s="7" t="s">
        <v>32</v>
      </c>
      <c r="E60" s="253">
        <f>1000*D_device_values!$Q$5*(1/D_currency_conversion!$H$7)*D_currency_conversion!$H$6</f>
        <v>64714.20224384647</v>
      </c>
      <c r="F60" s="253">
        <f>E60*D_currency_conversion!$I$12*D_currency_conversion!$J$12</f>
        <v>75942.735252485436</v>
      </c>
      <c r="G60" s="188">
        <f>D_device_lifecycles!$X$5</f>
        <v>9</v>
      </c>
      <c r="H60" s="188">
        <f t="shared" ref="H60:H76" si="59">G60*(1-$D$55)</f>
        <v>8.5499999999999989</v>
      </c>
      <c r="I60" s="253">
        <f t="shared" ref="I60:I61" si="60">$F60/G60</f>
        <v>8438.081694720604</v>
      </c>
      <c r="J60" s="253">
        <f t="shared" ref="J60:J61" si="61">$F60/H60</f>
        <v>8882.1912576006362</v>
      </c>
      <c r="K60" s="253">
        <v>53</v>
      </c>
      <c r="L60" s="259">
        <f t="shared" ref="L60:L61" si="62">K60/18</f>
        <v>2.9444444444444446</v>
      </c>
      <c r="M60" s="334">
        <f t="shared" ref="M60:M61" si="63">K60*E60</f>
        <v>3429852.718923863</v>
      </c>
      <c r="N60" s="253">
        <f>K60*I60</f>
        <v>447218.32982019201</v>
      </c>
      <c r="O60" s="335">
        <f>K60*J60</f>
        <v>470756.13665283372</v>
      </c>
      <c r="P60" s="253">
        <f t="shared" ref="P60:P61" si="64">L60*E60</f>
        <v>190547.37327354794</v>
      </c>
      <c r="Q60" s="343">
        <f>I60*L60</f>
        <v>24845.462767788445</v>
      </c>
      <c r="R60" s="343">
        <f>L60*J60</f>
        <v>26153.118702935208</v>
      </c>
      <c r="S60" s="353">
        <f t="shared" ref="S60:S61" si="65">(G60-H60)/G60</f>
        <v>5.0000000000000121E-2</v>
      </c>
    </row>
    <row r="61" spans="1:19" x14ac:dyDescent="0.25">
      <c r="A61" s="7"/>
      <c r="B61" s="7" t="s">
        <v>15</v>
      </c>
      <c r="C61" s="7" t="s">
        <v>18</v>
      </c>
      <c r="D61" s="7" t="s">
        <v>33</v>
      </c>
      <c r="E61" s="253">
        <f>1000*D_device_values!$Q$6*(1/D_currency_conversion!$H$7)*D_currency_conversion!$H$6</f>
        <v>207085.44718030869</v>
      </c>
      <c r="F61" s="253">
        <f>E61*D_currency_conversion!$I$12*D_currency_conversion!$J$12</f>
        <v>243016.75280795337</v>
      </c>
      <c r="G61" s="188">
        <f>D_device_lifecycles!$X$6</f>
        <v>10</v>
      </c>
      <c r="H61" s="188">
        <f t="shared" si="59"/>
        <v>9.5</v>
      </c>
      <c r="I61" s="253">
        <f t="shared" si="60"/>
        <v>24301.675280795338</v>
      </c>
      <c r="J61" s="253">
        <f t="shared" si="61"/>
        <v>25580.710821889828</v>
      </c>
      <c r="K61" s="253">
        <v>41</v>
      </c>
      <c r="L61" s="259">
        <f t="shared" si="62"/>
        <v>2.2777777777777777</v>
      </c>
      <c r="M61" s="334">
        <f t="shared" si="63"/>
        <v>8490503.3343926556</v>
      </c>
      <c r="N61" s="253">
        <f>K61*I61</f>
        <v>996368.6865126089</v>
      </c>
      <c r="O61" s="335">
        <f>K61*J61</f>
        <v>1048809.143697483</v>
      </c>
      <c r="P61" s="253">
        <f t="shared" si="64"/>
        <v>471694.62968848087</v>
      </c>
      <c r="Q61" s="343">
        <f>I61*L61</f>
        <v>55353.815917367159</v>
      </c>
      <c r="R61" s="343">
        <f>L61*J61</f>
        <v>58267.174649860164</v>
      </c>
      <c r="S61" s="353">
        <f t="shared" si="65"/>
        <v>0.05</v>
      </c>
    </row>
    <row r="62" spans="1:19" x14ac:dyDescent="0.25">
      <c r="A62" s="190">
        <v>2</v>
      </c>
      <c r="B62" s="190" t="s">
        <v>43</v>
      </c>
      <c r="C62" s="190"/>
      <c r="D62" s="190"/>
      <c r="E62" s="456"/>
      <c r="F62" s="253"/>
      <c r="G62" s="188"/>
      <c r="H62" s="188"/>
      <c r="I62" s="253"/>
      <c r="J62" s="253"/>
      <c r="K62" s="253"/>
      <c r="L62" s="253"/>
      <c r="M62" s="334"/>
      <c r="N62" s="253"/>
      <c r="O62" s="335"/>
      <c r="P62" s="253"/>
      <c r="Q62" s="343"/>
      <c r="R62" s="343"/>
      <c r="S62" s="353"/>
    </row>
    <row r="63" spans="1:19" x14ac:dyDescent="0.25">
      <c r="A63" s="7"/>
      <c r="B63" s="7" t="s">
        <v>9</v>
      </c>
      <c r="C63" s="7" t="s">
        <v>19</v>
      </c>
      <c r="D63" s="7" t="s">
        <v>34</v>
      </c>
      <c r="E63" s="253">
        <f>1000*D_device_values!$Q$8*(1/D_currency_conversion!$H$7)*D_currency_conversion!$H$6</f>
        <v>173469.52185035453</v>
      </c>
      <c r="F63" s="253">
        <f>E63*D_currency_conversion!$I$12*D_currency_conversion!$J$12</f>
        <v>203568.14293433359</v>
      </c>
      <c r="G63" s="188">
        <f>D_device_lifecycles!$X$8</f>
        <v>10</v>
      </c>
      <c r="H63" s="188">
        <f t="shared" si="59"/>
        <v>9.5</v>
      </c>
      <c r="I63" s="253">
        <f t="shared" ref="I63:I64" si="66">$F63/G63</f>
        <v>20356.814293433359</v>
      </c>
      <c r="J63" s="253">
        <f t="shared" ref="J63" si="67">$F63/H63</f>
        <v>21428.225572035113</v>
      </c>
      <c r="K63" s="253">
        <v>22</v>
      </c>
      <c r="L63" s="259">
        <f t="shared" ref="L63:L64" si="68">K63/18</f>
        <v>1.2222222222222223</v>
      </c>
      <c r="M63" s="334">
        <f t="shared" ref="M63:M64" si="69">K63*E63</f>
        <v>3816329.4807077996</v>
      </c>
      <c r="N63" s="253">
        <f>K63*I63</f>
        <v>447849.9144555339</v>
      </c>
      <c r="O63" s="335">
        <f>K63*J63</f>
        <v>471420.9625847725</v>
      </c>
      <c r="P63" s="253">
        <f t="shared" ref="P63:P64" si="70">L63*E63</f>
        <v>212018.30448376667</v>
      </c>
      <c r="Q63" s="343">
        <f t="shared" ref="Q63:Q64" si="71">I63*L63</f>
        <v>24880.550803085218</v>
      </c>
      <c r="R63" s="343">
        <f t="shared" ref="R63:R64" si="72">L63*J63</f>
        <v>26190.053476931807</v>
      </c>
      <c r="S63" s="353">
        <f t="shared" ref="S63:S64" si="73">(G63-H63)/G63</f>
        <v>0.05</v>
      </c>
    </row>
    <row r="64" spans="1:19" x14ac:dyDescent="0.25">
      <c r="A64" s="7"/>
      <c r="B64" s="7" t="s">
        <v>10</v>
      </c>
      <c r="C64" s="7" t="s">
        <v>20</v>
      </c>
      <c r="D64" s="7" t="s">
        <v>34</v>
      </c>
      <c r="E64" s="253">
        <f>1000*D_device_values!$Q$9*(1/D_currency_conversion!$H$7)*D_currency_conversion!$H$6</f>
        <v>173732.7429469417</v>
      </c>
      <c r="F64" s="253">
        <f>E64*D_currency_conversion!$I$12*D_currency_conversion!$J$12</f>
        <v>203877.03540859552</v>
      </c>
      <c r="G64" s="188">
        <f>D_device_lifecycles!$X$9</f>
        <v>11</v>
      </c>
      <c r="H64" s="188">
        <f t="shared" si="59"/>
        <v>10.45</v>
      </c>
      <c r="I64" s="253">
        <f t="shared" si="66"/>
        <v>18534.275946235957</v>
      </c>
      <c r="J64" s="253">
        <f>$F64/H64</f>
        <v>19509.764153932585</v>
      </c>
      <c r="K64" s="253">
        <v>22</v>
      </c>
      <c r="L64" s="259">
        <f t="shared" si="68"/>
        <v>1.2222222222222223</v>
      </c>
      <c r="M64" s="334">
        <f t="shared" si="69"/>
        <v>3822120.3448327174</v>
      </c>
      <c r="N64" s="253">
        <f>K64*I64</f>
        <v>407754.07081719104</v>
      </c>
      <c r="O64" s="335">
        <f>K64*J64</f>
        <v>429214.8113865169</v>
      </c>
      <c r="P64" s="253">
        <f t="shared" si="70"/>
        <v>212340.0191573732</v>
      </c>
      <c r="Q64" s="343">
        <f t="shared" si="71"/>
        <v>22653.003934288394</v>
      </c>
      <c r="R64" s="343">
        <f t="shared" si="72"/>
        <v>23845.26729925094</v>
      </c>
      <c r="S64" s="353">
        <f t="shared" si="73"/>
        <v>5.0000000000000065E-2</v>
      </c>
    </row>
    <row r="65" spans="1:19" x14ac:dyDescent="0.25">
      <c r="A65" s="190">
        <v>3</v>
      </c>
      <c r="B65" s="190" t="s">
        <v>42</v>
      </c>
      <c r="C65" s="190"/>
      <c r="D65" s="190"/>
      <c r="E65" s="456"/>
      <c r="F65" s="253"/>
      <c r="G65" s="188"/>
      <c r="H65" s="188"/>
      <c r="I65" s="253"/>
      <c r="J65" s="253"/>
      <c r="K65" s="253"/>
      <c r="L65" s="253"/>
      <c r="M65" s="334"/>
      <c r="N65" s="253"/>
      <c r="O65" s="335"/>
      <c r="P65" s="253"/>
      <c r="Q65" s="343"/>
      <c r="R65" s="343"/>
      <c r="S65" s="353"/>
    </row>
    <row r="66" spans="1:19" x14ac:dyDescent="0.25">
      <c r="A66" s="7"/>
      <c r="B66" s="7" t="s">
        <v>9</v>
      </c>
      <c r="C66" s="7" t="s">
        <v>24</v>
      </c>
      <c r="D66" s="7" t="s">
        <v>35</v>
      </c>
      <c r="E66" s="253">
        <f>1000*D_device_values!$Q$11*(1/D_currency_conversion!$H$7)*D_currency_conversion!$H$6</f>
        <v>1064482.5920110256</v>
      </c>
      <c r="F66" s="253">
        <f>E66*D_currency_conversion!$I$12*D_currency_conversion!$J$12</f>
        <v>1249180.502316393</v>
      </c>
      <c r="G66" s="188">
        <f>D_device_lifecycles!$X$11</f>
        <v>10</v>
      </c>
      <c r="H66" s="188">
        <f t="shared" si="59"/>
        <v>9.5</v>
      </c>
      <c r="I66" s="253">
        <f t="shared" ref="I66:I71" si="74">$F66/G66</f>
        <v>124918.0502316393</v>
      </c>
      <c r="J66" s="253">
        <f t="shared" ref="J66:J71" si="75">$F66/H66</f>
        <v>131492.68445435716</v>
      </c>
      <c r="K66" s="253">
        <v>4</v>
      </c>
      <c r="L66" s="259">
        <f t="shared" ref="L66:L71" si="76">K66/18</f>
        <v>0.22222222222222221</v>
      </c>
      <c r="M66" s="334">
        <f t="shared" ref="M66:M71" si="77">K66*E66</f>
        <v>4257930.3680441026</v>
      </c>
      <c r="N66" s="253">
        <f t="shared" ref="N66:N71" si="78">K66*I66</f>
        <v>499672.20092655718</v>
      </c>
      <c r="O66" s="335">
        <f t="shared" ref="O66:O71" si="79">K66*J66</f>
        <v>525970.73781742866</v>
      </c>
      <c r="P66" s="253">
        <f t="shared" ref="P66:P71" si="80">L66*E66</f>
        <v>236551.68711356123</v>
      </c>
      <c r="Q66" s="343">
        <f t="shared" ref="Q66:Q71" si="81">I66*L66</f>
        <v>27759.566718142065</v>
      </c>
      <c r="R66" s="343">
        <f t="shared" ref="R66:R71" si="82">L66*J66</f>
        <v>29220.5965454127</v>
      </c>
      <c r="S66" s="353">
        <f t="shared" ref="S66:S71" si="83">(G66-H66)/G66</f>
        <v>0.05</v>
      </c>
    </row>
    <row r="67" spans="1:19" x14ac:dyDescent="0.25">
      <c r="A67" s="7"/>
      <c r="B67" s="7" t="s">
        <v>10</v>
      </c>
      <c r="C67" s="7" t="s">
        <v>25</v>
      </c>
      <c r="D67" s="7" t="s">
        <v>36</v>
      </c>
      <c r="E67" s="253">
        <f>1000*D_device_values!$Q$12*(1/D_currency_conversion!$H$7)*D_currency_conversion!$H$6</f>
        <v>362399.53256554028</v>
      </c>
      <c r="F67" s="253">
        <f>E67*D_currency_conversion!$I$12*D_currency_conversion!$J$12</f>
        <v>425279.31741391844</v>
      </c>
      <c r="G67" s="188">
        <f>D_device_lifecycles!$X$12</f>
        <v>9</v>
      </c>
      <c r="H67" s="188">
        <f t="shared" si="59"/>
        <v>8.5499999999999989</v>
      </c>
      <c r="I67" s="253">
        <f t="shared" si="74"/>
        <v>47253.257490435382</v>
      </c>
      <c r="J67" s="253">
        <f t="shared" si="75"/>
        <v>49740.271042563567</v>
      </c>
      <c r="K67" s="253">
        <v>13</v>
      </c>
      <c r="L67" s="259">
        <f t="shared" si="76"/>
        <v>0.72222222222222221</v>
      </c>
      <c r="M67" s="334">
        <f t="shared" si="77"/>
        <v>4711193.9233520236</v>
      </c>
      <c r="N67" s="253">
        <f t="shared" si="78"/>
        <v>614292.34737565997</v>
      </c>
      <c r="O67" s="335">
        <f t="shared" si="79"/>
        <v>646623.52355332638</v>
      </c>
      <c r="P67" s="253">
        <f t="shared" si="80"/>
        <v>261732.9957417791</v>
      </c>
      <c r="Q67" s="343">
        <f t="shared" si="81"/>
        <v>34127.352631981106</v>
      </c>
      <c r="R67" s="343">
        <f t="shared" si="82"/>
        <v>35923.529086295908</v>
      </c>
      <c r="S67" s="353">
        <f t="shared" si="83"/>
        <v>5.0000000000000121E-2</v>
      </c>
    </row>
    <row r="68" spans="1:19" x14ac:dyDescent="0.25">
      <c r="A68" s="7"/>
      <c r="B68" s="7" t="s">
        <v>15</v>
      </c>
      <c r="C68" s="7" t="s">
        <v>26</v>
      </c>
      <c r="D68" s="7" t="s">
        <v>37</v>
      </c>
      <c r="E68" s="253">
        <f>1000*D_device_values!$Q$13*(1/D_currency_conversion!$H$7)*D_currency_conversion!$H$6</f>
        <v>369662.42145046114</v>
      </c>
      <c r="F68" s="253">
        <f>E68*D_currency_conversion!$I$12*D_currency_conversion!$J$12</f>
        <v>433802.38698182325</v>
      </c>
      <c r="G68" s="188">
        <f>D_device_lifecycles!$X$13</f>
        <v>7</v>
      </c>
      <c r="H68" s="188">
        <f t="shared" si="59"/>
        <v>6.6499999999999995</v>
      </c>
      <c r="I68" s="253">
        <f t="shared" si="74"/>
        <v>61971.769568831893</v>
      </c>
      <c r="J68" s="253">
        <f t="shared" si="75"/>
        <v>65233.441651401998</v>
      </c>
      <c r="K68" s="253">
        <v>19</v>
      </c>
      <c r="L68" s="259">
        <f t="shared" si="76"/>
        <v>1.0555555555555556</v>
      </c>
      <c r="M68" s="334">
        <f t="shared" si="77"/>
        <v>7023586.0075587621</v>
      </c>
      <c r="N68" s="253">
        <f t="shared" si="78"/>
        <v>1177463.621807806</v>
      </c>
      <c r="O68" s="335">
        <f t="shared" si="79"/>
        <v>1239435.3913766379</v>
      </c>
      <c r="P68" s="253">
        <f t="shared" si="80"/>
        <v>390199.22264215344</v>
      </c>
      <c r="Q68" s="343">
        <f t="shared" si="81"/>
        <v>65414.645655989225</v>
      </c>
      <c r="R68" s="343">
        <f t="shared" si="82"/>
        <v>68857.521743146557</v>
      </c>
      <c r="S68" s="353">
        <f t="shared" si="83"/>
        <v>5.0000000000000079E-2</v>
      </c>
    </row>
    <row r="69" spans="1:19" x14ac:dyDescent="0.25">
      <c r="A69" s="7"/>
      <c r="B69" s="7" t="s">
        <v>21</v>
      </c>
      <c r="C69" s="7" t="s">
        <v>27</v>
      </c>
      <c r="D69" s="7" t="s">
        <v>38</v>
      </c>
      <c r="E69" s="253">
        <f>1000*D_device_values!$Q$14*(1/D_currency_conversion!$H$7)*D_currency_conversion!$H$6</f>
        <v>116485.56403892365</v>
      </c>
      <c r="F69" s="253">
        <f>E69*D_currency_conversion!$I$12*D_currency_conversion!$J$12</f>
        <v>136696.92345447378</v>
      </c>
      <c r="G69" s="188">
        <f>D_device_lifecycles!$X$14</f>
        <v>8</v>
      </c>
      <c r="H69" s="188">
        <f t="shared" si="59"/>
        <v>7.6</v>
      </c>
      <c r="I69" s="253">
        <f t="shared" si="74"/>
        <v>17087.115431809223</v>
      </c>
      <c r="J69" s="253">
        <f t="shared" si="75"/>
        <v>17986.437296641288</v>
      </c>
      <c r="K69" s="253">
        <v>60</v>
      </c>
      <c r="L69" s="259">
        <f t="shared" si="76"/>
        <v>3.3333333333333335</v>
      </c>
      <c r="M69" s="334">
        <f t="shared" si="77"/>
        <v>6989133.8423354188</v>
      </c>
      <c r="N69" s="253">
        <f t="shared" si="78"/>
        <v>1025226.9259085534</v>
      </c>
      <c r="O69" s="335">
        <f t="shared" si="79"/>
        <v>1079186.2377984773</v>
      </c>
      <c r="P69" s="253">
        <f t="shared" si="80"/>
        <v>388285.21346307884</v>
      </c>
      <c r="Q69" s="343">
        <f t="shared" si="81"/>
        <v>56957.051439364077</v>
      </c>
      <c r="R69" s="343">
        <f t="shared" si="82"/>
        <v>59954.7909888043</v>
      </c>
      <c r="S69" s="353">
        <f t="shared" si="83"/>
        <v>5.0000000000000044E-2</v>
      </c>
    </row>
    <row r="70" spans="1:19" x14ac:dyDescent="0.25">
      <c r="A70" s="7"/>
      <c r="B70" s="7" t="s">
        <v>22</v>
      </c>
      <c r="C70" s="7" t="s">
        <v>28</v>
      </c>
      <c r="D70" s="7" t="s">
        <v>39</v>
      </c>
      <c r="E70" s="253">
        <f>1000*D_device_values!$Q$15*(1/D_currency_conversion!$H$7)*D_currency_conversion!$H$6</f>
        <v>253752.59020685713</v>
      </c>
      <c r="F70" s="253">
        <f>E70*D_currency_conversion!$I$12*D_currency_conversion!$J$12</f>
        <v>297781.09146890056</v>
      </c>
      <c r="G70" s="188">
        <f>D_device_lifecycles!$X$15</f>
        <v>12</v>
      </c>
      <c r="H70" s="188">
        <f t="shared" si="59"/>
        <v>11.399999999999999</v>
      </c>
      <c r="I70" s="253">
        <f t="shared" si="74"/>
        <v>24815.090955741714</v>
      </c>
      <c r="J70" s="253">
        <f t="shared" si="75"/>
        <v>26121.148374464963</v>
      </c>
      <c r="K70" s="253">
        <v>21</v>
      </c>
      <c r="L70" s="259">
        <f t="shared" si="76"/>
        <v>1.1666666666666667</v>
      </c>
      <c r="M70" s="334">
        <f t="shared" si="77"/>
        <v>5328804.3943440001</v>
      </c>
      <c r="N70" s="253">
        <f t="shared" si="78"/>
        <v>521116.91007057601</v>
      </c>
      <c r="O70" s="335">
        <f t="shared" si="79"/>
        <v>548544.11586376419</v>
      </c>
      <c r="P70" s="253">
        <f t="shared" si="80"/>
        <v>296044.68857466668</v>
      </c>
      <c r="Q70" s="343">
        <f t="shared" si="81"/>
        <v>28950.939448365334</v>
      </c>
      <c r="R70" s="343">
        <f t="shared" si="82"/>
        <v>30474.67310354246</v>
      </c>
      <c r="S70" s="353">
        <f t="shared" si="83"/>
        <v>5.0000000000000121E-2</v>
      </c>
    </row>
    <row r="71" spans="1:19" x14ac:dyDescent="0.25">
      <c r="A71" s="7"/>
      <c r="B71" s="7" t="s">
        <v>23</v>
      </c>
      <c r="C71" s="7" t="s">
        <v>29</v>
      </c>
      <c r="D71" s="7" t="s">
        <v>40</v>
      </c>
      <c r="E71" s="253">
        <f>1000*D_device_values!$Q$16*(1/D_currency_conversion!$H$7)*D_currency_conversion!$H$6</f>
        <v>869019.28727450978</v>
      </c>
      <c r="F71" s="253">
        <f>E71*D_currency_conversion!$I$12*D_currency_conversion!$J$12</f>
        <v>1019802.4448190901</v>
      </c>
      <c r="G71" s="188">
        <f>D_device_lifecycles!$X$16</f>
        <v>15</v>
      </c>
      <c r="H71" s="188">
        <f t="shared" si="59"/>
        <v>14.25</v>
      </c>
      <c r="I71" s="253">
        <f t="shared" si="74"/>
        <v>67986.829654606001</v>
      </c>
      <c r="J71" s="253">
        <f t="shared" si="75"/>
        <v>71565.083846953683</v>
      </c>
      <c r="K71" s="253">
        <v>18</v>
      </c>
      <c r="L71" s="259">
        <f t="shared" si="76"/>
        <v>1</v>
      </c>
      <c r="M71" s="334">
        <f t="shared" si="77"/>
        <v>15642347.170941176</v>
      </c>
      <c r="N71" s="253">
        <f t="shared" si="78"/>
        <v>1223762.9337829081</v>
      </c>
      <c r="O71" s="335">
        <f t="shared" si="79"/>
        <v>1288171.5092451663</v>
      </c>
      <c r="P71" s="253">
        <f t="shared" si="80"/>
        <v>869019.28727450978</v>
      </c>
      <c r="Q71" s="343">
        <f t="shared" si="81"/>
        <v>67986.829654606001</v>
      </c>
      <c r="R71" s="343">
        <f t="shared" si="82"/>
        <v>71565.083846953683</v>
      </c>
      <c r="S71" s="353">
        <f t="shared" si="83"/>
        <v>0.05</v>
      </c>
    </row>
    <row r="72" spans="1:19" x14ac:dyDescent="0.25">
      <c r="A72" s="190">
        <v>4</v>
      </c>
      <c r="B72" s="190" t="s">
        <v>2</v>
      </c>
      <c r="C72" s="190"/>
      <c r="D72" s="190"/>
      <c r="E72" s="456"/>
      <c r="F72" s="253"/>
      <c r="G72" s="188"/>
      <c r="H72" s="188"/>
      <c r="I72" s="253"/>
      <c r="J72" s="253"/>
      <c r="K72" s="253"/>
      <c r="L72" s="253"/>
      <c r="M72" s="334"/>
      <c r="N72" s="253"/>
      <c r="O72" s="335"/>
      <c r="P72" s="253"/>
      <c r="Q72" s="343"/>
      <c r="R72" s="343"/>
      <c r="S72" s="353"/>
    </row>
    <row r="73" spans="1:19" x14ac:dyDescent="0.25">
      <c r="A73" s="7"/>
      <c r="B73" s="7" t="s">
        <v>9</v>
      </c>
      <c r="C73" s="7" t="s">
        <v>8</v>
      </c>
      <c r="D73" s="7" t="s">
        <v>5</v>
      </c>
      <c r="E73" s="253">
        <f>1000*D_device_values!$Q$18*(1/D_currency_conversion!$H$7)*D_currency_conversion!$H$6</f>
        <v>320982.44312947843</v>
      </c>
      <c r="F73" s="253">
        <f>E73*D_currency_conversion!$I$12*D_currency_conversion!$J$12</f>
        <v>376675.96685232763</v>
      </c>
      <c r="G73" s="188">
        <f>D_device_lifecycles!$X$18</f>
        <v>8</v>
      </c>
      <c r="H73" s="188">
        <f t="shared" si="59"/>
        <v>7.6</v>
      </c>
      <c r="I73" s="253">
        <f t="shared" ref="I73:I76" si="84">$F73/G73</f>
        <v>47084.495856540954</v>
      </c>
      <c r="J73" s="253">
        <f t="shared" ref="J73:J76" si="85">$F73/H73</f>
        <v>49562.627217411537</v>
      </c>
      <c r="K73" s="253">
        <v>21</v>
      </c>
      <c r="L73" s="259">
        <f t="shared" ref="L73:L76" si="86">K73/18</f>
        <v>1.1666666666666667</v>
      </c>
      <c r="M73" s="334">
        <f t="shared" ref="M73:M76" si="87">K73*E73</f>
        <v>6740631.3057190469</v>
      </c>
      <c r="N73" s="253">
        <f>K73*I73</f>
        <v>988774.41298736003</v>
      </c>
      <c r="O73" s="335">
        <f>K73*J73</f>
        <v>1040815.1715656422</v>
      </c>
      <c r="P73" s="253">
        <f t="shared" ref="P73:P76" si="88">L73*E73</f>
        <v>374479.51698439155</v>
      </c>
      <c r="Q73" s="343">
        <f t="shared" ref="Q73:Q74" si="89">I73*L73</f>
        <v>54931.911832631115</v>
      </c>
      <c r="R73" s="343">
        <f t="shared" ref="R73:R76" si="90">L73*J73</f>
        <v>57823.065086980132</v>
      </c>
      <c r="S73" s="353">
        <f t="shared" ref="S73:S76" si="91">(G73-H73)/G73</f>
        <v>5.0000000000000044E-2</v>
      </c>
    </row>
    <row r="74" spans="1:19" x14ac:dyDescent="0.25">
      <c r="A74" s="7"/>
      <c r="B74" s="7" t="s">
        <v>10</v>
      </c>
      <c r="C74" s="7" t="s">
        <v>30</v>
      </c>
      <c r="D74" s="7" t="s">
        <v>41</v>
      </c>
      <c r="E74" s="253">
        <f>1000*D_device_values!$Q$19*(1/D_currency_conversion!$H$7)*D_currency_conversion!$H$6</f>
        <v>841284.62917000416</v>
      </c>
      <c r="F74" s="253">
        <f>E74*D_currency_conversion!$I$12*D_currency_conversion!$J$12</f>
        <v>987255.55828231061</v>
      </c>
      <c r="G74" s="188">
        <f>D_device_lifecycles!$X$19</f>
        <v>9</v>
      </c>
      <c r="H74" s="188">
        <f t="shared" si="59"/>
        <v>8.5499999999999989</v>
      </c>
      <c r="I74" s="253">
        <f t="shared" si="84"/>
        <v>109695.06203136785</v>
      </c>
      <c r="J74" s="253">
        <f t="shared" si="85"/>
        <v>115468.48634880828</v>
      </c>
      <c r="K74" s="253">
        <v>17</v>
      </c>
      <c r="L74" s="259">
        <f t="shared" si="86"/>
        <v>0.94444444444444442</v>
      </c>
      <c r="M74" s="334">
        <f t="shared" si="87"/>
        <v>14301838.695890071</v>
      </c>
      <c r="N74" s="253">
        <f>K74*I74</f>
        <v>1864816.0545332534</v>
      </c>
      <c r="O74" s="335">
        <f>K74*J74</f>
        <v>1962964.2679297407</v>
      </c>
      <c r="P74" s="253">
        <f t="shared" si="88"/>
        <v>794546.59421611507</v>
      </c>
      <c r="Q74" s="343">
        <f t="shared" si="89"/>
        <v>103600.89191851408</v>
      </c>
      <c r="R74" s="343">
        <f t="shared" si="90"/>
        <v>109053.57044054115</v>
      </c>
      <c r="S74" s="353">
        <f t="shared" si="91"/>
        <v>5.0000000000000121E-2</v>
      </c>
    </row>
    <row r="75" spans="1:19" x14ac:dyDescent="0.25">
      <c r="A75" s="190">
        <v>5</v>
      </c>
      <c r="B75" s="190" t="s">
        <v>12</v>
      </c>
      <c r="C75" s="190"/>
      <c r="D75" s="191" t="s">
        <v>4</v>
      </c>
      <c r="E75" s="253">
        <f>1000*D_device_values!$Q$20*(1/D_currency_conversion!$H$7)*D_currency_conversion!$H$6</f>
        <v>1216627.0021843137</v>
      </c>
      <c r="F75" s="253">
        <f>E75*D_currency_conversion!$I$12*D_currency_conversion!$J$12</f>
        <v>1427723.4227467263</v>
      </c>
      <c r="G75" s="188">
        <f>D_device_lifecycles!$X$20</f>
        <v>10</v>
      </c>
      <c r="H75" s="188">
        <f t="shared" si="59"/>
        <v>9.5</v>
      </c>
      <c r="I75" s="253">
        <f t="shared" si="84"/>
        <v>142772.34227467264</v>
      </c>
      <c r="J75" s="253">
        <f t="shared" si="85"/>
        <v>150286.67607860276</v>
      </c>
      <c r="K75" s="253">
        <v>50</v>
      </c>
      <c r="L75" s="259">
        <f t="shared" si="86"/>
        <v>2.7777777777777777</v>
      </c>
      <c r="M75" s="334">
        <f t="shared" si="87"/>
        <v>60831350.109215684</v>
      </c>
      <c r="N75" s="253">
        <f>K75*I75</f>
        <v>7138617.1137336325</v>
      </c>
      <c r="O75" s="335">
        <f>K75*J75</f>
        <v>7514333.8039301382</v>
      </c>
      <c r="P75" s="253">
        <f t="shared" si="88"/>
        <v>3379519.4505119827</v>
      </c>
      <c r="Q75" s="343">
        <f>I75*L75</f>
        <v>396589.83965186845</v>
      </c>
      <c r="R75" s="343">
        <f t="shared" si="90"/>
        <v>417462.98910722986</v>
      </c>
      <c r="S75" s="353">
        <f t="shared" si="91"/>
        <v>0.05</v>
      </c>
    </row>
    <row r="76" spans="1:19" x14ac:dyDescent="0.25">
      <c r="A76" s="192">
        <v>6</v>
      </c>
      <c r="B76" s="192" t="s">
        <v>13</v>
      </c>
      <c r="C76" s="192"/>
      <c r="D76" s="193" t="s">
        <v>3</v>
      </c>
      <c r="E76" s="254">
        <f>1000*D_device_values!$Q$21*(1/D_currency_conversion!$H$7)*D_currency_conversion!$H$6</f>
        <v>3519053.3760707863</v>
      </c>
      <c r="F76" s="254">
        <f>E76*D_currency_conversion!$I$12*D_currency_conversion!$J$12</f>
        <v>4129642.792648667</v>
      </c>
      <c r="G76" s="194">
        <f>D_device_lifecycles!$X$21</f>
        <v>8</v>
      </c>
      <c r="H76" s="188">
        <f t="shared" si="59"/>
        <v>7.6</v>
      </c>
      <c r="I76" s="254">
        <f t="shared" si="84"/>
        <v>516205.34908108338</v>
      </c>
      <c r="J76" s="254">
        <f t="shared" si="85"/>
        <v>543374.05166429828</v>
      </c>
      <c r="K76" s="254">
        <v>47</v>
      </c>
      <c r="L76" s="333">
        <f t="shared" si="86"/>
        <v>2.6111111111111112</v>
      </c>
      <c r="M76" s="336">
        <f t="shared" si="87"/>
        <v>165395508.67532694</v>
      </c>
      <c r="N76" s="254">
        <f>K76*I76</f>
        <v>24261651.406810917</v>
      </c>
      <c r="O76" s="337">
        <f>K76*J76</f>
        <v>25538580.428222019</v>
      </c>
      <c r="P76" s="254">
        <f t="shared" si="88"/>
        <v>9188639.3708514981</v>
      </c>
      <c r="Q76" s="344">
        <f>I76*L76</f>
        <v>1347869.5226006065</v>
      </c>
      <c r="R76" s="344">
        <f t="shared" si="90"/>
        <v>1418810.0237901122</v>
      </c>
      <c r="S76" s="354">
        <f t="shared" si="91"/>
        <v>5.0000000000000044E-2</v>
      </c>
    </row>
    <row r="77" spans="1:19" x14ac:dyDescent="0.25">
      <c r="A77" s="1"/>
      <c r="B77" s="1"/>
      <c r="C77" s="1"/>
      <c r="D77" s="1"/>
      <c r="E77" s="1"/>
      <c r="F77" s="1"/>
      <c r="G77" s="1"/>
      <c r="H77" s="1"/>
      <c r="I77" s="225"/>
      <c r="J77" s="225"/>
      <c r="K77" s="255">
        <f>SUM(K59:K76)</f>
        <v>419</v>
      </c>
      <c r="L77" s="255">
        <v>240</v>
      </c>
      <c r="M77" s="338">
        <f t="shared" ref="M77:P77" si="92">SUM(M59:M76)</f>
        <v>320130175.45574528</v>
      </c>
      <c r="N77" s="339">
        <f t="shared" si="92"/>
        <v>43077410.772139512</v>
      </c>
      <c r="O77" s="340">
        <f t="shared" si="92"/>
        <v>45344642.918041594</v>
      </c>
      <c r="P77" s="255">
        <f t="shared" si="92"/>
        <v>17785009.747541405</v>
      </c>
      <c r="Q77" s="345">
        <f>SUM(Q59:Q76)</f>
        <v>2393189.4873410841</v>
      </c>
      <c r="R77" s="345">
        <f t="shared" ref="R77" si="93">SUM(R59:R76)</f>
        <v>2519146.8287800886</v>
      </c>
      <c r="S77" s="225"/>
    </row>
    <row r="78" spans="1:19" x14ac:dyDescent="0.25">
      <c r="A78" s="11" t="s">
        <v>230</v>
      </c>
      <c r="B78" s="1"/>
      <c r="C78" s="1"/>
      <c r="D78" s="1"/>
      <c r="E78" s="199" t="s">
        <v>231</v>
      </c>
      <c r="F78" s="199"/>
      <c r="G78" s="552" t="s">
        <v>400</v>
      </c>
      <c r="H78" s="552"/>
      <c r="I78" s="225"/>
      <c r="J78" s="225"/>
      <c r="N78" s="225"/>
      <c r="O78" s="225"/>
      <c r="S78" s="225"/>
    </row>
    <row r="79" spans="1:19" x14ac:dyDescent="0.25">
      <c r="A79" s="225"/>
      <c r="B79" s="225"/>
      <c r="C79" s="225"/>
      <c r="D79" s="225"/>
      <c r="E79" s="225"/>
      <c r="G79" s="225"/>
      <c r="H79" s="225"/>
      <c r="I79" s="225"/>
      <c r="J79" s="225" t="s">
        <v>615</v>
      </c>
      <c r="K79" s="363">
        <f>SUM(K59:K61,K73,K75,K76)</f>
        <v>223</v>
      </c>
      <c r="L79" s="225" t="s">
        <v>536</v>
      </c>
      <c r="M79" s="427">
        <f>SUM(M59:M61,M73,M75,M76)</f>
        <v>254236891.22773921</v>
      </c>
      <c r="N79" s="363">
        <f>SUM(N59:N61,N73,N75,N76)</f>
        <v>35295455.79246147</v>
      </c>
      <c r="O79" s="363">
        <f>SUM(O59:O61,O73,O75,O76)</f>
        <v>37153111.360485762</v>
      </c>
      <c r="P79" s="225" t="s">
        <v>536</v>
      </c>
      <c r="Q79" s="363">
        <f>SUM(Q59:Q61,Q73,Q75,Q76)</f>
        <v>1960858.6551367487</v>
      </c>
      <c r="R79" s="363">
        <f>SUM(R59:R61,R73,R75,R76)</f>
        <v>2064061.742249209</v>
      </c>
      <c r="S79" s="225"/>
    </row>
    <row r="80" spans="1:19" x14ac:dyDescent="0.25">
      <c r="A80" s="450" t="s">
        <v>623</v>
      </c>
      <c r="B80" s="450"/>
      <c r="C80" s="450"/>
      <c r="D80" s="451">
        <v>0.1</v>
      </c>
      <c r="E80" s="450"/>
      <c r="F80" s="450"/>
      <c r="G80" s="450"/>
      <c r="H80" s="450"/>
      <c r="I80" s="450"/>
      <c r="J80" s="450"/>
      <c r="K80" s="450"/>
      <c r="L80" s="450"/>
      <c r="M80" s="450"/>
      <c r="N80" s="450"/>
      <c r="O80" s="450"/>
      <c r="P80" s="450"/>
      <c r="Q80" s="450"/>
      <c r="R80" s="450"/>
      <c r="S80" s="450"/>
    </row>
    <row r="81" spans="1:19" x14ac:dyDescent="0.25">
      <c r="A81" s="196" t="s">
        <v>14</v>
      </c>
      <c r="B81" s="196"/>
      <c r="C81" s="196"/>
      <c r="D81" s="331" t="str">
        <f>HYPERLINK("#"&amp;ADDRESS(1,1,,,"MASTER"),"M &lt;=")</f>
        <v>M &lt;=</v>
      </c>
      <c r="E81" s="444" t="s">
        <v>229</v>
      </c>
      <c r="F81" s="444" t="s">
        <v>229</v>
      </c>
      <c r="G81" s="544" t="s">
        <v>44</v>
      </c>
      <c r="H81" s="544"/>
      <c r="I81" s="547" t="s">
        <v>454</v>
      </c>
      <c r="J81" s="547"/>
      <c r="K81" s="445" t="s">
        <v>405</v>
      </c>
      <c r="L81" s="445" t="s">
        <v>517</v>
      </c>
      <c r="M81" s="449" t="s">
        <v>459</v>
      </c>
      <c r="N81" s="550" t="s">
        <v>458</v>
      </c>
      <c r="O81" s="551"/>
      <c r="P81" s="445" t="s">
        <v>518</v>
      </c>
      <c r="Q81" s="553" t="s">
        <v>522</v>
      </c>
      <c r="R81" s="553"/>
      <c r="S81" s="446" t="s">
        <v>523</v>
      </c>
    </row>
    <row r="82" spans="1:19" x14ac:dyDescent="0.25">
      <c r="A82" s="198"/>
      <c r="B82" s="198"/>
      <c r="C82" s="198"/>
      <c r="D82" s="198"/>
      <c r="E82" s="448" t="s">
        <v>627</v>
      </c>
      <c r="F82" s="448" t="s">
        <v>628</v>
      </c>
      <c r="G82" s="448" t="s">
        <v>7</v>
      </c>
      <c r="H82" s="448" t="s">
        <v>6</v>
      </c>
      <c r="I82" s="448" t="s">
        <v>7</v>
      </c>
      <c r="J82" s="448" t="s">
        <v>6</v>
      </c>
      <c r="K82" s="448" t="s">
        <v>455</v>
      </c>
      <c r="L82" s="448" t="s">
        <v>455</v>
      </c>
      <c r="M82" s="447" t="s">
        <v>627</v>
      </c>
      <c r="N82" s="448" t="s">
        <v>7</v>
      </c>
      <c r="O82" s="269" t="s">
        <v>6</v>
      </c>
      <c r="P82" s="448" t="s">
        <v>629</v>
      </c>
      <c r="Q82" s="341" t="s">
        <v>7</v>
      </c>
      <c r="R82" s="341" t="s">
        <v>6</v>
      </c>
      <c r="S82" s="446" t="s">
        <v>524</v>
      </c>
    </row>
    <row r="83" spans="1:19" x14ac:dyDescent="0.25">
      <c r="A83" s="3">
        <v>1</v>
      </c>
      <c r="B83" s="3" t="s">
        <v>11</v>
      </c>
      <c r="C83" s="3"/>
      <c r="D83" s="3"/>
      <c r="E83" s="444"/>
      <c r="F83" s="444"/>
      <c r="G83" s="3"/>
      <c r="H83" s="3"/>
      <c r="I83" s="3"/>
      <c r="J83" s="3"/>
      <c r="K83" s="3"/>
      <c r="L83" s="3"/>
      <c r="M83" s="264"/>
      <c r="N83" s="190"/>
      <c r="O83" s="265"/>
      <c r="P83" s="190"/>
      <c r="Q83" s="342"/>
      <c r="R83" s="342"/>
      <c r="S83" s="352"/>
    </row>
    <row r="84" spans="1:19" x14ac:dyDescent="0.25">
      <c r="A84" s="7"/>
      <c r="B84" s="7" t="s">
        <v>9</v>
      </c>
      <c r="C84" s="7" t="s">
        <v>16</v>
      </c>
      <c r="D84" s="7" t="s">
        <v>31</v>
      </c>
      <c r="E84" s="253">
        <f>1000*D_device_values!$Q$4*(1/D_currency_conversion!$H$7)*D_currency_conversion!$H$6</f>
        <v>849913.18946918368</v>
      </c>
      <c r="F84" s="253">
        <f>E84*D_currency_conversion!$I$12*D_currency_conversion!$J$12</f>
        <v>997381.25631597533</v>
      </c>
      <c r="G84" s="188">
        <f>D_device_lifecycles!$X$4</f>
        <v>7.5</v>
      </c>
      <c r="H84" s="188">
        <f>G84*(1-$D$80)</f>
        <v>6.75</v>
      </c>
      <c r="I84" s="253">
        <f>$F84/G84</f>
        <v>132984.1675087967</v>
      </c>
      <c r="J84" s="253">
        <f>$F84/H84</f>
        <v>147760.18612088522</v>
      </c>
      <c r="K84" s="253">
        <v>11</v>
      </c>
      <c r="L84" s="259">
        <f>K84/18</f>
        <v>0.61111111111111116</v>
      </c>
      <c r="M84" s="334">
        <f>K84*E84</f>
        <v>9349045.0841610208</v>
      </c>
      <c r="N84" s="253">
        <f>K84*I84</f>
        <v>1462825.8425967637</v>
      </c>
      <c r="O84" s="335">
        <f>K84*J84</f>
        <v>1625362.0473297373</v>
      </c>
      <c r="P84" s="253">
        <f>L84*E84</f>
        <v>519391.3935645012</v>
      </c>
      <c r="Q84" s="343">
        <f>I84*L84</f>
        <v>81268.102366486884</v>
      </c>
      <c r="R84" s="343">
        <f>L84*J84</f>
        <v>90297.891518318749</v>
      </c>
      <c r="S84" s="353">
        <f>(G84-H84)/G84</f>
        <v>0.1</v>
      </c>
    </row>
    <row r="85" spans="1:19" x14ac:dyDescent="0.25">
      <c r="A85" s="7"/>
      <c r="B85" s="7" t="s">
        <v>10</v>
      </c>
      <c r="C85" s="7" t="s">
        <v>17</v>
      </c>
      <c r="D85" s="7" t="s">
        <v>32</v>
      </c>
      <c r="E85" s="253">
        <f>1000*D_device_values!$Q$5*(1/D_currency_conversion!$H$7)*D_currency_conversion!$H$6</f>
        <v>64714.20224384647</v>
      </c>
      <c r="F85" s="253">
        <f>E85*D_currency_conversion!$I$12*D_currency_conversion!$J$12</f>
        <v>75942.735252485436</v>
      </c>
      <c r="G85" s="188">
        <f>D_device_lifecycles!$X$5</f>
        <v>9</v>
      </c>
      <c r="H85" s="188">
        <f t="shared" ref="H85:H101" si="94">G85*(1-$D$80)</f>
        <v>8.1</v>
      </c>
      <c r="I85" s="253">
        <f t="shared" ref="I85:I86" si="95">$F85/G85</f>
        <v>8438.081694720604</v>
      </c>
      <c r="J85" s="253">
        <f t="shared" ref="J85:J86" si="96">$F85/H85</f>
        <v>9375.6463274673388</v>
      </c>
      <c r="K85" s="253">
        <v>53</v>
      </c>
      <c r="L85" s="259">
        <f t="shared" ref="L85:L86" si="97">K85/18</f>
        <v>2.9444444444444446</v>
      </c>
      <c r="M85" s="334">
        <f t="shared" ref="M85:M86" si="98">K85*E85</f>
        <v>3429852.718923863</v>
      </c>
      <c r="N85" s="253">
        <f>K85*I85</f>
        <v>447218.32982019201</v>
      </c>
      <c r="O85" s="335">
        <f>K85*J85</f>
        <v>496909.25535576895</v>
      </c>
      <c r="P85" s="253">
        <f t="shared" ref="P85:P86" si="99">L85*E85</f>
        <v>190547.37327354794</v>
      </c>
      <c r="Q85" s="343">
        <f>I85*L85</f>
        <v>24845.462767788445</v>
      </c>
      <c r="R85" s="343">
        <f>L85*J85</f>
        <v>27606.069741987165</v>
      </c>
      <c r="S85" s="353">
        <f t="shared" ref="S85:S86" si="100">(G85-H85)/G85</f>
        <v>0.10000000000000003</v>
      </c>
    </row>
    <row r="86" spans="1:19" x14ac:dyDescent="0.25">
      <c r="A86" s="7"/>
      <c r="B86" s="7" t="s">
        <v>15</v>
      </c>
      <c r="C86" s="7" t="s">
        <v>18</v>
      </c>
      <c r="D86" s="7" t="s">
        <v>33</v>
      </c>
      <c r="E86" s="253">
        <f>1000*D_device_values!$Q$6*(1/D_currency_conversion!$H$7)*D_currency_conversion!$H$6</f>
        <v>207085.44718030869</v>
      </c>
      <c r="F86" s="253">
        <f>E86*D_currency_conversion!$I$12*D_currency_conversion!$J$12</f>
        <v>243016.75280795337</v>
      </c>
      <c r="G86" s="188">
        <f>D_device_lifecycles!$X$6</f>
        <v>10</v>
      </c>
      <c r="H86" s="188">
        <f t="shared" si="94"/>
        <v>9</v>
      </c>
      <c r="I86" s="253">
        <f t="shared" si="95"/>
        <v>24301.675280795338</v>
      </c>
      <c r="J86" s="253">
        <f t="shared" si="96"/>
        <v>27001.861423105929</v>
      </c>
      <c r="K86" s="253">
        <v>41</v>
      </c>
      <c r="L86" s="259">
        <f t="shared" si="97"/>
        <v>2.2777777777777777</v>
      </c>
      <c r="M86" s="334">
        <f t="shared" si="98"/>
        <v>8490503.3343926556</v>
      </c>
      <c r="N86" s="253">
        <f>K86*I86</f>
        <v>996368.6865126089</v>
      </c>
      <c r="O86" s="335">
        <f>K86*J86</f>
        <v>1107076.318347343</v>
      </c>
      <c r="P86" s="253">
        <f t="shared" si="99"/>
        <v>471694.62968848087</v>
      </c>
      <c r="Q86" s="343">
        <f>I86*L86</f>
        <v>55353.815917367159</v>
      </c>
      <c r="R86" s="343">
        <f>L86*J86</f>
        <v>61504.239908185722</v>
      </c>
      <c r="S86" s="353">
        <f t="shared" si="100"/>
        <v>0.1</v>
      </c>
    </row>
    <row r="87" spans="1:19" x14ac:dyDescent="0.25">
      <c r="A87" s="190">
        <v>2</v>
      </c>
      <c r="B87" s="190" t="s">
        <v>43</v>
      </c>
      <c r="C87" s="190"/>
      <c r="D87" s="190"/>
      <c r="E87" s="456"/>
      <c r="F87" s="253"/>
      <c r="G87" s="188"/>
      <c r="H87" s="188"/>
      <c r="I87" s="253"/>
      <c r="J87" s="253"/>
      <c r="K87" s="253"/>
      <c r="L87" s="253"/>
      <c r="M87" s="334"/>
      <c r="N87" s="253"/>
      <c r="O87" s="335"/>
      <c r="P87" s="253"/>
      <c r="Q87" s="343"/>
      <c r="R87" s="343"/>
      <c r="S87" s="353"/>
    </row>
    <row r="88" spans="1:19" x14ac:dyDescent="0.25">
      <c r="A88" s="7"/>
      <c r="B88" s="7" t="s">
        <v>9</v>
      </c>
      <c r="C88" s="7" t="s">
        <v>19</v>
      </c>
      <c r="D88" s="7" t="s">
        <v>34</v>
      </c>
      <c r="E88" s="253">
        <f>1000*D_device_values!$Q$8*(1/D_currency_conversion!$H$7)*D_currency_conversion!$H$6</f>
        <v>173469.52185035453</v>
      </c>
      <c r="F88" s="253">
        <f>E88*D_currency_conversion!$I$12*D_currency_conversion!$J$12</f>
        <v>203568.14293433359</v>
      </c>
      <c r="G88" s="188">
        <f>D_device_lifecycles!$X$8</f>
        <v>10</v>
      </c>
      <c r="H88" s="188">
        <f t="shared" si="94"/>
        <v>9</v>
      </c>
      <c r="I88" s="253">
        <f t="shared" ref="I88:I89" si="101">$F88/G88</f>
        <v>20356.814293433359</v>
      </c>
      <c r="J88" s="253">
        <f t="shared" ref="J88" si="102">$F88/H88</f>
        <v>22618.682548259287</v>
      </c>
      <c r="K88" s="253">
        <v>22</v>
      </c>
      <c r="L88" s="259">
        <f t="shared" ref="L88:L89" si="103">K88/18</f>
        <v>1.2222222222222223</v>
      </c>
      <c r="M88" s="334">
        <f t="shared" ref="M88:M89" si="104">K88*E88</f>
        <v>3816329.4807077996</v>
      </c>
      <c r="N88" s="253">
        <f>K88*I88</f>
        <v>447849.9144555339</v>
      </c>
      <c r="O88" s="335">
        <f>K88*J88</f>
        <v>497611.01606170431</v>
      </c>
      <c r="P88" s="253">
        <f t="shared" ref="P88:P89" si="105">L88*E88</f>
        <v>212018.30448376667</v>
      </c>
      <c r="Q88" s="343">
        <f t="shared" ref="Q88:Q89" si="106">I88*L88</f>
        <v>24880.550803085218</v>
      </c>
      <c r="R88" s="343">
        <f t="shared" ref="R88:R89" si="107">L88*J88</f>
        <v>27645.056447872463</v>
      </c>
      <c r="S88" s="353">
        <f t="shared" ref="S88:S89" si="108">(G88-H88)/G88</f>
        <v>0.1</v>
      </c>
    </row>
    <row r="89" spans="1:19" x14ac:dyDescent="0.25">
      <c r="A89" s="7"/>
      <c r="B89" s="7" t="s">
        <v>10</v>
      </c>
      <c r="C89" s="7" t="s">
        <v>20</v>
      </c>
      <c r="D89" s="7" t="s">
        <v>34</v>
      </c>
      <c r="E89" s="253">
        <f>1000*D_device_values!$Q$9*(1/D_currency_conversion!$H$7)*D_currency_conversion!$H$6</f>
        <v>173732.7429469417</v>
      </c>
      <c r="F89" s="253">
        <f>E89*D_currency_conversion!$I$12*D_currency_conversion!$J$12</f>
        <v>203877.03540859552</v>
      </c>
      <c r="G89" s="188">
        <f>D_device_lifecycles!$X$9</f>
        <v>11</v>
      </c>
      <c r="H89" s="188">
        <f t="shared" si="94"/>
        <v>9.9</v>
      </c>
      <c r="I89" s="253">
        <f t="shared" si="101"/>
        <v>18534.275946235957</v>
      </c>
      <c r="J89" s="253">
        <f>$F89/H89</f>
        <v>20593.639940262172</v>
      </c>
      <c r="K89" s="253">
        <v>22</v>
      </c>
      <c r="L89" s="259">
        <f t="shared" si="103"/>
        <v>1.2222222222222223</v>
      </c>
      <c r="M89" s="334">
        <f t="shared" si="104"/>
        <v>3822120.3448327174</v>
      </c>
      <c r="N89" s="253">
        <f>K89*I89</f>
        <v>407754.07081719104</v>
      </c>
      <c r="O89" s="335">
        <f>K89*J89</f>
        <v>453060.07868576777</v>
      </c>
      <c r="P89" s="253">
        <f t="shared" si="105"/>
        <v>212340.0191573732</v>
      </c>
      <c r="Q89" s="343">
        <f t="shared" si="106"/>
        <v>22653.003934288394</v>
      </c>
      <c r="R89" s="343">
        <f t="shared" si="107"/>
        <v>25170.004371431547</v>
      </c>
      <c r="S89" s="353">
        <f t="shared" si="108"/>
        <v>9.9999999999999964E-2</v>
      </c>
    </row>
    <row r="90" spans="1:19" x14ac:dyDescent="0.25">
      <c r="A90" s="190">
        <v>3</v>
      </c>
      <c r="B90" s="190" t="s">
        <v>42</v>
      </c>
      <c r="C90" s="190"/>
      <c r="D90" s="190"/>
      <c r="E90" s="456"/>
      <c r="F90" s="253"/>
      <c r="G90" s="188"/>
      <c r="H90" s="188"/>
      <c r="I90" s="253"/>
      <c r="J90" s="253"/>
      <c r="K90" s="253"/>
      <c r="L90" s="253"/>
      <c r="M90" s="334"/>
      <c r="N90" s="253"/>
      <c r="O90" s="335"/>
      <c r="P90" s="253"/>
      <c r="Q90" s="343"/>
      <c r="R90" s="343"/>
      <c r="S90" s="353"/>
    </row>
    <row r="91" spans="1:19" x14ac:dyDescent="0.25">
      <c r="A91" s="7"/>
      <c r="B91" s="7" t="s">
        <v>9</v>
      </c>
      <c r="C91" s="7" t="s">
        <v>24</v>
      </c>
      <c r="D91" s="7" t="s">
        <v>35</v>
      </c>
      <c r="E91" s="253">
        <f>1000*D_device_values!$Q$11*(1/D_currency_conversion!$H$7)*D_currency_conversion!$H$6</f>
        <v>1064482.5920110256</v>
      </c>
      <c r="F91" s="253">
        <f>E91*D_currency_conversion!$I$12*D_currency_conversion!$J$12</f>
        <v>1249180.502316393</v>
      </c>
      <c r="G91" s="188">
        <f>D_device_lifecycles!$X$11</f>
        <v>10</v>
      </c>
      <c r="H91" s="188">
        <f t="shared" si="94"/>
        <v>9</v>
      </c>
      <c r="I91" s="253">
        <f t="shared" ref="I91:I96" si="109">$F91/G91</f>
        <v>124918.0502316393</v>
      </c>
      <c r="J91" s="253">
        <f t="shared" ref="J91:J96" si="110">$F91/H91</f>
        <v>138797.83359071033</v>
      </c>
      <c r="K91" s="253">
        <v>4</v>
      </c>
      <c r="L91" s="259">
        <f t="shared" ref="L91:L96" si="111">K91/18</f>
        <v>0.22222222222222221</v>
      </c>
      <c r="M91" s="334">
        <f t="shared" ref="M91:M96" si="112">K91*E91</f>
        <v>4257930.3680441026</v>
      </c>
      <c r="N91" s="253">
        <f t="shared" ref="N91:N96" si="113">K91*I91</f>
        <v>499672.20092655718</v>
      </c>
      <c r="O91" s="335">
        <f t="shared" ref="O91:O96" si="114">K91*J91</f>
        <v>555191.33436284133</v>
      </c>
      <c r="P91" s="253">
        <f t="shared" ref="P91:P96" si="115">L91*E91</f>
        <v>236551.68711356123</v>
      </c>
      <c r="Q91" s="343">
        <f t="shared" ref="Q91:Q96" si="116">I91*L91</f>
        <v>27759.566718142065</v>
      </c>
      <c r="R91" s="343">
        <f t="shared" ref="R91:R96" si="117">L91*J91</f>
        <v>30843.963020157851</v>
      </c>
      <c r="S91" s="353">
        <f t="shared" ref="S91:S96" si="118">(G91-H91)/G91</f>
        <v>0.1</v>
      </c>
    </row>
    <row r="92" spans="1:19" x14ac:dyDescent="0.25">
      <c r="A92" s="7"/>
      <c r="B92" s="7" t="s">
        <v>10</v>
      </c>
      <c r="C92" s="7" t="s">
        <v>25</v>
      </c>
      <c r="D92" s="7" t="s">
        <v>36</v>
      </c>
      <c r="E92" s="253">
        <f>1000*D_device_values!$Q$12*(1/D_currency_conversion!$H$7)*D_currency_conversion!$H$6</f>
        <v>362399.53256554028</v>
      </c>
      <c r="F92" s="253">
        <f>E92*D_currency_conversion!$I$12*D_currency_conversion!$J$12</f>
        <v>425279.31741391844</v>
      </c>
      <c r="G92" s="188">
        <f>D_device_lifecycles!$X$12</f>
        <v>9</v>
      </c>
      <c r="H92" s="188">
        <f t="shared" si="94"/>
        <v>8.1</v>
      </c>
      <c r="I92" s="253">
        <f t="shared" si="109"/>
        <v>47253.257490435382</v>
      </c>
      <c r="J92" s="253">
        <f t="shared" si="110"/>
        <v>52503.619433817097</v>
      </c>
      <c r="K92" s="253">
        <v>13</v>
      </c>
      <c r="L92" s="259">
        <f t="shared" si="111"/>
        <v>0.72222222222222221</v>
      </c>
      <c r="M92" s="334">
        <f t="shared" si="112"/>
        <v>4711193.9233520236</v>
      </c>
      <c r="N92" s="253">
        <f t="shared" si="113"/>
        <v>614292.34737565997</v>
      </c>
      <c r="O92" s="335">
        <f t="shared" si="114"/>
        <v>682547.05263962224</v>
      </c>
      <c r="P92" s="253">
        <f t="shared" si="115"/>
        <v>261732.9957417791</v>
      </c>
      <c r="Q92" s="343">
        <f t="shared" si="116"/>
        <v>34127.352631981106</v>
      </c>
      <c r="R92" s="343">
        <f t="shared" si="117"/>
        <v>37919.280702201235</v>
      </c>
      <c r="S92" s="353">
        <f t="shared" si="118"/>
        <v>0.10000000000000003</v>
      </c>
    </row>
    <row r="93" spans="1:19" x14ac:dyDescent="0.25">
      <c r="A93" s="7"/>
      <c r="B93" s="7" t="s">
        <v>15</v>
      </c>
      <c r="C93" s="7" t="s">
        <v>26</v>
      </c>
      <c r="D93" s="7" t="s">
        <v>37</v>
      </c>
      <c r="E93" s="253">
        <f>1000*D_device_values!$Q$13*(1/D_currency_conversion!$H$7)*D_currency_conversion!$H$6</f>
        <v>369662.42145046114</v>
      </c>
      <c r="F93" s="253">
        <f>E93*D_currency_conversion!$I$12*D_currency_conversion!$J$12</f>
        <v>433802.38698182325</v>
      </c>
      <c r="G93" s="188">
        <f>D_device_lifecycles!$X$13</f>
        <v>7</v>
      </c>
      <c r="H93" s="188">
        <f t="shared" si="94"/>
        <v>6.3</v>
      </c>
      <c r="I93" s="253">
        <f t="shared" si="109"/>
        <v>61971.769568831893</v>
      </c>
      <c r="J93" s="253">
        <f t="shared" si="110"/>
        <v>68857.521743146543</v>
      </c>
      <c r="K93" s="253">
        <v>19</v>
      </c>
      <c r="L93" s="259">
        <f t="shared" si="111"/>
        <v>1.0555555555555556</v>
      </c>
      <c r="M93" s="334">
        <f t="shared" si="112"/>
        <v>7023586.0075587621</v>
      </c>
      <c r="N93" s="253">
        <f t="shared" si="113"/>
        <v>1177463.621807806</v>
      </c>
      <c r="O93" s="335">
        <f t="shared" si="114"/>
        <v>1308292.9131197843</v>
      </c>
      <c r="P93" s="253">
        <f t="shared" si="115"/>
        <v>390199.22264215344</v>
      </c>
      <c r="Q93" s="343">
        <f t="shared" si="116"/>
        <v>65414.645655989225</v>
      </c>
      <c r="R93" s="343">
        <f t="shared" si="117"/>
        <v>72682.939617765791</v>
      </c>
      <c r="S93" s="353">
        <f t="shared" si="118"/>
        <v>0.10000000000000002</v>
      </c>
    </row>
    <row r="94" spans="1:19" x14ac:dyDescent="0.25">
      <c r="A94" s="7"/>
      <c r="B94" s="7" t="s">
        <v>21</v>
      </c>
      <c r="C94" s="7" t="s">
        <v>27</v>
      </c>
      <c r="D94" s="7" t="s">
        <v>38</v>
      </c>
      <c r="E94" s="253">
        <f>1000*D_device_values!$Q$14*(1/D_currency_conversion!$H$7)*D_currency_conversion!$H$6</f>
        <v>116485.56403892365</v>
      </c>
      <c r="F94" s="253">
        <f>E94*D_currency_conversion!$I$12*D_currency_conversion!$J$12</f>
        <v>136696.92345447378</v>
      </c>
      <c r="G94" s="188">
        <f>D_device_lifecycles!$X$14</f>
        <v>8</v>
      </c>
      <c r="H94" s="188">
        <f t="shared" si="94"/>
        <v>7.2</v>
      </c>
      <c r="I94" s="253">
        <f t="shared" si="109"/>
        <v>17087.115431809223</v>
      </c>
      <c r="J94" s="253">
        <f t="shared" si="110"/>
        <v>18985.683813121359</v>
      </c>
      <c r="K94" s="253">
        <v>60</v>
      </c>
      <c r="L94" s="259">
        <f t="shared" si="111"/>
        <v>3.3333333333333335</v>
      </c>
      <c r="M94" s="334">
        <f t="shared" si="112"/>
        <v>6989133.8423354188</v>
      </c>
      <c r="N94" s="253">
        <f t="shared" si="113"/>
        <v>1025226.9259085534</v>
      </c>
      <c r="O94" s="335">
        <f t="shared" si="114"/>
        <v>1139141.0287872816</v>
      </c>
      <c r="P94" s="253">
        <f t="shared" si="115"/>
        <v>388285.21346307884</v>
      </c>
      <c r="Q94" s="343">
        <f t="shared" si="116"/>
        <v>56957.051439364077</v>
      </c>
      <c r="R94" s="343">
        <f t="shared" si="117"/>
        <v>63285.61271040453</v>
      </c>
      <c r="S94" s="353">
        <f t="shared" si="118"/>
        <v>9.9999999999999978E-2</v>
      </c>
    </row>
    <row r="95" spans="1:19" x14ac:dyDescent="0.25">
      <c r="A95" s="7"/>
      <c r="B95" s="7" t="s">
        <v>22</v>
      </c>
      <c r="C95" s="7" t="s">
        <v>28</v>
      </c>
      <c r="D95" s="7" t="s">
        <v>39</v>
      </c>
      <c r="E95" s="253">
        <f>1000*D_device_values!$Q$15*(1/D_currency_conversion!$H$7)*D_currency_conversion!$H$6</f>
        <v>253752.59020685713</v>
      </c>
      <c r="F95" s="253">
        <f>E95*D_currency_conversion!$I$12*D_currency_conversion!$J$12</f>
        <v>297781.09146890056</v>
      </c>
      <c r="G95" s="188">
        <f>D_device_lifecycles!$X$15</f>
        <v>12</v>
      </c>
      <c r="H95" s="188">
        <f t="shared" si="94"/>
        <v>10.8</v>
      </c>
      <c r="I95" s="253">
        <f t="shared" si="109"/>
        <v>24815.090955741714</v>
      </c>
      <c r="J95" s="253">
        <f t="shared" si="110"/>
        <v>27572.323284157457</v>
      </c>
      <c r="K95" s="253">
        <v>21</v>
      </c>
      <c r="L95" s="259">
        <f t="shared" si="111"/>
        <v>1.1666666666666667</v>
      </c>
      <c r="M95" s="334">
        <f t="shared" si="112"/>
        <v>5328804.3943440001</v>
      </c>
      <c r="N95" s="253">
        <f t="shared" si="113"/>
        <v>521116.91007057601</v>
      </c>
      <c r="O95" s="335">
        <f t="shared" si="114"/>
        <v>579018.78896730661</v>
      </c>
      <c r="P95" s="253">
        <f t="shared" si="115"/>
        <v>296044.68857466668</v>
      </c>
      <c r="Q95" s="343">
        <f t="shared" si="116"/>
        <v>28950.939448365334</v>
      </c>
      <c r="R95" s="343">
        <f t="shared" si="117"/>
        <v>32167.710498183704</v>
      </c>
      <c r="S95" s="353">
        <f t="shared" si="118"/>
        <v>9.9999999999999936E-2</v>
      </c>
    </row>
    <row r="96" spans="1:19" x14ac:dyDescent="0.25">
      <c r="A96" s="7"/>
      <c r="B96" s="7" t="s">
        <v>23</v>
      </c>
      <c r="C96" s="7" t="s">
        <v>29</v>
      </c>
      <c r="D96" s="7" t="s">
        <v>40</v>
      </c>
      <c r="E96" s="253">
        <f>1000*D_device_values!$Q$16*(1/D_currency_conversion!$H$7)*D_currency_conversion!$H$6</f>
        <v>869019.28727450978</v>
      </c>
      <c r="F96" s="253">
        <f>E96*D_currency_conversion!$I$12*D_currency_conversion!$J$12</f>
        <v>1019802.4448190901</v>
      </c>
      <c r="G96" s="188">
        <f>D_device_lifecycles!$X$16</f>
        <v>15</v>
      </c>
      <c r="H96" s="188">
        <f t="shared" si="94"/>
        <v>13.5</v>
      </c>
      <c r="I96" s="253">
        <f t="shared" si="109"/>
        <v>67986.829654606001</v>
      </c>
      <c r="J96" s="253">
        <f t="shared" si="110"/>
        <v>75540.921838451119</v>
      </c>
      <c r="K96" s="253">
        <v>18</v>
      </c>
      <c r="L96" s="259">
        <f t="shared" si="111"/>
        <v>1</v>
      </c>
      <c r="M96" s="334">
        <f t="shared" si="112"/>
        <v>15642347.170941176</v>
      </c>
      <c r="N96" s="253">
        <f t="shared" si="113"/>
        <v>1223762.9337829081</v>
      </c>
      <c r="O96" s="335">
        <f t="shared" si="114"/>
        <v>1359736.5930921203</v>
      </c>
      <c r="P96" s="253">
        <f t="shared" si="115"/>
        <v>869019.28727450978</v>
      </c>
      <c r="Q96" s="343">
        <f t="shared" si="116"/>
        <v>67986.829654606001</v>
      </c>
      <c r="R96" s="343">
        <f t="shared" si="117"/>
        <v>75540.921838451119</v>
      </c>
      <c r="S96" s="353">
        <f t="shared" si="118"/>
        <v>0.1</v>
      </c>
    </row>
    <row r="97" spans="1:19" x14ac:dyDescent="0.25">
      <c r="A97" s="190">
        <v>4</v>
      </c>
      <c r="B97" s="190" t="s">
        <v>2</v>
      </c>
      <c r="C97" s="190"/>
      <c r="D97" s="190"/>
      <c r="E97" s="456"/>
      <c r="F97" s="253"/>
      <c r="G97" s="188"/>
      <c r="H97" s="188"/>
      <c r="I97" s="253"/>
      <c r="J97" s="253"/>
      <c r="K97" s="253"/>
      <c r="L97" s="253"/>
      <c r="M97" s="334"/>
      <c r="N97" s="253"/>
      <c r="O97" s="335"/>
      <c r="P97" s="253"/>
      <c r="Q97" s="343"/>
      <c r="R97" s="343"/>
      <c r="S97" s="353"/>
    </row>
    <row r="98" spans="1:19" x14ac:dyDescent="0.25">
      <c r="A98" s="7"/>
      <c r="B98" s="7" t="s">
        <v>9</v>
      </c>
      <c r="C98" s="7" t="s">
        <v>8</v>
      </c>
      <c r="D98" s="7" t="s">
        <v>5</v>
      </c>
      <c r="E98" s="253">
        <f>1000*D_device_values!$Q$18*(1/D_currency_conversion!$H$7)*D_currency_conversion!$H$6</f>
        <v>320982.44312947843</v>
      </c>
      <c r="F98" s="253">
        <f>E98*D_currency_conversion!$I$12*D_currency_conversion!$J$12</f>
        <v>376675.96685232763</v>
      </c>
      <c r="G98" s="188">
        <f>D_device_lifecycles!$X$18</f>
        <v>8</v>
      </c>
      <c r="H98" s="188">
        <f t="shared" si="94"/>
        <v>7.2</v>
      </c>
      <c r="I98" s="253">
        <f t="shared" ref="I98:I101" si="119">$F98/G98</f>
        <v>47084.495856540954</v>
      </c>
      <c r="J98" s="253">
        <f t="shared" ref="J98:J101" si="120">$F98/H98</f>
        <v>52316.106507267723</v>
      </c>
      <c r="K98" s="253">
        <v>21</v>
      </c>
      <c r="L98" s="259">
        <f t="shared" ref="L98:L101" si="121">K98/18</f>
        <v>1.1666666666666667</v>
      </c>
      <c r="M98" s="334">
        <f t="shared" ref="M98:M101" si="122">K98*E98</f>
        <v>6740631.3057190469</v>
      </c>
      <c r="N98" s="253">
        <f>K98*I98</f>
        <v>988774.41298736003</v>
      </c>
      <c r="O98" s="335">
        <f>K98*J98</f>
        <v>1098638.2366526222</v>
      </c>
      <c r="P98" s="253">
        <f t="shared" ref="P98:P101" si="123">L98*E98</f>
        <v>374479.51698439155</v>
      </c>
      <c r="Q98" s="343">
        <f t="shared" ref="Q98:Q99" si="124">I98*L98</f>
        <v>54931.911832631115</v>
      </c>
      <c r="R98" s="343">
        <f t="shared" ref="R98:R101" si="125">L98*J98</f>
        <v>61035.457591812345</v>
      </c>
      <c r="S98" s="353">
        <f t="shared" ref="S98:S101" si="126">(G98-H98)/G98</f>
        <v>9.9999999999999978E-2</v>
      </c>
    </row>
    <row r="99" spans="1:19" x14ac:dyDescent="0.25">
      <c r="A99" s="7"/>
      <c r="B99" s="7" t="s">
        <v>10</v>
      </c>
      <c r="C99" s="7" t="s">
        <v>30</v>
      </c>
      <c r="D99" s="7" t="s">
        <v>41</v>
      </c>
      <c r="E99" s="253">
        <f>1000*D_device_values!$Q$19*(1/D_currency_conversion!$H$7)*D_currency_conversion!$H$6</f>
        <v>841284.62917000416</v>
      </c>
      <c r="F99" s="253">
        <f>E99*D_currency_conversion!$I$12*D_currency_conversion!$J$12</f>
        <v>987255.55828231061</v>
      </c>
      <c r="G99" s="188">
        <f>D_device_lifecycles!$X$19</f>
        <v>9</v>
      </c>
      <c r="H99" s="188">
        <f t="shared" si="94"/>
        <v>8.1</v>
      </c>
      <c r="I99" s="253">
        <f t="shared" si="119"/>
        <v>109695.06203136785</v>
      </c>
      <c r="J99" s="253">
        <f t="shared" si="120"/>
        <v>121883.40225707539</v>
      </c>
      <c r="K99" s="253">
        <v>17</v>
      </c>
      <c r="L99" s="259">
        <f t="shared" si="121"/>
        <v>0.94444444444444442</v>
      </c>
      <c r="M99" s="334">
        <f t="shared" si="122"/>
        <v>14301838.695890071</v>
      </c>
      <c r="N99" s="253">
        <f>K99*I99</f>
        <v>1864816.0545332534</v>
      </c>
      <c r="O99" s="335">
        <f>K99*J99</f>
        <v>2072017.8383702815</v>
      </c>
      <c r="P99" s="253">
        <f t="shared" si="123"/>
        <v>794546.59421611507</v>
      </c>
      <c r="Q99" s="343">
        <f t="shared" si="124"/>
        <v>103600.89191851408</v>
      </c>
      <c r="R99" s="343">
        <f t="shared" si="125"/>
        <v>115112.1021316823</v>
      </c>
      <c r="S99" s="353">
        <f t="shared" si="126"/>
        <v>0.10000000000000003</v>
      </c>
    </row>
    <row r="100" spans="1:19" x14ac:dyDescent="0.25">
      <c r="A100" s="190">
        <v>5</v>
      </c>
      <c r="B100" s="190" t="s">
        <v>12</v>
      </c>
      <c r="C100" s="190"/>
      <c r="D100" s="191" t="s">
        <v>4</v>
      </c>
      <c r="E100" s="253">
        <f>1000*D_device_values!$Q$20*(1/D_currency_conversion!$H$7)*D_currency_conversion!$H$6</f>
        <v>1216627.0021843137</v>
      </c>
      <c r="F100" s="253">
        <f>E100*D_currency_conversion!$I$12*D_currency_conversion!$J$12</f>
        <v>1427723.4227467263</v>
      </c>
      <c r="G100" s="188">
        <f>D_device_lifecycles!$X$20</f>
        <v>10</v>
      </c>
      <c r="H100" s="188">
        <f t="shared" si="94"/>
        <v>9</v>
      </c>
      <c r="I100" s="253">
        <f t="shared" si="119"/>
        <v>142772.34227467264</v>
      </c>
      <c r="J100" s="253">
        <f t="shared" si="120"/>
        <v>158635.93586074736</v>
      </c>
      <c r="K100" s="253">
        <v>50</v>
      </c>
      <c r="L100" s="259">
        <f t="shared" si="121"/>
        <v>2.7777777777777777</v>
      </c>
      <c r="M100" s="334">
        <f t="shared" si="122"/>
        <v>60831350.109215684</v>
      </c>
      <c r="N100" s="253">
        <f>K100*I100</f>
        <v>7138617.1137336325</v>
      </c>
      <c r="O100" s="335">
        <f>K100*J100</f>
        <v>7931796.793037368</v>
      </c>
      <c r="P100" s="253">
        <f t="shared" si="123"/>
        <v>3379519.4505119827</v>
      </c>
      <c r="Q100" s="343">
        <f>I100*L100</f>
        <v>396589.83965186845</v>
      </c>
      <c r="R100" s="343">
        <f t="shared" si="125"/>
        <v>440655.37739096489</v>
      </c>
      <c r="S100" s="353">
        <f t="shared" si="126"/>
        <v>0.1</v>
      </c>
    </row>
    <row r="101" spans="1:19" x14ac:dyDescent="0.25">
      <c r="A101" s="192">
        <v>6</v>
      </c>
      <c r="B101" s="192" t="s">
        <v>13</v>
      </c>
      <c r="C101" s="192"/>
      <c r="D101" s="193" t="s">
        <v>3</v>
      </c>
      <c r="E101" s="254">
        <f>1000*D_device_values!$Q$21*(1/D_currency_conversion!$H$7)*D_currency_conversion!$H$6</f>
        <v>3519053.3760707863</v>
      </c>
      <c r="F101" s="254">
        <f>E101*D_currency_conversion!$I$12*D_currency_conversion!$J$12</f>
        <v>4129642.792648667</v>
      </c>
      <c r="G101" s="194">
        <f>D_device_lifecycles!$X$21</f>
        <v>8</v>
      </c>
      <c r="H101" s="188">
        <f t="shared" si="94"/>
        <v>7.2</v>
      </c>
      <c r="I101" s="254">
        <f t="shared" si="119"/>
        <v>516205.34908108338</v>
      </c>
      <c r="J101" s="254">
        <f t="shared" si="120"/>
        <v>573561.49897898152</v>
      </c>
      <c r="K101" s="254">
        <v>47</v>
      </c>
      <c r="L101" s="333">
        <f t="shared" si="121"/>
        <v>2.6111111111111112</v>
      </c>
      <c r="M101" s="336">
        <f t="shared" si="122"/>
        <v>165395508.67532694</v>
      </c>
      <c r="N101" s="254">
        <f>K101*I101</f>
        <v>24261651.406810917</v>
      </c>
      <c r="O101" s="337">
        <f>K101*J101</f>
        <v>26957390.452012133</v>
      </c>
      <c r="P101" s="254">
        <f t="shared" si="123"/>
        <v>9188639.3708514981</v>
      </c>
      <c r="Q101" s="344">
        <f>I101*L101</f>
        <v>1347869.5226006065</v>
      </c>
      <c r="R101" s="344">
        <f t="shared" si="125"/>
        <v>1497632.8028895629</v>
      </c>
      <c r="S101" s="354">
        <f t="shared" si="126"/>
        <v>9.9999999999999978E-2</v>
      </c>
    </row>
    <row r="102" spans="1:19" x14ac:dyDescent="0.25">
      <c r="A102" s="1"/>
      <c r="B102" s="1"/>
      <c r="C102" s="1"/>
      <c r="D102" s="1"/>
      <c r="E102" s="1"/>
      <c r="F102" s="1"/>
      <c r="G102" s="1"/>
      <c r="H102" s="1"/>
      <c r="I102" s="225"/>
      <c r="J102" s="225"/>
      <c r="K102" s="255">
        <f>SUM(K84:K101)</f>
        <v>419</v>
      </c>
      <c r="L102" s="255">
        <v>240</v>
      </c>
      <c r="M102" s="338">
        <f t="shared" ref="M102:P102" si="127">SUM(M84:M101)</f>
        <v>320130175.45574528</v>
      </c>
      <c r="N102" s="339">
        <f t="shared" si="127"/>
        <v>43077410.772139512</v>
      </c>
      <c r="O102" s="340">
        <f t="shared" si="127"/>
        <v>47863789.746821687</v>
      </c>
      <c r="P102" s="255">
        <f t="shared" si="127"/>
        <v>17785009.747541405</v>
      </c>
      <c r="Q102" s="345">
        <f>SUM(Q84:Q101)</f>
        <v>2393189.4873410841</v>
      </c>
      <c r="R102" s="345">
        <f t="shared" ref="R102" si="128">SUM(R84:R101)</f>
        <v>2659099.4303789828</v>
      </c>
      <c r="S102" s="225"/>
    </row>
    <row r="103" spans="1:19" x14ac:dyDescent="0.25">
      <c r="A103" s="11" t="s">
        <v>230</v>
      </c>
      <c r="B103" s="1"/>
      <c r="C103" s="1"/>
      <c r="D103" s="1"/>
      <c r="E103" s="199" t="s">
        <v>231</v>
      </c>
      <c r="F103" s="199"/>
      <c r="G103" s="552" t="s">
        <v>400</v>
      </c>
      <c r="H103" s="552"/>
      <c r="I103" s="225"/>
      <c r="J103" s="225"/>
      <c r="N103" s="225"/>
      <c r="O103" s="225"/>
      <c r="S103" s="225"/>
    </row>
    <row r="104" spans="1:19" x14ac:dyDescent="0.25">
      <c r="A104" s="225"/>
      <c r="B104" s="225"/>
      <c r="C104" s="225"/>
      <c r="D104" s="225"/>
      <c r="E104" s="225"/>
      <c r="G104" s="225"/>
      <c r="H104" s="225"/>
      <c r="I104" s="225"/>
      <c r="J104" s="225" t="s">
        <v>615</v>
      </c>
      <c r="K104" s="363">
        <f>SUM(K84:K86,K98,K100,K101)</f>
        <v>223</v>
      </c>
      <c r="L104" s="225" t="s">
        <v>536</v>
      </c>
      <c r="M104" s="427">
        <f>SUM(M84:M86,M98,M100,M101)</f>
        <v>254236891.22773921</v>
      </c>
      <c r="N104" s="363">
        <f>SUM(N84:N86,N98,N100,N101)</f>
        <v>35295455.79246147</v>
      </c>
      <c r="O104" s="363">
        <f>SUM(O84:O86,O98,O100,O101)</f>
        <v>39217173.102734968</v>
      </c>
      <c r="P104" s="225" t="s">
        <v>536</v>
      </c>
      <c r="Q104" s="363">
        <f>SUM(Q84:Q86,Q98,Q100,Q101)</f>
        <v>1960858.6551367487</v>
      </c>
      <c r="R104" s="363">
        <f>SUM(R84:R86,R98,R100,R101)</f>
        <v>2178731.8390408317</v>
      </c>
      <c r="S104" s="225"/>
    </row>
    <row r="105" spans="1:19" x14ac:dyDescent="0.25">
      <c r="A105" s="450" t="s">
        <v>623</v>
      </c>
      <c r="B105" s="450"/>
      <c r="C105" s="450"/>
      <c r="D105" s="451">
        <v>0.15</v>
      </c>
      <c r="E105" s="450"/>
      <c r="F105" s="450"/>
      <c r="G105" s="450"/>
      <c r="H105" s="450"/>
      <c r="I105" s="450"/>
      <c r="J105" s="450"/>
      <c r="K105" s="450"/>
      <c r="L105" s="450"/>
      <c r="M105" s="450"/>
      <c r="N105" s="450"/>
      <c r="O105" s="450"/>
      <c r="P105" s="450"/>
      <c r="Q105" s="450"/>
      <c r="R105" s="450"/>
      <c r="S105" s="450"/>
    </row>
    <row r="106" spans="1:19" x14ac:dyDescent="0.25">
      <c r="A106" s="196" t="s">
        <v>14</v>
      </c>
      <c r="B106" s="196"/>
      <c r="C106" s="196"/>
      <c r="D106" s="331" t="str">
        <f>HYPERLINK("#"&amp;ADDRESS(1,1,,,"MASTER"),"M &lt;=")</f>
        <v>M &lt;=</v>
      </c>
      <c r="E106" s="444" t="s">
        <v>229</v>
      </c>
      <c r="F106" s="444" t="s">
        <v>229</v>
      </c>
      <c r="G106" s="544" t="s">
        <v>44</v>
      </c>
      <c r="H106" s="544"/>
      <c r="I106" s="547" t="s">
        <v>454</v>
      </c>
      <c r="J106" s="547"/>
      <c r="K106" s="445" t="s">
        <v>405</v>
      </c>
      <c r="L106" s="445" t="s">
        <v>517</v>
      </c>
      <c r="M106" s="449" t="s">
        <v>459</v>
      </c>
      <c r="N106" s="550" t="s">
        <v>458</v>
      </c>
      <c r="O106" s="551"/>
      <c r="P106" s="445" t="s">
        <v>518</v>
      </c>
      <c r="Q106" s="553" t="s">
        <v>522</v>
      </c>
      <c r="R106" s="553"/>
      <c r="S106" s="446" t="s">
        <v>523</v>
      </c>
    </row>
    <row r="107" spans="1:19" x14ac:dyDescent="0.25">
      <c r="A107" s="198"/>
      <c r="B107" s="198"/>
      <c r="C107" s="198"/>
      <c r="D107" s="198"/>
      <c r="E107" s="448" t="s">
        <v>627</v>
      </c>
      <c r="F107" s="448" t="s">
        <v>628</v>
      </c>
      <c r="G107" s="448" t="s">
        <v>7</v>
      </c>
      <c r="H107" s="448" t="s">
        <v>6</v>
      </c>
      <c r="I107" s="448" t="s">
        <v>7</v>
      </c>
      <c r="J107" s="448" t="s">
        <v>6</v>
      </c>
      <c r="K107" s="448" t="s">
        <v>455</v>
      </c>
      <c r="L107" s="448" t="s">
        <v>455</v>
      </c>
      <c r="M107" s="447" t="s">
        <v>627</v>
      </c>
      <c r="N107" s="448" t="s">
        <v>7</v>
      </c>
      <c r="O107" s="269" t="s">
        <v>6</v>
      </c>
      <c r="P107" s="448" t="s">
        <v>629</v>
      </c>
      <c r="Q107" s="341" t="s">
        <v>7</v>
      </c>
      <c r="R107" s="341" t="s">
        <v>6</v>
      </c>
      <c r="S107" s="446" t="s">
        <v>524</v>
      </c>
    </row>
    <row r="108" spans="1:19" x14ac:dyDescent="0.25">
      <c r="A108" s="3">
        <v>1</v>
      </c>
      <c r="B108" s="3" t="s">
        <v>11</v>
      </c>
      <c r="C108" s="3"/>
      <c r="D108" s="3"/>
      <c r="E108" s="444"/>
      <c r="F108" s="444"/>
      <c r="G108" s="3"/>
      <c r="H108" s="3"/>
      <c r="I108" s="3"/>
      <c r="J108" s="3"/>
      <c r="K108" s="3"/>
      <c r="L108" s="3"/>
      <c r="M108" s="264"/>
      <c r="N108" s="190"/>
      <c r="O108" s="265"/>
      <c r="P108" s="190"/>
      <c r="Q108" s="342"/>
      <c r="R108" s="342"/>
      <c r="S108" s="352"/>
    </row>
    <row r="109" spans="1:19" x14ac:dyDescent="0.25">
      <c r="A109" s="7"/>
      <c r="B109" s="7" t="s">
        <v>9</v>
      </c>
      <c r="C109" s="7" t="s">
        <v>16</v>
      </c>
      <c r="D109" s="7" t="s">
        <v>31</v>
      </c>
      <c r="E109" s="253">
        <f>1000*D_device_values!$Q$4*(1/D_currency_conversion!$H$7)*D_currency_conversion!$H$6</f>
        <v>849913.18946918368</v>
      </c>
      <c r="F109" s="253">
        <f>E109*D_currency_conversion!$I$12*D_currency_conversion!$J$12</f>
        <v>997381.25631597533</v>
      </c>
      <c r="G109" s="188">
        <f>D_device_lifecycles!$X$4</f>
        <v>7.5</v>
      </c>
      <c r="H109" s="188">
        <f>G109*(1-$D$105)</f>
        <v>6.375</v>
      </c>
      <c r="I109" s="253">
        <f>$F109/G109</f>
        <v>132984.1675087967</v>
      </c>
      <c r="J109" s="253">
        <f>$F109/H109</f>
        <v>156451.96177505495</v>
      </c>
      <c r="K109" s="253">
        <v>11</v>
      </c>
      <c r="L109" s="259">
        <f>K109/18</f>
        <v>0.61111111111111116</v>
      </c>
      <c r="M109" s="334">
        <f>K109*E109</f>
        <v>9349045.0841610208</v>
      </c>
      <c r="N109" s="253">
        <f>K109*I109</f>
        <v>1462825.8425967637</v>
      </c>
      <c r="O109" s="335">
        <f>K109*J109</f>
        <v>1720971.5795256044</v>
      </c>
      <c r="P109" s="253">
        <f>L109*E109</f>
        <v>519391.3935645012</v>
      </c>
      <c r="Q109" s="343">
        <f>I109*L109</f>
        <v>81268.102366486884</v>
      </c>
      <c r="R109" s="343">
        <f>L109*J109</f>
        <v>95609.532195866923</v>
      </c>
      <c r="S109" s="353">
        <f>(G109-H109)/G109</f>
        <v>0.15</v>
      </c>
    </row>
    <row r="110" spans="1:19" x14ac:dyDescent="0.25">
      <c r="A110" s="7"/>
      <c r="B110" s="7" t="s">
        <v>10</v>
      </c>
      <c r="C110" s="7" t="s">
        <v>17</v>
      </c>
      <c r="D110" s="7" t="s">
        <v>32</v>
      </c>
      <c r="E110" s="253">
        <f>1000*D_device_values!$Q$5*(1/D_currency_conversion!$H$7)*D_currency_conversion!$H$6</f>
        <v>64714.20224384647</v>
      </c>
      <c r="F110" s="253">
        <f>E110*D_currency_conversion!$I$12*D_currency_conversion!$J$12</f>
        <v>75942.735252485436</v>
      </c>
      <c r="G110" s="188">
        <f>D_device_lifecycles!$X$5</f>
        <v>9</v>
      </c>
      <c r="H110" s="188">
        <f t="shared" ref="H110:H126" si="129">G110*(1-$D$105)</f>
        <v>7.6499999999999995</v>
      </c>
      <c r="I110" s="253">
        <f t="shared" ref="I110:I111" si="130">$F110/G110</f>
        <v>8438.081694720604</v>
      </c>
      <c r="J110" s="253">
        <f t="shared" ref="J110:J111" si="131">$F110/H110</f>
        <v>9927.1549349654179</v>
      </c>
      <c r="K110" s="253">
        <v>53</v>
      </c>
      <c r="L110" s="259">
        <f t="shared" ref="L110:L111" si="132">K110/18</f>
        <v>2.9444444444444446</v>
      </c>
      <c r="M110" s="334">
        <f t="shared" ref="M110:M111" si="133">K110*E110</f>
        <v>3429852.718923863</v>
      </c>
      <c r="N110" s="253">
        <f>K110*I110</f>
        <v>447218.32982019201</v>
      </c>
      <c r="O110" s="335">
        <f>K110*J110</f>
        <v>526139.2115531672</v>
      </c>
      <c r="P110" s="253">
        <f t="shared" ref="P110:P111" si="134">L110*E110</f>
        <v>190547.37327354794</v>
      </c>
      <c r="Q110" s="343">
        <f>I110*L110</f>
        <v>24845.462767788445</v>
      </c>
      <c r="R110" s="343">
        <f>L110*J110</f>
        <v>29229.956197398176</v>
      </c>
      <c r="S110" s="353">
        <f t="shared" ref="S110:S111" si="135">(G110-H110)/G110</f>
        <v>0.15000000000000005</v>
      </c>
    </row>
    <row r="111" spans="1:19" x14ac:dyDescent="0.25">
      <c r="A111" s="7"/>
      <c r="B111" s="7" t="s">
        <v>15</v>
      </c>
      <c r="C111" s="7" t="s">
        <v>18</v>
      </c>
      <c r="D111" s="7" t="s">
        <v>33</v>
      </c>
      <c r="E111" s="253">
        <f>1000*D_device_values!$Q$6*(1/D_currency_conversion!$H$7)*D_currency_conversion!$H$6</f>
        <v>207085.44718030869</v>
      </c>
      <c r="F111" s="253">
        <f>E111*D_currency_conversion!$I$12*D_currency_conversion!$J$12</f>
        <v>243016.75280795337</v>
      </c>
      <c r="G111" s="188">
        <f>D_device_lifecycles!$X$6</f>
        <v>10</v>
      </c>
      <c r="H111" s="188">
        <f t="shared" si="129"/>
        <v>8.5</v>
      </c>
      <c r="I111" s="253">
        <f t="shared" si="130"/>
        <v>24301.675280795338</v>
      </c>
      <c r="J111" s="253">
        <f t="shared" si="131"/>
        <v>28590.206212700396</v>
      </c>
      <c r="K111" s="253">
        <v>41</v>
      </c>
      <c r="L111" s="259">
        <f t="shared" si="132"/>
        <v>2.2777777777777777</v>
      </c>
      <c r="M111" s="334">
        <f t="shared" si="133"/>
        <v>8490503.3343926556</v>
      </c>
      <c r="N111" s="253">
        <f>K111*I111</f>
        <v>996368.6865126089</v>
      </c>
      <c r="O111" s="335">
        <f>K111*J111</f>
        <v>1172198.4547207162</v>
      </c>
      <c r="P111" s="253">
        <f t="shared" si="134"/>
        <v>471694.62968848087</v>
      </c>
      <c r="Q111" s="343">
        <f>I111*L111</f>
        <v>55353.815917367159</v>
      </c>
      <c r="R111" s="343">
        <f>L111*J111</f>
        <v>65122.13637337312</v>
      </c>
      <c r="S111" s="353">
        <f t="shared" si="135"/>
        <v>0.15</v>
      </c>
    </row>
    <row r="112" spans="1:19" x14ac:dyDescent="0.25">
      <c r="A112" s="190">
        <v>2</v>
      </c>
      <c r="B112" s="190" t="s">
        <v>43</v>
      </c>
      <c r="C112" s="190"/>
      <c r="D112" s="190"/>
      <c r="E112" s="456"/>
      <c r="F112" s="253"/>
      <c r="G112" s="188"/>
      <c r="H112" s="188"/>
      <c r="I112" s="253"/>
      <c r="J112" s="253"/>
      <c r="K112" s="253"/>
      <c r="L112" s="253"/>
      <c r="M112" s="334"/>
      <c r="N112" s="253"/>
      <c r="O112" s="335"/>
      <c r="P112" s="253"/>
      <c r="Q112" s="343"/>
      <c r="R112" s="343"/>
      <c r="S112" s="353"/>
    </row>
    <row r="113" spans="1:19" x14ac:dyDescent="0.25">
      <c r="A113" s="7"/>
      <c r="B113" s="7" t="s">
        <v>9</v>
      </c>
      <c r="C113" s="7" t="s">
        <v>19</v>
      </c>
      <c r="D113" s="7" t="s">
        <v>34</v>
      </c>
      <c r="E113" s="253">
        <f>1000*D_device_values!$Q$8*(1/D_currency_conversion!$H$7)*D_currency_conversion!$H$6</f>
        <v>173469.52185035453</v>
      </c>
      <c r="F113" s="253">
        <f>E113*D_currency_conversion!$I$12*D_currency_conversion!$J$12</f>
        <v>203568.14293433359</v>
      </c>
      <c r="G113" s="188">
        <f>D_device_lifecycles!$X$8</f>
        <v>10</v>
      </c>
      <c r="H113" s="188">
        <f t="shared" si="129"/>
        <v>8.5</v>
      </c>
      <c r="I113" s="253">
        <f t="shared" ref="I113:I114" si="136">$F113/G113</f>
        <v>20356.814293433359</v>
      </c>
      <c r="J113" s="253">
        <f t="shared" ref="J113" si="137">$F113/H113</f>
        <v>23949.193286392187</v>
      </c>
      <c r="K113" s="253">
        <v>22</v>
      </c>
      <c r="L113" s="259">
        <f t="shared" ref="L113:L114" si="138">K113/18</f>
        <v>1.2222222222222223</v>
      </c>
      <c r="M113" s="334">
        <f t="shared" ref="M113:M114" si="139">K113*E113</f>
        <v>3816329.4807077996</v>
      </c>
      <c r="N113" s="253">
        <f>K113*I113</f>
        <v>447849.9144555339</v>
      </c>
      <c r="O113" s="335">
        <f>K113*J113</f>
        <v>526882.25230062811</v>
      </c>
      <c r="P113" s="253">
        <f t="shared" ref="P113:P114" si="140">L113*E113</f>
        <v>212018.30448376667</v>
      </c>
      <c r="Q113" s="343">
        <f t="shared" ref="Q113:Q114" si="141">I113*L113</f>
        <v>24880.550803085218</v>
      </c>
      <c r="R113" s="343">
        <f t="shared" ref="R113:R114" si="142">L113*J113</f>
        <v>29271.236238923786</v>
      </c>
      <c r="S113" s="353">
        <f t="shared" ref="S113:S114" si="143">(G113-H113)/G113</f>
        <v>0.15</v>
      </c>
    </row>
    <row r="114" spans="1:19" x14ac:dyDescent="0.25">
      <c r="A114" s="7"/>
      <c r="B114" s="7" t="s">
        <v>10</v>
      </c>
      <c r="C114" s="7" t="s">
        <v>20</v>
      </c>
      <c r="D114" s="7" t="s">
        <v>34</v>
      </c>
      <c r="E114" s="253">
        <f>1000*D_device_values!$Q$9*(1/D_currency_conversion!$H$7)*D_currency_conversion!$H$6</f>
        <v>173732.7429469417</v>
      </c>
      <c r="F114" s="253">
        <f>E114*D_currency_conversion!$I$12*D_currency_conversion!$J$12</f>
        <v>203877.03540859552</v>
      </c>
      <c r="G114" s="188">
        <f>D_device_lifecycles!$X$9</f>
        <v>11</v>
      </c>
      <c r="H114" s="188">
        <f t="shared" si="129"/>
        <v>9.35</v>
      </c>
      <c r="I114" s="253">
        <f t="shared" si="136"/>
        <v>18534.275946235957</v>
      </c>
      <c r="J114" s="253">
        <f>$F114/H114</f>
        <v>21805.030524983478</v>
      </c>
      <c r="K114" s="253">
        <v>22</v>
      </c>
      <c r="L114" s="259">
        <f t="shared" si="138"/>
        <v>1.2222222222222223</v>
      </c>
      <c r="M114" s="334">
        <f t="shared" si="139"/>
        <v>3822120.3448327174</v>
      </c>
      <c r="N114" s="253">
        <f>K114*I114</f>
        <v>407754.07081719104</v>
      </c>
      <c r="O114" s="335">
        <f>K114*J114</f>
        <v>479710.67154963652</v>
      </c>
      <c r="P114" s="253">
        <f t="shared" si="140"/>
        <v>212340.0191573732</v>
      </c>
      <c r="Q114" s="343">
        <f t="shared" si="141"/>
        <v>22653.003934288394</v>
      </c>
      <c r="R114" s="343">
        <f t="shared" si="142"/>
        <v>26650.592863868696</v>
      </c>
      <c r="S114" s="353">
        <f t="shared" si="143"/>
        <v>0.15000000000000002</v>
      </c>
    </row>
    <row r="115" spans="1:19" x14ac:dyDescent="0.25">
      <c r="A115" s="190">
        <v>3</v>
      </c>
      <c r="B115" s="190" t="s">
        <v>42</v>
      </c>
      <c r="C115" s="190"/>
      <c r="D115" s="190"/>
      <c r="E115" s="456"/>
      <c r="F115" s="253"/>
      <c r="G115" s="188"/>
      <c r="H115" s="188"/>
      <c r="I115" s="253"/>
      <c r="J115" s="253"/>
      <c r="K115" s="253"/>
      <c r="L115" s="253"/>
      <c r="M115" s="334"/>
      <c r="N115" s="253"/>
      <c r="O115" s="335"/>
      <c r="P115" s="253"/>
      <c r="Q115" s="343"/>
      <c r="R115" s="343"/>
      <c r="S115" s="353"/>
    </row>
    <row r="116" spans="1:19" x14ac:dyDescent="0.25">
      <c r="A116" s="7"/>
      <c r="B116" s="7" t="s">
        <v>9</v>
      </c>
      <c r="C116" s="7" t="s">
        <v>24</v>
      </c>
      <c r="D116" s="7" t="s">
        <v>35</v>
      </c>
      <c r="E116" s="253">
        <f>1000*D_device_values!$Q$11*(1/D_currency_conversion!$H$7)*D_currency_conversion!$H$6</f>
        <v>1064482.5920110256</v>
      </c>
      <c r="F116" s="253">
        <f>E116*D_currency_conversion!$I$12*D_currency_conversion!$J$12</f>
        <v>1249180.502316393</v>
      </c>
      <c r="G116" s="188">
        <f>D_device_lifecycles!$X$11</f>
        <v>10</v>
      </c>
      <c r="H116" s="188">
        <f t="shared" si="129"/>
        <v>8.5</v>
      </c>
      <c r="I116" s="253">
        <f t="shared" ref="I116:I121" si="144">$F116/G116</f>
        <v>124918.0502316393</v>
      </c>
      <c r="J116" s="253">
        <f t="shared" ref="J116:J121" si="145">$F116/H116</f>
        <v>146962.4120372227</v>
      </c>
      <c r="K116" s="253">
        <v>4</v>
      </c>
      <c r="L116" s="259">
        <f t="shared" ref="L116:L121" si="146">K116/18</f>
        <v>0.22222222222222221</v>
      </c>
      <c r="M116" s="334">
        <f t="shared" ref="M116:M121" si="147">K116*E116</f>
        <v>4257930.3680441026</v>
      </c>
      <c r="N116" s="253">
        <f t="shared" ref="N116:N121" si="148">K116*I116</f>
        <v>499672.20092655718</v>
      </c>
      <c r="O116" s="335">
        <f t="shared" ref="O116:O121" si="149">K116*J116</f>
        <v>587849.64814889082</v>
      </c>
      <c r="P116" s="253">
        <f t="shared" ref="P116:P121" si="150">L116*E116</f>
        <v>236551.68711356123</v>
      </c>
      <c r="Q116" s="343">
        <f t="shared" ref="Q116:Q121" si="151">I116*L116</f>
        <v>27759.566718142065</v>
      </c>
      <c r="R116" s="343">
        <f t="shared" ref="R116:R121" si="152">L116*J116</f>
        <v>32658.31378604949</v>
      </c>
      <c r="S116" s="353">
        <f t="shared" ref="S116:S121" si="153">(G116-H116)/G116</f>
        <v>0.15</v>
      </c>
    </row>
    <row r="117" spans="1:19" x14ac:dyDescent="0.25">
      <c r="A117" s="7"/>
      <c r="B117" s="7" t="s">
        <v>10</v>
      </c>
      <c r="C117" s="7" t="s">
        <v>25</v>
      </c>
      <c r="D117" s="7" t="s">
        <v>36</v>
      </c>
      <c r="E117" s="253">
        <f>1000*D_device_values!$Q$12*(1/D_currency_conversion!$H$7)*D_currency_conversion!$H$6</f>
        <v>362399.53256554028</v>
      </c>
      <c r="F117" s="253">
        <f>E117*D_currency_conversion!$I$12*D_currency_conversion!$J$12</f>
        <v>425279.31741391844</v>
      </c>
      <c r="G117" s="188">
        <f>D_device_lifecycles!$X$12</f>
        <v>9</v>
      </c>
      <c r="H117" s="188">
        <f t="shared" si="129"/>
        <v>7.6499999999999995</v>
      </c>
      <c r="I117" s="253">
        <f t="shared" si="144"/>
        <v>47253.257490435382</v>
      </c>
      <c r="J117" s="253">
        <f t="shared" si="145"/>
        <v>55592.067635806336</v>
      </c>
      <c r="K117" s="253">
        <v>13</v>
      </c>
      <c r="L117" s="259">
        <f t="shared" si="146"/>
        <v>0.72222222222222221</v>
      </c>
      <c r="M117" s="334">
        <f t="shared" si="147"/>
        <v>4711193.9233520236</v>
      </c>
      <c r="N117" s="253">
        <f t="shared" si="148"/>
        <v>614292.34737565997</v>
      </c>
      <c r="O117" s="335">
        <f t="shared" si="149"/>
        <v>722696.8792654823</v>
      </c>
      <c r="P117" s="253">
        <f t="shared" si="150"/>
        <v>261732.9957417791</v>
      </c>
      <c r="Q117" s="343">
        <f t="shared" si="151"/>
        <v>34127.352631981106</v>
      </c>
      <c r="R117" s="343">
        <f t="shared" si="152"/>
        <v>40149.826625860129</v>
      </c>
      <c r="S117" s="353">
        <f t="shared" si="153"/>
        <v>0.15000000000000005</v>
      </c>
    </row>
    <row r="118" spans="1:19" x14ac:dyDescent="0.25">
      <c r="A118" s="7"/>
      <c r="B118" s="7" t="s">
        <v>15</v>
      </c>
      <c r="C118" s="7" t="s">
        <v>26</v>
      </c>
      <c r="D118" s="7" t="s">
        <v>37</v>
      </c>
      <c r="E118" s="253">
        <f>1000*D_device_values!$Q$13*(1/D_currency_conversion!$H$7)*D_currency_conversion!$H$6</f>
        <v>369662.42145046114</v>
      </c>
      <c r="F118" s="253">
        <f>E118*D_currency_conversion!$I$12*D_currency_conversion!$J$12</f>
        <v>433802.38698182325</v>
      </c>
      <c r="G118" s="188">
        <f>D_device_lifecycles!$X$13</f>
        <v>7</v>
      </c>
      <c r="H118" s="188">
        <f t="shared" si="129"/>
        <v>5.95</v>
      </c>
      <c r="I118" s="253">
        <f t="shared" si="144"/>
        <v>61971.769568831893</v>
      </c>
      <c r="J118" s="253">
        <f t="shared" si="145"/>
        <v>72907.964198625748</v>
      </c>
      <c r="K118" s="253">
        <v>19</v>
      </c>
      <c r="L118" s="259">
        <f t="shared" si="146"/>
        <v>1.0555555555555556</v>
      </c>
      <c r="M118" s="334">
        <f t="shared" si="147"/>
        <v>7023586.0075587621</v>
      </c>
      <c r="N118" s="253">
        <f t="shared" si="148"/>
        <v>1177463.621807806</v>
      </c>
      <c r="O118" s="335">
        <f t="shared" si="149"/>
        <v>1385251.3197738891</v>
      </c>
      <c r="P118" s="253">
        <f t="shared" si="150"/>
        <v>390199.22264215344</v>
      </c>
      <c r="Q118" s="343">
        <f t="shared" si="151"/>
        <v>65414.645655989225</v>
      </c>
      <c r="R118" s="343">
        <f t="shared" si="152"/>
        <v>76958.406654104954</v>
      </c>
      <c r="S118" s="353">
        <f t="shared" si="153"/>
        <v>0.14999999999999997</v>
      </c>
    </row>
    <row r="119" spans="1:19" x14ac:dyDescent="0.25">
      <c r="A119" s="7"/>
      <c r="B119" s="7" t="s">
        <v>21</v>
      </c>
      <c r="C119" s="7" t="s">
        <v>27</v>
      </c>
      <c r="D119" s="7" t="s">
        <v>38</v>
      </c>
      <c r="E119" s="253">
        <f>1000*D_device_values!$Q$14*(1/D_currency_conversion!$H$7)*D_currency_conversion!$H$6</f>
        <v>116485.56403892365</v>
      </c>
      <c r="F119" s="253">
        <f>E119*D_currency_conversion!$I$12*D_currency_conversion!$J$12</f>
        <v>136696.92345447378</v>
      </c>
      <c r="G119" s="188">
        <f>D_device_lifecycles!$X$14</f>
        <v>8</v>
      </c>
      <c r="H119" s="188">
        <f t="shared" si="129"/>
        <v>6.8</v>
      </c>
      <c r="I119" s="253">
        <f t="shared" si="144"/>
        <v>17087.115431809223</v>
      </c>
      <c r="J119" s="253">
        <f t="shared" si="145"/>
        <v>20102.48874330497</v>
      </c>
      <c r="K119" s="253">
        <v>60</v>
      </c>
      <c r="L119" s="259">
        <f t="shared" si="146"/>
        <v>3.3333333333333335</v>
      </c>
      <c r="M119" s="334">
        <f t="shared" si="147"/>
        <v>6989133.8423354188</v>
      </c>
      <c r="N119" s="253">
        <f t="shared" si="148"/>
        <v>1025226.9259085534</v>
      </c>
      <c r="O119" s="335">
        <f t="shared" si="149"/>
        <v>1206149.3245982982</v>
      </c>
      <c r="P119" s="253">
        <f t="shared" si="150"/>
        <v>388285.21346307884</v>
      </c>
      <c r="Q119" s="343">
        <f t="shared" si="151"/>
        <v>56957.051439364077</v>
      </c>
      <c r="R119" s="343">
        <f t="shared" si="152"/>
        <v>67008.295811016564</v>
      </c>
      <c r="S119" s="353">
        <f t="shared" si="153"/>
        <v>0.15000000000000002</v>
      </c>
    </row>
    <row r="120" spans="1:19" x14ac:dyDescent="0.25">
      <c r="A120" s="7"/>
      <c r="B120" s="7" t="s">
        <v>22</v>
      </c>
      <c r="C120" s="7" t="s">
        <v>28</v>
      </c>
      <c r="D120" s="7" t="s">
        <v>39</v>
      </c>
      <c r="E120" s="253">
        <f>1000*D_device_values!$Q$15*(1/D_currency_conversion!$H$7)*D_currency_conversion!$H$6</f>
        <v>253752.59020685713</v>
      </c>
      <c r="F120" s="253">
        <f>E120*D_currency_conversion!$I$12*D_currency_conversion!$J$12</f>
        <v>297781.09146890056</v>
      </c>
      <c r="G120" s="188">
        <f>D_device_lifecycles!$X$15</f>
        <v>12</v>
      </c>
      <c r="H120" s="188">
        <f t="shared" si="129"/>
        <v>10.199999999999999</v>
      </c>
      <c r="I120" s="253">
        <f t="shared" si="144"/>
        <v>24815.090955741714</v>
      </c>
      <c r="J120" s="253">
        <f t="shared" si="145"/>
        <v>29194.224653813781</v>
      </c>
      <c r="K120" s="253">
        <v>21</v>
      </c>
      <c r="L120" s="259">
        <f t="shared" si="146"/>
        <v>1.1666666666666667</v>
      </c>
      <c r="M120" s="334">
        <f t="shared" si="147"/>
        <v>5328804.3943440001</v>
      </c>
      <c r="N120" s="253">
        <f t="shared" si="148"/>
        <v>521116.91007057601</v>
      </c>
      <c r="O120" s="335">
        <f t="shared" si="149"/>
        <v>613078.71773008944</v>
      </c>
      <c r="P120" s="253">
        <f t="shared" si="150"/>
        <v>296044.68857466668</v>
      </c>
      <c r="Q120" s="343">
        <f t="shared" si="151"/>
        <v>28950.939448365334</v>
      </c>
      <c r="R120" s="343">
        <f t="shared" si="152"/>
        <v>34059.928762782743</v>
      </c>
      <c r="S120" s="353">
        <f t="shared" si="153"/>
        <v>0.15000000000000005</v>
      </c>
    </row>
    <row r="121" spans="1:19" x14ac:dyDescent="0.25">
      <c r="A121" s="7"/>
      <c r="B121" s="7" t="s">
        <v>23</v>
      </c>
      <c r="C121" s="7" t="s">
        <v>29</v>
      </c>
      <c r="D121" s="7" t="s">
        <v>40</v>
      </c>
      <c r="E121" s="253">
        <f>1000*D_device_values!$Q$16*(1/D_currency_conversion!$H$7)*D_currency_conversion!$H$6</f>
        <v>869019.28727450978</v>
      </c>
      <c r="F121" s="253">
        <f>E121*D_currency_conversion!$I$12*D_currency_conversion!$J$12</f>
        <v>1019802.4448190901</v>
      </c>
      <c r="G121" s="188">
        <f>D_device_lifecycles!$X$16</f>
        <v>15</v>
      </c>
      <c r="H121" s="188">
        <f t="shared" si="129"/>
        <v>12.75</v>
      </c>
      <c r="I121" s="253">
        <f t="shared" si="144"/>
        <v>67986.829654606001</v>
      </c>
      <c r="J121" s="253">
        <f t="shared" si="145"/>
        <v>79984.505476007063</v>
      </c>
      <c r="K121" s="253">
        <v>18</v>
      </c>
      <c r="L121" s="259">
        <f t="shared" si="146"/>
        <v>1</v>
      </c>
      <c r="M121" s="334">
        <f t="shared" si="147"/>
        <v>15642347.170941176</v>
      </c>
      <c r="N121" s="253">
        <f t="shared" si="148"/>
        <v>1223762.9337829081</v>
      </c>
      <c r="O121" s="335">
        <f t="shared" si="149"/>
        <v>1439721.098568127</v>
      </c>
      <c r="P121" s="253">
        <f t="shared" si="150"/>
        <v>869019.28727450978</v>
      </c>
      <c r="Q121" s="343">
        <f t="shared" si="151"/>
        <v>67986.829654606001</v>
      </c>
      <c r="R121" s="343">
        <f t="shared" si="152"/>
        <v>79984.505476007063</v>
      </c>
      <c r="S121" s="353">
        <f t="shared" si="153"/>
        <v>0.15</v>
      </c>
    </row>
    <row r="122" spans="1:19" x14ac:dyDescent="0.25">
      <c r="A122" s="190">
        <v>4</v>
      </c>
      <c r="B122" s="190" t="s">
        <v>2</v>
      </c>
      <c r="C122" s="190"/>
      <c r="D122" s="190"/>
      <c r="E122" s="456"/>
      <c r="F122" s="253"/>
      <c r="G122" s="188"/>
      <c r="H122" s="188"/>
      <c r="I122" s="253"/>
      <c r="J122" s="253"/>
      <c r="K122" s="253"/>
      <c r="L122" s="253"/>
      <c r="M122" s="334"/>
      <c r="N122" s="253"/>
      <c r="O122" s="335"/>
      <c r="P122" s="253"/>
      <c r="Q122" s="343"/>
      <c r="R122" s="343"/>
      <c r="S122" s="353"/>
    </row>
    <row r="123" spans="1:19" x14ac:dyDescent="0.25">
      <c r="A123" s="7"/>
      <c r="B123" s="7" t="s">
        <v>9</v>
      </c>
      <c r="C123" s="7" t="s">
        <v>8</v>
      </c>
      <c r="D123" s="7" t="s">
        <v>5</v>
      </c>
      <c r="E123" s="253">
        <f>1000*D_device_values!$Q$18*(1/D_currency_conversion!$H$7)*D_currency_conversion!$H$6</f>
        <v>320982.44312947843</v>
      </c>
      <c r="F123" s="253">
        <f>E123*D_currency_conversion!$I$12*D_currency_conversion!$J$12</f>
        <v>376675.96685232763</v>
      </c>
      <c r="G123" s="188">
        <f>D_device_lifecycles!$X$18</f>
        <v>8</v>
      </c>
      <c r="H123" s="188">
        <f t="shared" si="129"/>
        <v>6.8</v>
      </c>
      <c r="I123" s="253">
        <f t="shared" ref="I123:I126" si="154">$F123/G123</f>
        <v>47084.495856540954</v>
      </c>
      <c r="J123" s="253">
        <f t="shared" ref="J123:J126" si="155">$F123/H123</f>
        <v>55393.524537107005</v>
      </c>
      <c r="K123" s="253">
        <v>21</v>
      </c>
      <c r="L123" s="259">
        <f t="shared" ref="L123:L126" si="156">K123/18</f>
        <v>1.1666666666666667</v>
      </c>
      <c r="M123" s="334">
        <f t="shared" ref="M123:M126" si="157">K123*E123</f>
        <v>6740631.3057190469</v>
      </c>
      <c r="N123" s="253">
        <f>K123*I123</f>
        <v>988774.41298736003</v>
      </c>
      <c r="O123" s="335">
        <f>K123*J123</f>
        <v>1163264.0152792472</v>
      </c>
      <c r="P123" s="253">
        <f t="shared" ref="P123:P126" si="158">L123*E123</f>
        <v>374479.51698439155</v>
      </c>
      <c r="Q123" s="343">
        <f t="shared" ref="Q123:Q124" si="159">I123*L123</f>
        <v>54931.911832631115</v>
      </c>
      <c r="R123" s="343">
        <f t="shared" ref="R123:R126" si="160">L123*J123</f>
        <v>64625.778626624844</v>
      </c>
      <c r="S123" s="353">
        <f t="shared" ref="S123:S126" si="161">(G123-H123)/G123</f>
        <v>0.15000000000000002</v>
      </c>
    </row>
    <row r="124" spans="1:19" x14ac:dyDescent="0.25">
      <c r="A124" s="7"/>
      <c r="B124" s="7" t="s">
        <v>10</v>
      </c>
      <c r="C124" s="7" t="s">
        <v>30</v>
      </c>
      <c r="D124" s="7" t="s">
        <v>41</v>
      </c>
      <c r="E124" s="253">
        <f>1000*D_device_values!$Q$19*(1/D_currency_conversion!$H$7)*D_currency_conversion!$H$6</f>
        <v>841284.62917000416</v>
      </c>
      <c r="F124" s="253">
        <f>E124*D_currency_conversion!$I$12*D_currency_conversion!$J$12</f>
        <v>987255.55828231061</v>
      </c>
      <c r="G124" s="188">
        <f>D_device_lifecycles!$X$19</f>
        <v>9</v>
      </c>
      <c r="H124" s="188">
        <f t="shared" si="129"/>
        <v>7.6499999999999995</v>
      </c>
      <c r="I124" s="253">
        <f t="shared" si="154"/>
        <v>109695.06203136785</v>
      </c>
      <c r="J124" s="253">
        <f t="shared" si="155"/>
        <v>129053.01415455042</v>
      </c>
      <c r="K124" s="253">
        <v>17</v>
      </c>
      <c r="L124" s="259">
        <f t="shared" si="156"/>
        <v>0.94444444444444442</v>
      </c>
      <c r="M124" s="334">
        <f t="shared" si="157"/>
        <v>14301838.695890071</v>
      </c>
      <c r="N124" s="253">
        <f>K124*I124</f>
        <v>1864816.0545332534</v>
      </c>
      <c r="O124" s="335">
        <f>K124*J124</f>
        <v>2193901.2406273573</v>
      </c>
      <c r="P124" s="253">
        <f t="shared" si="158"/>
        <v>794546.59421611507</v>
      </c>
      <c r="Q124" s="343">
        <f t="shared" si="159"/>
        <v>103600.89191851408</v>
      </c>
      <c r="R124" s="343">
        <f t="shared" si="160"/>
        <v>121883.40225707539</v>
      </c>
      <c r="S124" s="353">
        <f t="shared" si="161"/>
        <v>0.15000000000000005</v>
      </c>
    </row>
    <row r="125" spans="1:19" x14ac:dyDescent="0.25">
      <c r="A125" s="190">
        <v>5</v>
      </c>
      <c r="B125" s="190" t="s">
        <v>12</v>
      </c>
      <c r="C125" s="190"/>
      <c r="D125" s="191" t="s">
        <v>4</v>
      </c>
      <c r="E125" s="253">
        <f>1000*D_device_values!$Q$20*(1/D_currency_conversion!$H$7)*D_currency_conversion!$H$6</f>
        <v>1216627.0021843137</v>
      </c>
      <c r="F125" s="253">
        <f>E125*D_currency_conversion!$I$12*D_currency_conversion!$J$12</f>
        <v>1427723.4227467263</v>
      </c>
      <c r="G125" s="188">
        <f>D_device_lifecycles!$X$20</f>
        <v>10</v>
      </c>
      <c r="H125" s="188">
        <f t="shared" si="129"/>
        <v>8.5</v>
      </c>
      <c r="I125" s="253">
        <f t="shared" si="154"/>
        <v>142772.34227467264</v>
      </c>
      <c r="J125" s="253">
        <f t="shared" si="155"/>
        <v>167967.46149961487</v>
      </c>
      <c r="K125" s="253">
        <v>50</v>
      </c>
      <c r="L125" s="259">
        <f t="shared" si="156"/>
        <v>2.7777777777777777</v>
      </c>
      <c r="M125" s="334">
        <f t="shared" si="157"/>
        <v>60831350.109215684</v>
      </c>
      <c r="N125" s="253">
        <f>K125*I125</f>
        <v>7138617.1137336325</v>
      </c>
      <c r="O125" s="335">
        <f>K125*J125</f>
        <v>8398373.0749807432</v>
      </c>
      <c r="P125" s="253">
        <f t="shared" si="158"/>
        <v>3379519.4505119827</v>
      </c>
      <c r="Q125" s="343">
        <f>I125*L125</f>
        <v>396589.83965186845</v>
      </c>
      <c r="R125" s="343">
        <f t="shared" si="160"/>
        <v>466576.2819433746</v>
      </c>
      <c r="S125" s="353">
        <f t="shared" si="161"/>
        <v>0.15</v>
      </c>
    </row>
    <row r="126" spans="1:19" x14ac:dyDescent="0.25">
      <c r="A126" s="192">
        <v>6</v>
      </c>
      <c r="B126" s="192" t="s">
        <v>13</v>
      </c>
      <c r="C126" s="192"/>
      <c r="D126" s="193" t="s">
        <v>3</v>
      </c>
      <c r="E126" s="254">
        <f>1000*D_device_values!$Q$21*(1/D_currency_conversion!$H$7)*D_currency_conversion!$H$6</f>
        <v>3519053.3760707863</v>
      </c>
      <c r="F126" s="254">
        <f>E126*D_currency_conversion!$I$12*D_currency_conversion!$J$12</f>
        <v>4129642.792648667</v>
      </c>
      <c r="G126" s="194">
        <f>D_device_lifecycles!$X$21</f>
        <v>8</v>
      </c>
      <c r="H126" s="188">
        <f t="shared" si="129"/>
        <v>6.8</v>
      </c>
      <c r="I126" s="254">
        <f t="shared" si="154"/>
        <v>516205.34908108338</v>
      </c>
      <c r="J126" s="254">
        <f t="shared" si="155"/>
        <v>607300.41068362747</v>
      </c>
      <c r="K126" s="254">
        <v>47</v>
      </c>
      <c r="L126" s="333">
        <f t="shared" si="156"/>
        <v>2.6111111111111112</v>
      </c>
      <c r="M126" s="336">
        <f t="shared" si="157"/>
        <v>165395508.67532694</v>
      </c>
      <c r="N126" s="254">
        <f>K126*I126</f>
        <v>24261651.406810917</v>
      </c>
      <c r="O126" s="337">
        <f>K126*J126</f>
        <v>28543119.302130491</v>
      </c>
      <c r="P126" s="254">
        <f t="shared" si="158"/>
        <v>9188639.3708514981</v>
      </c>
      <c r="Q126" s="344">
        <f>I126*L126</f>
        <v>1347869.5226006065</v>
      </c>
      <c r="R126" s="344">
        <f t="shared" si="160"/>
        <v>1585728.8501183607</v>
      </c>
      <c r="S126" s="354">
        <f t="shared" si="161"/>
        <v>0.15000000000000002</v>
      </c>
    </row>
    <row r="127" spans="1:19" x14ac:dyDescent="0.25">
      <c r="A127" s="1"/>
      <c r="B127" s="1"/>
      <c r="C127" s="1"/>
      <c r="D127" s="1"/>
      <c r="E127" s="1"/>
      <c r="F127" s="1"/>
      <c r="G127" s="1"/>
      <c r="H127" s="1"/>
      <c r="I127" s="225"/>
      <c r="J127" s="225"/>
      <c r="K127" s="255">
        <f>SUM(K109:K126)</f>
        <v>419</v>
      </c>
      <c r="L127" s="255">
        <v>240</v>
      </c>
      <c r="M127" s="338">
        <f t="shared" ref="M127:P127" si="162">SUM(M109:M126)</f>
        <v>320130175.45574528</v>
      </c>
      <c r="N127" s="339">
        <f t="shared" si="162"/>
        <v>43077410.772139512</v>
      </c>
      <c r="O127" s="340">
        <f t="shared" si="162"/>
        <v>50679306.790752366</v>
      </c>
      <c r="P127" s="255">
        <f t="shared" si="162"/>
        <v>17785009.747541405</v>
      </c>
      <c r="Q127" s="345">
        <f>SUM(Q109:Q126)</f>
        <v>2393189.4873410841</v>
      </c>
      <c r="R127" s="345">
        <f t="shared" ref="R127" si="163">SUM(R109:R126)</f>
        <v>2815517.043930687</v>
      </c>
      <c r="S127" s="225"/>
    </row>
    <row r="128" spans="1:19" x14ac:dyDescent="0.25">
      <c r="A128" s="11" t="s">
        <v>230</v>
      </c>
      <c r="B128" s="1"/>
      <c r="C128" s="1"/>
      <c r="D128" s="1"/>
      <c r="E128" s="199" t="s">
        <v>231</v>
      </c>
      <c r="F128" s="199"/>
      <c r="G128" s="552" t="s">
        <v>400</v>
      </c>
      <c r="H128" s="552"/>
      <c r="I128" s="225"/>
      <c r="J128" s="225"/>
      <c r="N128" s="225"/>
      <c r="O128" s="225"/>
      <c r="S128" s="225"/>
    </row>
    <row r="129" spans="1:19" x14ac:dyDescent="0.25">
      <c r="A129" s="225"/>
      <c r="B129" s="225"/>
      <c r="C129" s="225"/>
      <c r="D129" s="225"/>
      <c r="E129" s="225"/>
      <c r="G129" s="225"/>
      <c r="H129" s="225"/>
      <c r="I129" s="225"/>
      <c r="J129" s="225" t="s">
        <v>615</v>
      </c>
      <c r="K129" s="363">
        <f>SUM(K109:K111,K123,K125,K126)</f>
        <v>223</v>
      </c>
      <c r="L129" s="225" t="s">
        <v>536</v>
      </c>
      <c r="M129" s="427">
        <f>SUM(M109:M111,M123,M125,M126)</f>
        <v>254236891.22773921</v>
      </c>
      <c r="N129" s="363">
        <f>SUM(N109:N111,N123,N125,N126)</f>
        <v>35295455.79246147</v>
      </c>
      <c r="O129" s="363">
        <f>SUM(O109:O111,O123,O125,O126)</f>
        <v>41524065.638189971</v>
      </c>
      <c r="P129" s="225" t="s">
        <v>536</v>
      </c>
      <c r="Q129" s="363">
        <f>SUM(Q109:Q111,Q123,Q125,Q126)</f>
        <v>1960858.6551367487</v>
      </c>
      <c r="R129" s="363">
        <f>SUM(R109:R111,R123,R125,R126)</f>
        <v>2306892.5354549983</v>
      </c>
      <c r="S129" s="225"/>
    </row>
    <row r="130" spans="1:19" x14ac:dyDescent="0.25">
      <c r="A130" s="450" t="s">
        <v>623</v>
      </c>
      <c r="B130" s="450"/>
      <c r="C130" s="450"/>
      <c r="D130" s="451">
        <v>0.2</v>
      </c>
      <c r="E130" s="450"/>
      <c r="F130" s="450"/>
      <c r="G130" s="450"/>
      <c r="H130" s="450"/>
      <c r="I130" s="450"/>
      <c r="J130" s="450"/>
      <c r="K130" s="450"/>
      <c r="L130" s="450"/>
      <c r="M130" s="450"/>
      <c r="N130" s="450"/>
      <c r="O130" s="450"/>
      <c r="P130" s="450"/>
      <c r="Q130" s="450"/>
      <c r="R130" s="450"/>
      <c r="S130" s="450"/>
    </row>
    <row r="131" spans="1:19" x14ac:dyDescent="0.25">
      <c r="A131" s="196" t="s">
        <v>14</v>
      </c>
      <c r="B131" s="196"/>
      <c r="C131" s="196"/>
      <c r="D131" s="331" t="str">
        <f>HYPERLINK("#"&amp;ADDRESS(1,1,,,"MASTER"),"M &lt;=")</f>
        <v>M &lt;=</v>
      </c>
      <c r="E131" s="444" t="s">
        <v>229</v>
      </c>
      <c r="F131" s="444" t="s">
        <v>229</v>
      </c>
      <c r="G131" s="544" t="s">
        <v>44</v>
      </c>
      <c r="H131" s="544"/>
      <c r="I131" s="547" t="s">
        <v>454</v>
      </c>
      <c r="J131" s="547"/>
      <c r="K131" s="445" t="s">
        <v>405</v>
      </c>
      <c r="L131" s="445" t="s">
        <v>517</v>
      </c>
      <c r="M131" s="449" t="s">
        <v>459</v>
      </c>
      <c r="N131" s="550" t="s">
        <v>458</v>
      </c>
      <c r="O131" s="551"/>
      <c r="P131" s="445" t="s">
        <v>518</v>
      </c>
      <c r="Q131" s="553" t="s">
        <v>522</v>
      </c>
      <c r="R131" s="553"/>
      <c r="S131" s="446" t="s">
        <v>523</v>
      </c>
    </row>
    <row r="132" spans="1:19" x14ac:dyDescent="0.25">
      <c r="A132" s="198"/>
      <c r="B132" s="198"/>
      <c r="C132" s="198"/>
      <c r="D132" s="198"/>
      <c r="E132" s="448" t="s">
        <v>627</v>
      </c>
      <c r="F132" s="448" t="s">
        <v>628</v>
      </c>
      <c r="G132" s="448" t="s">
        <v>7</v>
      </c>
      <c r="H132" s="448" t="s">
        <v>6</v>
      </c>
      <c r="I132" s="448" t="s">
        <v>7</v>
      </c>
      <c r="J132" s="448" t="s">
        <v>6</v>
      </c>
      <c r="K132" s="448" t="s">
        <v>455</v>
      </c>
      <c r="L132" s="448" t="s">
        <v>455</v>
      </c>
      <c r="M132" s="447" t="s">
        <v>627</v>
      </c>
      <c r="N132" s="448" t="s">
        <v>7</v>
      </c>
      <c r="O132" s="269" t="s">
        <v>6</v>
      </c>
      <c r="P132" s="448" t="s">
        <v>629</v>
      </c>
      <c r="Q132" s="341" t="s">
        <v>7</v>
      </c>
      <c r="R132" s="341" t="s">
        <v>6</v>
      </c>
      <c r="S132" s="446" t="s">
        <v>524</v>
      </c>
    </row>
    <row r="133" spans="1:19" x14ac:dyDescent="0.25">
      <c r="A133" s="3">
        <v>1</v>
      </c>
      <c r="B133" s="3" t="s">
        <v>11</v>
      </c>
      <c r="C133" s="3"/>
      <c r="D133" s="3"/>
      <c r="E133" s="444"/>
      <c r="F133" s="444"/>
      <c r="G133" s="3"/>
      <c r="H133" s="3"/>
      <c r="I133" s="3"/>
      <c r="J133" s="3"/>
      <c r="K133" s="3"/>
      <c r="L133" s="3"/>
      <c r="M133" s="264"/>
      <c r="N133" s="190"/>
      <c r="O133" s="265"/>
      <c r="P133" s="190"/>
      <c r="Q133" s="342"/>
      <c r="R133" s="342"/>
      <c r="S133" s="352"/>
    </row>
    <row r="134" spans="1:19" x14ac:dyDescent="0.25">
      <c r="A134" s="7"/>
      <c r="B134" s="7" t="s">
        <v>9</v>
      </c>
      <c r="C134" s="7" t="s">
        <v>16</v>
      </c>
      <c r="D134" s="7" t="s">
        <v>31</v>
      </c>
      <c r="E134" s="253">
        <f>1000*D_device_values!$Q$4*(1/D_currency_conversion!$H$7)*D_currency_conversion!$H$6</f>
        <v>849913.18946918368</v>
      </c>
      <c r="F134" s="253">
        <f>E134*D_currency_conversion!$I$12*D_currency_conversion!$J$12</f>
        <v>997381.25631597533</v>
      </c>
      <c r="G134" s="188">
        <f>D_device_lifecycles!$X$4</f>
        <v>7.5</v>
      </c>
      <c r="H134" s="188">
        <f>G134*(1-$D$130)</f>
        <v>6</v>
      </c>
      <c r="I134" s="253">
        <f>$F134/G134</f>
        <v>132984.1675087967</v>
      </c>
      <c r="J134" s="253">
        <f>$F134/H134</f>
        <v>166230.2093859959</v>
      </c>
      <c r="K134" s="253">
        <v>11</v>
      </c>
      <c r="L134" s="259">
        <f>K134/18</f>
        <v>0.61111111111111116</v>
      </c>
      <c r="M134" s="334">
        <f>K134*E134</f>
        <v>9349045.0841610208</v>
      </c>
      <c r="N134" s="253">
        <f>K134*I134</f>
        <v>1462825.8425967637</v>
      </c>
      <c r="O134" s="335">
        <f>K134*J134</f>
        <v>1828532.3032459549</v>
      </c>
      <c r="P134" s="253">
        <f>L134*E134</f>
        <v>519391.3935645012</v>
      </c>
      <c r="Q134" s="343">
        <f>I134*L134</f>
        <v>81268.102366486884</v>
      </c>
      <c r="R134" s="343">
        <f>L134*J134</f>
        <v>101585.12795810861</v>
      </c>
      <c r="S134" s="353">
        <f>(G134-H134)/G134</f>
        <v>0.2</v>
      </c>
    </row>
    <row r="135" spans="1:19" x14ac:dyDescent="0.25">
      <c r="A135" s="7"/>
      <c r="B135" s="7" t="s">
        <v>10</v>
      </c>
      <c r="C135" s="7" t="s">
        <v>17</v>
      </c>
      <c r="D135" s="7" t="s">
        <v>32</v>
      </c>
      <c r="E135" s="253">
        <f>1000*D_device_values!$Q$5*(1/D_currency_conversion!$H$7)*D_currency_conversion!$H$6</f>
        <v>64714.20224384647</v>
      </c>
      <c r="F135" s="253">
        <f>E135*D_currency_conversion!$I$12*D_currency_conversion!$J$12</f>
        <v>75942.735252485436</v>
      </c>
      <c r="G135" s="188">
        <f>D_device_lifecycles!$X$5</f>
        <v>9</v>
      </c>
      <c r="H135" s="188">
        <f t="shared" ref="H135:H151" si="164">G135*(1-$D$130)</f>
        <v>7.2</v>
      </c>
      <c r="I135" s="253">
        <f t="shared" ref="I135:I136" si="165">$F135/G135</f>
        <v>8438.081694720604</v>
      </c>
      <c r="J135" s="253">
        <f t="shared" ref="J135:J136" si="166">$F135/H135</f>
        <v>10547.602118400755</v>
      </c>
      <c r="K135" s="253">
        <v>53</v>
      </c>
      <c r="L135" s="259">
        <f t="shared" ref="L135:L136" si="167">K135/18</f>
        <v>2.9444444444444446</v>
      </c>
      <c r="M135" s="334">
        <f t="shared" ref="M135:M136" si="168">K135*E135</f>
        <v>3429852.718923863</v>
      </c>
      <c r="N135" s="253">
        <f>K135*I135</f>
        <v>447218.32982019201</v>
      </c>
      <c r="O135" s="335">
        <f>K135*J135</f>
        <v>559022.91227524006</v>
      </c>
      <c r="P135" s="253">
        <f t="shared" ref="P135:P136" si="169">L135*E135</f>
        <v>190547.37327354794</v>
      </c>
      <c r="Q135" s="343">
        <f>I135*L135</f>
        <v>24845.462767788445</v>
      </c>
      <c r="R135" s="343">
        <f>L135*J135</f>
        <v>31056.82845973556</v>
      </c>
      <c r="S135" s="353">
        <f t="shared" ref="S135:S136" si="170">(G135-H135)/G135</f>
        <v>0.19999999999999998</v>
      </c>
    </row>
    <row r="136" spans="1:19" x14ac:dyDescent="0.25">
      <c r="A136" s="7"/>
      <c r="B136" s="7" t="s">
        <v>15</v>
      </c>
      <c r="C136" s="7" t="s">
        <v>18</v>
      </c>
      <c r="D136" s="7" t="s">
        <v>33</v>
      </c>
      <c r="E136" s="253">
        <f>1000*D_device_values!$Q$6*(1/D_currency_conversion!$H$7)*D_currency_conversion!$H$6</f>
        <v>207085.44718030869</v>
      </c>
      <c r="F136" s="253">
        <f>E136*D_currency_conversion!$I$12*D_currency_conversion!$J$12</f>
        <v>243016.75280795337</v>
      </c>
      <c r="G136" s="188">
        <f>D_device_lifecycles!$X$6</f>
        <v>10</v>
      </c>
      <c r="H136" s="188">
        <f t="shared" si="164"/>
        <v>8</v>
      </c>
      <c r="I136" s="253">
        <f t="shared" si="165"/>
        <v>24301.675280795338</v>
      </c>
      <c r="J136" s="253">
        <f t="shared" si="166"/>
        <v>30377.094100994171</v>
      </c>
      <c r="K136" s="253">
        <v>41</v>
      </c>
      <c r="L136" s="259">
        <f t="shared" si="167"/>
        <v>2.2777777777777777</v>
      </c>
      <c r="M136" s="334">
        <f t="shared" si="168"/>
        <v>8490503.3343926556</v>
      </c>
      <c r="N136" s="253">
        <f>K136*I136</f>
        <v>996368.6865126089</v>
      </c>
      <c r="O136" s="335">
        <f>K136*J136</f>
        <v>1245460.858140761</v>
      </c>
      <c r="P136" s="253">
        <f t="shared" si="169"/>
        <v>471694.62968848087</v>
      </c>
      <c r="Q136" s="343">
        <f>I136*L136</f>
        <v>55353.815917367159</v>
      </c>
      <c r="R136" s="343">
        <f>L136*J136</f>
        <v>69192.269896708938</v>
      </c>
      <c r="S136" s="353">
        <f t="shared" si="170"/>
        <v>0.2</v>
      </c>
    </row>
    <row r="137" spans="1:19" x14ac:dyDescent="0.25">
      <c r="A137" s="190">
        <v>2</v>
      </c>
      <c r="B137" s="190" t="s">
        <v>43</v>
      </c>
      <c r="C137" s="190"/>
      <c r="D137" s="190"/>
      <c r="E137" s="456"/>
      <c r="F137" s="253"/>
      <c r="G137" s="188"/>
      <c r="H137" s="188"/>
      <c r="I137" s="253"/>
      <c r="J137" s="253"/>
      <c r="K137" s="253"/>
      <c r="L137" s="253"/>
      <c r="M137" s="334"/>
      <c r="N137" s="253"/>
      <c r="O137" s="335"/>
      <c r="P137" s="253"/>
      <c r="Q137" s="343"/>
      <c r="R137" s="343"/>
      <c r="S137" s="353"/>
    </row>
    <row r="138" spans="1:19" x14ac:dyDescent="0.25">
      <c r="A138" s="7"/>
      <c r="B138" s="7" t="s">
        <v>9</v>
      </c>
      <c r="C138" s="7" t="s">
        <v>19</v>
      </c>
      <c r="D138" s="7" t="s">
        <v>34</v>
      </c>
      <c r="E138" s="253">
        <f>1000*D_device_values!$Q$8*(1/D_currency_conversion!$H$7)*D_currency_conversion!$H$6</f>
        <v>173469.52185035453</v>
      </c>
      <c r="F138" s="253">
        <f>E138*D_currency_conversion!$I$12*D_currency_conversion!$J$12</f>
        <v>203568.14293433359</v>
      </c>
      <c r="G138" s="188">
        <f>D_device_lifecycles!$X$8</f>
        <v>10</v>
      </c>
      <c r="H138" s="188">
        <f t="shared" si="164"/>
        <v>8</v>
      </c>
      <c r="I138" s="253">
        <f t="shared" ref="I138:I139" si="171">$F138/G138</f>
        <v>20356.814293433359</v>
      </c>
      <c r="J138" s="253">
        <f t="shared" ref="J138" si="172">$F138/H138</f>
        <v>25446.017866791699</v>
      </c>
      <c r="K138" s="253">
        <v>22</v>
      </c>
      <c r="L138" s="259">
        <f t="shared" ref="L138:L139" si="173">K138/18</f>
        <v>1.2222222222222223</v>
      </c>
      <c r="M138" s="334">
        <f t="shared" ref="M138:M139" si="174">K138*E138</f>
        <v>3816329.4807077996</v>
      </c>
      <c r="N138" s="253">
        <f>K138*I138</f>
        <v>447849.9144555339</v>
      </c>
      <c r="O138" s="335">
        <f>K138*J138</f>
        <v>559812.39306941733</v>
      </c>
      <c r="P138" s="253">
        <f t="shared" ref="P138:P139" si="175">L138*E138</f>
        <v>212018.30448376667</v>
      </c>
      <c r="Q138" s="343">
        <f t="shared" ref="Q138:Q139" si="176">I138*L138</f>
        <v>24880.550803085218</v>
      </c>
      <c r="R138" s="343">
        <f t="shared" ref="R138:R139" si="177">L138*J138</f>
        <v>31100.688503856523</v>
      </c>
      <c r="S138" s="353">
        <f t="shared" ref="S138:S139" si="178">(G138-H138)/G138</f>
        <v>0.2</v>
      </c>
    </row>
    <row r="139" spans="1:19" x14ac:dyDescent="0.25">
      <c r="A139" s="7"/>
      <c r="B139" s="7" t="s">
        <v>10</v>
      </c>
      <c r="C139" s="7" t="s">
        <v>20</v>
      </c>
      <c r="D139" s="7" t="s">
        <v>34</v>
      </c>
      <c r="E139" s="253">
        <f>1000*D_device_values!$Q$9*(1/D_currency_conversion!$H$7)*D_currency_conversion!$H$6</f>
        <v>173732.7429469417</v>
      </c>
      <c r="F139" s="253">
        <f>E139*D_currency_conversion!$I$12*D_currency_conversion!$J$12</f>
        <v>203877.03540859552</v>
      </c>
      <c r="G139" s="188">
        <f>D_device_lifecycles!$X$9</f>
        <v>11</v>
      </c>
      <c r="H139" s="188">
        <f t="shared" si="164"/>
        <v>8.8000000000000007</v>
      </c>
      <c r="I139" s="253">
        <f t="shared" si="171"/>
        <v>18534.275946235957</v>
      </c>
      <c r="J139" s="253">
        <f>$F139/H139</f>
        <v>23167.844932794942</v>
      </c>
      <c r="K139" s="253">
        <v>22</v>
      </c>
      <c r="L139" s="259">
        <f t="shared" si="173"/>
        <v>1.2222222222222223</v>
      </c>
      <c r="M139" s="334">
        <f t="shared" si="174"/>
        <v>3822120.3448327174</v>
      </c>
      <c r="N139" s="253">
        <f>K139*I139</f>
        <v>407754.07081719104</v>
      </c>
      <c r="O139" s="335">
        <f>K139*J139</f>
        <v>509692.58852148871</v>
      </c>
      <c r="P139" s="253">
        <f t="shared" si="175"/>
        <v>212340.0191573732</v>
      </c>
      <c r="Q139" s="343">
        <f t="shared" si="176"/>
        <v>22653.003934288394</v>
      </c>
      <c r="R139" s="343">
        <f t="shared" si="177"/>
        <v>28316.254917860486</v>
      </c>
      <c r="S139" s="353">
        <f t="shared" si="178"/>
        <v>0.19999999999999993</v>
      </c>
    </row>
    <row r="140" spans="1:19" x14ac:dyDescent="0.25">
      <c r="A140" s="190">
        <v>3</v>
      </c>
      <c r="B140" s="190" t="s">
        <v>42</v>
      </c>
      <c r="C140" s="190"/>
      <c r="D140" s="190"/>
      <c r="E140" s="456"/>
      <c r="F140" s="253"/>
      <c r="G140" s="188"/>
      <c r="H140" s="188"/>
      <c r="I140" s="253"/>
      <c r="J140" s="253"/>
      <c r="K140" s="253"/>
      <c r="L140" s="253"/>
      <c r="M140" s="334"/>
      <c r="N140" s="253"/>
      <c r="O140" s="335"/>
      <c r="P140" s="253"/>
      <c r="Q140" s="343"/>
      <c r="R140" s="343"/>
      <c r="S140" s="353"/>
    </row>
    <row r="141" spans="1:19" x14ac:dyDescent="0.25">
      <c r="A141" s="7"/>
      <c r="B141" s="7" t="s">
        <v>9</v>
      </c>
      <c r="C141" s="7" t="s">
        <v>24</v>
      </c>
      <c r="D141" s="7" t="s">
        <v>35</v>
      </c>
      <c r="E141" s="253">
        <f>1000*D_device_values!$Q$11*(1/D_currency_conversion!$H$7)*D_currency_conversion!$H$6</f>
        <v>1064482.5920110256</v>
      </c>
      <c r="F141" s="253">
        <f>E141*D_currency_conversion!$I$12*D_currency_conversion!$J$12</f>
        <v>1249180.502316393</v>
      </c>
      <c r="G141" s="188">
        <f>D_device_lifecycles!$X$11</f>
        <v>10</v>
      </c>
      <c r="H141" s="188">
        <f t="shared" si="164"/>
        <v>8</v>
      </c>
      <c r="I141" s="253">
        <f t="shared" ref="I141:I146" si="179">$F141/G141</f>
        <v>124918.0502316393</v>
      </c>
      <c r="J141" s="253">
        <f t="shared" ref="J141:J146" si="180">$F141/H141</f>
        <v>156147.56278954912</v>
      </c>
      <c r="K141" s="253">
        <v>4</v>
      </c>
      <c r="L141" s="259">
        <f t="shared" ref="L141:L146" si="181">K141/18</f>
        <v>0.22222222222222221</v>
      </c>
      <c r="M141" s="334">
        <f t="shared" ref="M141:M146" si="182">K141*E141</f>
        <v>4257930.3680441026</v>
      </c>
      <c r="N141" s="253">
        <f t="shared" ref="N141:N146" si="183">K141*I141</f>
        <v>499672.20092655718</v>
      </c>
      <c r="O141" s="335">
        <f t="shared" ref="O141:O146" si="184">K141*J141</f>
        <v>624590.25115819648</v>
      </c>
      <c r="P141" s="253">
        <f t="shared" ref="P141:P146" si="185">L141*E141</f>
        <v>236551.68711356123</v>
      </c>
      <c r="Q141" s="343">
        <f t="shared" ref="Q141:Q146" si="186">I141*L141</f>
        <v>27759.566718142065</v>
      </c>
      <c r="R141" s="343">
        <f t="shared" ref="R141:R146" si="187">L141*J141</f>
        <v>34699.458397677583</v>
      </c>
      <c r="S141" s="353">
        <f t="shared" ref="S141:S146" si="188">(G141-H141)/G141</f>
        <v>0.2</v>
      </c>
    </row>
    <row r="142" spans="1:19" x14ac:dyDescent="0.25">
      <c r="A142" s="7"/>
      <c r="B142" s="7" t="s">
        <v>10</v>
      </c>
      <c r="C142" s="7" t="s">
        <v>25</v>
      </c>
      <c r="D142" s="7" t="s">
        <v>36</v>
      </c>
      <c r="E142" s="253">
        <f>1000*D_device_values!$Q$12*(1/D_currency_conversion!$H$7)*D_currency_conversion!$H$6</f>
        <v>362399.53256554028</v>
      </c>
      <c r="F142" s="253">
        <f>E142*D_currency_conversion!$I$12*D_currency_conversion!$J$12</f>
        <v>425279.31741391844</v>
      </c>
      <c r="G142" s="188">
        <f>D_device_lifecycles!$X$12</f>
        <v>9</v>
      </c>
      <c r="H142" s="188">
        <f t="shared" si="164"/>
        <v>7.2</v>
      </c>
      <c r="I142" s="253">
        <f t="shared" si="179"/>
        <v>47253.257490435382</v>
      </c>
      <c r="J142" s="253">
        <f t="shared" si="180"/>
        <v>59066.571863044228</v>
      </c>
      <c r="K142" s="253">
        <v>13</v>
      </c>
      <c r="L142" s="259">
        <f t="shared" si="181"/>
        <v>0.72222222222222221</v>
      </c>
      <c r="M142" s="334">
        <f t="shared" si="182"/>
        <v>4711193.9233520236</v>
      </c>
      <c r="N142" s="253">
        <f t="shared" si="183"/>
        <v>614292.34737565997</v>
      </c>
      <c r="O142" s="335">
        <f t="shared" si="184"/>
        <v>767865.43421957502</v>
      </c>
      <c r="P142" s="253">
        <f t="shared" si="185"/>
        <v>261732.9957417791</v>
      </c>
      <c r="Q142" s="343">
        <f t="shared" si="186"/>
        <v>34127.352631981106</v>
      </c>
      <c r="R142" s="343">
        <f t="shared" si="187"/>
        <v>42659.190789976383</v>
      </c>
      <c r="S142" s="353">
        <f t="shared" si="188"/>
        <v>0.19999999999999998</v>
      </c>
    </row>
    <row r="143" spans="1:19" x14ac:dyDescent="0.25">
      <c r="A143" s="7"/>
      <c r="B143" s="7" t="s">
        <v>15</v>
      </c>
      <c r="C143" s="7" t="s">
        <v>26</v>
      </c>
      <c r="D143" s="7" t="s">
        <v>37</v>
      </c>
      <c r="E143" s="253">
        <f>1000*D_device_values!$Q$13*(1/D_currency_conversion!$H$7)*D_currency_conversion!$H$6</f>
        <v>369662.42145046114</v>
      </c>
      <c r="F143" s="253">
        <f>E143*D_currency_conversion!$I$12*D_currency_conversion!$J$12</f>
        <v>433802.38698182325</v>
      </c>
      <c r="G143" s="188">
        <f>D_device_lifecycles!$X$13</f>
        <v>7</v>
      </c>
      <c r="H143" s="188">
        <f t="shared" si="164"/>
        <v>5.6000000000000005</v>
      </c>
      <c r="I143" s="253">
        <f t="shared" si="179"/>
        <v>61971.769568831893</v>
      </c>
      <c r="J143" s="253">
        <f t="shared" si="180"/>
        <v>77464.711961039851</v>
      </c>
      <c r="K143" s="253">
        <v>19</v>
      </c>
      <c r="L143" s="259">
        <f t="shared" si="181"/>
        <v>1.0555555555555556</v>
      </c>
      <c r="M143" s="334">
        <f t="shared" si="182"/>
        <v>7023586.0075587621</v>
      </c>
      <c r="N143" s="253">
        <f t="shared" si="183"/>
        <v>1177463.621807806</v>
      </c>
      <c r="O143" s="335">
        <f t="shared" si="184"/>
        <v>1471829.5272597573</v>
      </c>
      <c r="P143" s="253">
        <f t="shared" si="185"/>
        <v>390199.22264215344</v>
      </c>
      <c r="Q143" s="343">
        <f t="shared" si="186"/>
        <v>65414.645655989225</v>
      </c>
      <c r="R143" s="343">
        <f t="shared" si="187"/>
        <v>81768.307069986506</v>
      </c>
      <c r="S143" s="353">
        <f t="shared" si="188"/>
        <v>0.19999999999999993</v>
      </c>
    </row>
    <row r="144" spans="1:19" x14ac:dyDescent="0.25">
      <c r="A144" s="7"/>
      <c r="B144" s="7" t="s">
        <v>21</v>
      </c>
      <c r="C144" s="7" t="s">
        <v>27</v>
      </c>
      <c r="D144" s="7" t="s">
        <v>38</v>
      </c>
      <c r="E144" s="253">
        <f>1000*D_device_values!$Q$14*(1/D_currency_conversion!$H$7)*D_currency_conversion!$H$6</f>
        <v>116485.56403892365</v>
      </c>
      <c r="F144" s="253">
        <f>E144*D_currency_conversion!$I$12*D_currency_conversion!$J$12</f>
        <v>136696.92345447378</v>
      </c>
      <c r="G144" s="188">
        <f>D_device_lifecycles!$X$14</f>
        <v>8</v>
      </c>
      <c r="H144" s="188">
        <f t="shared" si="164"/>
        <v>6.4</v>
      </c>
      <c r="I144" s="253">
        <f t="shared" si="179"/>
        <v>17087.115431809223</v>
      </c>
      <c r="J144" s="253">
        <f t="shared" si="180"/>
        <v>21358.894289761527</v>
      </c>
      <c r="K144" s="253">
        <v>60</v>
      </c>
      <c r="L144" s="259">
        <f t="shared" si="181"/>
        <v>3.3333333333333335</v>
      </c>
      <c r="M144" s="334">
        <f t="shared" si="182"/>
        <v>6989133.8423354188</v>
      </c>
      <c r="N144" s="253">
        <f t="shared" si="183"/>
        <v>1025226.9259085534</v>
      </c>
      <c r="O144" s="335">
        <f t="shared" si="184"/>
        <v>1281533.6573856915</v>
      </c>
      <c r="P144" s="253">
        <f t="shared" si="185"/>
        <v>388285.21346307884</v>
      </c>
      <c r="Q144" s="343">
        <f t="shared" si="186"/>
        <v>56957.051439364077</v>
      </c>
      <c r="R144" s="343">
        <f t="shared" si="187"/>
        <v>71196.3142992051</v>
      </c>
      <c r="S144" s="353">
        <f t="shared" si="188"/>
        <v>0.19999999999999996</v>
      </c>
    </row>
    <row r="145" spans="1:19" x14ac:dyDescent="0.25">
      <c r="A145" s="7"/>
      <c r="B145" s="7" t="s">
        <v>22</v>
      </c>
      <c r="C145" s="7" t="s">
        <v>28</v>
      </c>
      <c r="D145" s="7" t="s">
        <v>39</v>
      </c>
      <c r="E145" s="253">
        <f>1000*D_device_values!$Q$15*(1/D_currency_conversion!$H$7)*D_currency_conversion!$H$6</f>
        <v>253752.59020685713</v>
      </c>
      <c r="F145" s="253">
        <f>E145*D_currency_conversion!$I$12*D_currency_conversion!$J$12</f>
        <v>297781.09146890056</v>
      </c>
      <c r="G145" s="188">
        <f>D_device_lifecycles!$X$15</f>
        <v>12</v>
      </c>
      <c r="H145" s="188">
        <f t="shared" si="164"/>
        <v>9.6000000000000014</v>
      </c>
      <c r="I145" s="253">
        <f t="shared" si="179"/>
        <v>24815.090955741714</v>
      </c>
      <c r="J145" s="253">
        <f t="shared" si="180"/>
        <v>31018.863694677137</v>
      </c>
      <c r="K145" s="253">
        <v>21</v>
      </c>
      <c r="L145" s="259">
        <f t="shared" si="181"/>
        <v>1.1666666666666667</v>
      </c>
      <c r="M145" s="334">
        <f t="shared" si="182"/>
        <v>5328804.3943440001</v>
      </c>
      <c r="N145" s="253">
        <f t="shared" si="183"/>
        <v>521116.91007057601</v>
      </c>
      <c r="O145" s="335">
        <f t="shared" si="184"/>
        <v>651396.13758821983</v>
      </c>
      <c r="P145" s="253">
        <f t="shared" si="185"/>
        <v>296044.68857466668</v>
      </c>
      <c r="Q145" s="343">
        <f t="shared" si="186"/>
        <v>28950.939448365334</v>
      </c>
      <c r="R145" s="343">
        <f t="shared" si="187"/>
        <v>36188.674310456663</v>
      </c>
      <c r="S145" s="353">
        <f t="shared" si="188"/>
        <v>0.19999999999999987</v>
      </c>
    </row>
    <row r="146" spans="1:19" x14ac:dyDescent="0.25">
      <c r="A146" s="7"/>
      <c r="B146" s="7" t="s">
        <v>23</v>
      </c>
      <c r="C146" s="7" t="s">
        <v>29</v>
      </c>
      <c r="D146" s="7" t="s">
        <v>40</v>
      </c>
      <c r="E146" s="253">
        <f>1000*D_device_values!$Q$16*(1/D_currency_conversion!$H$7)*D_currency_conversion!$H$6</f>
        <v>869019.28727450978</v>
      </c>
      <c r="F146" s="253">
        <f>E146*D_currency_conversion!$I$12*D_currency_conversion!$J$12</f>
        <v>1019802.4448190901</v>
      </c>
      <c r="G146" s="188">
        <f>D_device_lifecycles!$X$16</f>
        <v>15</v>
      </c>
      <c r="H146" s="188">
        <f t="shared" si="164"/>
        <v>12</v>
      </c>
      <c r="I146" s="253">
        <f t="shared" si="179"/>
        <v>67986.829654606001</v>
      </c>
      <c r="J146" s="253">
        <f t="shared" si="180"/>
        <v>84983.537068257501</v>
      </c>
      <c r="K146" s="253">
        <v>18</v>
      </c>
      <c r="L146" s="259">
        <f t="shared" si="181"/>
        <v>1</v>
      </c>
      <c r="M146" s="334">
        <f t="shared" si="182"/>
        <v>15642347.170941176</v>
      </c>
      <c r="N146" s="253">
        <f t="shared" si="183"/>
        <v>1223762.9337829081</v>
      </c>
      <c r="O146" s="335">
        <f t="shared" si="184"/>
        <v>1529703.6672286349</v>
      </c>
      <c r="P146" s="253">
        <f t="shared" si="185"/>
        <v>869019.28727450978</v>
      </c>
      <c r="Q146" s="343">
        <f t="shared" si="186"/>
        <v>67986.829654606001</v>
      </c>
      <c r="R146" s="343">
        <f t="shared" si="187"/>
        <v>84983.537068257501</v>
      </c>
      <c r="S146" s="353">
        <f t="shared" si="188"/>
        <v>0.2</v>
      </c>
    </row>
    <row r="147" spans="1:19" x14ac:dyDescent="0.25">
      <c r="A147" s="190">
        <v>4</v>
      </c>
      <c r="B147" s="190" t="s">
        <v>2</v>
      </c>
      <c r="C147" s="190"/>
      <c r="D147" s="190"/>
      <c r="E147" s="456"/>
      <c r="F147" s="253"/>
      <c r="G147" s="188"/>
      <c r="H147" s="188"/>
      <c r="I147" s="253"/>
      <c r="J147" s="253"/>
      <c r="K147" s="253"/>
      <c r="L147" s="253"/>
      <c r="M147" s="334"/>
      <c r="N147" s="253"/>
      <c r="O147" s="335"/>
      <c r="P147" s="253"/>
      <c r="Q147" s="343"/>
      <c r="R147" s="343"/>
      <c r="S147" s="353"/>
    </row>
    <row r="148" spans="1:19" x14ac:dyDescent="0.25">
      <c r="A148" s="7"/>
      <c r="B148" s="7" t="s">
        <v>9</v>
      </c>
      <c r="C148" s="7" t="s">
        <v>8</v>
      </c>
      <c r="D148" s="7" t="s">
        <v>5</v>
      </c>
      <c r="E148" s="253">
        <f>1000*D_device_values!$Q$18*(1/D_currency_conversion!$H$7)*D_currency_conversion!$H$6</f>
        <v>320982.44312947843</v>
      </c>
      <c r="F148" s="253">
        <f>E148*D_currency_conversion!$I$12*D_currency_conversion!$J$12</f>
        <v>376675.96685232763</v>
      </c>
      <c r="G148" s="188">
        <f>D_device_lifecycles!$X$18</f>
        <v>8</v>
      </c>
      <c r="H148" s="188">
        <f t="shared" si="164"/>
        <v>6.4</v>
      </c>
      <c r="I148" s="253">
        <f t="shared" ref="I148:I151" si="189">$F148/G148</f>
        <v>47084.495856540954</v>
      </c>
      <c r="J148" s="253">
        <f t="shared" ref="J148:J151" si="190">$F148/H148</f>
        <v>58855.619820676191</v>
      </c>
      <c r="K148" s="253">
        <v>21</v>
      </c>
      <c r="L148" s="259">
        <f t="shared" ref="L148:L151" si="191">K148/18</f>
        <v>1.1666666666666667</v>
      </c>
      <c r="M148" s="334">
        <f t="shared" ref="M148:M151" si="192">K148*E148</f>
        <v>6740631.3057190469</v>
      </c>
      <c r="N148" s="253">
        <f>K148*I148</f>
        <v>988774.41298736003</v>
      </c>
      <c r="O148" s="335">
        <f>K148*J148</f>
        <v>1235968.0162342</v>
      </c>
      <c r="P148" s="253">
        <f t="shared" ref="P148:P151" si="193">L148*E148</f>
        <v>374479.51698439155</v>
      </c>
      <c r="Q148" s="343">
        <f t="shared" ref="Q148:Q149" si="194">I148*L148</f>
        <v>54931.911832631115</v>
      </c>
      <c r="R148" s="343">
        <f t="shared" ref="R148:R151" si="195">L148*J148</f>
        <v>68664.88979078889</v>
      </c>
      <c r="S148" s="353">
        <f t="shared" ref="S148:S151" si="196">(G148-H148)/G148</f>
        <v>0.19999999999999996</v>
      </c>
    </row>
    <row r="149" spans="1:19" x14ac:dyDescent="0.25">
      <c r="A149" s="7"/>
      <c r="B149" s="7" t="s">
        <v>10</v>
      </c>
      <c r="C149" s="7" t="s">
        <v>30</v>
      </c>
      <c r="D149" s="7" t="s">
        <v>41</v>
      </c>
      <c r="E149" s="253">
        <f>1000*D_device_values!$Q$19*(1/D_currency_conversion!$H$7)*D_currency_conversion!$H$6</f>
        <v>841284.62917000416</v>
      </c>
      <c r="F149" s="253">
        <f>E149*D_currency_conversion!$I$12*D_currency_conversion!$J$12</f>
        <v>987255.55828231061</v>
      </c>
      <c r="G149" s="188">
        <f>D_device_lifecycles!$X$19</f>
        <v>9</v>
      </c>
      <c r="H149" s="188">
        <f t="shared" si="164"/>
        <v>7.2</v>
      </c>
      <c r="I149" s="253">
        <f t="shared" si="189"/>
        <v>109695.06203136785</v>
      </c>
      <c r="J149" s="253">
        <f t="shared" si="190"/>
        <v>137118.8275392098</v>
      </c>
      <c r="K149" s="253">
        <v>17</v>
      </c>
      <c r="L149" s="259">
        <f t="shared" si="191"/>
        <v>0.94444444444444442</v>
      </c>
      <c r="M149" s="334">
        <f t="shared" si="192"/>
        <v>14301838.695890071</v>
      </c>
      <c r="N149" s="253">
        <f>K149*I149</f>
        <v>1864816.0545332534</v>
      </c>
      <c r="O149" s="335">
        <f>K149*J149</f>
        <v>2331020.0681665665</v>
      </c>
      <c r="P149" s="253">
        <f t="shared" si="193"/>
        <v>794546.59421611507</v>
      </c>
      <c r="Q149" s="343">
        <f t="shared" si="194"/>
        <v>103600.89191851408</v>
      </c>
      <c r="R149" s="343">
        <f t="shared" si="195"/>
        <v>129501.11489814258</v>
      </c>
      <c r="S149" s="353">
        <f t="shared" si="196"/>
        <v>0.19999999999999998</v>
      </c>
    </row>
    <row r="150" spans="1:19" x14ac:dyDescent="0.25">
      <c r="A150" s="190">
        <v>5</v>
      </c>
      <c r="B150" s="190" t="s">
        <v>12</v>
      </c>
      <c r="C150" s="190"/>
      <c r="D150" s="191" t="s">
        <v>4</v>
      </c>
      <c r="E150" s="253">
        <f>1000*D_device_values!$Q$20*(1/D_currency_conversion!$H$7)*D_currency_conversion!$H$6</f>
        <v>1216627.0021843137</v>
      </c>
      <c r="F150" s="253">
        <f>E150*D_currency_conversion!$I$12*D_currency_conversion!$J$12</f>
        <v>1427723.4227467263</v>
      </c>
      <c r="G150" s="188">
        <f>D_device_lifecycles!$X$20</f>
        <v>10</v>
      </c>
      <c r="H150" s="188">
        <f t="shared" si="164"/>
        <v>8</v>
      </c>
      <c r="I150" s="253">
        <f t="shared" si="189"/>
        <v>142772.34227467264</v>
      </c>
      <c r="J150" s="253">
        <f t="shared" si="190"/>
        <v>178465.42784334079</v>
      </c>
      <c r="K150" s="253">
        <v>50</v>
      </c>
      <c r="L150" s="259">
        <f t="shared" si="191"/>
        <v>2.7777777777777777</v>
      </c>
      <c r="M150" s="334">
        <f t="shared" si="192"/>
        <v>60831350.109215684</v>
      </c>
      <c r="N150" s="253">
        <f>K150*I150</f>
        <v>7138617.1137336325</v>
      </c>
      <c r="O150" s="335">
        <f>K150*J150</f>
        <v>8923271.3921670392</v>
      </c>
      <c r="P150" s="253">
        <f t="shared" si="193"/>
        <v>3379519.4505119827</v>
      </c>
      <c r="Q150" s="343">
        <f>I150*L150</f>
        <v>396589.83965186845</v>
      </c>
      <c r="R150" s="343">
        <f t="shared" si="195"/>
        <v>495737.2995648355</v>
      </c>
      <c r="S150" s="353">
        <f t="shared" si="196"/>
        <v>0.2</v>
      </c>
    </row>
    <row r="151" spans="1:19" x14ac:dyDescent="0.25">
      <c r="A151" s="192">
        <v>6</v>
      </c>
      <c r="B151" s="192" t="s">
        <v>13</v>
      </c>
      <c r="C151" s="192"/>
      <c r="D151" s="193" t="s">
        <v>3</v>
      </c>
      <c r="E151" s="254">
        <f>1000*D_device_values!$Q$21*(1/D_currency_conversion!$H$7)*D_currency_conversion!$H$6</f>
        <v>3519053.3760707863</v>
      </c>
      <c r="F151" s="254">
        <f>E151*D_currency_conversion!$I$12*D_currency_conversion!$J$12</f>
        <v>4129642.792648667</v>
      </c>
      <c r="G151" s="194">
        <f>D_device_lifecycles!$X$21</f>
        <v>8</v>
      </c>
      <c r="H151" s="188">
        <f t="shared" si="164"/>
        <v>6.4</v>
      </c>
      <c r="I151" s="254">
        <f t="shared" si="189"/>
        <v>516205.34908108338</v>
      </c>
      <c r="J151" s="254">
        <f t="shared" si="190"/>
        <v>645256.68635135423</v>
      </c>
      <c r="K151" s="254">
        <v>47</v>
      </c>
      <c r="L151" s="333">
        <f t="shared" si="191"/>
        <v>2.6111111111111112</v>
      </c>
      <c r="M151" s="336">
        <f t="shared" si="192"/>
        <v>165395508.67532694</v>
      </c>
      <c r="N151" s="254">
        <f>K151*I151</f>
        <v>24261651.406810917</v>
      </c>
      <c r="O151" s="337">
        <f>K151*J151</f>
        <v>30327064.258513648</v>
      </c>
      <c r="P151" s="254">
        <f t="shared" si="193"/>
        <v>9188639.3708514981</v>
      </c>
      <c r="Q151" s="344">
        <f>I151*L151</f>
        <v>1347869.5226006065</v>
      </c>
      <c r="R151" s="344">
        <f t="shared" si="195"/>
        <v>1684836.9032507583</v>
      </c>
      <c r="S151" s="354">
        <f t="shared" si="196"/>
        <v>0.19999999999999996</v>
      </c>
    </row>
    <row r="152" spans="1:19" x14ac:dyDescent="0.25">
      <c r="A152" s="1"/>
      <c r="B152" s="1"/>
      <c r="C152" s="1"/>
      <c r="D152" s="1"/>
      <c r="E152" s="1"/>
      <c r="F152" s="1"/>
      <c r="G152" s="1"/>
      <c r="H152" s="1"/>
      <c r="I152" s="225"/>
      <c r="J152" s="225"/>
      <c r="K152" s="255">
        <f>SUM(K134:K151)</f>
        <v>419</v>
      </c>
      <c r="L152" s="255">
        <v>240</v>
      </c>
      <c r="M152" s="338">
        <f t="shared" ref="M152:P152" si="197">SUM(M134:M151)</f>
        <v>320130175.45574528</v>
      </c>
      <c r="N152" s="339">
        <f t="shared" si="197"/>
        <v>43077410.772139512</v>
      </c>
      <c r="O152" s="340">
        <f t="shared" si="197"/>
        <v>53846763.465174392</v>
      </c>
      <c r="P152" s="255">
        <f t="shared" si="197"/>
        <v>17785009.747541405</v>
      </c>
      <c r="Q152" s="345">
        <f>SUM(Q134:Q151)</f>
        <v>2393189.4873410841</v>
      </c>
      <c r="R152" s="345">
        <f t="shared" ref="R152" si="198">SUM(R134:R151)</f>
        <v>2991486.8591763554</v>
      </c>
      <c r="S152" s="225"/>
    </row>
    <row r="153" spans="1:19" x14ac:dyDescent="0.25">
      <c r="A153" s="11" t="s">
        <v>230</v>
      </c>
      <c r="B153" s="1"/>
      <c r="C153" s="1"/>
      <c r="D153" s="1"/>
      <c r="E153" s="199" t="s">
        <v>231</v>
      </c>
      <c r="F153" s="199"/>
      <c r="G153" s="552" t="s">
        <v>400</v>
      </c>
      <c r="H153" s="552"/>
      <c r="I153" s="225"/>
      <c r="J153" s="225"/>
      <c r="N153" s="225"/>
      <c r="O153" s="225"/>
      <c r="S153" s="225"/>
    </row>
    <row r="154" spans="1:19" x14ac:dyDescent="0.25">
      <c r="A154" s="225"/>
      <c r="B154" s="225"/>
      <c r="C154" s="225"/>
      <c r="D154" s="225"/>
      <c r="E154" s="225"/>
      <c r="G154" s="225"/>
      <c r="H154" s="225"/>
      <c r="I154" s="225"/>
      <c r="J154" s="225" t="s">
        <v>615</v>
      </c>
      <c r="K154" s="363">
        <f>SUM(K134:K136,K148,K150,K151)</f>
        <v>223</v>
      </c>
      <c r="L154" s="225" t="s">
        <v>536</v>
      </c>
      <c r="M154" s="427">
        <f>SUM(M134:M136,M148,M150,M151)</f>
        <v>254236891.22773921</v>
      </c>
      <c r="N154" s="363">
        <f>SUM(N134:N136,N148,N150,N151)</f>
        <v>35295455.79246147</v>
      </c>
      <c r="O154" s="363">
        <f>SUM(O134:O136,O148,O150,O151)</f>
        <v>44119319.740576841</v>
      </c>
      <c r="P154" s="225" t="s">
        <v>536</v>
      </c>
      <c r="Q154" s="363">
        <f>SUM(Q134:Q136,Q148,Q150,Q151)</f>
        <v>1960858.6551367487</v>
      </c>
      <c r="R154" s="363">
        <f>SUM(R134:R136,R148,R150,R151)</f>
        <v>2451073.3189209355</v>
      </c>
      <c r="S154" s="225"/>
    </row>
    <row r="155" spans="1:19" x14ac:dyDescent="0.25">
      <c r="A155" s="450" t="s">
        <v>623</v>
      </c>
      <c r="B155" s="450"/>
      <c r="C155" s="450"/>
      <c r="D155" s="451">
        <v>0.25</v>
      </c>
      <c r="E155" s="450"/>
      <c r="F155" s="450"/>
      <c r="G155" s="450"/>
      <c r="H155" s="450"/>
      <c r="I155" s="450"/>
      <c r="J155" s="450"/>
      <c r="K155" s="450"/>
      <c r="L155" s="450"/>
      <c r="M155" s="450"/>
      <c r="N155" s="450"/>
      <c r="O155" s="450"/>
      <c r="P155" s="450"/>
      <c r="Q155" s="450"/>
      <c r="R155" s="450"/>
      <c r="S155" s="450"/>
    </row>
    <row r="156" spans="1:19" x14ac:dyDescent="0.25">
      <c r="A156" s="196" t="s">
        <v>14</v>
      </c>
      <c r="B156" s="196"/>
      <c r="C156" s="196"/>
      <c r="D156" s="331" t="str">
        <f>HYPERLINK("#"&amp;ADDRESS(1,1,,,"MASTER"),"M &lt;=")</f>
        <v>M &lt;=</v>
      </c>
      <c r="E156" s="444" t="s">
        <v>229</v>
      </c>
      <c r="F156" s="444" t="s">
        <v>229</v>
      </c>
      <c r="G156" s="544" t="s">
        <v>44</v>
      </c>
      <c r="H156" s="544"/>
      <c r="I156" s="547" t="s">
        <v>454</v>
      </c>
      <c r="J156" s="547"/>
      <c r="K156" s="445" t="s">
        <v>405</v>
      </c>
      <c r="L156" s="445" t="s">
        <v>517</v>
      </c>
      <c r="M156" s="449" t="s">
        <v>459</v>
      </c>
      <c r="N156" s="550" t="s">
        <v>458</v>
      </c>
      <c r="O156" s="551"/>
      <c r="P156" s="445" t="s">
        <v>518</v>
      </c>
      <c r="Q156" s="553" t="s">
        <v>522</v>
      </c>
      <c r="R156" s="553"/>
      <c r="S156" s="446" t="s">
        <v>523</v>
      </c>
    </row>
    <row r="157" spans="1:19" x14ac:dyDescent="0.25">
      <c r="A157" s="198"/>
      <c r="B157" s="198"/>
      <c r="C157" s="198"/>
      <c r="D157" s="198"/>
      <c r="E157" s="448" t="s">
        <v>627</v>
      </c>
      <c r="F157" s="448" t="s">
        <v>628</v>
      </c>
      <c r="G157" s="448" t="s">
        <v>7</v>
      </c>
      <c r="H157" s="448" t="s">
        <v>6</v>
      </c>
      <c r="I157" s="448" t="s">
        <v>7</v>
      </c>
      <c r="J157" s="448" t="s">
        <v>6</v>
      </c>
      <c r="K157" s="448" t="s">
        <v>455</v>
      </c>
      <c r="L157" s="448" t="s">
        <v>455</v>
      </c>
      <c r="M157" s="447" t="s">
        <v>627</v>
      </c>
      <c r="N157" s="448" t="s">
        <v>7</v>
      </c>
      <c r="O157" s="269" t="s">
        <v>6</v>
      </c>
      <c r="P157" s="448" t="s">
        <v>629</v>
      </c>
      <c r="Q157" s="341" t="s">
        <v>7</v>
      </c>
      <c r="R157" s="341" t="s">
        <v>6</v>
      </c>
      <c r="S157" s="446" t="s">
        <v>524</v>
      </c>
    </row>
    <row r="158" spans="1:19" x14ac:dyDescent="0.25">
      <c r="A158" s="3">
        <v>1</v>
      </c>
      <c r="B158" s="3" t="s">
        <v>11</v>
      </c>
      <c r="C158" s="3"/>
      <c r="D158" s="3"/>
      <c r="E158" s="444"/>
      <c r="F158" s="444"/>
      <c r="G158" s="3"/>
      <c r="H158" s="3"/>
      <c r="I158" s="3"/>
      <c r="J158" s="3"/>
      <c r="K158" s="3"/>
      <c r="L158" s="3"/>
      <c r="M158" s="264"/>
      <c r="N158" s="190"/>
      <c r="O158" s="265"/>
      <c r="P158" s="190"/>
      <c r="Q158" s="342"/>
      <c r="R158" s="342"/>
      <c r="S158" s="352"/>
    </row>
    <row r="159" spans="1:19" x14ac:dyDescent="0.25">
      <c r="A159" s="7"/>
      <c r="B159" s="7" t="s">
        <v>9</v>
      </c>
      <c r="C159" s="7" t="s">
        <v>16</v>
      </c>
      <c r="D159" s="7" t="s">
        <v>31</v>
      </c>
      <c r="E159" s="253">
        <f>1000*D_device_values!$Q$4*(1/D_currency_conversion!$H$7)*D_currency_conversion!$H$6</f>
        <v>849913.18946918368</v>
      </c>
      <c r="F159" s="253">
        <f>E159*D_currency_conversion!$I$12*D_currency_conversion!$J$12</f>
        <v>997381.25631597533</v>
      </c>
      <c r="G159" s="188">
        <f>D_device_lifecycles!$X$4</f>
        <v>7.5</v>
      </c>
      <c r="H159" s="188">
        <f>G159*(1-$D$155)</f>
        <v>5.625</v>
      </c>
      <c r="I159" s="253">
        <f>$F159/G159</f>
        <v>132984.1675087967</v>
      </c>
      <c r="J159" s="253">
        <f>$F159/H159</f>
        <v>177312.22334506229</v>
      </c>
      <c r="K159" s="253">
        <v>11</v>
      </c>
      <c r="L159" s="259">
        <f>K159/18</f>
        <v>0.61111111111111116</v>
      </c>
      <c r="M159" s="334">
        <f>K159*E159</f>
        <v>9349045.0841610208</v>
      </c>
      <c r="N159" s="253">
        <f>K159*I159</f>
        <v>1462825.8425967637</v>
      </c>
      <c r="O159" s="335">
        <f>K159*J159</f>
        <v>1950434.4567956852</v>
      </c>
      <c r="P159" s="253">
        <f>L159*E159</f>
        <v>519391.3935645012</v>
      </c>
      <c r="Q159" s="343">
        <f>I159*L159</f>
        <v>81268.102366486884</v>
      </c>
      <c r="R159" s="343">
        <f>L159*J159</f>
        <v>108357.46982198252</v>
      </c>
      <c r="S159" s="353">
        <f>(G159-H159)/G159</f>
        <v>0.25</v>
      </c>
    </row>
    <row r="160" spans="1:19" x14ac:dyDescent="0.25">
      <c r="A160" s="7"/>
      <c r="B160" s="7" t="s">
        <v>10</v>
      </c>
      <c r="C160" s="7" t="s">
        <v>17</v>
      </c>
      <c r="D160" s="7" t="s">
        <v>32</v>
      </c>
      <c r="E160" s="253">
        <f>1000*D_device_values!$Q$5*(1/D_currency_conversion!$H$7)*D_currency_conversion!$H$6</f>
        <v>64714.20224384647</v>
      </c>
      <c r="F160" s="253">
        <f>E160*D_currency_conversion!$I$12*D_currency_conversion!$J$12</f>
        <v>75942.735252485436</v>
      </c>
      <c r="G160" s="188">
        <f>D_device_lifecycles!$X$5</f>
        <v>9</v>
      </c>
      <c r="H160" s="188">
        <f t="shared" ref="H160:H176" si="199">G160*(1-$D$155)</f>
        <v>6.75</v>
      </c>
      <c r="I160" s="253">
        <f t="shared" ref="I160:I161" si="200">$F160/G160</f>
        <v>8438.081694720604</v>
      </c>
      <c r="J160" s="253">
        <f t="shared" ref="J160:J161" si="201">$F160/H160</f>
        <v>11250.775592960805</v>
      </c>
      <c r="K160" s="253">
        <v>53</v>
      </c>
      <c r="L160" s="259">
        <f t="shared" ref="L160:L161" si="202">K160/18</f>
        <v>2.9444444444444446</v>
      </c>
      <c r="M160" s="334">
        <f t="shared" ref="M160:M161" si="203">K160*E160</f>
        <v>3429852.718923863</v>
      </c>
      <c r="N160" s="253">
        <f>K160*I160</f>
        <v>447218.32982019201</v>
      </c>
      <c r="O160" s="335">
        <f>K160*J160</f>
        <v>596291.1064269226</v>
      </c>
      <c r="P160" s="253">
        <f t="shared" ref="P160:P161" si="204">L160*E160</f>
        <v>190547.37327354794</v>
      </c>
      <c r="Q160" s="343">
        <f>I160*L160</f>
        <v>24845.462767788445</v>
      </c>
      <c r="R160" s="343">
        <f>L160*J160</f>
        <v>33127.283690384596</v>
      </c>
      <c r="S160" s="353">
        <f t="shared" ref="S160:S161" si="205">(G160-H160)/G160</f>
        <v>0.25</v>
      </c>
    </row>
    <row r="161" spans="1:19" x14ac:dyDescent="0.25">
      <c r="A161" s="7"/>
      <c r="B161" s="7" t="s">
        <v>15</v>
      </c>
      <c r="C161" s="7" t="s">
        <v>18</v>
      </c>
      <c r="D161" s="7" t="s">
        <v>33</v>
      </c>
      <c r="E161" s="253">
        <f>1000*D_device_values!$Q$6*(1/D_currency_conversion!$H$7)*D_currency_conversion!$H$6</f>
        <v>207085.44718030869</v>
      </c>
      <c r="F161" s="253">
        <f>E161*D_currency_conversion!$I$12*D_currency_conversion!$J$12</f>
        <v>243016.75280795337</v>
      </c>
      <c r="G161" s="188">
        <f>D_device_lifecycles!$X$6</f>
        <v>10</v>
      </c>
      <c r="H161" s="188">
        <f t="shared" si="199"/>
        <v>7.5</v>
      </c>
      <c r="I161" s="253">
        <f t="shared" si="200"/>
        <v>24301.675280795338</v>
      </c>
      <c r="J161" s="253">
        <f t="shared" si="201"/>
        <v>32402.233707727115</v>
      </c>
      <c r="K161" s="253">
        <v>41</v>
      </c>
      <c r="L161" s="259">
        <f t="shared" si="202"/>
        <v>2.2777777777777777</v>
      </c>
      <c r="M161" s="334">
        <f t="shared" si="203"/>
        <v>8490503.3343926556</v>
      </c>
      <c r="N161" s="253">
        <f>K161*I161</f>
        <v>996368.6865126089</v>
      </c>
      <c r="O161" s="335">
        <f>K161*J161</f>
        <v>1328491.5820168117</v>
      </c>
      <c r="P161" s="253">
        <f t="shared" si="204"/>
        <v>471694.62968848087</v>
      </c>
      <c r="Q161" s="343">
        <f>I161*L161</f>
        <v>55353.815917367159</v>
      </c>
      <c r="R161" s="343">
        <f>L161*J161</f>
        <v>73805.087889822869</v>
      </c>
      <c r="S161" s="353">
        <f t="shared" si="205"/>
        <v>0.25</v>
      </c>
    </row>
    <row r="162" spans="1:19" x14ac:dyDescent="0.25">
      <c r="A162" s="190">
        <v>2</v>
      </c>
      <c r="B162" s="190" t="s">
        <v>43</v>
      </c>
      <c r="C162" s="190"/>
      <c r="D162" s="190"/>
      <c r="E162" s="456"/>
      <c r="F162" s="253"/>
      <c r="G162" s="188"/>
      <c r="H162" s="188"/>
      <c r="I162" s="253"/>
      <c r="J162" s="253"/>
      <c r="K162" s="253"/>
      <c r="L162" s="253"/>
      <c r="M162" s="334"/>
      <c r="N162" s="253"/>
      <c r="O162" s="335"/>
      <c r="P162" s="253"/>
      <c r="Q162" s="343"/>
      <c r="R162" s="343"/>
      <c r="S162" s="353"/>
    </row>
    <row r="163" spans="1:19" x14ac:dyDescent="0.25">
      <c r="A163" s="7"/>
      <c r="B163" s="7" t="s">
        <v>9</v>
      </c>
      <c r="C163" s="7" t="s">
        <v>19</v>
      </c>
      <c r="D163" s="7" t="s">
        <v>34</v>
      </c>
      <c r="E163" s="253">
        <f>1000*D_device_values!$Q$8*(1/D_currency_conversion!$H$7)*D_currency_conversion!$H$6</f>
        <v>173469.52185035453</v>
      </c>
      <c r="F163" s="253">
        <f>E163*D_currency_conversion!$I$12*D_currency_conversion!$J$12</f>
        <v>203568.14293433359</v>
      </c>
      <c r="G163" s="188">
        <f>D_device_lifecycles!$X$8</f>
        <v>10</v>
      </c>
      <c r="H163" s="188">
        <f t="shared" si="199"/>
        <v>7.5</v>
      </c>
      <c r="I163" s="253">
        <f t="shared" ref="I163:I164" si="206">$F163/G163</f>
        <v>20356.814293433359</v>
      </c>
      <c r="J163" s="253">
        <f t="shared" ref="J163" si="207">$F163/H163</f>
        <v>27142.419057911146</v>
      </c>
      <c r="K163" s="253">
        <v>22</v>
      </c>
      <c r="L163" s="259">
        <f t="shared" ref="L163:L164" si="208">K163/18</f>
        <v>1.2222222222222223</v>
      </c>
      <c r="M163" s="334">
        <f t="shared" ref="M163:M164" si="209">K163*E163</f>
        <v>3816329.4807077996</v>
      </c>
      <c r="N163" s="253">
        <f>K163*I163</f>
        <v>447849.9144555339</v>
      </c>
      <c r="O163" s="335">
        <f>K163*J163</f>
        <v>597133.2192740452</v>
      </c>
      <c r="P163" s="253">
        <f t="shared" ref="P163:P164" si="210">L163*E163</f>
        <v>212018.30448376667</v>
      </c>
      <c r="Q163" s="343">
        <f t="shared" ref="Q163:Q164" si="211">I163*L163</f>
        <v>24880.550803085218</v>
      </c>
      <c r="R163" s="343">
        <f t="shared" ref="R163:R164" si="212">L163*J163</f>
        <v>33174.06773744696</v>
      </c>
      <c r="S163" s="353">
        <f t="shared" ref="S163:S164" si="213">(G163-H163)/G163</f>
        <v>0.25</v>
      </c>
    </row>
    <row r="164" spans="1:19" x14ac:dyDescent="0.25">
      <c r="A164" s="7"/>
      <c r="B164" s="7" t="s">
        <v>10</v>
      </c>
      <c r="C164" s="7" t="s">
        <v>20</v>
      </c>
      <c r="D164" s="7" t="s">
        <v>34</v>
      </c>
      <c r="E164" s="253">
        <f>1000*D_device_values!$Q$9*(1/D_currency_conversion!$H$7)*D_currency_conversion!$H$6</f>
        <v>173732.7429469417</v>
      </c>
      <c r="F164" s="253">
        <f>E164*D_currency_conversion!$I$12*D_currency_conversion!$J$12</f>
        <v>203877.03540859552</v>
      </c>
      <c r="G164" s="188">
        <f>D_device_lifecycles!$X$9</f>
        <v>11</v>
      </c>
      <c r="H164" s="188">
        <f t="shared" si="199"/>
        <v>8.25</v>
      </c>
      <c r="I164" s="253">
        <f t="shared" si="206"/>
        <v>18534.275946235957</v>
      </c>
      <c r="J164" s="253">
        <f>$F164/H164</f>
        <v>24712.367928314608</v>
      </c>
      <c r="K164" s="253">
        <v>22</v>
      </c>
      <c r="L164" s="259">
        <f t="shared" si="208"/>
        <v>1.2222222222222223</v>
      </c>
      <c r="M164" s="334">
        <f t="shared" si="209"/>
        <v>3822120.3448327174</v>
      </c>
      <c r="N164" s="253">
        <f>K164*I164</f>
        <v>407754.07081719104</v>
      </c>
      <c r="O164" s="335">
        <f>K164*J164</f>
        <v>543672.09442292142</v>
      </c>
      <c r="P164" s="253">
        <f t="shared" si="210"/>
        <v>212340.0191573732</v>
      </c>
      <c r="Q164" s="343">
        <f t="shared" si="211"/>
        <v>22653.003934288394</v>
      </c>
      <c r="R164" s="343">
        <f t="shared" si="212"/>
        <v>30204.005245717857</v>
      </c>
      <c r="S164" s="353">
        <f t="shared" si="213"/>
        <v>0.25</v>
      </c>
    </row>
    <row r="165" spans="1:19" x14ac:dyDescent="0.25">
      <c r="A165" s="190">
        <v>3</v>
      </c>
      <c r="B165" s="190" t="s">
        <v>42</v>
      </c>
      <c r="C165" s="190"/>
      <c r="D165" s="190"/>
      <c r="E165" s="456"/>
      <c r="F165" s="253"/>
      <c r="G165" s="188"/>
      <c r="H165" s="188"/>
      <c r="I165" s="253"/>
      <c r="J165" s="253"/>
      <c r="K165" s="253"/>
      <c r="L165" s="253"/>
      <c r="M165" s="334"/>
      <c r="N165" s="253"/>
      <c r="O165" s="335"/>
      <c r="P165" s="253"/>
      <c r="Q165" s="343"/>
      <c r="R165" s="343"/>
      <c r="S165" s="353"/>
    </row>
    <row r="166" spans="1:19" x14ac:dyDescent="0.25">
      <c r="A166" s="7"/>
      <c r="B166" s="7" t="s">
        <v>9</v>
      </c>
      <c r="C166" s="7" t="s">
        <v>24</v>
      </c>
      <c r="D166" s="7" t="s">
        <v>35</v>
      </c>
      <c r="E166" s="253">
        <f>1000*D_device_values!$Q$11*(1/D_currency_conversion!$H$7)*D_currency_conversion!$H$6</f>
        <v>1064482.5920110256</v>
      </c>
      <c r="F166" s="253">
        <f>E166*D_currency_conversion!$I$12*D_currency_conversion!$J$12</f>
        <v>1249180.502316393</v>
      </c>
      <c r="G166" s="188">
        <f>D_device_lifecycles!$X$11</f>
        <v>10</v>
      </c>
      <c r="H166" s="188">
        <f t="shared" si="199"/>
        <v>7.5</v>
      </c>
      <c r="I166" s="253">
        <f t="shared" ref="I166:I171" si="214">$F166/G166</f>
        <v>124918.0502316393</v>
      </c>
      <c r="J166" s="253">
        <f t="shared" ref="J166:J171" si="215">$F166/H166</f>
        <v>166557.4003088524</v>
      </c>
      <c r="K166" s="253">
        <v>4</v>
      </c>
      <c r="L166" s="259">
        <f t="shared" ref="L166:L171" si="216">K166/18</f>
        <v>0.22222222222222221</v>
      </c>
      <c r="M166" s="334">
        <f t="shared" ref="M166:M171" si="217">K166*E166</f>
        <v>4257930.3680441026</v>
      </c>
      <c r="N166" s="253">
        <f t="shared" ref="N166:N171" si="218">K166*I166</f>
        <v>499672.20092655718</v>
      </c>
      <c r="O166" s="335">
        <f t="shared" ref="O166:O171" si="219">K166*J166</f>
        <v>666229.60123540962</v>
      </c>
      <c r="P166" s="253">
        <f t="shared" ref="P166:P171" si="220">L166*E166</f>
        <v>236551.68711356123</v>
      </c>
      <c r="Q166" s="343">
        <f t="shared" ref="Q166:Q171" si="221">I166*L166</f>
        <v>27759.566718142065</v>
      </c>
      <c r="R166" s="343">
        <f t="shared" ref="R166:R171" si="222">L166*J166</f>
        <v>37012.75562418942</v>
      </c>
      <c r="S166" s="353">
        <f t="shared" ref="S166:S171" si="223">(G166-H166)/G166</f>
        <v>0.25</v>
      </c>
    </row>
    <row r="167" spans="1:19" x14ac:dyDescent="0.25">
      <c r="A167" s="7"/>
      <c r="B167" s="7" t="s">
        <v>10</v>
      </c>
      <c r="C167" s="7" t="s">
        <v>25</v>
      </c>
      <c r="D167" s="7" t="s">
        <v>36</v>
      </c>
      <c r="E167" s="253">
        <f>1000*D_device_values!$Q$12*(1/D_currency_conversion!$H$7)*D_currency_conversion!$H$6</f>
        <v>362399.53256554028</v>
      </c>
      <c r="F167" s="253">
        <f>E167*D_currency_conversion!$I$12*D_currency_conversion!$J$12</f>
        <v>425279.31741391844</v>
      </c>
      <c r="G167" s="188">
        <f>D_device_lifecycles!$X$12</f>
        <v>9</v>
      </c>
      <c r="H167" s="188">
        <f t="shared" si="199"/>
        <v>6.75</v>
      </c>
      <c r="I167" s="253">
        <f t="shared" si="214"/>
        <v>47253.257490435382</v>
      </c>
      <c r="J167" s="253">
        <f t="shared" si="215"/>
        <v>63004.343320580512</v>
      </c>
      <c r="K167" s="253">
        <v>13</v>
      </c>
      <c r="L167" s="259">
        <f t="shared" si="216"/>
        <v>0.72222222222222221</v>
      </c>
      <c r="M167" s="334">
        <f t="shared" si="217"/>
        <v>4711193.9233520236</v>
      </c>
      <c r="N167" s="253">
        <f t="shared" si="218"/>
        <v>614292.34737565997</v>
      </c>
      <c r="O167" s="335">
        <f t="shared" si="219"/>
        <v>819056.46316754667</v>
      </c>
      <c r="P167" s="253">
        <f t="shared" si="220"/>
        <v>261732.9957417791</v>
      </c>
      <c r="Q167" s="343">
        <f t="shared" si="221"/>
        <v>34127.352631981106</v>
      </c>
      <c r="R167" s="343">
        <f t="shared" si="222"/>
        <v>45503.136842641477</v>
      </c>
      <c r="S167" s="353">
        <f t="shared" si="223"/>
        <v>0.25</v>
      </c>
    </row>
    <row r="168" spans="1:19" x14ac:dyDescent="0.25">
      <c r="A168" s="7"/>
      <c r="B168" s="7" t="s">
        <v>15</v>
      </c>
      <c r="C168" s="7" t="s">
        <v>26</v>
      </c>
      <c r="D168" s="7" t="s">
        <v>37</v>
      </c>
      <c r="E168" s="253">
        <f>1000*D_device_values!$Q$13*(1/D_currency_conversion!$H$7)*D_currency_conversion!$H$6</f>
        <v>369662.42145046114</v>
      </c>
      <c r="F168" s="253">
        <f>E168*D_currency_conversion!$I$12*D_currency_conversion!$J$12</f>
        <v>433802.38698182325</v>
      </c>
      <c r="G168" s="188">
        <f>D_device_lifecycles!$X$13</f>
        <v>7</v>
      </c>
      <c r="H168" s="188">
        <f t="shared" si="199"/>
        <v>5.25</v>
      </c>
      <c r="I168" s="253">
        <f t="shared" si="214"/>
        <v>61971.769568831893</v>
      </c>
      <c r="J168" s="253">
        <f t="shared" si="215"/>
        <v>82629.026091775857</v>
      </c>
      <c r="K168" s="253">
        <v>19</v>
      </c>
      <c r="L168" s="259">
        <f t="shared" si="216"/>
        <v>1.0555555555555556</v>
      </c>
      <c r="M168" s="334">
        <f t="shared" si="217"/>
        <v>7023586.0075587621</v>
      </c>
      <c r="N168" s="253">
        <f t="shared" si="218"/>
        <v>1177463.621807806</v>
      </c>
      <c r="O168" s="335">
        <f t="shared" si="219"/>
        <v>1569951.4957437413</v>
      </c>
      <c r="P168" s="253">
        <f t="shared" si="220"/>
        <v>390199.22264215344</v>
      </c>
      <c r="Q168" s="343">
        <f t="shared" si="221"/>
        <v>65414.645655989225</v>
      </c>
      <c r="R168" s="343">
        <f t="shared" si="222"/>
        <v>87219.527541318967</v>
      </c>
      <c r="S168" s="353">
        <f t="shared" si="223"/>
        <v>0.25</v>
      </c>
    </row>
    <row r="169" spans="1:19" x14ac:dyDescent="0.25">
      <c r="A169" s="7"/>
      <c r="B169" s="7" t="s">
        <v>21</v>
      </c>
      <c r="C169" s="7" t="s">
        <v>27</v>
      </c>
      <c r="D169" s="7" t="s">
        <v>38</v>
      </c>
      <c r="E169" s="253">
        <f>1000*D_device_values!$Q$14*(1/D_currency_conversion!$H$7)*D_currency_conversion!$H$6</f>
        <v>116485.56403892365</v>
      </c>
      <c r="F169" s="253">
        <f>E169*D_currency_conversion!$I$12*D_currency_conversion!$J$12</f>
        <v>136696.92345447378</v>
      </c>
      <c r="G169" s="188">
        <f>D_device_lifecycles!$X$14</f>
        <v>8</v>
      </c>
      <c r="H169" s="188">
        <f t="shared" si="199"/>
        <v>6</v>
      </c>
      <c r="I169" s="253">
        <f t="shared" si="214"/>
        <v>17087.115431809223</v>
      </c>
      <c r="J169" s="253">
        <f t="shared" si="215"/>
        <v>22782.820575745631</v>
      </c>
      <c r="K169" s="253">
        <v>60</v>
      </c>
      <c r="L169" s="259">
        <f t="shared" si="216"/>
        <v>3.3333333333333335</v>
      </c>
      <c r="M169" s="334">
        <f t="shared" si="217"/>
        <v>6989133.8423354188</v>
      </c>
      <c r="N169" s="253">
        <f t="shared" si="218"/>
        <v>1025226.9259085534</v>
      </c>
      <c r="O169" s="335">
        <f t="shared" si="219"/>
        <v>1366969.2345447377</v>
      </c>
      <c r="P169" s="253">
        <f t="shared" si="220"/>
        <v>388285.21346307884</v>
      </c>
      <c r="Q169" s="343">
        <f t="shared" si="221"/>
        <v>56957.051439364077</v>
      </c>
      <c r="R169" s="343">
        <f t="shared" si="222"/>
        <v>75942.735252485436</v>
      </c>
      <c r="S169" s="353">
        <f t="shared" si="223"/>
        <v>0.25</v>
      </c>
    </row>
    <row r="170" spans="1:19" x14ac:dyDescent="0.25">
      <c r="A170" s="7"/>
      <c r="B170" s="7" t="s">
        <v>22</v>
      </c>
      <c r="C170" s="7" t="s">
        <v>28</v>
      </c>
      <c r="D170" s="7" t="s">
        <v>39</v>
      </c>
      <c r="E170" s="253">
        <f>1000*D_device_values!$Q$15*(1/D_currency_conversion!$H$7)*D_currency_conversion!$H$6</f>
        <v>253752.59020685713</v>
      </c>
      <c r="F170" s="253">
        <f>E170*D_currency_conversion!$I$12*D_currency_conversion!$J$12</f>
        <v>297781.09146890056</v>
      </c>
      <c r="G170" s="188">
        <f>D_device_lifecycles!$X$15</f>
        <v>12</v>
      </c>
      <c r="H170" s="188">
        <f t="shared" si="199"/>
        <v>9</v>
      </c>
      <c r="I170" s="253">
        <f t="shared" si="214"/>
        <v>24815.090955741714</v>
      </c>
      <c r="J170" s="253">
        <f t="shared" si="215"/>
        <v>33086.78794098895</v>
      </c>
      <c r="K170" s="253">
        <v>21</v>
      </c>
      <c r="L170" s="259">
        <f t="shared" si="216"/>
        <v>1.1666666666666667</v>
      </c>
      <c r="M170" s="334">
        <f t="shared" si="217"/>
        <v>5328804.3943440001</v>
      </c>
      <c r="N170" s="253">
        <f t="shared" si="218"/>
        <v>521116.91007057601</v>
      </c>
      <c r="O170" s="335">
        <f t="shared" si="219"/>
        <v>694822.54676076793</v>
      </c>
      <c r="P170" s="253">
        <f t="shared" si="220"/>
        <v>296044.68857466668</v>
      </c>
      <c r="Q170" s="343">
        <f t="shared" si="221"/>
        <v>28950.939448365334</v>
      </c>
      <c r="R170" s="343">
        <f t="shared" si="222"/>
        <v>38601.252597820443</v>
      </c>
      <c r="S170" s="353">
        <f t="shared" si="223"/>
        <v>0.25</v>
      </c>
    </row>
    <row r="171" spans="1:19" x14ac:dyDescent="0.25">
      <c r="A171" s="7"/>
      <c r="B171" s="7" t="s">
        <v>23</v>
      </c>
      <c r="C171" s="7" t="s">
        <v>29</v>
      </c>
      <c r="D171" s="7" t="s">
        <v>40</v>
      </c>
      <c r="E171" s="253">
        <f>1000*D_device_values!$Q$16*(1/D_currency_conversion!$H$7)*D_currency_conversion!$H$6</f>
        <v>869019.28727450978</v>
      </c>
      <c r="F171" s="253">
        <f>E171*D_currency_conversion!$I$12*D_currency_conversion!$J$12</f>
        <v>1019802.4448190901</v>
      </c>
      <c r="G171" s="188">
        <f>D_device_lifecycles!$X$16</f>
        <v>15</v>
      </c>
      <c r="H171" s="188">
        <f t="shared" si="199"/>
        <v>11.25</v>
      </c>
      <c r="I171" s="253">
        <f t="shared" si="214"/>
        <v>67986.829654606001</v>
      </c>
      <c r="J171" s="253">
        <f t="shared" si="215"/>
        <v>90649.106206141339</v>
      </c>
      <c r="K171" s="253">
        <v>18</v>
      </c>
      <c r="L171" s="259">
        <f t="shared" si="216"/>
        <v>1</v>
      </c>
      <c r="M171" s="334">
        <f t="shared" si="217"/>
        <v>15642347.170941176</v>
      </c>
      <c r="N171" s="253">
        <f t="shared" si="218"/>
        <v>1223762.9337829081</v>
      </c>
      <c r="O171" s="335">
        <f t="shared" si="219"/>
        <v>1631683.911710544</v>
      </c>
      <c r="P171" s="253">
        <f t="shared" si="220"/>
        <v>869019.28727450978</v>
      </c>
      <c r="Q171" s="343">
        <f t="shared" si="221"/>
        <v>67986.829654606001</v>
      </c>
      <c r="R171" s="343">
        <f t="shared" si="222"/>
        <v>90649.106206141339</v>
      </c>
      <c r="S171" s="353">
        <f t="shared" si="223"/>
        <v>0.25</v>
      </c>
    </row>
    <row r="172" spans="1:19" x14ac:dyDescent="0.25">
      <c r="A172" s="190">
        <v>4</v>
      </c>
      <c r="B172" s="190" t="s">
        <v>2</v>
      </c>
      <c r="C172" s="190"/>
      <c r="D172" s="190"/>
      <c r="E172" s="456"/>
      <c r="F172" s="253"/>
      <c r="G172" s="188"/>
      <c r="H172" s="188"/>
      <c r="I172" s="253"/>
      <c r="J172" s="253"/>
      <c r="K172" s="253"/>
      <c r="L172" s="253"/>
      <c r="M172" s="334"/>
      <c r="N172" s="253"/>
      <c r="O172" s="335"/>
      <c r="P172" s="253"/>
      <c r="Q172" s="343"/>
      <c r="R172" s="343"/>
      <c r="S172" s="353"/>
    </row>
    <row r="173" spans="1:19" x14ac:dyDescent="0.25">
      <c r="A173" s="7"/>
      <c r="B173" s="7" t="s">
        <v>9</v>
      </c>
      <c r="C173" s="7" t="s">
        <v>8</v>
      </c>
      <c r="D173" s="7" t="s">
        <v>5</v>
      </c>
      <c r="E173" s="253">
        <f>1000*D_device_values!$Q$18*(1/D_currency_conversion!$H$7)*D_currency_conversion!$H$6</f>
        <v>320982.44312947843</v>
      </c>
      <c r="F173" s="253">
        <f>E173*D_currency_conversion!$I$12*D_currency_conversion!$J$12</f>
        <v>376675.96685232763</v>
      </c>
      <c r="G173" s="188">
        <f>D_device_lifecycles!$X$18</f>
        <v>8</v>
      </c>
      <c r="H173" s="188">
        <f t="shared" si="199"/>
        <v>6</v>
      </c>
      <c r="I173" s="253">
        <f t="shared" ref="I173:I176" si="224">$F173/G173</f>
        <v>47084.495856540954</v>
      </c>
      <c r="J173" s="253">
        <f t="shared" ref="J173:J176" si="225">$F173/H173</f>
        <v>62779.327808721275</v>
      </c>
      <c r="K173" s="253">
        <v>21</v>
      </c>
      <c r="L173" s="259">
        <f t="shared" ref="L173:L176" si="226">K173/18</f>
        <v>1.1666666666666667</v>
      </c>
      <c r="M173" s="334">
        <f t="shared" ref="M173:M176" si="227">K173*E173</f>
        <v>6740631.3057190469</v>
      </c>
      <c r="N173" s="253">
        <f>K173*I173</f>
        <v>988774.41298736003</v>
      </c>
      <c r="O173" s="335">
        <f>K173*J173</f>
        <v>1318365.8839831469</v>
      </c>
      <c r="P173" s="253">
        <f t="shared" ref="P173:P176" si="228">L173*E173</f>
        <v>374479.51698439155</v>
      </c>
      <c r="Q173" s="343">
        <f t="shared" ref="Q173:Q174" si="229">I173*L173</f>
        <v>54931.911832631115</v>
      </c>
      <c r="R173" s="343">
        <f t="shared" ref="R173:R176" si="230">L173*J173</f>
        <v>73242.549110174819</v>
      </c>
      <c r="S173" s="353">
        <f t="shared" ref="S173:S176" si="231">(G173-H173)/G173</f>
        <v>0.25</v>
      </c>
    </row>
    <row r="174" spans="1:19" x14ac:dyDescent="0.25">
      <c r="A174" s="7"/>
      <c r="B174" s="7" t="s">
        <v>10</v>
      </c>
      <c r="C174" s="7" t="s">
        <v>30</v>
      </c>
      <c r="D174" s="7" t="s">
        <v>41</v>
      </c>
      <c r="E174" s="253">
        <f>1000*D_device_values!$Q$19*(1/D_currency_conversion!$H$7)*D_currency_conversion!$H$6</f>
        <v>841284.62917000416</v>
      </c>
      <c r="F174" s="253">
        <f>E174*D_currency_conversion!$I$12*D_currency_conversion!$J$12</f>
        <v>987255.55828231061</v>
      </c>
      <c r="G174" s="188">
        <f>D_device_lifecycles!$X$19</f>
        <v>9</v>
      </c>
      <c r="H174" s="188">
        <f t="shared" si="199"/>
        <v>6.75</v>
      </c>
      <c r="I174" s="253">
        <f t="shared" si="224"/>
        <v>109695.06203136785</v>
      </c>
      <c r="J174" s="253">
        <f t="shared" si="225"/>
        <v>146260.08270849046</v>
      </c>
      <c r="K174" s="253">
        <v>17</v>
      </c>
      <c r="L174" s="259">
        <f t="shared" si="226"/>
        <v>0.94444444444444442</v>
      </c>
      <c r="M174" s="334">
        <f t="shared" si="227"/>
        <v>14301838.695890071</v>
      </c>
      <c r="N174" s="253">
        <f>K174*I174</f>
        <v>1864816.0545332534</v>
      </c>
      <c r="O174" s="335">
        <f>K174*J174</f>
        <v>2486421.4060443379</v>
      </c>
      <c r="P174" s="253">
        <f t="shared" si="228"/>
        <v>794546.59421611507</v>
      </c>
      <c r="Q174" s="343">
        <f t="shared" si="229"/>
        <v>103600.89191851408</v>
      </c>
      <c r="R174" s="343">
        <f t="shared" si="230"/>
        <v>138134.52255801877</v>
      </c>
      <c r="S174" s="353">
        <f t="shared" si="231"/>
        <v>0.25</v>
      </c>
    </row>
    <row r="175" spans="1:19" x14ac:dyDescent="0.25">
      <c r="A175" s="190">
        <v>5</v>
      </c>
      <c r="B175" s="190" t="s">
        <v>12</v>
      </c>
      <c r="C175" s="190"/>
      <c r="D175" s="191" t="s">
        <v>4</v>
      </c>
      <c r="E175" s="253">
        <f>1000*D_device_values!$Q$20*(1/D_currency_conversion!$H$7)*D_currency_conversion!$H$6</f>
        <v>1216627.0021843137</v>
      </c>
      <c r="F175" s="253">
        <f>E175*D_currency_conversion!$I$12*D_currency_conversion!$J$12</f>
        <v>1427723.4227467263</v>
      </c>
      <c r="G175" s="188">
        <f>D_device_lifecycles!$X$20</f>
        <v>10</v>
      </c>
      <c r="H175" s="188">
        <f t="shared" si="199"/>
        <v>7.5</v>
      </c>
      <c r="I175" s="253">
        <f t="shared" si="224"/>
        <v>142772.34227467264</v>
      </c>
      <c r="J175" s="253">
        <f t="shared" si="225"/>
        <v>190363.12303289684</v>
      </c>
      <c r="K175" s="253">
        <v>50</v>
      </c>
      <c r="L175" s="259">
        <f t="shared" si="226"/>
        <v>2.7777777777777777</v>
      </c>
      <c r="M175" s="334">
        <f t="shared" si="227"/>
        <v>60831350.109215684</v>
      </c>
      <c r="N175" s="253">
        <f>K175*I175</f>
        <v>7138617.1137336325</v>
      </c>
      <c r="O175" s="335">
        <f>K175*J175</f>
        <v>9518156.1516448427</v>
      </c>
      <c r="P175" s="253">
        <f t="shared" si="228"/>
        <v>3379519.4505119827</v>
      </c>
      <c r="Q175" s="343">
        <f>I175*L175</f>
        <v>396589.83965186845</v>
      </c>
      <c r="R175" s="343">
        <f t="shared" si="230"/>
        <v>528786.45286915789</v>
      </c>
      <c r="S175" s="353">
        <f t="shared" si="231"/>
        <v>0.25</v>
      </c>
    </row>
    <row r="176" spans="1:19" x14ac:dyDescent="0.25">
      <c r="A176" s="192">
        <v>6</v>
      </c>
      <c r="B176" s="192" t="s">
        <v>13</v>
      </c>
      <c r="C176" s="192"/>
      <c r="D176" s="193" t="s">
        <v>3</v>
      </c>
      <c r="E176" s="254">
        <f>1000*D_device_values!$Q$21*(1/D_currency_conversion!$H$7)*D_currency_conversion!$H$6</f>
        <v>3519053.3760707863</v>
      </c>
      <c r="F176" s="254">
        <f>E176*D_currency_conversion!$I$12*D_currency_conversion!$J$12</f>
        <v>4129642.792648667</v>
      </c>
      <c r="G176" s="194">
        <f>D_device_lifecycles!$X$21</f>
        <v>8</v>
      </c>
      <c r="H176" s="188">
        <f t="shared" si="199"/>
        <v>6</v>
      </c>
      <c r="I176" s="254">
        <f t="shared" si="224"/>
        <v>516205.34908108338</v>
      </c>
      <c r="J176" s="254">
        <f t="shared" si="225"/>
        <v>688273.7987747778</v>
      </c>
      <c r="K176" s="254">
        <v>47</v>
      </c>
      <c r="L176" s="333">
        <f t="shared" si="226"/>
        <v>2.6111111111111112</v>
      </c>
      <c r="M176" s="336">
        <f t="shared" si="227"/>
        <v>165395508.67532694</v>
      </c>
      <c r="N176" s="254">
        <f>K176*I176</f>
        <v>24261651.406810917</v>
      </c>
      <c r="O176" s="337">
        <f>K176*J176</f>
        <v>32348868.542414557</v>
      </c>
      <c r="P176" s="254">
        <f t="shared" si="228"/>
        <v>9188639.3708514981</v>
      </c>
      <c r="Q176" s="344">
        <f>I176*L176</f>
        <v>1347869.5226006065</v>
      </c>
      <c r="R176" s="344">
        <f t="shared" si="230"/>
        <v>1797159.3634674754</v>
      </c>
      <c r="S176" s="354">
        <f t="shared" si="231"/>
        <v>0.25</v>
      </c>
    </row>
    <row r="177" spans="1:19" x14ac:dyDescent="0.25">
      <c r="A177" s="1"/>
      <c r="B177" s="1"/>
      <c r="C177" s="1"/>
      <c r="D177" s="1"/>
      <c r="E177" s="1"/>
      <c r="F177" s="1"/>
      <c r="G177" s="1"/>
      <c r="H177" s="1"/>
      <c r="I177" s="225"/>
      <c r="J177" s="225"/>
      <c r="K177" s="255">
        <f>SUM(K159:K176)</f>
        <v>419</v>
      </c>
      <c r="L177" s="255">
        <v>240</v>
      </c>
      <c r="M177" s="338">
        <f t="shared" ref="M177:P177" si="232">SUM(M159:M176)</f>
        <v>320130175.45574528</v>
      </c>
      <c r="N177" s="339">
        <f t="shared" si="232"/>
        <v>43077410.772139512</v>
      </c>
      <c r="O177" s="340">
        <f t="shared" si="232"/>
        <v>57436547.696186021</v>
      </c>
      <c r="P177" s="255">
        <f t="shared" si="232"/>
        <v>17785009.747541405</v>
      </c>
      <c r="Q177" s="345">
        <f>SUM(Q159:Q176)</f>
        <v>2393189.4873410841</v>
      </c>
      <c r="R177" s="345">
        <f t="shared" ref="R177" si="233">SUM(R159:R176)</f>
        <v>3190919.3164547789</v>
      </c>
      <c r="S177" s="225"/>
    </row>
    <row r="178" spans="1:19" x14ac:dyDescent="0.25">
      <c r="A178" s="11" t="s">
        <v>230</v>
      </c>
      <c r="B178" s="1"/>
      <c r="C178" s="1"/>
      <c r="D178" s="1"/>
      <c r="E178" s="199" t="s">
        <v>231</v>
      </c>
      <c r="F178" s="199"/>
      <c r="G178" s="552" t="s">
        <v>400</v>
      </c>
      <c r="H178" s="552"/>
      <c r="I178" s="225"/>
      <c r="J178" s="225"/>
      <c r="N178" s="225"/>
      <c r="O178" s="225"/>
      <c r="S178" s="225"/>
    </row>
    <row r="179" spans="1:19" x14ac:dyDescent="0.25">
      <c r="A179" s="225"/>
      <c r="B179" s="225"/>
      <c r="C179" s="225"/>
      <c r="D179" s="225"/>
      <c r="E179" s="225"/>
      <c r="G179" s="225"/>
      <c r="H179" s="225"/>
      <c r="I179" s="225"/>
      <c r="J179" s="225" t="s">
        <v>615</v>
      </c>
      <c r="K179" s="363">
        <f>SUM(K159:K161,K173,K175,K176)</f>
        <v>223</v>
      </c>
      <c r="L179" s="225" t="s">
        <v>536</v>
      </c>
      <c r="M179" s="427">
        <f>SUM(M159:M161,M173,M175,M176)</f>
        <v>254236891.22773921</v>
      </c>
      <c r="N179" s="363">
        <f>SUM(N159:N161,N173,N175,N176)</f>
        <v>35295455.79246147</v>
      </c>
      <c r="O179" s="363">
        <f>SUM(O159:O161,O173,O175,O176)</f>
        <v>47060607.723281965</v>
      </c>
      <c r="P179" s="225" t="s">
        <v>536</v>
      </c>
      <c r="Q179" s="363">
        <f>SUM(Q159:Q161,Q173,Q175,Q176)</f>
        <v>1960858.6551367487</v>
      </c>
      <c r="R179" s="363">
        <f>SUM(R159:R161,R173,R175,R176)</f>
        <v>2614478.2068489981</v>
      </c>
      <c r="S179" s="225"/>
    </row>
    <row r="180" spans="1:19" x14ac:dyDescent="0.25">
      <c r="A180" s="450" t="s">
        <v>623</v>
      </c>
      <c r="B180" s="450"/>
      <c r="C180" s="450"/>
      <c r="D180" s="451">
        <v>0.3</v>
      </c>
      <c r="E180" s="450"/>
      <c r="F180" s="450"/>
      <c r="G180" s="450"/>
      <c r="H180" s="450"/>
      <c r="I180" s="450"/>
      <c r="J180" s="450"/>
      <c r="K180" s="450"/>
      <c r="L180" s="450"/>
      <c r="M180" s="450"/>
      <c r="N180" s="450"/>
      <c r="O180" s="450"/>
      <c r="P180" s="450"/>
      <c r="Q180" s="450"/>
      <c r="R180" s="450"/>
      <c r="S180" s="450"/>
    </row>
    <row r="181" spans="1:19" x14ac:dyDescent="0.25">
      <c r="A181" s="196" t="s">
        <v>14</v>
      </c>
      <c r="B181" s="196"/>
      <c r="C181" s="196"/>
      <c r="D181" s="331" t="str">
        <f>HYPERLINK("#"&amp;ADDRESS(1,1,,,"MASTER"),"M &lt;=")</f>
        <v>M &lt;=</v>
      </c>
      <c r="E181" s="444" t="s">
        <v>229</v>
      </c>
      <c r="F181" s="444" t="s">
        <v>229</v>
      </c>
      <c r="G181" s="544" t="s">
        <v>44</v>
      </c>
      <c r="H181" s="544"/>
      <c r="I181" s="547" t="s">
        <v>454</v>
      </c>
      <c r="J181" s="547"/>
      <c r="K181" s="445" t="s">
        <v>405</v>
      </c>
      <c r="L181" s="445" t="s">
        <v>517</v>
      </c>
      <c r="M181" s="449" t="s">
        <v>459</v>
      </c>
      <c r="N181" s="550" t="s">
        <v>458</v>
      </c>
      <c r="O181" s="551"/>
      <c r="P181" s="445" t="s">
        <v>518</v>
      </c>
      <c r="Q181" s="553" t="s">
        <v>522</v>
      </c>
      <c r="R181" s="553"/>
      <c r="S181" s="446" t="s">
        <v>523</v>
      </c>
    </row>
    <row r="182" spans="1:19" x14ac:dyDescent="0.25">
      <c r="A182" s="198"/>
      <c r="B182" s="198"/>
      <c r="C182" s="198"/>
      <c r="D182" s="198"/>
      <c r="E182" s="448" t="s">
        <v>627</v>
      </c>
      <c r="F182" s="448" t="s">
        <v>628</v>
      </c>
      <c r="G182" s="448" t="s">
        <v>7</v>
      </c>
      <c r="H182" s="448" t="s">
        <v>6</v>
      </c>
      <c r="I182" s="448" t="s">
        <v>7</v>
      </c>
      <c r="J182" s="448" t="s">
        <v>6</v>
      </c>
      <c r="K182" s="448" t="s">
        <v>455</v>
      </c>
      <c r="L182" s="448" t="s">
        <v>455</v>
      </c>
      <c r="M182" s="447" t="s">
        <v>627</v>
      </c>
      <c r="N182" s="448" t="s">
        <v>7</v>
      </c>
      <c r="O182" s="269" t="s">
        <v>6</v>
      </c>
      <c r="P182" s="448" t="s">
        <v>629</v>
      </c>
      <c r="Q182" s="341" t="s">
        <v>7</v>
      </c>
      <c r="R182" s="341" t="s">
        <v>6</v>
      </c>
      <c r="S182" s="446" t="s">
        <v>524</v>
      </c>
    </row>
    <row r="183" spans="1:19" x14ac:dyDescent="0.25">
      <c r="A183" s="3">
        <v>1</v>
      </c>
      <c r="B183" s="3" t="s">
        <v>11</v>
      </c>
      <c r="C183" s="3"/>
      <c r="D183" s="3"/>
      <c r="E183" s="444"/>
      <c r="F183" s="444"/>
      <c r="G183" s="3"/>
      <c r="H183" s="3"/>
      <c r="I183" s="3"/>
      <c r="J183" s="3"/>
      <c r="K183" s="3"/>
      <c r="L183" s="3"/>
      <c r="M183" s="264"/>
      <c r="N183" s="190"/>
      <c r="O183" s="265"/>
      <c r="P183" s="190"/>
      <c r="Q183" s="342"/>
      <c r="R183" s="342"/>
      <c r="S183" s="352"/>
    </row>
    <row r="184" spans="1:19" x14ac:dyDescent="0.25">
      <c r="A184" s="7"/>
      <c r="B184" s="7" t="s">
        <v>9</v>
      </c>
      <c r="C184" s="7" t="s">
        <v>16</v>
      </c>
      <c r="D184" s="7" t="s">
        <v>31</v>
      </c>
      <c r="E184" s="253">
        <f>1000*D_device_values!$Q$4*(1/D_currency_conversion!$H$7)*D_currency_conversion!$H$6</f>
        <v>849913.18946918368</v>
      </c>
      <c r="F184" s="253">
        <f>E184*D_currency_conversion!$I$12*D_currency_conversion!$J$12</f>
        <v>997381.25631597533</v>
      </c>
      <c r="G184" s="188">
        <f>D_device_lifecycles!$X$4</f>
        <v>7.5</v>
      </c>
      <c r="H184" s="188">
        <f>G184*(1-$D$180)</f>
        <v>5.25</v>
      </c>
      <c r="I184" s="253">
        <f>$F184/G184</f>
        <v>132984.1675087967</v>
      </c>
      <c r="J184" s="253">
        <f>$F184/H184</f>
        <v>189977.38215542387</v>
      </c>
      <c r="K184" s="253">
        <v>11</v>
      </c>
      <c r="L184" s="259">
        <f>K184/18</f>
        <v>0.61111111111111116</v>
      </c>
      <c r="M184" s="334">
        <f>K184*E184</f>
        <v>9349045.0841610208</v>
      </c>
      <c r="N184" s="253">
        <f>K184*I184</f>
        <v>1462825.8425967637</v>
      </c>
      <c r="O184" s="335">
        <f>K184*J184</f>
        <v>2089751.2037096624</v>
      </c>
      <c r="P184" s="253">
        <f>L184*E184</f>
        <v>519391.3935645012</v>
      </c>
      <c r="Q184" s="343">
        <f>I184*L184</f>
        <v>81268.102366486884</v>
      </c>
      <c r="R184" s="343">
        <f>L184*J184</f>
        <v>116097.28909498126</v>
      </c>
      <c r="S184" s="353">
        <f>(G184-H184)/G184</f>
        <v>0.3</v>
      </c>
    </row>
    <row r="185" spans="1:19" x14ac:dyDescent="0.25">
      <c r="A185" s="7"/>
      <c r="B185" s="7" t="s">
        <v>10</v>
      </c>
      <c r="C185" s="7" t="s">
        <v>17</v>
      </c>
      <c r="D185" s="7" t="s">
        <v>32</v>
      </c>
      <c r="E185" s="253">
        <f>1000*D_device_values!$Q$5*(1/D_currency_conversion!$H$7)*D_currency_conversion!$H$6</f>
        <v>64714.20224384647</v>
      </c>
      <c r="F185" s="253">
        <f>E185*D_currency_conversion!$I$12*D_currency_conversion!$J$12</f>
        <v>75942.735252485436</v>
      </c>
      <c r="G185" s="188">
        <f>D_device_lifecycles!$X$5</f>
        <v>9</v>
      </c>
      <c r="H185" s="188">
        <f t="shared" ref="H185:H201" si="234">G185*(1-$D$180)</f>
        <v>6.3</v>
      </c>
      <c r="I185" s="253">
        <f t="shared" ref="I185:I186" si="235">$F185/G185</f>
        <v>8438.081694720604</v>
      </c>
      <c r="J185" s="253">
        <f t="shared" ref="J185:J186" si="236">$F185/H185</f>
        <v>12054.402421029434</v>
      </c>
      <c r="K185" s="253">
        <v>53</v>
      </c>
      <c r="L185" s="259">
        <f t="shared" ref="L185:L186" si="237">K185/18</f>
        <v>2.9444444444444446</v>
      </c>
      <c r="M185" s="334">
        <f t="shared" ref="M185:M186" si="238">K185*E185</f>
        <v>3429852.718923863</v>
      </c>
      <c r="N185" s="253">
        <f>K185*I185</f>
        <v>447218.32982019201</v>
      </c>
      <c r="O185" s="335">
        <f>K185*J185</f>
        <v>638883.32831456</v>
      </c>
      <c r="P185" s="253">
        <f t="shared" ref="P185:P186" si="239">L185*E185</f>
        <v>190547.37327354794</v>
      </c>
      <c r="Q185" s="343">
        <f>I185*L185</f>
        <v>24845.462767788445</v>
      </c>
      <c r="R185" s="343">
        <f>L185*J185</f>
        <v>35493.518239697776</v>
      </c>
      <c r="S185" s="353">
        <f t="shared" ref="S185:S186" si="240">(G185-H185)/G185</f>
        <v>0.30000000000000004</v>
      </c>
    </row>
    <row r="186" spans="1:19" x14ac:dyDescent="0.25">
      <c r="A186" s="7"/>
      <c r="B186" s="7" t="s">
        <v>15</v>
      </c>
      <c r="C186" s="7" t="s">
        <v>18</v>
      </c>
      <c r="D186" s="7" t="s">
        <v>33</v>
      </c>
      <c r="E186" s="253">
        <f>1000*D_device_values!$Q$6*(1/D_currency_conversion!$H$7)*D_currency_conversion!$H$6</f>
        <v>207085.44718030869</v>
      </c>
      <c r="F186" s="253">
        <f>E186*D_currency_conversion!$I$12*D_currency_conversion!$J$12</f>
        <v>243016.75280795337</v>
      </c>
      <c r="G186" s="188">
        <f>D_device_lifecycles!$X$6</f>
        <v>10</v>
      </c>
      <c r="H186" s="188">
        <f t="shared" si="234"/>
        <v>7</v>
      </c>
      <c r="I186" s="253">
        <f t="shared" si="235"/>
        <v>24301.675280795338</v>
      </c>
      <c r="J186" s="253">
        <f t="shared" si="236"/>
        <v>34716.678972564769</v>
      </c>
      <c r="K186" s="253">
        <v>41</v>
      </c>
      <c r="L186" s="259">
        <f t="shared" si="237"/>
        <v>2.2777777777777777</v>
      </c>
      <c r="M186" s="334">
        <f t="shared" si="238"/>
        <v>8490503.3343926556</v>
      </c>
      <c r="N186" s="253">
        <f>K186*I186</f>
        <v>996368.6865126089</v>
      </c>
      <c r="O186" s="335">
        <f>K186*J186</f>
        <v>1423383.8378751555</v>
      </c>
      <c r="P186" s="253">
        <f t="shared" si="239"/>
        <v>471694.62968848087</v>
      </c>
      <c r="Q186" s="343">
        <f>I186*L186</f>
        <v>55353.815917367159</v>
      </c>
      <c r="R186" s="343">
        <f>L186*J186</f>
        <v>79076.879881953078</v>
      </c>
      <c r="S186" s="353">
        <f t="shared" si="240"/>
        <v>0.3</v>
      </c>
    </row>
    <row r="187" spans="1:19" x14ac:dyDescent="0.25">
      <c r="A187" s="190">
        <v>2</v>
      </c>
      <c r="B187" s="190" t="s">
        <v>43</v>
      </c>
      <c r="C187" s="190"/>
      <c r="D187" s="190"/>
      <c r="E187" s="456"/>
      <c r="F187" s="253"/>
      <c r="G187" s="188"/>
      <c r="H187" s="188"/>
      <c r="I187" s="253"/>
      <c r="J187" s="253"/>
      <c r="K187" s="253"/>
      <c r="L187" s="253"/>
      <c r="M187" s="334"/>
      <c r="N187" s="253"/>
      <c r="O187" s="335"/>
      <c r="P187" s="253"/>
      <c r="Q187" s="343"/>
      <c r="R187" s="343"/>
      <c r="S187" s="353"/>
    </row>
    <row r="188" spans="1:19" x14ac:dyDescent="0.25">
      <c r="A188" s="7"/>
      <c r="B188" s="7" t="s">
        <v>9</v>
      </c>
      <c r="C188" s="7" t="s">
        <v>19</v>
      </c>
      <c r="D188" s="7" t="s">
        <v>34</v>
      </c>
      <c r="E188" s="253">
        <f>1000*D_device_values!$Q$8*(1/D_currency_conversion!$H$7)*D_currency_conversion!$H$6</f>
        <v>173469.52185035453</v>
      </c>
      <c r="F188" s="253">
        <f>E188*D_currency_conversion!$I$12*D_currency_conversion!$J$12</f>
        <v>203568.14293433359</v>
      </c>
      <c r="G188" s="188">
        <f>D_device_lifecycles!$X$8</f>
        <v>10</v>
      </c>
      <c r="H188" s="188">
        <f t="shared" si="234"/>
        <v>7</v>
      </c>
      <c r="I188" s="253">
        <f t="shared" ref="I188:I189" si="241">$F188/G188</f>
        <v>20356.814293433359</v>
      </c>
      <c r="J188" s="253">
        <f t="shared" ref="J188" si="242">$F188/H188</f>
        <v>29081.163276333369</v>
      </c>
      <c r="K188" s="253">
        <v>22</v>
      </c>
      <c r="L188" s="259">
        <f t="shared" ref="L188:L189" si="243">K188/18</f>
        <v>1.2222222222222223</v>
      </c>
      <c r="M188" s="334">
        <f t="shared" ref="M188:M189" si="244">K188*E188</f>
        <v>3816329.4807077996</v>
      </c>
      <c r="N188" s="253">
        <f>K188*I188</f>
        <v>447849.9144555339</v>
      </c>
      <c r="O188" s="335">
        <f>K188*J188</f>
        <v>639785.59207933408</v>
      </c>
      <c r="P188" s="253">
        <f t="shared" ref="P188:P189" si="245">L188*E188</f>
        <v>212018.30448376667</v>
      </c>
      <c r="Q188" s="343">
        <f t="shared" ref="Q188:Q189" si="246">I188*L188</f>
        <v>24880.550803085218</v>
      </c>
      <c r="R188" s="343">
        <f t="shared" ref="R188:R189" si="247">L188*J188</f>
        <v>35543.644004407455</v>
      </c>
      <c r="S188" s="353">
        <f t="shared" ref="S188:S189" si="248">(G188-H188)/G188</f>
        <v>0.3</v>
      </c>
    </row>
    <row r="189" spans="1:19" x14ac:dyDescent="0.25">
      <c r="A189" s="7"/>
      <c r="B189" s="7" t="s">
        <v>10</v>
      </c>
      <c r="C189" s="7" t="s">
        <v>20</v>
      </c>
      <c r="D189" s="7" t="s">
        <v>34</v>
      </c>
      <c r="E189" s="253">
        <f>1000*D_device_values!$Q$9*(1/D_currency_conversion!$H$7)*D_currency_conversion!$H$6</f>
        <v>173732.7429469417</v>
      </c>
      <c r="F189" s="253">
        <f>E189*D_currency_conversion!$I$12*D_currency_conversion!$J$12</f>
        <v>203877.03540859552</v>
      </c>
      <c r="G189" s="188">
        <f>D_device_lifecycles!$X$9</f>
        <v>11</v>
      </c>
      <c r="H189" s="188">
        <f t="shared" si="234"/>
        <v>7.6999999999999993</v>
      </c>
      <c r="I189" s="253">
        <f t="shared" si="241"/>
        <v>18534.275946235957</v>
      </c>
      <c r="J189" s="253">
        <f>$F189/H189</f>
        <v>26477.537066051369</v>
      </c>
      <c r="K189" s="253">
        <v>22</v>
      </c>
      <c r="L189" s="259">
        <f t="shared" si="243"/>
        <v>1.2222222222222223</v>
      </c>
      <c r="M189" s="334">
        <f t="shared" si="244"/>
        <v>3822120.3448327174</v>
      </c>
      <c r="N189" s="253">
        <f>K189*I189</f>
        <v>407754.07081719104</v>
      </c>
      <c r="O189" s="335">
        <f>K189*J189</f>
        <v>582505.81545313017</v>
      </c>
      <c r="P189" s="253">
        <f t="shared" si="245"/>
        <v>212340.0191573732</v>
      </c>
      <c r="Q189" s="343">
        <f t="shared" si="246"/>
        <v>22653.003934288394</v>
      </c>
      <c r="R189" s="343">
        <f t="shared" si="247"/>
        <v>32361.434191840566</v>
      </c>
      <c r="S189" s="353">
        <f t="shared" si="248"/>
        <v>0.30000000000000004</v>
      </c>
    </row>
    <row r="190" spans="1:19" x14ac:dyDescent="0.25">
      <c r="A190" s="190">
        <v>3</v>
      </c>
      <c r="B190" s="190" t="s">
        <v>42</v>
      </c>
      <c r="C190" s="190"/>
      <c r="D190" s="190"/>
      <c r="E190" s="456"/>
      <c r="F190" s="253"/>
      <c r="G190" s="188"/>
      <c r="H190" s="188"/>
      <c r="I190" s="253"/>
      <c r="J190" s="253"/>
      <c r="K190" s="253"/>
      <c r="L190" s="253"/>
      <c r="M190" s="334"/>
      <c r="N190" s="253"/>
      <c r="O190" s="335"/>
      <c r="P190" s="253"/>
      <c r="Q190" s="343"/>
      <c r="R190" s="343"/>
      <c r="S190" s="353"/>
    </row>
    <row r="191" spans="1:19" x14ac:dyDescent="0.25">
      <c r="A191" s="7"/>
      <c r="B191" s="7" t="s">
        <v>9</v>
      </c>
      <c r="C191" s="7" t="s">
        <v>24</v>
      </c>
      <c r="D191" s="7" t="s">
        <v>35</v>
      </c>
      <c r="E191" s="253">
        <f>1000*D_device_values!$Q$11*(1/D_currency_conversion!$H$7)*D_currency_conversion!$H$6</f>
        <v>1064482.5920110256</v>
      </c>
      <c r="F191" s="253">
        <f>E191*D_currency_conversion!$I$12*D_currency_conversion!$J$12</f>
        <v>1249180.502316393</v>
      </c>
      <c r="G191" s="188">
        <f>D_device_lifecycles!$X$11</f>
        <v>10</v>
      </c>
      <c r="H191" s="188">
        <f t="shared" si="234"/>
        <v>7</v>
      </c>
      <c r="I191" s="253">
        <f t="shared" ref="I191:I196" si="249">$F191/G191</f>
        <v>124918.0502316393</v>
      </c>
      <c r="J191" s="253">
        <f t="shared" ref="J191:J196" si="250">$F191/H191</f>
        <v>178454.35747377042</v>
      </c>
      <c r="K191" s="253">
        <v>4</v>
      </c>
      <c r="L191" s="259">
        <f t="shared" ref="L191:L196" si="251">K191/18</f>
        <v>0.22222222222222221</v>
      </c>
      <c r="M191" s="334">
        <f t="shared" ref="M191:M196" si="252">K191*E191</f>
        <v>4257930.3680441026</v>
      </c>
      <c r="N191" s="253">
        <f t="shared" ref="N191:N196" si="253">K191*I191</f>
        <v>499672.20092655718</v>
      </c>
      <c r="O191" s="335">
        <f t="shared" ref="O191:O196" si="254">K191*J191</f>
        <v>713817.42989508167</v>
      </c>
      <c r="P191" s="253">
        <f t="shared" ref="P191:P196" si="255">L191*E191</f>
        <v>236551.68711356123</v>
      </c>
      <c r="Q191" s="343">
        <f t="shared" ref="Q191:Q196" si="256">I191*L191</f>
        <v>27759.566718142065</v>
      </c>
      <c r="R191" s="343">
        <f t="shared" ref="R191:R196" si="257">L191*J191</f>
        <v>39656.523883060094</v>
      </c>
      <c r="S191" s="353">
        <f t="shared" ref="S191:S196" si="258">(G191-H191)/G191</f>
        <v>0.3</v>
      </c>
    </row>
    <row r="192" spans="1:19" x14ac:dyDescent="0.25">
      <c r="A192" s="7"/>
      <c r="B192" s="7" t="s">
        <v>10</v>
      </c>
      <c r="C192" s="7" t="s">
        <v>25</v>
      </c>
      <c r="D192" s="7" t="s">
        <v>36</v>
      </c>
      <c r="E192" s="253">
        <f>1000*D_device_values!$Q$12*(1/D_currency_conversion!$H$7)*D_currency_conversion!$H$6</f>
        <v>362399.53256554028</v>
      </c>
      <c r="F192" s="253">
        <f>E192*D_currency_conversion!$I$12*D_currency_conversion!$J$12</f>
        <v>425279.31741391844</v>
      </c>
      <c r="G192" s="188">
        <f>D_device_lifecycles!$X$12</f>
        <v>9</v>
      </c>
      <c r="H192" s="188">
        <f t="shared" si="234"/>
        <v>6.3</v>
      </c>
      <c r="I192" s="253">
        <f t="shared" si="249"/>
        <v>47253.257490435382</v>
      </c>
      <c r="J192" s="253">
        <f t="shared" si="250"/>
        <v>67504.653557764832</v>
      </c>
      <c r="K192" s="253">
        <v>13</v>
      </c>
      <c r="L192" s="259">
        <f t="shared" si="251"/>
        <v>0.72222222222222221</v>
      </c>
      <c r="M192" s="334">
        <f t="shared" si="252"/>
        <v>4711193.9233520236</v>
      </c>
      <c r="N192" s="253">
        <f t="shared" si="253"/>
        <v>614292.34737565997</v>
      </c>
      <c r="O192" s="335">
        <f t="shared" si="254"/>
        <v>877560.49625094282</v>
      </c>
      <c r="P192" s="253">
        <f t="shared" si="255"/>
        <v>261732.9957417791</v>
      </c>
      <c r="Q192" s="343">
        <f t="shared" si="256"/>
        <v>34127.352631981106</v>
      </c>
      <c r="R192" s="343">
        <f t="shared" si="257"/>
        <v>48753.360902830158</v>
      </c>
      <c r="S192" s="353">
        <f t="shared" si="258"/>
        <v>0.30000000000000004</v>
      </c>
    </row>
    <row r="193" spans="1:19" x14ac:dyDescent="0.25">
      <c r="A193" s="7"/>
      <c r="B193" s="7" t="s">
        <v>15</v>
      </c>
      <c r="C193" s="7" t="s">
        <v>26</v>
      </c>
      <c r="D193" s="7" t="s">
        <v>37</v>
      </c>
      <c r="E193" s="253">
        <f>1000*D_device_values!$Q$13*(1/D_currency_conversion!$H$7)*D_currency_conversion!$H$6</f>
        <v>369662.42145046114</v>
      </c>
      <c r="F193" s="253">
        <f>E193*D_currency_conversion!$I$12*D_currency_conversion!$J$12</f>
        <v>433802.38698182325</v>
      </c>
      <c r="G193" s="188">
        <f>D_device_lifecycles!$X$13</f>
        <v>7</v>
      </c>
      <c r="H193" s="188">
        <f t="shared" si="234"/>
        <v>4.8999999999999995</v>
      </c>
      <c r="I193" s="253">
        <f t="shared" si="249"/>
        <v>61971.769568831893</v>
      </c>
      <c r="J193" s="253">
        <f t="shared" si="250"/>
        <v>88531.099384045578</v>
      </c>
      <c r="K193" s="253">
        <v>19</v>
      </c>
      <c r="L193" s="259">
        <f t="shared" si="251"/>
        <v>1.0555555555555556</v>
      </c>
      <c r="M193" s="334">
        <f t="shared" si="252"/>
        <v>7023586.0075587621</v>
      </c>
      <c r="N193" s="253">
        <f t="shared" si="253"/>
        <v>1177463.621807806</v>
      </c>
      <c r="O193" s="335">
        <f t="shared" si="254"/>
        <v>1682090.8882968659</v>
      </c>
      <c r="P193" s="253">
        <f t="shared" si="255"/>
        <v>390199.22264215344</v>
      </c>
      <c r="Q193" s="343">
        <f t="shared" si="256"/>
        <v>65414.645655989225</v>
      </c>
      <c r="R193" s="343">
        <f t="shared" si="257"/>
        <v>93449.49379427034</v>
      </c>
      <c r="S193" s="353">
        <f t="shared" si="258"/>
        <v>0.3000000000000001</v>
      </c>
    </row>
    <row r="194" spans="1:19" x14ac:dyDescent="0.25">
      <c r="A194" s="7"/>
      <c r="B194" s="7" t="s">
        <v>21</v>
      </c>
      <c r="C194" s="7" t="s">
        <v>27</v>
      </c>
      <c r="D194" s="7" t="s">
        <v>38</v>
      </c>
      <c r="E194" s="253">
        <f>1000*D_device_values!$Q$14*(1/D_currency_conversion!$H$7)*D_currency_conversion!$H$6</f>
        <v>116485.56403892365</v>
      </c>
      <c r="F194" s="253">
        <f>E194*D_currency_conversion!$I$12*D_currency_conversion!$J$12</f>
        <v>136696.92345447378</v>
      </c>
      <c r="G194" s="188">
        <f>D_device_lifecycles!$X$14</f>
        <v>8</v>
      </c>
      <c r="H194" s="188">
        <f t="shared" si="234"/>
        <v>5.6</v>
      </c>
      <c r="I194" s="253">
        <f t="shared" si="249"/>
        <v>17087.115431809223</v>
      </c>
      <c r="J194" s="253">
        <f t="shared" si="250"/>
        <v>24410.164902584605</v>
      </c>
      <c r="K194" s="253">
        <v>60</v>
      </c>
      <c r="L194" s="259">
        <f t="shared" si="251"/>
        <v>3.3333333333333335</v>
      </c>
      <c r="M194" s="334">
        <f t="shared" si="252"/>
        <v>6989133.8423354188</v>
      </c>
      <c r="N194" s="253">
        <f t="shared" si="253"/>
        <v>1025226.9259085534</v>
      </c>
      <c r="O194" s="335">
        <f t="shared" si="254"/>
        <v>1464609.8941550762</v>
      </c>
      <c r="P194" s="253">
        <f t="shared" si="255"/>
        <v>388285.21346307884</v>
      </c>
      <c r="Q194" s="343">
        <f t="shared" si="256"/>
        <v>56957.051439364077</v>
      </c>
      <c r="R194" s="343">
        <f t="shared" si="257"/>
        <v>81367.21634194869</v>
      </c>
      <c r="S194" s="353">
        <f t="shared" si="258"/>
        <v>0.30000000000000004</v>
      </c>
    </row>
    <row r="195" spans="1:19" x14ac:dyDescent="0.25">
      <c r="A195" s="7"/>
      <c r="B195" s="7" t="s">
        <v>22</v>
      </c>
      <c r="C195" s="7" t="s">
        <v>28</v>
      </c>
      <c r="D195" s="7" t="s">
        <v>39</v>
      </c>
      <c r="E195" s="253">
        <f>1000*D_device_values!$Q$15*(1/D_currency_conversion!$H$7)*D_currency_conversion!$H$6</f>
        <v>253752.59020685713</v>
      </c>
      <c r="F195" s="253">
        <f>E195*D_currency_conversion!$I$12*D_currency_conversion!$J$12</f>
        <v>297781.09146890056</v>
      </c>
      <c r="G195" s="188">
        <f>D_device_lifecycles!$X$15</f>
        <v>12</v>
      </c>
      <c r="H195" s="188">
        <f t="shared" si="234"/>
        <v>8.3999999999999986</v>
      </c>
      <c r="I195" s="253">
        <f t="shared" si="249"/>
        <v>24815.090955741714</v>
      </c>
      <c r="J195" s="253">
        <f t="shared" si="250"/>
        <v>35450.129936773883</v>
      </c>
      <c r="K195" s="253">
        <v>21</v>
      </c>
      <c r="L195" s="259">
        <f t="shared" si="251"/>
        <v>1.1666666666666667</v>
      </c>
      <c r="M195" s="334">
        <f t="shared" si="252"/>
        <v>5328804.3943440001</v>
      </c>
      <c r="N195" s="253">
        <f t="shared" si="253"/>
        <v>521116.91007057601</v>
      </c>
      <c r="O195" s="335">
        <f t="shared" si="254"/>
        <v>744452.72867225157</v>
      </c>
      <c r="P195" s="253">
        <f t="shared" si="255"/>
        <v>296044.68857466668</v>
      </c>
      <c r="Q195" s="343">
        <f t="shared" si="256"/>
        <v>28950.939448365334</v>
      </c>
      <c r="R195" s="343">
        <f t="shared" si="257"/>
        <v>41358.484926236197</v>
      </c>
      <c r="S195" s="353">
        <f t="shared" si="258"/>
        <v>0.3000000000000001</v>
      </c>
    </row>
    <row r="196" spans="1:19" x14ac:dyDescent="0.25">
      <c r="A196" s="7"/>
      <c r="B196" s="7" t="s">
        <v>23</v>
      </c>
      <c r="C196" s="7" t="s">
        <v>29</v>
      </c>
      <c r="D196" s="7" t="s">
        <v>40</v>
      </c>
      <c r="E196" s="253">
        <f>1000*D_device_values!$Q$16*(1/D_currency_conversion!$H$7)*D_currency_conversion!$H$6</f>
        <v>869019.28727450978</v>
      </c>
      <c r="F196" s="253">
        <f>E196*D_currency_conversion!$I$12*D_currency_conversion!$J$12</f>
        <v>1019802.4448190901</v>
      </c>
      <c r="G196" s="188">
        <f>D_device_lifecycles!$X$16</f>
        <v>15</v>
      </c>
      <c r="H196" s="188">
        <f t="shared" si="234"/>
        <v>10.5</v>
      </c>
      <c r="I196" s="253">
        <f t="shared" si="249"/>
        <v>67986.829654606001</v>
      </c>
      <c r="J196" s="253">
        <f t="shared" si="250"/>
        <v>97124.042363722867</v>
      </c>
      <c r="K196" s="253">
        <v>18</v>
      </c>
      <c r="L196" s="259">
        <f t="shared" si="251"/>
        <v>1</v>
      </c>
      <c r="M196" s="334">
        <f t="shared" si="252"/>
        <v>15642347.170941176</v>
      </c>
      <c r="N196" s="253">
        <f t="shared" si="253"/>
        <v>1223762.9337829081</v>
      </c>
      <c r="O196" s="335">
        <f t="shared" si="254"/>
        <v>1748232.7625470115</v>
      </c>
      <c r="P196" s="253">
        <f t="shared" si="255"/>
        <v>869019.28727450978</v>
      </c>
      <c r="Q196" s="343">
        <f t="shared" si="256"/>
        <v>67986.829654606001</v>
      </c>
      <c r="R196" s="343">
        <f t="shared" si="257"/>
        <v>97124.042363722867</v>
      </c>
      <c r="S196" s="353">
        <f t="shared" si="258"/>
        <v>0.3</v>
      </c>
    </row>
    <row r="197" spans="1:19" x14ac:dyDescent="0.25">
      <c r="A197" s="190">
        <v>4</v>
      </c>
      <c r="B197" s="190" t="s">
        <v>2</v>
      </c>
      <c r="C197" s="190"/>
      <c r="D197" s="190"/>
      <c r="E197" s="456"/>
      <c r="F197" s="253"/>
      <c r="G197" s="188"/>
      <c r="H197" s="188"/>
      <c r="I197" s="253"/>
      <c r="J197" s="253"/>
      <c r="K197" s="253"/>
      <c r="L197" s="253"/>
      <c r="M197" s="334"/>
      <c r="N197" s="253"/>
      <c r="O197" s="335"/>
      <c r="P197" s="253"/>
      <c r="Q197" s="343"/>
      <c r="R197" s="343"/>
      <c r="S197" s="353"/>
    </row>
    <row r="198" spans="1:19" x14ac:dyDescent="0.25">
      <c r="A198" s="7"/>
      <c r="B198" s="7" t="s">
        <v>9</v>
      </c>
      <c r="C198" s="7" t="s">
        <v>8</v>
      </c>
      <c r="D198" s="7" t="s">
        <v>5</v>
      </c>
      <c r="E198" s="253">
        <f>1000*D_device_values!$Q$18*(1/D_currency_conversion!$H$7)*D_currency_conversion!$H$6</f>
        <v>320982.44312947843</v>
      </c>
      <c r="F198" s="253">
        <f>E198*D_currency_conversion!$I$12*D_currency_conversion!$J$12</f>
        <v>376675.96685232763</v>
      </c>
      <c r="G198" s="188">
        <f>D_device_lifecycles!$X$18</f>
        <v>8</v>
      </c>
      <c r="H198" s="188">
        <f t="shared" si="234"/>
        <v>5.6</v>
      </c>
      <c r="I198" s="253">
        <f t="shared" ref="I198:I201" si="259">$F198/G198</f>
        <v>47084.495856540954</v>
      </c>
      <c r="J198" s="253">
        <f t="shared" ref="J198:J201" si="260">$F198/H198</f>
        <v>67263.565509344218</v>
      </c>
      <c r="K198" s="253">
        <v>21</v>
      </c>
      <c r="L198" s="259">
        <f t="shared" ref="L198:L201" si="261">K198/18</f>
        <v>1.1666666666666667</v>
      </c>
      <c r="M198" s="334">
        <f t="shared" ref="M198:M201" si="262">K198*E198</f>
        <v>6740631.3057190469</v>
      </c>
      <c r="N198" s="253">
        <f>K198*I198</f>
        <v>988774.41298736003</v>
      </c>
      <c r="O198" s="335">
        <f>K198*J198</f>
        <v>1412534.8756962286</v>
      </c>
      <c r="P198" s="253">
        <f t="shared" ref="P198:P201" si="263">L198*E198</f>
        <v>374479.51698439155</v>
      </c>
      <c r="Q198" s="343">
        <f t="shared" ref="Q198:Q199" si="264">I198*L198</f>
        <v>54931.911832631115</v>
      </c>
      <c r="R198" s="343">
        <f t="shared" ref="R198:R201" si="265">L198*J198</f>
        <v>78474.159760901588</v>
      </c>
      <c r="S198" s="353">
        <f t="shared" ref="S198:S201" si="266">(G198-H198)/G198</f>
        <v>0.30000000000000004</v>
      </c>
    </row>
    <row r="199" spans="1:19" x14ac:dyDescent="0.25">
      <c r="A199" s="7"/>
      <c r="B199" s="7" t="s">
        <v>10</v>
      </c>
      <c r="C199" s="7" t="s">
        <v>30</v>
      </c>
      <c r="D199" s="7" t="s">
        <v>41</v>
      </c>
      <c r="E199" s="253">
        <f>1000*D_device_values!$Q$19*(1/D_currency_conversion!$H$7)*D_currency_conversion!$H$6</f>
        <v>841284.62917000416</v>
      </c>
      <c r="F199" s="253">
        <f>E199*D_currency_conversion!$I$12*D_currency_conversion!$J$12</f>
        <v>987255.55828231061</v>
      </c>
      <c r="G199" s="188">
        <f>D_device_lifecycles!$X$19</f>
        <v>9</v>
      </c>
      <c r="H199" s="188">
        <f t="shared" si="234"/>
        <v>6.3</v>
      </c>
      <c r="I199" s="253">
        <f t="shared" si="259"/>
        <v>109695.06203136785</v>
      </c>
      <c r="J199" s="253">
        <f t="shared" si="260"/>
        <v>156707.23147338265</v>
      </c>
      <c r="K199" s="253">
        <v>17</v>
      </c>
      <c r="L199" s="259">
        <f t="shared" si="261"/>
        <v>0.94444444444444442</v>
      </c>
      <c r="M199" s="334">
        <f t="shared" si="262"/>
        <v>14301838.695890071</v>
      </c>
      <c r="N199" s="253">
        <f>K199*I199</f>
        <v>1864816.0545332534</v>
      </c>
      <c r="O199" s="335">
        <f>K199*J199</f>
        <v>2664022.935047505</v>
      </c>
      <c r="P199" s="253">
        <f t="shared" si="263"/>
        <v>794546.59421611507</v>
      </c>
      <c r="Q199" s="343">
        <f t="shared" si="264"/>
        <v>103600.89191851408</v>
      </c>
      <c r="R199" s="343">
        <f t="shared" si="265"/>
        <v>148001.27416930583</v>
      </c>
      <c r="S199" s="353">
        <f t="shared" si="266"/>
        <v>0.30000000000000004</v>
      </c>
    </row>
    <row r="200" spans="1:19" x14ac:dyDescent="0.25">
      <c r="A200" s="190">
        <v>5</v>
      </c>
      <c r="B200" s="190" t="s">
        <v>12</v>
      </c>
      <c r="C200" s="190"/>
      <c r="D200" s="191" t="s">
        <v>4</v>
      </c>
      <c r="E200" s="253">
        <f>1000*D_device_values!$Q$20*(1/D_currency_conversion!$H$7)*D_currency_conversion!$H$6</f>
        <v>1216627.0021843137</v>
      </c>
      <c r="F200" s="253">
        <f>E200*D_currency_conversion!$I$12*D_currency_conversion!$J$12</f>
        <v>1427723.4227467263</v>
      </c>
      <c r="G200" s="188">
        <f>D_device_lifecycles!$X$20</f>
        <v>10</v>
      </c>
      <c r="H200" s="188">
        <f t="shared" si="234"/>
        <v>7</v>
      </c>
      <c r="I200" s="253">
        <f t="shared" si="259"/>
        <v>142772.34227467264</v>
      </c>
      <c r="J200" s="253">
        <f t="shared" si="260"/>
        <v>203960.48896381803</v>
      </c>
      <c r="K200" s="253">
        <v>50</v>
      </c>
      <c r="L200" s="259">
        <f t="shared" si="261"/>
        <v>2.7777777777777777</v>
      </c>
      <c r="M200" s="334">
        <f t="shared" si="262"/>
        <v>60831350.109215684</v>
      </c>
      <c r="N200" s="253">
        <f>K200*I200</f>
        <v>7138617.1137336325</v>
      </c>
      <c r="O200" s="335">
        <f>K200*J200</f>
        <v>10198024.448190901</v>
      </c>
      <c r="P200" s="253">
        <f t="shared" si="263"/>
        <v>3379519.4505119827</v>
      </c>
      <c r="Q200" s="343">
        <f>I200*L200</f>
        <v>396589.83965186845</v>
      </c>
      <c r="R200" s="343">
        <f t="shared" si="265"/>
        <v>566556.91378838336</v>
      </c>
      <c r="S200" s="353">
        <f t="shared" si="266"/>
        <v>0.3</v>
      </c>
    </row>
    <row r="201" spans="1:19" x14ac:dyDescent="0.25">
      <c r="A201" s="192">
        <v>6</v>
      </c>
      <c r="B201" s="192" t="s">
        <v>13</v>
      </c>
      <c r="C201" s="192"/>
      <c r="D201" s="193" t="s">
        <v>3</v>
      </c>
      <c r="E201" s="254">
        <f>1000*D_device_values!$Q$21*(1/D_currency_conversion!$H$7)*D_currency_conversion!$H$6</f>
        <v>3519053.3760707863</v>
      </c>
      <c r="F201" s="254">
        <f>E201*D_currency_conversion!$I$12*D_currency_conversion!$J$12</f>
        <v>4129642.792648667</v>
      </c>
      <c r="G201" s="194">
        <f>D_device_lifecycles!$X$21</f>
        <v>8</v>
      </c>
      <c r="H201" s="188">
        <f t="shared" si="234"/>
        <v>5.6</v>
      </c>
      <c r="I201" s="254">
        <f t="shared" si="259"/>
        <v>516205.34908108338</v>
      </c>
      <c r="J201" s="254">
        <f t="shared" si="260"/>
        <v>737436.21297297627</v>
      </c>
      <c r="K201" s="254">
        <v>47</v>
      </c>
      <c r="L201" s="333">
        <f t="shared" si="261"/>
        <v>2.6111111111111112</v>
      </c>
      <c r="M201" s="336">
        <f t="shared" si="262"/>
        <v>165395508.67532694</v>
      </c>
      <c r="N201" s="254">
        <f>K201*I201</f>
        <v>24261651.406810917</v>
      </c>
      <c r="O201" s="337">
        <f>K201*J201</f>
        <v>34659502.009729885</v>
      </c>
      <c r="P201" s="254">
        <f t="shared" si="263"/>
        <v>9188639.3708514981</v>
      </c>
      <c r="Q201" s="344">
        <f>I201*L201</f>
        <v>1347869.5226006065</v>
      </c>
      <c r="R201" s="344">
        <f t="shared" si="265"/>
        <v>1925527.8894294382</v>
      </c>
      <c r="S201" s="354">
        <f t="shared" si="266"/>
        <v>0.30000000000000004</v>
      </c>
    </row>
    <row r="202" spans="1:19" x14ac:dyDescent="0.25">
      <c r="A202" s="1"/>
      <c r="B202" s="1"/>
      <c r="C202" s="1"/>
      <c r="D202" s="1"/>
      <c r="E202" s="1"/>
      <c r="F202" s="1"/>
      <c r="G202" s="1"/>
      <c r="H202" s="1"/>
      <c r="I202" s="225"/>
      <c r="J202" s="225"/>
      <c r="K202" s="255">
        <f>SUM(K184:K201)</f>
        <v>419</v>
      </c>
      <c r="L202" s="255">
        <v>240</v>
      </c>
      <c r="M202" s="338">
        <f t="shared" ref="M202:P202" si="267">SUM(M184:M201)</f>
        <v>320130175.45574528</v>
      </c>
      <c r="N202" s="339">
        <f t="shared" si="267"/>
        <v>43077410.772139512</v>
      </c>
      <c r="O202" s="340">
        <f t="shared" si="267"/>
        <v>61539158.245913595</v>
      </c>
      <c r="P202" s="255">
        <f t="shared" si="267"/>
        <v>17785009.747541405</v>
      </c>
      <c r="Q202" s="345">
        <f>SUM(Q184:Q201)</f>
        <v>2393189.4873410841</v>
      </c>
      <c r="R202" s="345">
        <f t="shared" ref="R202" si="268">SUM(R184:R201)</f>
        <v>3418842.1247729771</v>
      </c>
      <c r="S202" s="225"/>
    </row>
    <row r="203" spans="1:19" x14ac:dyDescent="0.25">
      <c r="A203" s="11" t="s">
        <v>230</v>
      </c>
      <c r="B203" s="1"/>
      <c r="C203" s="1"/>
      <c r="D203" s="1"/>
      <c r="E203" s="199" t="s">
        <v>231</v>
      </c>
      <c r="F203" s="199"/>
      <c r="G203" s="552" t="s">
        <v>400</v>
      </c>
      <c r="H203" s="552"/>
      <c r="I203" s="225"/>
      <c r="J203" s="225"/>
      <c r="N203" s="225"/>
      <c r="O203" s="225"/>
      <c r="S203" s="225"/>
    </row>
    <row r="204" spans="1:19" x14ac:dyDescent="0.25">
      <c r="A204" s="225"/>
      <c r="B204" s="225"/>
      <c r="C204" s="225"/>
      <c r="D204" s="225"/>
      <c r="E204" s="225"/>
      <c r="G204" s="225"/>
      <c r="H204" s="225"/>
      <c r="I204" s="225"/>
      <c r="J204" s="225" t="s">
        <v>615</v>
      </c>
      <c r="K204" s="363">
        <f>SUM(K184:K186,K198,K200,K201)</f>
        <v>223</v>
      </c>
      <c r="L204" s="225" t="s">
        <v>536</v>
      </c>
      <c r="M204" s="427">
        <f>SUM(M184:M186,M198,M200,M201)</f>
        <v>254236891.22773921</v>
      </c>
      <c r="N204" s="363">
        <f>SUM(N184:N186,N198,N200,N201)</f>
        <v>35295455.79246147</v>
      </c>
      <c r="O204" s="363">
        <f>SUM(O184:O186,O198,O200,O201)</f>
        <v>50422079.703516394</v>
      </c>
      <c r="P204" s="225" t="s">
        <v>536</v>
      </c>
      <c r="Q204" s="363">
        <f>SUM(Q184:Q186,Q198,Q200,Q201)</f>
        <v>1960858.6551367487</v>
      </c>
      <c r="R204" s="363">
        <f>SUM(R184:R186,R198,R200,R201)</f>
        <v>2801226.6501953555</v>
      </c>
      <c r="S204" s="225"/>
    </row>
    <row r="205" spans="1:19" x14ac:dyDescent="0.25">
      <c r="A205" s="450" t="s">
        <v>623</v>
      </c>
      <c r="B205" s="450"/>
      <c r="C205" s="450"/>
      <c r="D205" s="451">
        <v>0.35</v>
      </c>
      <c r="E205" s="450"/>
      <c r="F205" s="450"/>
      <c r="G205" s="450"/>
      <c r="H205" s="450"/>
      <c r="I205" s="450"/>
      <c r="J205" s="450"/>
      <c r="K205" s="450"/>
      <c r="L205" s="450"/>
      <c r="M205" s="450"/>
      <c r="N205" s="450"/>
      <c r="O205" s="450"/>
      <c r="P205" s="450"/>
      <c r="Q205" s="450"/>
      <c r="R205" s="450"/>
      <c r="S205" s="450"/>
    </row>
    <row r="206" spans="1:19" x14ac:dyDescent="0.25">
      <c r="A206" s="196" t="s">
        <v>14</v>
      </c>
      <c r="B206" s="196"/>
      <c r="C206" s="196"/>
      <c r="D206" s="331" t="str">
        <f>HYPERLINK("#"&amp;ADDRESS(1,1,,,"MASTER"),"M &lt;=")</f>
        <v>M &lt;=</v>
      </c>
      <c r="E206" s="444" t="s">
        <v>229</v>
      </c>
      <c r="F206" s="444" t="s">
        <v>229</v>
      </c>
      <c r="G206" s="544" t="s">
        <v>44</v>
      </c>
      <c r="H206" s="544"/>
      <c r="I206" s="547" t="s">
        <v>454</v>
      </c>
      <c r="J206" s="547"/>
      <c r="K206" s="445" t="s">
        <v>405</v>
      </c>
      <c r="L206" s="445" t="s">
        <v>517</v>
      </c>
      <c r="M206" s="449" t="s">
        <v>459</v>
      </c>
      <c r="N206" s="550" t="s">
        <v>458</v>
      </c>
      <c r="O206" s="551"/>
      <c r="P206" s="445" t="s">
        <v>518</v>
      </c>
      <c r="Q206" s="553" t="s">
        <v>522</v>
      </c>
      <c r="R206" s="553"/>
      <c r="S206" s="446" t="s">
        <v>523</v>
      </c>
    </row>
    <row r="207" spans="1:19" x14ac:dyDescent="0.25">
      <c r="A207" s="198"/>
      <c r="B207" s="198"/>
      <c r="C207" s="198"/>
      <c r="D207" s="198"/>
      <c r="E207" s="448" t="s">
        <v>627</v>
      </c>
      <c r="F207" s="448" t="s">
        <v>628</v>
      </c>
      <c r="G207" s="448" t="s">
        <v>7</v>
      </c>
      <c r="H207" s="448" t="s">
        <v>6</v>
      </c>
      <c r="I207" s="448" t="s">
        <v>7</v>
      </c>
      <c r="J207" s="448" t="s">
        <v>6</v>
      </c>
      <c r="K207" s="448" t="s">
        <v>455</v>
      </c>
      <c r="L207" s="448" t="s">
        <v>455</v>
      </c>
      <c r="M207" s="447" t="s">
        <v>627</v>
      </c>
      <c r="N207" s="448" t="s">
        <v>7</v>
      </c>
      <c r="O207" s="269" t="s">
        <v>6</v>
      </c>
      <c r="P207" s="448" t="s">
        <v>629</v>
      </c>
      <c r="Q207" s="341" t="s">
        <v>7</v>
      </c>
      <c r="R207" s="341" t="s">
        <v>6</v>
      </c>
      <c r="S207" s="446" t="s">
        <v>524</v>
      </c>
    </row>
    <row r="208" spans="1:19" x14ac:dyDescent="0.25">
      <c r="A208" s="3">
        <v>1</v>
      </c>
      <c r="B208" s="3" t="s">
        <v>11</v>
      </c>
      <c r="C208" s="3"/>
      <c r="D208" s="3"/>
      <c r="E208" s="444"/>
      <c r="F208" s="444"/>
      <c r="G208" s="3"/>
      <c r="H208" s="3"/>
      <c r="I208" s="3"/>
      <c r="J208" s="3"/>
      <c r="K208" s="3"/>
      <c r="L208" s="3"/>
      <c r="M208" s="264"/>
      <c r="N208" s="190"/>
      <c r="O208" s="265"/>
      <c r="P208" s="190"/>
      <c r="Q208" s="342"/>
      <c r="R208" s="342"/>
      <c r="S208" s="352"/>
    </row>
    <row r="209" spans="1:19" x14ac:dyDescent="0.25">
      <c r="A209" s="7"/>
      <c r="B209" s="7" t="s">
        <v>9</v>
      </c>
      <c r="C209" s="7" t="s">
        <v>16</v>
      </c>
      <c r="D209" s="7" t="s">
        <v>31</v>
      </c>
      <c r="E209" s="253">
        <f>1000*D_device_values!$Q$4*(1/D_currency_conversion!$H$7)*D_currency_conversion!$H$6</f>
        <v>849913.18946918368</v>
      </c>
      <c r="F209" s="253">
        <f>E209*D_currency_conversion!$I$12*D_currency_conversion!$J$12</f>
        <v>997381.25631597533</v>
      </c>
      <c r="G209" s="188">
        <f>D_device_lifecycles!$X$4</f>
        <v>7.5</v>
      </c>
      <c r="H209" s="188">
        <f>G209*(1-$D$205)</f>
        <v>4.875</v>
      </c>
      <c r="I209" s="253">
        <f>$F209/G209</f>
        <v>132984.1675087967</v>
      </c>
      <c r="J209" s="253">
        <f>$F209/H209</f>
        <v>204591.02693661032</v>
      </c>
      <c r="K209" s="253">
        <v>11</v>
      </c>
      <c r="L209" s="259">
        <f>K209/18</f>
        <v>0.61111111111111116</v>
      </c>
      <c r="M209" s="334">
        <f>K209*E209</f>
        <v>9349045.0841610208</v>
      </c>
      <c r="N209" s="253">
        <f>K209*I209</f>
        <v>1462825.8425967637</v>
      </c>
      <c r="O209" s="335">
        <f>K209*J209</f>
        <v>2250501.2963027135</v>
      </c>
      <c r="P209" s="253">
        <f>L209*E209</f>
        <v>519391.3935645012</v>
      </c>
      <c r="Q209" s="343">
        <f>I209*L209</f>
        <v>81268.102366486884</v>
      </c>
      <c r="R209" s="343">
        <f>L209*J209</f>
        <v>125027.8497945952</v>
      </c>
      <c r="S209" s="353">
        <f>(G209-H209)/G209</f>
        <v>0.35</v>
      </c>
    </row>
    <row r="210" spans="1:19" x14ac:dyDescent="0.25">
      <c r="A210" s="7"/>
      <c r="B210" s="7" t="s">
        <v>10</v>
      </c>
      <c r="C210" s="7" t="s">
        <v>17</v>
      </c>
      <c r="D210" s="7" t="s">
        <v>32</v>
      </c>
      <c r="E210" s="253">
        <f>1000*D_device_values!$Q$5*(1/D_currency_conversion!$H$7)*D_currency_conversion!$H$6</f>
        <v>64714.20224384647</v>
      </c>
      <c r="F210" s="253">
        <f>E210*D_currency_conversion!$I$12*D_currency_conversion!$J$12</f>
        <v>75942.735252485436</v>
      </c>
      <c r="G210" s="188">
        <f>D_device_lifecycles!$X$5</f>
        <v>9</v>
      </c>
      <c r="H210" s="188">
        <f t="shared" ref="H210:H226" si="269">G210*(1-$D$205)</f>
        <v>5.8500000000000005</v>
      </c>
      <c r="I210" s="253">
        <f t="shared" ref="I210:I211" si="270">$F210/G210</f>
        <v>8438.081694720604</v>
      </c>
      <c r="J210" s="253">
        <f t="shared" ref="J210:J211" si="271">$F210/H210</f>
        <v>12981.664145724006</v>
      </c>
      <c r="K210" s="253">
        <v>53</v>
      </c>
      <c r="L210" s="259">
        <f t="shared" ref="L210:L211" si="272">K210/18</f>
        <v>2.9444444444444446</v>
      </c>
      <c r="M210" s="334">
        <f t="shared" ref="M210:M211" si="273">K210*E210</f>
        <v>3429852.718923863</v>
      </c>
      <c r="N210" s="253">
        <f>K210*I210</f>
        <v>447218.32982019201</v>
      </c>
      <c r="O210" s="335">
        <f>K210*J210</f>
        <v>688028.19972337235</v>
      </c>
      <c r="P210" s="253">
        <f t="shared" ref="P210:P211" si="274">L210*E210</f>
        <v>190547.37327354794</v>
      </c>
      <c r="Q210" s="343">
        <f>I210*L210</f>
        <v>24845.462767788445</v>
      </c>
      <c r="R210" s="343">
        <f>L210*J210</f>
        <v>38223.788873520687</v>
      </c>
      <c r="S210" s="353">
        <f t="shared" ref="S210:S211" si="275">(G210-H210)/G210</f>
        <v>0.34999999999999992</v>
      </c>
    </row>
    <row r="211" spans="1:19" x14ac:dyDescent="0.25">
      <c r="A211" s="7"/>
      <c r="B211" s="7" t="s">
        <v>15</v>
      </c>
      <c r="C211" s="7" t="s">
        <v>18</v>
      </c>
      <c r="D211" s="7" t="s">
        <v>33</v>
      </c>
      <c r="E211" s="253">
        <f>1000*D_device_values!$Q$6*(1/D_currency_conversion!$H$7)*D_currency_conversion!$H$6</f>
        <v>207085.44718030869</v>
      </c>
      <c r="F211" s="253">
        <f>E211*D_currency_conversion!$I$12*D_currency_conversion!$J$12</f>
        <v>243016.75280795337</v>
      </c>
      <c r="G211" s="188">
        <f>D_device_lifecycles!$X$6</f>
        <v>10</v>
      </c>
      <c r="H211" s="188">
        <f t="shared" si="269"/>
        <v>6.5</v>
      </c>
      <c r="I211" s="253">
        <f t="shared" si="270"/>
        <v>24301.675280795338</v>
      </c>
      <c r="J211" s="253">
        <f t="shared" si="271"/>
        <v>37387.192739685132</v>
      </c>
      <c r="K211" s="253">
        <v>41</v>
      </c>
      <c r="L211" s="259">
        <f t="shared" si="272"/>
        <v>2.2777777777777777</v>
      </c>
      <c r="M211" s="334">
        <f t="shared" si="273"/>
        <v>8490503.3343926556</v>
      </c>
      <c r="N211" s="253">
        <f>K211*I211</f>
        <v>996368.6865126089</v>
      </c>
      <c r="O211" s="335">
        <f>K211*J211</f>
        <v>1532874.9023270905</v>
      </c>
      <c r="P211" s="253">
        <f t="shared" si="274"/>
        <v>471694.62968848087</v>
      </c>
      <c r="Q211" s="343">
        <f>I211*L211</f>
        <v>55353.815917367159</v>
      </c>
      <c r="R211" s="343">
        <f>L211*J211</f>
        <v>85159.716795949469</v>
      </c>
      <c r="S211" s="353">
        <f t="shared" si="275"/>
        <v>0.35</v>
      </c>
    </row>
    <row r="212" spans="1:19" x14ac:dyDescent="0.25">
      <c r="A212" s="190">
        <v>2</v>
      </c>
      <c r="B212" s="190" t="s">
        <v>43</v>
      </c>
      <c r="C212" s="190"/>
      <c r="D212" s="190"/>
      <c r="E212" s="456"/>
      <c r="F212" s="253"/>
      <c r="G212" s="188"/>
      <c r="H212" s="188"/>
      <c r="I212" s="253"/>
      <c r="J212" s="253"/>
      <c r="K212" s="253"/>
      <c r="L212" s="253"/>
      <c r="M212" s="334"/>
      <c r="N212" s="253"/>
      <c r="O212" s="335"/>
      <c r="P212" s="253"/>
      <c r="Q212" s="343"/>
      <c r="R212" s="343"/>
      <c r="S212" s="353"/>
    </row>
    <row r="213" spans="1:19" x14ac:dyDescent="0.25">
      <c r="A213" s="7"/>
      <c r="B213" s="7" t="s">
        <v>9</v>
      </c>
      <c r="C213" s="7" t="s">
        <v>19</v>
      </c>
      <c r="D213" s="7" t="s">
        <v>34</v>
      </c>
      <c r="E213" s="253">
        <f>1000*D_device_values!$Q$8*(1/D_currency_conversion!$H$7)*D_currency_conversion!$H$6</f>
        <v>173469.52185035453</v>
      </c>
      <c r="F213" s="253">
        <f>E213*D_currency_conversion!$I$12*D_currency_conversion!$J$12</f>
        <v>203568.14293433359</v>
      </c>
      <c r="G213" s="188">
        <f>D_device_lifecycles!$X$8</f>
        <v>10</v>
      </c>
      <c r="H213" s="188">
        <f t="shared" si="269"/>
        <v>6.5</v>
      </c>
      <c r="I213" s="253">
        <f t="shared" ref="I213:I214" si="276">$F213/G213</f>
        <v>20356.814293433359</v>
      </c>
      <c r="J213" s="253">
        <f t="shared" ref="J213" si="277">$F213/H213</f>
        <v>31318.175836051323</v>
      </c>
      <c r="K213" s="253">
        <v>22</v>
      </c>
      <c r="L213" s="259">
        <f t="shared" ref="L213:L214" si="278">K213/18</f>
        <v>1.2222222222222223</v>
      </c>
      <c r="M213" s="334">
        <f t="shared" ref="M213:M214" si="279">K213*E213</f>
        <v>3816329.4807077996</v>
      </c>
      <c r="N213" s="253">
        <f>K213*I213</f>
        <v>447849.9144555339</v>
      </c>
      <c r="O213" s="335">
        <f>K213*J213</f>
        <v>688999.86839312909</v>
      </c>
      <c r="P213" s="253">
        <f t="shared" ref="P213:P214" si="280">L213*E213</f>
        <v>212018.30448376667</v>
      </c>
      <c r="Q213" s="343">
        <f t="shared" ref="Q213:Q214" si="281">I213*L213</f>
        <v>24880.550803085218</v>
      </c>
      <c r="R213" s="343">
        <f t="shared" ref="R213:R214" si="282">L213*J213</f>
        <v>38277.77046628495</v>
      </c>
      <c r="S213" s="353">
        <f t="shared" ref="S213:S214" si="283">(G213-H213)/G213</f>
        <v>0.35</v>
      </c>
    </row>
    <row r="214" spans="1:19" x14ac:dyDescent="0.25">
      <c r="A214" s="7"/>
      <c r="B214" s="7" t="s">
        <v>10</v>
      </c>
      <c r="C214" s="7" t="s">
        <v>20</v>
      </c>
      <c r="D214" s="7" t="s">
        <v>34</v>
      </c>
      <c r="E214" s="253">
        <f>1000*D_device_values!$Q$9*(1/D_currency_conversion!$H$7)*D_currency_conversion!$H$6</f>
        <v>173732.7429469417</v>
      </c>
      <c r="F214" s="253">
        <f>E214*D_currency_conversion!$I$12*D_currency_conversion!$J$12</f>
        <v>203877.03540859552</v>
      </c>
      <c r="G214" s="188">
        <f>D_device_lifecycles!$X$9</f>
        <v>11</v>
      </c>
      <c r="H214" s="188">
        <f t="shared" si="269"/>
        <v>7.15</v>
      </c>
      <c r="I214" s="253">
        <f t="shared" si="276"/>
        <v>18534.275946235957</v>
      </c>
      <c r="J214" s="253">
        <f>$F214/H214</f>
        <v>28514.270686516855</v>
      </c>
      <c r="K214" s="253">
        <v>22</v>
      </c>
      <c r="L214" s="259">
        <f t="shared" si="278"/>
        <v>1.2222222222222223</v>
      </c>
      <c r="M214" s="334">
        <f t="shared" si="279"/>
        <v>3822120.3448327174</v>
      </c>
      <c r="N214" s="253">
        <f>K214*I214</f>
        <v>407754.07081719104</v>
      </c>
      <c r="O214" s="335">
        <f>K214*J214</f>
        <v>627313.95510337083</v>
      </c>
      <c r="P214" s="253">
        <f t="shared" si="280"/>
        <v>212340.0191573732</v>
      </c>
      <c r="Q214" s="343">
        <f t="shared" si="281"/>
        <v>22653.003934288394</v>
      </c>
      <c r="R214" s="343">
        <f t="shared" si="282"/>
        <v>34850.775283520605</v>
      </c>
      <c r="S214" s="353">
        <f t="shared" si="283"/>
        <v>0.35</v>
      </c>
    </row>
    <row r="215" spans="1:19" x14ac:dyDescent="0.25">
      <c r="A215" s="190">
        <v>3</v>
      </c>
      <c r="B215" s="190" t="s">
        <v>42</v>
      </c>
      <c r="C215" s="190"/>
      <c r="D215" s="190"/>
      <c r="E215" s="456"/>
      <c r="F215" s="253"/>
      <c r="G215" s="188"/>
      <c r="H215" s="188"/>
      <c r="I215" s="253"/>
      <c r="J215" s="253"/>
      <c r="K215" s="253"/>
      <c r="L215" s="253"/>
      <c r="M215" s="334"/>
      <c r="N215" s="253"/>
      <c r="O215" s="335"/>
      <c r="P215" s="253"/>
      <c r="Q215" s="343"/>
      <c r="R215" s="343"/>
      <c r="S215" s="353"/>
    </row>
    <row r="216" spans="1:19" x14ac:dyDescent="0.25">
      <c r="A216" s="7"/>
      <c r="B216" s="7" t="s">
        <v>9</v>
      </c>
      <c r="C216" s="7" t="s">
        <v>24</v>
      </c>
      <c r="D216" s="7" t="s">
        <v>35</v>
      </c>
      <c r="E216" s="253">
        <f>1000*D_device_values!$Q$11*(1/D_currency_conversion!$H$7)*D_currency_conversion!$H$6</f>
        <v>1064482.5920110256</v>
      </c>
      <c r="F216" s="253">
        <f>E216*D_currency_conversion!$I$12*D_currency_conversion!$J$12</f>
        <v>1249180.502316393</v>
      </c>
      <c r="G216" s="188">
        <f>D_device_lifecycles!$X$11</f>
        <v>10</v>
      </c>
      <c r="H216" s="188">
        <f t="shared" si="269"/>
        <v>6.5</v>
      </c>
      <c r="I216" s="253">
        <f t="shared" ref="I216:I221" si="284">$F216/G216</f>
        <v>124918.0502316393</v>
      </c>
      <c r="J216" s="253">
        <f t="shared" ref="J216:J221" si="285">$F216/H216</f>
        <v>192181.61574098354</v>
      </c>
      <c r="K216" s="253">
        <v>4</v>
      </c>
      <c r="L216" s="259">
        <f t="shared" ref="L216:L221" si="286">K216/18</f>
        <v>0.22222222222222221</v>
      </c>
      <c r="M216" s="334">
        <f t="shared" ref="M216:M221" si="287">K216*E216</f>
        <v>4257930.3680441026</v>
      </c>
      <c r="N216" s="253">
        <f t="shared" ref="N216:N221" si="288">K216*I216</f>
        <v>499672.20092655718</v>
      </c>
      <c r="O216" s="335">
        <f t="shared" ref="O216:O221" si="289">K216*J216</f>
        <v>768726.46296393417</v>
      </c>
      <c r="P216" s="253">
        <f t="shared" ref="P216:P221" si="290">L216*E216</f>
        <v>236551.68711356123</v>
      </c>
      <c r="Q216" s="343">
        <f t="shared" ref="Q216:Q221" si="291">I216*L216</f>
        <v>27759.566718142065</v>
      </c>
      <c r="R216" s="343">
        <f t="shared" ref="R216:R221" si="292">L216*J216</f>
        <v>42707.02572021856</v>
      </c>
      <c r="S216" s="353">
        <f t="shared" ref="S216:S221" si="293">(G216-H216)/G216</f>
        <v>0.35</v>
      </c>
    </row>
    <row r="217" spans="1:19" x14ac:dyDescent="0.25">
      <c r="A217" s="7"/>
      <c r="B217" s="7" t="s">
        <v>10</v>
      </c>
      <c r="C217" s="7" t="s">
        <v>25</v>
      </c>
      <c r="D217" s="7" t="s">
        <v>36</v>
      </c>
      <c r="E217" s="253">
        <f>1000*D_device_values!$Q$12*(1/D_currency_conversion!$H$7)*D_currency_conversion!$H$6</f>
        <v>362399.53256554028</v>
      </c>
      <c r="F217" s="253">
        <f>E217*D_currency_conversion!$I$12*D_currency_conversion!$J$12</f>
        <v>425279.31741391844</v>
      </c>
      <c r="G217" s="188">
        <f>D_device_lifecycles!$X$12</f>
        <v>9</v>
      </c>
      <c r="H217" s="188">
        <f t="shared" si="269"/>
        <v>5.8500000000000005</v>
      </c>
      <c r="I217" s="253">
        <f t="shared" si="284"/>
        <v>47253.257490435382</v>
      </c>
      <c r="J217" s="253">
        <f t="shared" si="285"/>
        <v>72697.319216054428</v>
      </c>
      <c r="K217" s="253">
        <v>13</v>
      </c>
      <c r="L217" s="259">
        <f t="shared" si="286"/>
        <v>0.72222222222222221</v>
      </c>
      <c r="M217" s="334">
        <f t="shared" si="287"/>
        <v>4711193.9233520236</v>
      </c>
      <c r="N217" s="253">
        <f t="shared" si="288"/>
        <v>614292.34737565997</v>
      </c>
      <c r="O217" s="335">
        <f t="shared" si="289"/>
        <v>945065.14980870753</v>
      </c>
      <c r="P217" s="253">
        <f t="shared" si="290"/>
        <v>261732.9957417791</v>
      </c>
      <c r="Q217" s="343">
        <f t="shared" si="291"/>
        <v>34127.352631981106</v>
      </c>
      <c r="R217" s="343">
        <f t="shared" si="292"/>
        <v>52503.619433817083</v>
      </c>
      <c r="S217" s="353">
        <f t="shared" si="293"/>
        <v>0.34999999999999992</v>
      </c>
    </row>
    <row r="218" spans="1:19" x14ac:dyDescent="0.25">
      <c r="A218" s="7"/>
      <c r="B218" s="7" t="s">
        <v>15</v>
      </c>
      <c r="C218" s="7" t="s">
        <v>26</v>
      </c>
      <c r="D218" s="7" t="s">
        <v>37</v>
      </c>
      <c r="E218" s="253">
        <f>1000*D_device_values!$Q$13*(1/D_currency_conversion!$H$7)*D_currency_conversion!$H$6</f>
        <v>369662.42145046114</v>
      </c>
      <c r="F218" s="253">
        <f>E218*D_currency_conversion!$I$12*D_currency_conversion!$J$12</f>
        <v>433802.38698182325</v>
      </c>
      <c r="G218" s="188">
        <f>D_device_lifecycles!$X$13</f>
        <v>7</v>
      </c>
      <c r="H218" s="188">
        <f t="shared" si="269"/>
        <v>4.55</v>
      </c>
      <c r="I218" s="253">
        <f t="shared" si="284"/>
        <v>61971.769568831893</v>
      </c>
      <c r="J218" s="253">
        <f t="shared" si="285"/>
        <v>95341.183952049076</v>
      </c>
      <c r="K218" s="253">
        <v>19</v>
      </c>
      <c r="L218" s="259">
        <f t="shared" si="286"/>
        <v>1.0555555555555556</v>
      </c>
      <c r="M218" s="334">
        <f t="shared" si="287"/>
        <v>7023586.0075587621</v>
      </c>
      <c r="N218" s="253">
        <f t="shared" si="288"/>
        <v>1177463.621807806</v>
      </c>
      <c r="O218" s="335">
        <f t="shared" si="289"/>
        <v>1811482.4950889323</v>
      </c>
      <c r="P218" s="253">
        <f t="shared" si="290"/>
        <v>390199.22264215344</v>
      </c>
      <c r="Q218" s="343">
        <f t="shared" si="291"/>
        <v>65414.645655989225</v>
      </c>
      <c r="R218" s="343">
        <f t="shared" si="292"/>
        <v>100637.91639382958</v>
      </c>
      <c r="S218" s="353">
        <f t="shared" si="293"/>
        <v>0.35000000000000003</v>
      </c>
    </row>
    <row r="219" spans="1:19" x14ac:dyDescent="0.25">
      <c r="A219" s="7"/>
      <c r="B219" s="7" t="s">
        <v>21</v>
      </c>
      <c r="C219" s="7" t="s">
        <v>27</v>
      </c>
      <c r="D219" s="7" t="s">
        <v>38</v>
      </c>
      <c r="E219" s="253">
        <f>1000*D_device_values!$Q$14*(1/D_currency_conversion!$H$7)*D_currency_conversion!$H$6</f>
        <v>116485.56403892365</v>
      </c>
      <c r="F219" s="253">
        <f>E219*D_currency_conversion!$I$12*D_currency_conversion!$J$12</f>
        <v>136696.92345447378</v>
      </c>
      <c r="G219" s="188">
        <f>D_device_lifecycles!$X$14</f>
        <v>8</v>
      </c>
      <c r="H219" s="188">
        <f t="shared" si="269"/>
        <v>5.2</v>
      </c>
      <c r="I219" s="253">
        <f t="shared" si="284"/>
        <v>17087.115431809223</v>
      </c>
      <c r="J219" s="253">
        <f t="shared" si="285"/>
        <v>26287.869895091113</v>
      </c>
      <c r="K219" s="253">
        <v>60</v>
      </c>
      <c r="L219" s="259">
        <f t="shared" si="286"/>
        <v>3.3333333333333335</v>
      </c>
      <c r="M219" s="334">
        <f t="shared" si="287"/>
        <v>6989133.8423354188</v>
      </c>
      <c r="N219" s="253">
        <f t="shared" si="288"/>
        <v>1025226.9259085534</v>
      </c>
      <c r="O219" s="335">
        <f t="shared" si="289"/>
        <v>1577272.1937054668</v>
      </c>
      <c r="P219" s="253">
        <f t="shared" si="290"/>
        <v>388285.21346307884</v>
      </c>
      <c r="Q219" s="343">
        <f t="shared" si="291"/>
        <v>56957.051439364077</v>
      </c>
      <c r="R219" s="343">
        <f t="shared" si="292"/>
        <v>87626.232983637048</v>
      </c>
      <c r="S219" s="353">
        <f t="shared" si="293"/>
        <v>0.35</v>
      </c>
    </row>
    <row r="220" spans="1:19" x14ac:dyDescent="0.25">
      <c r="A220" s="7"/>
      <c r="B220" s="7" t="s">
        <v>22</v>
      </c>
      <c r="C220" s="7" t="s">
        <v>28</v>
      </c>
      <c r="D220" s="7" t="s">
        <v>39</v>
      </c>
      <c r="E220" s="253">
        <f>1000*D_device_values!$Q$15*(1/D_currency_conversion!$H$7)*D_currency_conversion!$H$6</f>
        <v>253752.59020685713</v>
      </c>
      <c r="F220" s="253">
        <f>E220*D_currency_conversion!$I$12*D_currency_conversion!$J$12</f>
        <v>297781.09146890056</v>
      </c>
      <c r="G220" s="188">
        <f>D_device_lifecycles!$X$15</f>
        <v>12</v>
      </c>
      <c r="H220" s="188">
        <f t="shared" si="269"/>
        <v>7.8000000000000007</v>
      </c>
      <c r="I220" s="253">
        <f t="shared" si="284"/>
        <v>24815.090955741714</v>
      </c>
      <c r="J220" s="253">
        <f t="shared" si="285"/>
        <v>38177.0630088334</v>
      </c>
      <c r="K220" s="253">
        <v>21</v>
      </c>
      <c r="L220" s="259">
        <f t="shared" si="286"/>
        <v>1.1666666666666667</v>
      </c>
      <c r="M220" s="334">
        <f t="shared" si="287"/>
        <v>5328804.3943440001</v>
      </c>
      <c r="N220" s="253">
        <f t="shared" si="288"/>
        <v>521116.91007057601</v>
      </c>
      <c r="O220" s="335">
        <f t="shared" si="289"/>
        <v>801718.32318550139</v>
      </c>
      <c r="P220" s="253">
        <f t="shared" si="290"/>
        <v>296044.68857466668</v>
      </c>
      <c r="Q220" s="343">
        <f t="shared" si="291"/>
        <v>28950.939448365334</v>
      </c>
      <c r="R220" s="343">
        <f t="shared" si="292"/>
        <v>44539.906843638972</v>
      </c>
      <c r="S220" s="353">
        <f t="shared" si="293"/>
        <v>0.34999999999999992</v>
      </c>
    </row>
    <row r="221" spans="1:19" x14ac:dyDescent="0.25">
      <c r="A221" s="7"/>
      <c r="B221" s="7" t="s">
        <v>23</v>
      </c>
      <c r="C221" s="7" t="s">
        <v>29</v>
      </c>
      <c r="D221" s="7" t="s">
        <v>40</v>
      </c>
      <c r="E221" s="253">
        <f>1000*D_device_values!$Q$16*(1/D_currency_conversion!$H$7)*D_currency_conversion!$H$6</f>
        <v>869019.28727450978</v>
      </c>
      <c r="F221" s="253">
        <f>E221*D_currency_conversion!$I$12*D_currency_conversion!$J$12</f>
        <v>1019802.4448190901</v>
      </c>
      <c r="G221" s="188">
        <f>D_device_lifecycles!$X$16</f>
        <v>15</v>
      </c>
      <c r="H221" s="188">
        <f t="shared" si="269"/>
        <v>9.75</v>
      </c>
      <c r="I221" s="253">
        <f t="shared" si="284"/>
        <v>67986.829654606001</v>
      </c>
      <c r="J221" s="253">
        <f t="shared" si="285"/>
        <v>104595.1225455477</v>
      </c>
      <c r="K221" s="253">
        <v>18</v>
      </c>
      <c r="L221" s="259">
        <f t="shared" si="286"/>
        <v>1</v>
      </c>
      <c r="M221" s="334">
        <f t="shared" si="287"/>
        <v>15642347.170941176</v>
      </c>
      <c r="N221" s="253">
        <f t="shared" si="288"/>
        <v>1223762.9337829081</v>
      </c>
      <c r="O221" s="335">
        <f t="shared" si="289"/>
        <v>1882712.2058198585</v>
      </c>
      <c r="P221" s="253">
        <f t="shared" si="290"/>
        <v>869019.28727450978</v>
      </c>
      <c r="Q221" s="343">
        <f t="shared" si="291"/>
        <v>67986.829654606001</v>
      </c>
      <c r="R221" s="343">
        <f t="shared" si="292"/>
        <v>104595.1225455477</v>
      </c>
      <c r="S221" s="353">
        <f t="shared" si="293"/>
        <v>0.35</v>
      </c>
    </row>
    <row r="222" spans="1:19" x14ac:dyDescent="0.25">
      <c r="A222" s="190">
        <v>4</v>
      </c>
      <c r="B222" s="190" t="s">
        <v>2</v>
      </c>
      <c r="C222" s="190"/>
      <c r="D222" s="190"/>
      <c r="E222" s="456"/>
      <c r="F222" s="253"/>
      <c r="G222" s="188"/>
      <c r="H222" s="188"/>
      <c r="I222" s="253"/>
      <c r="J222" s="253"/>
      <c r="K222" s="253"/>
      <c r="L222" s="253"/>
      <c r="M222" s="334"/>
      <c r="N222" s="253"/>
      <c r="O222" s="335"/>
      <c r="P222" s="253"/>
      <c r="Q222" s="343"/>
      <c r="R222" s="343"/>
      <c r="S222" s="353"/>
    </row>
    <row r="223" spans="1:19" x14ac:dyDescent="0.25">
      <c r="A223" s="7"/>
      <c r="B223" s="7" t="s">
        <v>9</v>
      </c>
      <c r="C223" s="7" t="s">
        <v>8</v>
      </c>
      <c r="D223" s="7" t="s">
        <v>5</v>
      </c>
      <c r="E223" s="253">
        <f>1000*D_device_values!$Q$18*(1/D_currency_conversion!$H$7)*D_currency_conversion!$H$6</f>
        <v>320982.44312947843</v>
      </c>
      <c r="F223" s="253">
        <f>E223*D_currency_conversion!$I$12*D_currency_conversion!$J$12</f>
        <v>376675.96685232763</v>
      </c>
      <c r="G223" s="188">
        <f>D_device_lifecycles!$X$18</f>
        <v>8</v>
      </c>
      <c r="H223" s="188">
        <f t="shared" si="269"/>
        <v>5.2</v>
      </c>
      <c r="I223" s="253">
        <f t="shared" ref="I223:I226" si="294">$F223/G223</f>
        <v>47084.495856540954</v>
      </c>
      <c r="J223" s="253">
        <f t="shared" ref="J223:J226" si="295">$F223/H223</f>
        <v>72437.685933139932</v>
      </c>
      <c r="K223" s="253">
        <v>21</v>
      </c>
      <c r="L223" s="259">
        <f t="shared" ref="L223:L226" si="296">K223/18</f>
        <v>1.1666666666666667</v>
      </c>
      <c r="M223" s="334">
        <f t="shared" ref="M223:M226" si="297">K223*E223</f>
        <v>6740631.3057190469</v>
      </c>
      <c r="N223" s="253">
        <f>K223*I223</f>
        <v>988774.41298736003</v>
      </c>
      <c r="O223" s="335">
        <f>K223*J223</f>
        <v>1521191.4045959385</v>
      </c>
      <c r="P223" s="253">
        <f t="shared" ref="P223:P226" si="298">L223*E223</f>
        <v>374479.51698439155</v>
      </c>
      <c r="Q223" s="343">
        <f t="shared" ref="Q223:Q224" si="299">I223*L223</f>
        <v>54931.911832631115</v>
      </c>
      <c r="R223" s="343">
        <f t="shared" ref="R223:R226" si="300">L223*J223</f>
        <v>84510.633588663259</v>
      </c>
      <c r="S223" s="353">
        <f t="shared" ref="S223:S226" si="301">(G223-H223)/G223</f>
        <v>0.35</v>
      </c>
    </row>
    <row r="224" spans="1:19" x14ac:dyDescent="0.25">
      <c r="A224" s="7"/>
      <c r="B224" s="7" t="s">
        <v>10</v>
      </c>
      <c r="C224" s="7" t="s">
        <v>30</v>
      </c>
      <c r="D224" s="7" t="s">
        <v>41</v>
      </c>
      <c r="E224" s="253">
        <f>1000*D_device_values!$Q$19*(1/D_currency_conversion!$H$7)*D_currency_conversion!$H$6</f>
        <v>841284.62917000416</v>
      </c>
      <c r="F224" s="253">
        <f>E224*D_currency_conversion!$I$12*D_currency_conversion!$J$12</f>
        <v>987255.55828231061</v>
      </c>
      <c r="G224" s="188">
        <f>D_device_lifecycles!$X$19</f>
        <v>9</v>
      </c>
      <c r="H224" s="188">
        <f t="shared" si="269"/>
        <v>5.8500000000000005</v>
      </c>
      <c r="I224" s="253">
        <f t="shared" si="294"/>
        <v>109695.06203136785</v>
      </c>
      <c r="J224" s="253">
        <f t="shared" si="295"/>
        <v>168761.63389441205</v>
      </c>
      <c r="K224" s="253">
        <v>17</v>
      </c>
      <c r="L224" s="259">
        <f t="shared" si="296"/>
        <v>0.94444444444444442</v>
      </c>
      <c r="M224" s="334">
        <f t="shared" si="297"/>
        <v>14301838.695890071</v>
      </c>
      <c r="N224" s="253">
        <f>K224*I224</f>
        <v>1864816.0545332534</v>
      </c>
      <c r="O224" s="335">
        <f>K224*J224</f>
        <v>2868947.7762050047</v>
      </c>
      <c r="P224" s="253">
        <f t="shared" si="298"/>
        <v>794546.59421611507</v>
      </c>
      <c r="Q224" s="343">
        <f t="shared" si="299"/>
        <v>103600.89191851408</v>
      </c>
      <c r="R224" s="343">
        <f t="shared" si="300"/>
        <v>159385.98756694471</v>
      </c>
      <c r="S224" s="353">
        <f t="shared" si="301"/>
        <v>0.34999999999999992</v>
      </c>
    </row>
    <row r="225" spans="1:19" x14ac:dyDescent="0.25">
      <c r="A225" s="190">
        <v>5</v>
      </c>
      <c r="B225" s="190" t="s">
        <v>12</v>
      </c>
      <c r="C225" s="190"/>
      <c r="D225" s="191" t="s">
        <v>4</v>
      </c>
      <c r="E225" s="253">
        <f>1000*D_device_values!$Q$20*(1/D_currency_conversion!$H$7)*D_currency_conversion!$H$6</f>
        <v>1216627.0021843137</v>
      </c>
      <c r="F225" s="253">
        <f>E225*D_currency_conversion!$I$12*D_currency_conversion!$J$12</f>
        <v>1427723.4227467263</v>
      </c>
      <c r="G225" s="188">
        <f>D_device_lifecycles!$X$20</f>
        <v>10</v>
      </c>
      <c r="H225" s="188">
        <f t="shared" si="269"/>
        <v>6.5</v>
      </c>
      <c r="I225" s="253">
        <f t="shared" si="294"/>
        <v>142772.34227467264</v>
      </c>
      <c r="J225" s="253">
        <f t="shared" si="295"/>
        <v>219649.7573456502</v>
      </c>
      <c r="K225" s="253">
        <v>50</v>
      </c>
      <c r="L225" s="259">
        <f t="shared" si="296"/>
        <v>2.7777777777777777</v>
      </c>
      <c r="M225" s="334">
        <f t="shared" si="297"/>
        <v>60831350.109215684</v>
      </c>
      <c r="N225" s="253">
        <f>K225*I225</f>
        <v>7138617.1137336325</v>
      </c>
      <c r="O225" s="335">
        <f>K225*J225</f>
        <v>10982487.86728251</v>
      </c>
      <c r="P225" s="253">
        <f t="shared" si="298"/>
        <v>3379519.4505119827</v>
      </c>
      <c r="Q225" s="343">
        <f>I225*L225</f>
        <v>396589.83965186845</v>
      </c>
      <c r="R225" s="343">
        <f t="shared" si="300"/>
        <v>610138.21484902827</v>
      </c>
      <c r="S225" s="353">
        <f t="shared" si="301"/>
        <v>0.35</v>
      </c>
    </row>
    <row r="226" spans="1:19" x14ac:dyDescent="0.25">
      <c r="A226" s="192">
        <v>6</v>
      </c>
      <c r="B226" s="192" t="s">
        <v>13</v>
      </c>
      <c r="C226" s="192"/>
      <c r="D226" s="193" t="s">
        <v>3</v>
      </c>
      <c r="E226" s="254">
        <f>1000*D_device_values!$Q$21*(1/D_currency_conversion!$H$7)*D_currency_conversion!$H$6</f>
        <v>3519053.3760707863</v>
      </c>
      <c r="F226" s="254">
        <f>E226*D_currency_conversion!$I$12*D_currency_conversion!$J$12</f>
        <v>4129642.792648667</v>
      </c>
      <c r="G226" s="194">
        <f>D_device_lifecycles!$X$21</f>
        <v>8</v>
      </c>
      <c r="H226" s="188">
        <f t="shared" si="269"/>
        <v>5.2</v>
      </c>
      <c r="I226" s="254">
        <f t="shared" si="294"/>
        <v>516205.34908108338</v>
      </c>
      <c r="J226" s="254">
        <f t="shared" si="295"/>
        <v>794162.07550935901</v>
      </c>
      <c r="K226" s="254">
        <v>47</v>
      </c>
      <c r="L226" s="333">
        <f t="shared" si="296"/>
        <v>2.6111111111111112</v>
      </c>
      <c r="M226" s="336">
        <f t="shared" si="297"/>
        <v>165395508.67532694</v>
      </c>
      <c r="N226" s="254">
        <f>K226*I226</f>
        <v>24261651.406810917</v>
      </c>
      <c r="O226" s="337">
        <f>K226*J226</f>
        <v>37325617.548939876</v>
      </c>
      <c r="P226" s="254">
        <f t="shared" si="298"/>
        <v>9188639.3708514981</v>
      </c>
      <c r="Q226" s="344">
        <f>I226*L226</f>
        <v>1347869.5226006065</v>
      </c>
      <c r="R226" s="344">
        <f t="shared" si="300"/>
        <v>2073645.4193855487</v>
      </c>
      <c r="S226" s="354">
        <f t="shared" si="301"/>
        <v>0.35</v>
      </c>
    </row>
    <row r="227" spans="1:19" x14ac:dyDescent="0.25">
      <c r="A227" s="1"/>
      <c r="B227" s="1"/>
      <c r="C227" s="1"/>
      <c r="D227" s="1"/>
      <c r="E227" s="1"/>
      <c r="F227" s="1"/>
      <c r="G227" s="1"/>
      <c r="H227" s="1"/>
      <c r="I227" s="225"/>
      <c r="J227" s="225"/>
      <c r="K227" s="255">
        <f>SUM(K209:K226)</f>
        <v>419</v>
      </c>
      <c r="L227" s="255">
        <v>240</v>
      </c>
      <c r="M227" s="338">
        <f t="shared" ref="M227:P227" si="302">SUM(M209:M226)</f>
        <v>320130175.45574528</v>
      </c>
      <c r="N227" s="339">
        <f t="shared" si="302"/>
        <v>43077410.772139512</v>
      </c>
      <c r="O227" s="340">
        <f t="shared" si="302"/>
        <v>66272939.649445407</v>
      </c>
      <c r="P227" s="255">
        <f t="shared" si="302"/>
        <v>17785009.747541405</v>
      </c>
      <c r="Q227" s="345">
        <f>SUM(Q209:Q226)</f>
        <v>2393189.4873410841</v>
      </c>
      <c r="R227" s="345">
        <f t="shared" ref="R227" si="303">SUM(R209:R226)</f>
        <v>3681829.9805247448</v>
      </c>
      <c r="S227" s="225"/>
    </row>
    <row r="228" spans="1:19" x14ac:dyDescent="0.25">
      <c r="A228" s="11" t="s">
        <v>230</v>
      </c>
      <c r="B228" s="1"/>
      <c r="C228" s="1"/>
      <c r="D228" s="1"/>
      <c r="E228" s="199" t="s">
        <v>231</v>
      </c>
      <c r="F228" s="199"/>
      <c r="G228" s="552" t="s">
        <v>400</v>
      </c>
      <c r="H228" s="552"/>
      <c r="I228" s="225"/>
      <c r="J228" s="225"/>
      <c r="N228" s="225"/>
      <c r="O228" s="225"/>
      <c r="S228" s="225"/>
    </row>
    <row r="229" spans="1:19" x14ac:dyDescent="0.25">
      <c r="A229" s="225"/>
      <c r="B229" s="225"/>
      <c r="C229" s="225"/>
      <c r="D229" s="225"/>
      <c r="E229" s="225"/>
      <c r="G229" s="225"/>
      <c r="H229" s="225"/>
      <c r="I229" s="225"/>
      <c r="J229" s="225" t="s">
        <v>615</v>
      </c>
      <c r="K229" s="363">
        <f>SUM(K209:K211,K223,K225,K226)</f>
        <v>223</v>
      </c>
      <c r="L229" s="225" t="s">
        <v>536</v>
      </c>
      <c r="M229" s="427">
        <f>SUM(M209:M211,M223,M225,M226)</f>
        <v>254236891.22773921</v>
      </c>
      <c r="N229" s="363">
        <f>SUM(N209:N211,N223,N225,N226)</f>
        <v>35295455.79246147</v>
      </c>
      <c r="O229" s="363">
        <f>SUM(O209:O211,O223,O225,O226)</f>
        <v>54300701.219171502</v>
      </c>
      <c r="P229" s="225" t="s">
        <v>536</v>
      </c>
      <c r="Q229" s="363">
        <f>SUM(Q209:Q211,Q223,Q225,Q226)</f>
        <v>1960858.6551367487</v>
      </c>
      <c r="R229" s="363">
        <f>SUM(R209:R211,R223,R225,R226)</f>
        <v>3016705.6232873057</v>
      </c>
      <c r="S229" s="225"/>
    </row>
    <row r="230" spans="1:19" x14ac:dyDescent="0.25">
      <c r="A230" s="450" t="s">
        <v>623</v>
      </c>
      <c r="B230" s="450"/>
      <c r="C230" s="450"/>
      <c r="D230" s="451">
        <v>0.4</v>
      </c>
      <c r="E230" s="450"/>
      <c r="F230" s="450"/>
      <c r="G230" s="450"/>
      <c r="H230" s="450"/>
      <c r="I230" s="450"/>
      <c r="J230" s="450"/>
      <c r="K230" s="450"/>
      <c r="L230" s="450"/>
      <c r="M230" s="450"/>
      <c r="N230" s="450"/>
      <c r="O230" s="450"/>
      <c r="P230" s="450"/>
      <c r="Q230" s="450"/>
      <c r="R230" s="450"/>
      <c r="S230" s="450"/>
    </row>
    <row r="231" spans="1:19" x14ac:dyDescent="0.25">
      <c r="A231" s="196" t="s">
        <v>14</v>
      </c>
      <c r="B231" s="196"/>
      <c r="C231" s="196"/>
      <c r="D231" s="331" t="str">
        <f>HYPERLINK("#"&amp;ADDRESS(1,1,,,"MASTER"),"M &lt;=")</f>
        <v>M &lt;=</v>
      </c>
      <c r="E231" s="444" t="s">
        <v>229</v>
      </c>
      <c r="F231" s="444" t="s">
        <v>229</v>
      </c>
      <c r="G231" s="544" t="s">
        <v>44</v>
      </c>
      <c r="H231" s="544"/>
      <c r="I231" s="547" t="s">
        <v>454</v>
      </c>
      <c r="J231" s="547"/>
      <c r="K231" s="445" t="s">
        <v>405</v>
      </c>
      <c r="L231" s="445" t="s">
        <v>517</v>
      </c>
      <c r="M231" s="449" t="s">
        <v>459</v>
      </c>
      <c r="N231" s="550" t="s">
        <v>458</v>
      </c>
      <c r="O231" s="551"/>
      <c r="P231" s="445" t="s">
        <v>518</v>
      </c>
      <c r="Q231" s="553" t="s">
        <v>522</v>
      </c>
      <c r="R231" s="553"/>
      <c r="S231" s="446" t="s">
        <v>523</v>
      </c>
    </row>
    <row r="232" spans="1:19" x14ac:dyDescent="0.25">
      <c r="A232" s="198"/>
      <c r="B232" s="198"/>
      <c r="C232" s="198"/>
      <c r="D232" s="198"/>
      <c r="E232" s="448" t="s">
        <v>627</v>
      </c>
      <c r="F232" s="448" t="s">
        <v>628</v>
      </c>
      <c r="G232" s="448" t="s">
        <v>7</v>
      </c>
      <c r="H232" s="448" t="s">
        <v>6</v>
      </c>
      <c r="I232" s="448" t="s">
        <v>7</v>
      </c>
      <c r="J232" s="448" t="s">
        <v>6</v>
      </c>
      <c r="K232" s="448" t="s">
        <v>455</v>
      </c>
      <c r="L232" s="448" t="s">
        <v>455</v>
      </c>
      <c r="M232" s="447" t="s">
        <v>627</v>
      </c>
      <c r="N232" s="448" t="s">
        <v>7</v>
      </c>
      <c r="O232" s="269" t="s">
        <v>6</v>
      </c>
      <c r="P232" s="448" t="s">
        <v>629</v>
      </c>
      <c r="Q232" s="341" t="s">
        <v>7</v>
      </c>
      <c r="R232" s="341" t="s">
        <v>6</v>
      </c>
      <c r="S232" s="446" t="s">
        <v>524</v>
      </c>
    </row>
    <row r="233" spans="1:19" x14ac:dyDescent="0.25">
      <c r="A233" s="3">
        <v>1</v>
      </c>
      <c r="B233" s="3" t="s">
        <v>11</v>
      </c>
      <c r="C233" s="3"/>
      <c r="D233" s="3"/>
      <c r="E233" s="444"/>
      <c r="F233" s="444"/>
      <c r="G233" s="3"/>
      <c r="H233" s="3"/>
      <c r="I233" s="3"/>
      <c r="J233" s="3"/>
      <c r="K233" s="3"/>
      <c r="L233" s="3"/>
      <c r="M233" s="264"/>
      <c r="N233" s="190"/>
      <c r="O233" s="265"/>
      <c r="P233" s="190"/>
      <c r="Q233" s="342"/>
      <c r="R233" s="342"/>
      <c r="S233" s="352"/>
    </row>
    <row r="234" spans="1:19" x14ac:dyDescent="0.25">
      <c r="A234" s="7"/>
      <c r="B234" s="7" t="s">
        <v>9</v>
      </c>
      <c r="C234" s="7" t="s">
        <v>16</v>
      </c>
      <c r="D234" s="7" t="s">
        <v>31</v>
      </c>
      <c r="E234" s="253">
        <f>1000*D_device_values!$Q$4*(1/D_currency_conversion!$H$7)*D_currency_conversion!$H$6</f>
        <v>849913.18946918368</v>
      </c>
      <c r="F234" s="253">
        <f>E234*D_currency_conversion!$I$12*D_currency_conversion!$J$12</f>
        <v>997381.25631597533</v>
      </c>
      <c r="G234" s="188">
        <f>D_device_lifecycles!$X$4</f>
        <v>7.5</v>
      </c>
      <c r="H234" s="188">
        <f>G234*(1-$D$230)</f>
        <v>4.5</v>
      </c>
      <c r="I234" s="253">
        <f>$F234/G234</f>
        <v>132984.1675087967</v>
      </c>
      <c r="J234" s="253">
        <f>$F234/H234</f>
        <v>221640.27918132785</v>
      </c>
      <c r="K234" s="253">
        <v>11</v>
      </c>
      <c r="L234" s="259">
        <f>K234/18</f>
        <v>0.61111111111111116</v>
      </c>
      <c r="M234" s="334">
        <f>K234*E234</f>
        <v>9349045.0841610208</v>
      </c>
      <c r="N234" s="253">
        <f>K234*I234</f>
        <v>1462825.8425967637</v>
      </c>
      <c r="O234" s="335">
        <f>K234*J234</f>
        <v>2438043.0709946062</v>
      </c>
      <c r="P234" s="253">
        <f>L234*E234</f>
        <v>519391.3935645012</v>
      </c>
      <c r="Q234" s="343">
        <f>I234*L234</f>
        <v>81268.102366486884</v>
      </c>
      <c r="R234" s="343">
        <f>L234*J234</f>
        <v>135446.83727747813</v>
      </c>
      <c r="S234" s="353">
        <f>(G234-H234)/G234</f>
        <v>0.4</v>
      </c>
    </row>
    <row r="235" spans="1:19" x14ac:dyDescent="0.25">
      <c r="A235" s="7"/>
      <c r="B235" s="7" t="s">
        <v>10</v>
      </c>
      <c r="C235" s="7" t="s">
        <v>17</v>
      </c>
      <c r="D235" s="7" t="s">
        <v>32</v>
      </c>
      <c r="E235" s="253">
        <f>1000*D_device_values!$Q$5*(1/D_currency_conversion!$H$7)*D_currency_conversion!$H$6</f>
        <v>64714.20224384647</v>
      </c>
      <c r="F235" s="253">
        <f>E235*D_currency_conversion!$I$12*D_currency_conversion!$J$12</f>
        <v>75942.735252485436</v>
      </c>
      <c r="G235" s="188">
        <f>D_device_lifecycles!$X$5</f>
        <v>9</v>
      </c>
      <c r="H235" s="188">
        <f t="shared" ref="H235:H251" si="304">G235*(1-$D$230)</f>
        <v>5.3999999999999995</v>
      </c>
      <c r="I235" s="253">
        <f t="shared" ref="I235:I236" si="305">$F235/G235</f>
        <v>8438.081694720604</v>
      </c>
      <c r="J235" s="253">
        <f t="shared" ref="J235:J236" si="306">$F235/H235</f>
        <v>14063.469491201007</v>
      </c>
      <c r="K235" s="253">
        <v>53</v>
      </c>
      <c r="L235" s="259">
        <f t="shared" ref="L235:L236" si="307">K235/18</f>
        <v>2.9444444444444446</v>
      </c>
      <c r="M235" s="334">
        <f t="shared" ref="M235:M236" si="308">K235*E235</f>
        <v>3429852.718923863</v>
      </c>
      <c r="N235" s="253">
        <f>K235*I235</f>
        <v>447218.32982019201</v>
      </c>
      <c r="O235" s="335">
        <f>K235*J235</f>
        <v>745363.88303365337</v>
      </c>
      <c r="P235" s="253">
        <f t="shared" ref="P235:P236" si="309">L235*E235</f>
        <v>190547.37327354794</v>
      </c>
      <c r="Q235" s="343">
        <f>I235*L235</f>
        <v>24845.462767788445</v>
      </c>
      <c r="R235" s="343">
        <f>L235*J235</f>
        <v>41409.104612980744</v>
      </c>
      <c r="S235" s="353">
        <f t="shared" ref="S235:S236" si="310">(G235-H235)/G235</f>
        <v>0.40000000000000008</v>
      </c>
    </row>
    <row r="236" spans="1:19" x14ac:dyDescent="0.25">
      <c r="A236" s="7"/>
      <c r="B236" s="7" t="s">
        <v>15</v>
      </c>
      <c r="C236" s="7" t="s">
        <v>18</v>
      </c>
      <c r="D236" s="7" t="s">
        <v>33</v>
      </c>
      <c r="E236" s="253">
        <f>1000*D_device_values!$Q$6*(1/D_currency_conversion!$H$7)*D_currency_conversion!$H$6</f>
        <v>207085.44718030869</v>
      </c>
      <c r="F236" s="253">
        <f>E236*D_currency_conversion!$I$12*D_currency_conversion!$J$12</f>
        <v>243016.75280795337</v>
      </c>
      <c r="G236" s="188">
        <f>D_device_lifecycles!$X$6</f>
        <v>10</v>
      </c>
      <c r="H236" s="188">
        <f t="shared" si="304"/>
        <v>6</v>
      </c>
      <c r="I236" s="253">
        <f t="shared" si="305"/>
        <v>24301.675280795338</v>
      </c>
      <c r="J236" s="253">
        <f t="shared" si="306"/>
        <v>40502.792134658892</v>
      </c>
      <c r="K236" s="253">
        <v>41</v>
      </c>
      <c r="L236" s="259">
        <f t="shared" si="307"/>
        <v>2.2777777777777777</v>
      </c>
      <c r="M236" s="334">
        <f t="shared" si="308"/>
        <v>8490503.3343926556</v>
      </c>
      <c r="N236" s="253">
        <f>K236*I236</f>
        <v>996368.6865126089</v>
      </c>
      <c r="O236" s="335">
        <f>K236*J236</f>
        <v>1660614.4775210146</v>
      </c>
      <c r="P236" s="253">
        <f t="shared" si="309"/>
        <v>471694.62968848087</v>
      </c>
      <c r="Q236" s="343">
        <f>I236*L236</f>
        <v>55353.815917367159</v>
      </c>
      <c r="R236" s="343">
        <f>L236*J236</f>
        <v>92256.359862278579</v>
      </c>
      <c r="S236" s="353">
        <f t="shared" si="310"/>
        <v>0.4</v>
      </c>
    </row>
    <row r="237" spans="1:19" x14ac:dyDescent="0.25">
      <c r="A237" s="190">
        <v>2</v>
      </c>
      <c r="B237" s="190" t="s">
        <v>43</v>
      </c>
      <c r="C237" s="190"/>
      <c r="D237" s="190"/>
      <c r="E237" s="456"/>
      <c r="F237" s="253"/>
      <c r="G237" s="188"/>
      <c r="H237" s="188"/>
      <c r="I237" s="253"/>
      <c r="J237" s="253"/>
      <c r="K237" s="253"/>
      <c r="L237" s="253"/>
      <c r="M237" s="334"/>
      <c r="N237" s="253"/>
      <c r="O237" s="335"/>
      <c r="P237" s="253"/>
      <c r="Q237" s="343"/>
      <c r="R237" s="343"/>
      <c r="S237" s="353"/>
    </row>
    <row r="238" spans="1:19" x14ac:dyDescent="0.25">
      <c r="A238" s="7"/>
      <c r="B238" s="7" t="s">
        <v>9</v>
      </c>
      <c r="C238" s="7" t="s">
        <v>19</v>
      </c>
      <c r="D238" s="7" t="s">
        <v>34</v>
      </c>
      <c r="E238" s="253">
        <f>1000*D_device_values!$Q$8*(1/D_currency_conversion!$H$7)*D_currency_conversion!$H$6</f>
        <v>173469.52185035453</v>
      </c>
      <c r="F238" s="253">
        <f>E238*D_currency_conversion!$I$12*D_currency_conversion!$J$12</f>
        <v>203568.14293433359</v>
      </c>
      <c r="G238" s="188">
        <f>D_device_lifecycles!$X$8</f>
        <v>10</v>
      </c>
      <c r="H238" s="188">
        <f t="shared" si="304"/>
        <v>6</v>
      </c>
      <c r="I238" s="253">
        <f t="shared" ref="I238:I239" si="311">$F238/G238</f>
        <v>20356.814293433359</v>
      </c>
      <c r="J238" s="253">
        <f t="shared" ref="J238" si="312">$F238/H238</f>
        <v>33928.023822388932</v>
      </c>
      <c r="K238" s="253">
        <v>22</v>
      </c>
      <c r="L238" s="259">
        <f t="shared" ref="L238:L239" si="313">K238/18</f>
        <v>1.2222222222222223</v>
      </c>
      <c r="M238" s="334">
        <f t="shared" ref="M238:M239" si="314">K238*E238</f>
        <v>3816329.4807077996</v>
      </c>
      <c r="N238" s="253">
        <f>K238*I238</f>
        <v>447849.9144555339</v>
      </c>
      <c r="O238" s="335">
        <f>K238*J238</f>
        <v>746416.52409255644</v>
      </c>
      <c r="P238" s="253">
        <f t="shared" ref="P238:P239" si="315">L238*E238</f>
        <v>212018.30448376667</v>
      </c>
      <c r="Q238" s="343">
        <f t="shared" ref="Q238:Q239" si="316">I238*L238</f>
        <v>24880.550803085218</v>
      </c>
      <c r="R238" s="343">
        <f t="shared" ref="R238:R239" si="317">L238*J238</f>
        <v>41467.584671808698</v>
      </c>
      <c r="S238" s="353">
        <f t="shared" ref="S238:S239" si="318">(G238-H238)/G238</f>
        <v>0.4</v>
      </c>
    </row>
    <row r="239" spans="1:19" x14ac:dyDescent="0.25">
      <c r="A239" s="7"/>
      <c r="B239" s="7" t="s">
        <v>10</v>
      </c>
      <c r="C239" s="7" t="s">
        <v>20</v>
      </c>
      <c r="D239" s="7" t="s">
        <v>34</v>
      </c>
      <c r="E239" s="253">
        <f>1000*D_device_values!$Q$9*(1/D_currency_conversion!$H$7)*D_currency_conversion!$H$6</f>
        <v>173732.7429469417</v>
      </c>
      <c r="F239" s="253">
        <f>E239*D_currency_conversion!$I$12*D_currency_conversion!$J$12</f>
        <v>203877.03540859552</v>
      </c>
      <c r="G239" s="188">
        <f>D_device_lifecycles!$X$9</f>
        <v>11</v>
      </c>
      <c r="H239" s="188">
        <f t="shared" si="304"/>
        <v>6.6</v>
      </c>
      <c r="I239" s="253">
        <f t="shared" si="311"/>
        <v>18534.275946235957</v>
      </c>
      <c r="J239" s="253">
        <f>$F239/H239</f>
        <v>30890.459910393263</v>
      </c>
      <c r="K239" s="253">
        <v>22</v>
      </c>
      <c r="L239" s="259">
        <f t="shared" si="313"/>
        <v>1.2222222222222223</v>
      </c>
      <c r="M239" s="334">
        <f t="shared" si="314"/>
        <v>3822120.3448327174</v>
      </c>
      <c r="N239" s="253">
        <f>K239*I239</f>
        <v>407754.07081719104</v>
      </c>
      <c r="O239" s="335">
        <f>K239*J239</f>
        <v>679590.11802865181</v>
      </c>
      <c r="P239" s="253">
        <f t="shared" si="315"/>
        <v>212340.0191573732</v>
      </c>
      <c r="Q239" s="343">
        <f t="shared" si="316"/>
        <v>22653.003934288394</v>
      </c>
      <c r="R239" s="343">
        <f t="shared" si="317"/>
        <v>37755.006557147324</v>
      </c>
      <c r="S239" s="353">
        <f t="shared" si="318"/>
        <v>0.4</v>
      </c>
    </row>
    <row r="240" spans="1:19" x14ac:dyDescent="0.25">
      <c r="A240" s="190">
        <v>3</v>
      </c>
      <c r="B240" s="190" t="s">
        <v>42</v>
      </c>
      <c r="C240" s="190"/>
      <c r="D240" s="190"/>
      <c r="E240" s="456"/>
      <c r="F240" s="253"/>
      <c r="G240" s="188"/>
      <c r="H240" s="188"/>
      <c r="I240" s="253"/>
      <c r="J240" s="253"/>
      <c r="K240" s="253"/>
      <c r="L240" s="253"/>
      <c r="M240" s="334"/>
      <c r="N240" s="253"/>
      <c r="O240" s="335"/>
      <c r="P240" s="253"/>
      <c r="Q240" s="343"/>
      <c r="R240" s="343"/>
      <c r="S240" s="353"/>
    </row>
    <row r="241" spans="1:19" x14ac:dyDescent="0.25">
      <c r="A241" s="7"/>
      <c r="B241" s="7" t="s">
        <v>9</v>
      </c>
      <c r="C241" s="7" t="s">
        <v>24</v>
      </c>
      <c r="D241" s="7" t="s">
        <v>35</v>
      </c>
      <c r="E241" s="253">
        <f>1000*D_device_values!$Q$11*(1/D_currency_conversion!$H$7)*D_currency_conversion!$H$6</f>
        <v>1064482.5920110256</v>
      </c>
      <c r="F241" s="253">
        <f>E241*D_currency_conversion!$I$12*D_currency_conversion!$J$12</f>
        <v>1249180.502316393</v>
      </c>
      <c r="G241" s="188">
        <f>D_device_lifecycles!$X$11</f>
        <v>10</v>
      </c>
      <c r="H241" s="188">
        <f t="shared" si="304"/>
        <v>6</v>
      </c>
      <c r="I241" s="253">
        <f t="shared" ref="I241:I246" si="319">$F241/G241</f>
        <v>124918.0502316393</v>
      </c>
      <c r="J241" s="253">
        <f t="shared" ref="J241:J246" si="320">$F241/H241</f>
        <v>208196.75038606548</v>
      </c>
      <c r="K241" s="253">
        <v>4</v>
      </c>
      <c r="L241" s="259">
        <f t="shared" ref="L241:L246" si="321">K241/18</f>
        <v>0.22222222222222221</v>
      </c>
      <c r="M241" s="334">
        <f t="shared" ref="M241:M246" si="322">K241*E241</f>
        <v>4257930.3680441026</v>
      </c>
      <c r="N241" s="253">
        <f t="shared" ref="N241:N246" si="323">K241*I241</f>
        <v>499672.20092655718</v>
      </c>
      <c r="O241" s="335">
        <f t="shared" ref="O241:O246" si="324">K241*J241</f>
        <v>832787.00154426193</v>
      </c>
      <c r="P241" s="253">
        <f t="shared" ref="P241:P246" si="325">L241*E241</f>
        <v>236551.68711356123</v>
      </c>
      <c r="Q241" s="343">
        <f t="shared" ref="Q241:Q246" si="326">I241*L241</f>
        <v>27759.566718142065</v>
      </c>
      <c r="R241" s="343">
        <f t="shared" ref="R241:R246" si="327">L241*J241</f>
        <v>46265.944530236775</v>
      </c>
      <c r="S241" s="353">
        <f t="shared" ref="S241:S246" si="328">(G241-H241)/G241</f>
        <v>0.4</v>
      </c>
    </row>
    <row r="242" spans="1:19" x14ac:dyDescent="0.25">
      <c r="A242" s="7"/>
      <c r="B242" s="7" t="s">
        <v>10</v>
      </c>
      <c r="C242" s="7" t="s">
        <v>25</v>
      </c>
      <c r="D242" s="7" t="s">
        <v>36</v>
      </c>
      <c r="E242" s="253">
        <f>1000*D_device_values!$Q$12*(1/D_currency_conversion!$H$7)*D_currency_conversion!$H$6</f>
        <v>362399.53256554028</v>
      </c>
      <c r="F242" s="253">
        <f>E242*D_currency_conversion!$I$12*D_currency_conversion!$J$12</f>
        <v>425279.31741391844</v>
      </c>
      <c r="G242" s="188">
        <f>D_device_lifecycles!$X$12</f>
        <v>9</v>
      </c>
      <c r="H242" s="188">
        <f t="shared" si="304"/>
        <v>5.3999999999999995</v>
      </c>
      <c r="I242" s="253">
        <f t="shared" si="319"/>
        <v>47253.257490435382</v>
      </c>
      <c r="J242" s="253">
        <f t="shared" si="320"/>
        <v>78755.429150725642</v>
      </c>
      <c r="K242" s="253">
        <v>13</v>
      </c>
      <c r="L242" s="259">
        <f t="shared" si="321"/>
        <v>0.72222222222222221</v>
      </c>
      <c r="M242" s="334">
        <f t="shared" si="322"/>
        <v>4711193.9233520236</v>
      </c>
      <c r="N242" s="253">
        <f t="shared" si="323"/>
        <v>614292.34737565997</v>
      </c>
      <c r="O242" s="335">
        <f t="shared" si="324"/>
        <v>1023820.5789594334</v>
      </c>
      <c r="P242" s="253">
        <f t="shared" si="325"/>
        <v>261732.9957417791</v>
      </c>
      <c r="Q242" s="343">
        <f t="shared" si="326"/>
        <v>34127.352631981106</v>
      </c>
      <c r="R242" s="343">
        <f t="shared" si="327"/>
        <v>56878.921053301849</v>
      </c>
      <c r="S242" s="353">
        <f t="shared" si="328"/>
        <v>0.40000000000000008</v>
      </c>
    </row>
    <row r="243" spans="1:19" x14ac:dyDescent="0.25">
      <c r="A243" s="7"/>
      <c r="B243" s="7" t="s">
        <v>15</v>
      </c>
      <c r="C243" s="7" t="s">
        <v>26</v>
      </c>
      <c r="D243" s="7" t="s">
        <v>37</v>
      </c>
      <c r="E243" s="253">
        <f>1000*D_device_values!$Q$13*(1/D_currency_conversion!$H$7)*D_currency_conversion!$H$6</f>
        <v>369662.42145046114</v>
      </c>
      <c r="F243" s="253">
        <f>E243*D_currency_conversion!$I$12*D_currency_conversion!$J$12</f>
        <v>433802.38698182325</v>
      </c>
      <c r="G243" s="188">
        <f>D_device_lifecycles!$X$13</f>
        <v>7</v>
      </c>
      <c r="H243" s="188">
        <f t="shared" si="304"/>
        <v>4.2</v>
      </c>
      <c r="I243" s="253">
        <f t="shared" si="319"/>
        <v>61971.769568831893</v>
      </c>
      <c r="J243" s="253">
        <f t="shared" si="320"/>
        <v>103286.28261471982</v>
      </c>
      <c r="K243" s="253">
        <v>19</v>
      </c>
      <c r="L243" s="259">
        <f t="shared" si="321"/>
        <v>1.0555555555555556</v>
      </c>
      <c r="M243" s="334">
        <f t="shared" si="322"/>
        <v>7023586.0075587621</v>
      </c>
      <c r="N243" s="253">
        <f t="shared" si="323"/>
        <v>1177463.621807806</v>
      </c>
      <c r="O243" s="335">
        <f t="shared" si="324"/>
        <v>1962439.3696796766</v>
      </c>
      <c r="P243" s="253">
        <f t="shared" si="325"/>
        <v>390199.22264215344</v>
      </c>
      <c r="Q243" s="343">
        <f t="shared" si="326"/>
        <v>65414.645655989225</v>
      </c>
      <c r="R243" s="343">
        <f t="shared" si="327"/>
        <v>109024.40942664871</v>
      </c>
      <c r="S243" s="353">
        <f t="shared" si="328"/>
        <v>0.39999999999999997</v>
      </c>
    </row>
    <row r="244" spans="1:19" x14ac:dyDescent="0.25">
      <c r="A244" s="7"/>
      <c r="B244" s="7" t="s">
        <v>21</v>
      </c>
      <c r="C244" s="7" t="s">
        <v>27</v>
      </c>
      <c r="D244" s="7" t="s">
        <v>38</v>
      </c>
      <c r="E244" s="253">
        <f>1000*D_device_values!$Q$14*(1/D_currency_conversion!$H$7)*D_currency_conversion!$H$6</f>
        <v>116485.56403892365</v>
      </c>
      <c r="F244" s="253">
        <f>E244*D_currency_conversion!$I$12*D_currency_conversion!$J$12</f>
        <v>136696.92345447378</v>
      </c>
      <c r="G244" s="188">
        <f>D_device_lifecycles!$X$14</f>
        <v>8</v>
      </c>
      <c r="H244" s="188">
        <f t="shared" si="304"/>
        <v>4.8</v>
      </c>
      <c r="I244" s="253">
        <f t="shared" si="319"/>
        <v>17087.115431809223</v>
      </c>
      <c r="J244" s="253">
        <f t="shared" si="320"/>
        <v>28478.525719682038</v>
      </c>
      <c r="K244" s="253">
        <v>60</v>
      </c>
      <c r="L244" s="259">
        <f t="shared" si="321"/>
        <v>3.3333333333333335</v>
      </c>
      <c r="M244" s="334">
        <f t="shared" si="322"/>
        <v>6989133.8423354188</v>
      </c>
      <c r="N244" s="253">
        <f t="shared" si="323"/>
        <v>1025226.9259085534</v>
      </c>
      <c r="O244" s="335">
        <f t="shared" si="324"/>
        <v>1708711.5431809223</v>
      </c>
      <c r="P244" s="253">
        <f t="shared" si="325"/>
        <v>388285.21346307884</v>
      </c>
      <c r="Q244" s="343">
        <f t="shared" si="326"/>
        <v>56957.051439364077</v>
      </c>
      <c r="R244" s="343">
        <f t="shared" si="327"/>
        <v>94928.419065606795</v>
      </c>
      <c r="S244" s="353">
        <f t="shared" si="328"/>
        <v>0.4</v>
      </c>
    </row>
    <row r="245" spans="1:19" x14ac:dyDescent="0.25">
      <c r="A245" s="7"/>
      <c r="B245" s="7" t="s">
        <v>22</v>
      </c>
      <c r="C245" s="7" t="s">
        <v>28</v>
      </c>
      <c r="D245" s="7" t="s">
        <v>39</v>
      </c>
      <c r="E245" s="253">
        <f>1000*D_device_values!$Q$15*(1/D_currency_conversion!$H$7)*D_currency_conversion!$H$6</f>
        <v>253752.59020685713</v>
      </c>
      <c r="F245" s="253">
        <f>E245*D_currency_conversion!$I$12*D_currency_conversion!$J$12</f>
        <v>297781.09146890056</v>
      </c>
      <c r="G245" s="188">
        <f>D_device_lifecycles!$X$15</f>
        <v>12</v>
      </c>
      <c r="H245" s="188">
        <f t="shared" si="304"/>
        <v>7.1999999999999993</v>
      </c>
      <c r="I245" s="253">
        <f t="shared" si="319"/>
        <v>24815.090955741714</v>
      </c>
      <c r="J245" s="253">
        <f t="shared" si="320"/>
        <v>41358.484926236189</v>
      </c>
      <c r="K245" s="253">
        <v>21</v>
      </c>
      <c r="L245" s="259">
        <f t="shared" si="321"/>
        <v>1.1666666666666667</v>
      </c>
      <c r="M245" s="334">
        <f t="shared" si="322"/>
        <v>5328804.3943440001</v>
      </c>
      <c r="N245" s="253">
        <f t="shared" si="323"/>
        <v>521116.91007057601</v>
      </c>
      <c r="O245" s="335">
        <f t="shared" si="324"/>
        <v>868528.18345095997</v>
      </c>
      <c r="P245" s="253">
        <f t="shared" si="325"/>
        <v>296044.68857466668</v>
      </c>
      <c r="Q245" s="343">
        <f t="shared" si="326"/>
        <v>28950.939448365334</v>
      </c>
      <c r="R245" s="343">
        <f t="shared" si="327"/>
        <v>48251.565747275556</v>
      </c>
      <c r="S245" s="353">
        <f t="shared" si="328"/>
        <v>0.40000000000000008</v>
      </c>
    </row>
    <row r="246" spans="1:19" x14ac:dyDescent="0.25">
      <c r="A246" s="7"/>
      <c r="B246" s="7" t="s">
        <v>23</v>
      </c>
      <c r="C246" s="7" t="s">
        <v>29</v>
      </c>
      <c r="D246" s="7" t="s">
        <v>40</v>
      </c>
      <c r="E246" s="253">
        <f>1000*D_device_values!$Q$16*(1/D_currency_conversion!$H$7)*D_currency_conversion!$H$6</f>
        <v>869019.28727450978</v>
      </c>
      <c r="F246" s="253">
        <f>E246*D_currency_conversion!$I$12*D_currency_conversion!$J$12</f>
        <v>1019802.4448190901</v>
      </c>
      <c r="G246" s="188">
        <f>D_device_lifecycles!$X$16</f>
        <v>15</v>
      </c>
      <c r="H246" s="188">
        <f t="shared" si="304"/>
        <v>9</v>
      </c>
      <c r="I246" s="253">
        <f t="shared" si="319"/>
        <v>67986.829654606001</v>
      </c>
      <c r="J246" s="253">
        <f t="shared" si="320"/>
        <v>113311.38275767668</v>
      </c>
      <c r="K246" s="253">
        <v>18</v>
      </c>
      <c r="L246" s="259">
        <f t="shared" si="321"/>
        <v>1</v>
      </c>
      <c r="M246" s="334">
        <f t="shared" si="322"/>
        <v>15642347.170941176</v>
      </c>
      <c r="N246" s="253">
        <f t="shared" si="323"/>
        <v>1223762.9337829081</v>
      </c>
      <c r="O246" s="335">
        <f t="shared" si="324"/>
        <v>2039604.8896381801</v>
      </c>
      <c r="P246" s="253">
        <f t="shared" si="325"/>
        <v>869019.28727450978</v>
      </c>
      <c r="Q246" s="343">
        <f t="shared" si="326"/>
        <v>67986.829654606001</v>
      </c>
      <c r="R246" s="343">
        <f t="shared" si="327"/>
        <v>113311.38275767668</v>
      </c>
      <c r="S246" s="353">
        <f t="shared" si="328"/>
        <v>0.4</v>
      </c>
    </row>
    <row r="247" spans="1:19" x14ac:dyDescent="0.25">
      <c r="A247" s="190">
        <v>4</v>
      </c>
      <c r="B247" s="190" t="s">
        <v>2</v>
      </c>
      <c r="C247" s="190"/>
      <c r="D247" s="190"/>
      <c r="E247" s="456"/>
      <c r="F247" s="253"/>
      <c r="G247" s="188"/>
      <c r="H247" s="188"/>
      <c r="I247" s="253"/>
      <c r="J247" s="253"/>
      <c r="K247" s="253"/>
      <c r="L247" s="253"/>
      <c r="M247" s="334"/>
      <c r="N247" s="253"/>
      <c r="O247" s="335"/>
      <c r="P247" s="253"/>
      <c r="Q247" s="343"/>
      <c r="R247" s="343"/>
      <c r="S247" s="353"/>
    </row>
    <row r="248" spans="1:19" x14ac:dyDescent="0.25">
      <c r="A248" s="7"/>
      <c r="B248" s="7" t="s">
        <v>9</v>
      </c>
      <c r="C248" s="7" t="s">
        <v>8</v>
      </c>
      <c r="D248" s="7" t="s">
        <v>5</v>
      </c>
      <c r="E248" s="253">
        <f>1000*D_device_values!$Q$18*(1/D_currency_conversion!$H$7)*D_currency_conversion!$H$6</f>
        <v>320982.44312947843</v>
      </c>
      <c r="F248" s="253">
        <f>E248*D_currency_conversion!$I$12*D_currency_conversion!$J$12</f>
        <v>376675.96685232763</v>
      </c>
      <c r="G248" s="188">
        <f>D_device_lifecycles!$X$18</f>
        <v>8</v>
      </c>
      <c r="H248" s="188">
        <f t="shared" si="304"/>
        <v>4.8</v>
      </c>
      <c r="I248" s="253">
        <f t="shared" ref="I248:I251" si="329">$F248/G248</f>
        <v>47084.495856540954</v>
      </c>
      <c r="J248" s="253">
        <f t="shared" ref="J248:J251" si="330">$F248/H248</f>
        <v>78474.159760901588</v>
      </c>
      <c r="K248" s="253">
        <v>21</v>
      </c>
      <c r="L248" s="259">
        <f t="shared" ref="L248:L251" si="331">K248/18</f>
        <v>1.1666666666666667</v>
      </c>
      <c r="M248" s="334">
        <f t="shared" ref="M248:M251" si="332">K248*E248</f>
        <v>6740631.3057190469</v>
      </c>
      <c r="N248" s="253">
        <f>K248*I248</f>
        <v>988774.41298736003</v>
      </c>
      <c r="O248" s="335">
        <f>K248*J248</f>
        <v>1647957.3549789335</v>
      </c>
      <c r="P248" s="253">
        <f t="shared" ref="P248:P251" si="333">L248*E248</f>
        <v>374479.51698439155</v>
      </c>
      <c r="Q248" s="343">
        <f t="shared" ref="Q248:Q249" si="334">I248*L248</f>
        <v>54931.911832631115</v>
      </c>
      <c r="R248" s="343">
        <f t="shared" ref="R248:R251" si="335">L248*J248</f>
        <v>91553.186387718524</v>
      </c>
      <c r="S248" s="353">
        <f t="shared" ref="S248:S251" si="336">(G248-H248)/G248</f>
        <v>0.4</v>
      </c>
    </row>
    <row r="249" spans="1:19" x14ac:dyDescent="0.25">
      <c r="A249" s="7"/>
      <c r="B249" s="7" t="s">
        <v>10</v>
      </c>
      <c r="C249" s="7" t="s">
        <v>30</v>
      </c>
      <c r="D249" s="7" t="s">
        <v>41</v>
      </c>
      <c r="E249" s="253">
        <f>1000*D_device_values!$Q$19*(1/D_currency_conversion!$H$7)*D_currency_conversion!$H$6</f>
        <v>841284.62917000416</v>
      </c>
      <c r="F249" s="253">
        <f>E249*D_currency_conversion!$I$12*D_currency_conversion!$J$12</f>
        <v>987255.55828231061</v>
      </c>
      <c r="G249" s="188">
        <f>D_device_lifecycles!$X$19</f>
        <v>9</v>
      </c>
      <c r="H249" s="188">
        <f t="shared" si="304"/>
        <v>5.3999999999999995</v>
      </c>
      <c r="I249" s="253">
        <f t="shared" si="329"/>
        <v>109695.06203136785</v>
      </c>
      <c r="J249" s="253">
        <f t="shared" si="330"/>
        <v>182825.1033856131</v>
      </c>
      <c r="K249" s="253">
        <v>17</v>
      </c>
      <c r="L249" s="259">
        <f t="shared" si="331"/>
        <v>0.94444444444444442</v>
      </c>
      <c r="M249" s="334">
        <f t="shared" si="332"/>
        <v>14301838.695890071</v>
      </c>
      <c r="N249" s="253">
        <f>K249*I249</f>
        <v>1864816.0545332534</v>
      </c>
      <c r="O249" s="335">
        <f>K249*J249</f>
        <v>3108026.7575554228</v>
      </c>
      <c r="P249" s="253">
        <f t="shared" si="333"/>
        <v>794546.59421611507</v>
      </c>
      <c r="Q249" s="343">
        <f t="shared" si="334"/>
        <v>103600.89191851408</v>
      </c>
      <c r="R249" s="343">
        <f t="shared" si="335"/>
        <v>172668.15319752347</v>
      </c>
      <c r="S249" s="353">
        <f t="shared" si="336"/>
        <v>0.40000000000000008</v>
      </c>
    </row>
    <row r="250" spans="1:19" x14ac:dyDescent="0.25">
      <c r="A250" s="190">
        <v>5</v>
      </c>
      <c r="B250" s="190" t="s">
        <v>12</v>
      </c>
      <c r="C250" s="190"/>
      <c r="D250" s="191" t="s">
        <v>4</v>
      </c>
      <c r="E250" s="253">
        <f>1000*D_device_values!$Q$20*(1/D_currency_conversion!$H$7)*D_currency_conversion!$H$6</f>
        <v>1216627.0021843137</v>
      </c>
      <c r="F250" s="253">
        <f>E250*D_currency_conversion!$I$12*D_currency_conversion!$J$12</f>
        <v>1427723.4227467263</v>
      </c>
      <c r="G250" s="188">
        <f>D_device_lifecycles!$X$20</f>
        <v>10</v>
      </c>
      <c r="H250" s="188">
        <f t="shared" si="304"/>
        <v>6</v>
      </c>
      <c r="I250" s="253">
        <f t="shared" si="329"/>
        <v>142772.34227467264</v>
      </c>
      <c r="J250" s="253">
        <f t="shared" si="330"/>
        <v>237953.90379112106</v>
      </c>
      <c r="K250" s="253">
        <v>50</v>
      </c>
      <c r="L250" s="259">
        <f t="shared" si="331"/>
        <v>2.7777777777777777</v>
      </c>
      <c r="M250" s="334">
        <f t="shared" si="332"/>
        <v>60831350.109215684</v>
      </c>
      <c r="N250" s="253">
        <f>K250*I250</f>
        <v>7138617.1137336325</v>
      </c>
      <c r="O250" s="335">
        <f>K250*J250</f>
        <v>11897695.189556053</v>
      </c>
      <c r="P250" s="253">
        <f t="shared" si="333"/>
        <v>3379519.4505119827</v>
      </c>
      <c r="Q250" s="343">
        <f>I250*L250</f>
        <v>396589.83965186845</v>
      </c>
      <c r="R250" s="343">
        <f t="shared" si="335"/>
        <v>660983.06608644733</v>
      </c>
      <c r="S250" s="353">
        <f t="shared" si="336"/>
        <v>0.4</v>
      </c>
    </row>
    <row r="251" spans="1:19" x14ac:dyDescent="0.25">
      <c r="A251" s="192">
        <v>6</v>
      </c>
      <c r="B251" s="192" t="s">
        <v>13</v>
      </c>
      <c r="C251" s="192"/>
      <c r="D251" s="193" t="s">
        <v>3</v>
      </c>
      <c r="E251" s="254">
        <f>1000*D_device_values!$Q$21*(1/D_currency_conversion!$H$7)*D_currency_conversion!$H$6</f>
        <v>3519053.3760707863</v>
      </c>
      <c r="F251" s="254">
        <f>E251*D_currency_conversion!$I$12*D_currency_conversion!$J$12</f>
        <v>4129642.792648667</v>
      </c>
      <c r="G251" s="194">
        <f>D_device_lifecycles!$X$21</f>
        <v>8</v>
      </c>
      <c r="H251" s="188">
        <f t="shared" si="304"/>
        <v>4.8</v>
      </c>
      <c r="I251" s="254">
        <f t="shared" si="329"/>
        <v>516205.34908108338</v>
      </c>
      <c r="J251" s="254">
        <f t="shared" si="330"/>
        <v>860342.24846847227</v>
      </c>
      <c r="K251" s="254">
        <v>47</v>
      </c>
      <c r="L251" s="333">
        <f t="shared" si="331"/>
        <v>2.6111111111111112</v>
      </c>
      <c r="M251" s="336">
        <f t="shared" si="332"/>
        <v>165395508.67532694</v>
      </c>
      <c r="N251" s="254">
        <f>K251*I251</f>
        <v>24261651.406810917</v>
      </c>
      <c r="O251" s="337">
        <f>K251*J251</f>
        <v>40436085.678018197</v>
      </c>
      <c r="P251" s="254">
        <f t="shared" si="333"/>
        <v>9188639.3708514981</v>
      </c>
      <c r="Q251" s="344">
        <f>I251*L251</f>
        <v>1347869.5226006065</v>
      </c>
      <c r="R251" s="344">
        <f t="shared" si="335"/>
        <v>2246449.2043343442</v>
      </c>
      <c r="S251" s="354">
        <f t="shared" si="336"/>
        <v>0.4</v>
      </c>
    </row>
    <row r="252" spans="1:19" x14ac:dyDescent="0.25">
      <c r="A252" s="1"/>
      <c r="B252" s="1"/>
      <c r="C252" s="1"/>
      <c r="D252" s="1"/>
      <c r="E252" s="1"/>
      <c r="F252" s="1"/>
      <c r="G252" s="1"/>
      <c r="H252" s="1"/>
      <c r="I252" s="225"/>
      <c r="J252" s="225"/>
      <c r="K252" s="255">
        <f>SUM(K234:K251)</f>
        <v>419</v>
      </c>
      <c r="L252" s="255">
        <v>240</v>
      </c>
      <c r="M252" s="338">
        <f t="shared" ref="M252:P252" si="337">SUM(M234:M251)</f>
        <v>320130175.45574528</v>
      </c>
      <c r="N252" s="339">
        <f t="shared" si="337"/>
        <v>43077410.772139512</v>
      </c>
      <c r="O252" s="340">
        <f t="shared" si="337"/>
        <v>71795684.620232522</v>
      </c>
      <c r="P252" s="255">
        <f t="shared" si="337"/>
        <v>17785009.747541405</v>
      </c>
      <c r="Q252" s="345">
        <f>SUM(Q234:Q251)</f>
        <v>2393189.4873410841</v>
      </c>
      <c r="R252" s="345">
        <f t="shared" ref="R252" si="338">SUM(R234:R251)</f>
        <v>3988649.1455684733</v>
      </c>
      <c r="S252" s="225"/>
    </row>
    <row r="253" spans="1:19" x14ac:dyDescent="0.25">
      <c r="A253" s="11" t="s">
        <v>230</v>
      </c>
      <c r="B253" s="1"/>
      <c r="C253" s="1"/>
      <c r="D253" s="1"/>
      <c r="E253" s="199" t="s">
        <v>231</v>
      </c>
      <c r="F253" s="199"/>
      <c r="G253" s="552" t="s">
        <v>400</v>
      </c>
      <c r="H253" s="552"/>
      <c r="I253" s="225"/>
      <c r="J253" s="225"/>
      <c r="N253" s="225"/>
      <c r="O253" s="225"/>
      <c r="S253" s="225"/>
    </row>
    <row r="254" spans="1:19" x14ac:dyDescent="0.25">
      <c r="A254" s="225"/>
      <c r="B254" s="225"/>
      <c r="C254" s="225"/>
      <c r="D254" s="225"/>
      <c r="E254" s="225"/>
      <c r="G254" s="225"/>
      <c r="H254" s="225"/>
      <c r="I254" s="225"/>
      <c r="J254" s="225" t="s">
        <v>615</v>
      </c>
      <c r="K254" s="363">
        <f>SUM(K234:K236,K248,K250,K251)</f>
        <v>223</v>
      </c>
      <c r="L254" s="225" t="s">
        <v>536</v>
      </c>
      <c r="M254" s="427">
        <f>SUM(M234:M236,M248,M250,M251)</f>
        <v>254236891.22773921</v>
      </c>
      <c r="N254" s="363">
        <f>SUM(N234:N236,N248,N250,N251)</f>
        <v>35295455.79246147</v>
      </c>
      <c r="O254" s="363">
        <f>SUM(O234:O236,O248,O250,O251)</f>
        <v>58825759.65410246</v>
      </c>
      <c r="P254" s="225" t="s">
        <v>536</v>
      </c>
      <c r="Q254" s="363">
        <f>SUM(Q234:Q236,Q248,Q250,Q251)</f>
        <v>1960858.6551367487</v>
      </c>
      <c r="R254" s="363">
        <f>SUM(R234:R236,R248,R250,R251)</f>
        <v>3268097.7585612475</v>
      </c>
      <c r="S254" s="225"/>
    </row>
    <row r="255" spans="1:19" x14ac:dyDescent="0.25">
      <c r="A255" s="450" t="s">
        <v>623</v>
      </c>
      <c r="B255" s="450"/>
      <c r="C255" s="450"/>
      <c r="D255" s="451">
        <v>0.45</v>
      </c>
      <c r="E255" s="450"/>
      <c r="F255" s="450"/>
      <c r="G255" s="450"/>
      <c r="H255" s="450"/>
      <c r="I255" s="450"/>
      <c r="J255" s="450"/>
      <c r="K255" s="450"/>
      <c r="L255" s="450"/>
      <c r="M255" s="450"/>
      <c r="N255" s="450"/>
      <c r="O255" s="450"/>
      <c r="P255" s="450"/>
      <c r="Q255" s="450"/>
      <c r="R255" s="450"/>
      <c r="S255" s="450"/>
    </row>
    <row r="256" spans="1:19" x14ac:dyDescent="0.25">
      <c r="A256" s="196" t="s">
        <v>14</v>
      </c>
      <c r="B256" s="196"/>
      <c r="C256" s="196"/>
      <c r="D256" s="331" t="str">
        <f>HYPERLINK("#"&amp;ADDRESS(1,1,,,"MASTER"),"M &lt;=")</f>
        <v>M &lt;=</v>
      </c>
      <c r="E256" s="444" t="s">
        <v>229</v>
      </c>
      <c r="F256" s="444" t="s">
        <v>229</v>
      </c>
      <c r="G256" s="544" t="s">
        <v>44</v>
      </c>
      <c r="H256" s="544"/>
      <c r="I256" s="547" t="s">
        <v>454</v>
      </c>
      <c r="J256" s="547"/>
      <c r="K256" s="445" t="s">
        <v>405</v>
      </c>
      <c r="L256" s="445" t="s">
        <v>517</v>
      </c>
      <c r="M256" s="449" t="s">
        <v>459</v>
      </c>
      <c r="N256" s="550" t="s">
        <v>458</v>
      </c>
      <c r="O256" s="551"/>
      <c r="P256" s="445" t="s">
        <v>518</v>
      </c>
      <c r="Q256" s="553" t="s">
        <v>522</v>
      </c>
      <c r="R256" s="553"/>
      <c r="S256" s="446" t="s">
        <v>523</v>
      </c>
    </row>
    <row r="257" spans="1:19" x14ac:dyDescent="0.25">
      <c r="A257" s="198"/>
      <c r="B257" s="198"/>
      <c r="C257" s="198"/>
      <c r="D257" s="198"/>
      <c r="E257" s="448" t="s">
        <v>627</v>
      </c>
      <c r="F257" s="448" t="s">
        <v>628</v>
      </c>
      <c r="G257" s="448" t="s">
        <v>7</v>
      </c>
      <c r="H257" s="448" t="s">
        <v>6</v>
      </c>
      <c r="I257" s="448" t="s">
        <v>7</v>
      </c>
      <c r="J257" s="448" t="s">
        <v>6</v>
      </c>
      <c r="K257" s="448" t="s">
        <v>455</v>
      </c>
      <c r="L257" s="448" t="s">
        <v>455</v>
      </c>
      <c r="M257" s="447" t="s">
        <v>627</v>
      </c>
      <c r="N257" s="448" t="s">
        <v>7</v>
      </c>
      <c r="O257" s="269" t="s">
        <v>6</v>
      </c>
      <c r="P257" s="448" t="s">
        <v>629</v>
      </c>
      <c r="Q257" s="341" t="s">
        <v>7</v>
      </c>
      <c r="R257" s="341" t="s">
        <v>6</v>
      </c>
      <c r="S257" s="446" t="s">
        <v>524</v>
      </c>
    </row>
    <row r="258" spans="1:19" x14ac:dyDescent="0.25">
      <c r="A258" s="3">
        <v>1</v>
      </c>
      <c r="B258" s="3" t="s">
        <v>11</v>
      </c>
      <c r="C258" s="3"/>
      <c r="D258" s="3"/>
      <c r="E258" s="444"/>
      <c r="F258" s="444"/>
      <c r="G258" s="3"/>
      <c r="H258" s="3"/>
      <c r="I258" s="3"/>
      <c r="J258" s="3"/>
      <c r="K258" s="3"/>
      <c r="L258" s="3"/>
      <c r="M258" s="264"/>
      <c r="N258" s="190"/>
      <c r="O258" s="265"/>
      <c r="P258" s="190"/>
      <c r="Q258" s="342"/>
      <c r="R258" s="342"/>
      <c r="S258" s="352"/>
    </row>
    <row r="259" spans="1:19" x14ac:dyDescent="0.25">
      <c r="A259" s="7"/>
      <c r="B259" s="7" t="s">
        <v>9</v>
      </c>
      <c r="C259" s="7" t="s">
        <v>16</v>
      </c>
      <c r="D259" s="7" t="s">
        <v>31</v>
      </c>
      <c r="E259" s="253">
        <f>1000*D_device_values!$Q$4*(1/D_currency_conversion!$H$7)*D_currency_conversion!$H$6</f>
        <v>849913.18946918368</v>
      </c>
      <c r="F259" s="253">
        <f>E259*D_currency_conversion!$I$12*D_currency_conversion!$J$12</f>
        <v>997381.25631597533</v>
      </c>
      <c r="G259" s="188">
        <f>D_device_lifecycles!$X$4</f>
        <v>7.5</v>
      </c>
      <c r="H259" s="188">
        <f>G259*(1-$D$255)</f>
        <v>4.125</v>
      </c>
      <c r="I259" s="253">
        <f>$F259/G259</f>
        <v>132984.1675087967</v>
      </c>
      <c r="J259" s="253">
        <f>$F259/H259</f>
        <v>241789.39547053949</v>
      </c>
      <c r="K259" s="253">
        <v>11</v>
      </c>
      <c r="L259" s="259">
        <f>K259/18</f>
        <v>0.61111111111111116</v>
      </c>
      <c r="M259" s="334">
        <f>K259*E259</f>
        <v>9349045.0841610208</v>
      </c>
      <c r="N259" s="253">
        <f>K259*I259</f>
        <v>1462825.8425967637</v>
      </c>
      <c r="O259" s="335">
        <f>K259*J259</f>
        <v>2659683.3501759344</v>
      </c>
      <c r="P259" s="253">
        <f>L259*E259</f>
        <v>519391.3935645012</v>
      </c>
      <c r="Q259" s="343">
        <f>I259*L259</f>
        <v>81268.102366486884</v>
      </c>
      <c r="R259" s="343">
        <f>L259*J259</f>
        <v>147760.18612088525</v>
      </c>
      <c r="S259" s="353">
        <f>(G259-H259)/G259</f>
        <v>0.45</v>
      </c>
    </row>
    <row r="260" spans="1:19" x14ac:dyDescent="0.25">
      <c r="A260" s="7"/>
      <c r="B260" s="7" t="s">
        <v>10</v>
      </c>
      <c r="C260" s="7" t="s">
        <v>17</v>
      </c>
      <c r="D260" s="7" t="s">
        <v>32</v>
      </c>
      <c r="E260" s="253">
        <f>1000*D_device_values!$Q$5*(1/D_currency_conversion!$H$7)*D_currency_conversion!$H$6</f>
        <v>64714.20224384647</v>
      </c>
      <c r="F260" s="253">
        <f>E260*D_currency_conversion!$I$12*D_currency_conversion!$J$12</f>
        <v>75942.735252485436</v>
      </c>
      <c r="G260" s="188">
        <f>D_device_lifecycles!$X$5</f>
        <v>9</v>
      </c>
      <c r="H260" s="188">
        <f t="shared" ref="H260:H276" si="339">G260*(1-$D$255)</f>
        <v>4.95</v>
      </c>
      <c r="I260" s="253">
        <f t="shared" ref="I260:I261" si="340">$F260/G260</f>
        <v>8438.081694720604</v>
      </c>
      <c r="J260" s="253">
        <f t="shared" ref="J260:J261" si="341">$F260/H260</f>
        <v>15341.966717673826</v>
      </c>
      <c r="K260" s="253">
        <v>53</v>
      </c>
      <c r="L260" s="259">
        <f t="shared" ref="L260:L261" si="342">K260/18</f>
        <v>2.9444444444444446</v>
      </c>
      <c r="M260" s="334">
        <f t="shared" ref="M260:M261" si="343">K260*E260</f>
        <v>3429852.718923863</v>
      </c>
      <c r="N260" s="253">
        <f>K260*I260</f>
        <v>447218.32982019201</v>
      </c>
      <c r="O260" s="335">
        <f>K260*J260</f>
        <v>813124.23603671277</v>
      </c>
      <c r="P260" s="253">
        <f t="shared" ref="P260:P261" si="344">L260*E260</f>
        <v>190547.37327354794</v>
      </c>
      <c r="Q260" s="343">
        <f>I260*L260</f>
        <v>24845.462767788445</v>
      </c>
      <c r="R260" s="343">
        <f>L260*J260</f>
        <v>45173.56866870627</v>
      </c>
      <c r="S260" s="353">
        <f t="shared" ref="S260:S261" si="345">(G260-H260)/G260</f>
        <v>0.44999999999999996</v>
      </c>
    </row>
    <row r="261" spans="1:19" x14ac:dyDescent="0.25">
      <c r="A261" s="7"/>
      <c r="B261" s="7" t="s">
        <v>15</v>
      </c>
      <c r="C261" s="7" t="s">
        <v>18</v>
      </c>
      <c r="D261" s="7" t="s">
        <v>33</v>
      </c>
      <c r="E261" s="253">
        <f>1000*D_device_values!$Q$6*(1/D_currency_conversion!$H$7)*D_currency_conversion!$H$6</f>
        <v>207085.44718030869</v>
      </c>
      <c r="F261" s="253">
        <f>E261*D_currency_conversion!$I$12*D_currency_conversion!$J$12</f>
        <v>243016.75280795337</v>
      </c>
      <c r="G261" s="188">
        <f>D_device_lifecycles!$X$6</f>
        <v>10</v>
      </c>
      <c r="H261" s="188">
        <f t="shared" si="339"/>
        <v>5.5</v>
      </c>
      <c r="I261" s="253">
        <f t="shared" si="340"/>
        <v>24301.675280795338</v>
      </c>
      <c r="J261" s="253">
        <f t="shared" si="341"/>
        <v>44184.864146900611</v>
      </c>
      <c r="K261" s="253">
        <v>41</v>
      </c>
      <c r="L261" s="259">
        <f t="shared" si="342"/>
        <v>2.2777777777777777</v>
      </c>
      <c r="M261" s="334">
        <f t="shared" si="343"/>
        <v>8490503.3343926556</v>
      </c>
      <c r="N261" s="253">
        <f>K261*I261</f>
        <v>996368.6865126089</v>
      </c>
      <c r="O261" s="335">
        <f>K261*J261</f>
        <v>1811579.4300229251</v>
      </c>
      <c r="P261" s="253">
        <f t="shared" si="344"/>
        <v>471694.62968848087</v>
      </c>
      <c r="Q261" s="343">
        <f>I261*L261</f>
        <v>55353.815917367159</v>
      </c>
      <c r="R261" s="343">
        <f>L261*J261</f>
        <v>100643.30166794028</v>
      </c>
      <c r="S261" s="353">
        <f t="shared" si="345"/>
        <v>0.45</v>
      </c>
    </row>
    <row r="262" spans="1:19" x14ac:dyDescent="0.25">
      <c r="A262" s="190">
        <v>2</v>
      </c>
      <c r="B262" s="190" t="s">
        <v>43</v>
      </c>
      <c r="C262" s="190"/>
      <c r="D262" s="190"/>
      <c r="E262" s="456"/>
      <c r="F262" s="253"/>
      <c r="G262" s="188"/>
      <c r="H262" s="188"/>
      <c r="I262" s="253"/>
      <c r="J262" s="253"/>
      <c r="K262" s="253"/>
      <c r="L262" s="253"/>
      <c r="M262" s="334"/>
      <c r="N262" s="253"/>
      <c r="O262" s="335"/>
      <c r="P262" s="253"/>
      <c r="Q262" s="343"/>
      <c r="R262" s="343"/>
      <c r="S262" s="353"/>
    </row>
    <row r="263" spans="1:19" x14ac:dyDescent="0.25">
      <c r="A263" s="7"/>
      <c r="B263" s="7" t="s">
        <v>9</v>
      </c>
      <c r="C263" s="7" t="s">
        <v>19</v>
      </c>
      <c r="D263" s="7" t="s">
        <v>34</v>
      </c>
      <c r="E263" s="253">
        <f>1000*D_device_values!$Q$8*(1/D_currency_conversion!$H$7)*D_currency_conversion!$H$6</f>
        <v>173469.52185035453</v>
      </c>
      <c r="F263" s="253">
        <f>E263*D_currency_conversion!$I$12*D_currency_conversion!$J$12</f>
        <v>203568.14293433359</v>
      </c>
      <c r="G263" s="188">
        <f>D_device_lifecycles!$X$8</f>
        <v>10</v>
      </c>
      <c r="H263" s="188">
        <f t="shared" si="339"/>
        <v>5.5</v>
      </c>
      <c r="I263" s="253">
        <f t="shared" ref="I263:I264" si="346">$F263/G263</f>
        <v>20356.814293433359</v>
      </c>
      <c r="J263" s="253">
        <f t="shared" ref="J263" si="347">$F263/H263</f>
        <v>37012.389624424286</v>
      </c>
      <c r="K263" s="253">
        <v>22</v>
      </c>
      <c r="L263" s="259">
        <f t="shared" ref="L263:L264" si="348">K263/18</f>
        <v>1.2222222222222223</v>
      </c>
      <c r="M263" s="334">
        <f t="shared" ref="M263:M264" si="349">K263*E263</f>
        <v>3816329.4807077996</v>
      </c>
      <c r="N263" s="253">
        <f>K263*I263</f>
        <v>447849.9144555339</v>
      </c>
      <c r="O263" s="335">
        <f>K263*J263</f>
        <v>814272.57173733425</v>
      </c>
      <c r="P263" s="253">
        <f t="shared" ref="P263:P264" si="350">L263*E263</f>
        <v>212018.30448376667</v>
      </c>
      <c r="Q263" s="343">
        <f t="shared" ref="Q263:Q264" si="351">I263*L263</f>
        <v>24880.550803085218</v>
      </c>
      <c r="R263" s="343">
        <f t="shared" ref="R263:R264" si="352">L263*J263</f>
        <v>45237.365096518573</v>
      </c>
      <c r="S263" s="353">
        <f t="shared" ref="S263:S264" si="353">(G263-H263)/G263</f>
        <v>0.45</v>
      </c>
    </row>
    <row r="264" spans="1:19" x14ac:dyDescent="0.25">
      <c r="A264" s="7"/>
      <c r="B264" s="7" t="s">
        <v>10</v>
      </c>
      <c r="C264" s="7" t="s">
        <v>20</v>
      </c>
      <c r="D264" s="7" t="s">
        <v>34</v>
      </c>
      <c r="E264" s="253">
        <f>1000*D_device_values!$Q$9*(1/D_currency_conversion!$H$7)*D_currency_conversion!$H$6</f>
        <v>173732.7429469417</v>
      </c>
      <c r="F264" s="253">
        <f>E264*D_currency_conversion!$I$12*D_currency_conversion!$J$12</f>
        <v>203877.03540859552</v>
      </c>
      <c r="G264" s="188">
        <f>D_device_lifecycles!$X$9</f>
        <v>11</v>
      </c>
      <c r="H264" s="188">
        <f t="shared" si="339"/>
        <v>6.0500000000000007</v>
      </c>
      <c r="I264" s="253">
        <f t="shared" si="346"/>
        <v>18534.275946235957</v>
      </c>
      <c r="J264" s="253">
        <f>$F264/H264</f>
        <v>33698.683538610829</v>
      </c>
      <c r="K264" s="253">
        <v>22</v>
      </c>
      <c r="L264" s="259">
        <f t="shared" si="348"/>
        <v>1.2222222222222223</v>
      </c>
      <c r="M264" s="334">
        <f t="shared" si="349"/>
        <v>3822120.3448327174</v>
      </c>
      <c r="N264" s="253">
        <f>K264*I264</f>
        <v>407754.07081719104</v>
      </c>
      <c r="O264" s="335">
        <f>K264*J264</f>
        <v>741371.03784943826</v>
      </c>
      <c r="P264" s="253">
        <f t="shared" si="350"/>
        <v>212340.0191573732</v>
      </c>
      <c r="Q264" s="343">
        <f t="shared" si="351"/>
        <v>22653.003934288394</v>
      </c>
      <c r="R264" s="343">
        <f t="shared" si="352"/>
        <v>41187.279880524351</v>
      </c>
      <c r="S264" s="353">
        <f t="shared" si="353"/>
        <v>0.44999999999999996</v>
      </c>
    </row>
    <row r="265" spans="1:19" x14ac:dyDescent="0.25">
      <c r="A265" s="190">
        <v>3</v>
      </c>
      <c r="B265" s="190" t="s">
        <v>42</v>
      </c>
      <c r="C265" s="190"/>
      <c r="D265" s="190"/>
      <c r="E265" s="456"/>
      <c r="F265" s="253"/>
      <c r="G265" s="188"/>
      <c r="H265" s="188"/>
      <c r="I265" s="253"/>
      <c r="J265" s="253"/>
      <c r="K265" s="253"/>
      <c r="L265" s="253"/>
      <c r="M265" s="334"/>
      <c r="N265" s="253"/>
      <c r="O265" s="335"/>
      <c r="P265" s="253"/>
      <c r="Q265" s="343"/>
      <c r="R265" s="343"/>
      <c r="S265" s="353"/>
    </row>
    <row r="266" spans="1:19" x14ac:dyDescent="0.25">
      <c r="A266" s="7"/>
      <c r="B266" s="7" t="s">
        <v>9</v>
      </c>
      <c r="C266" s="7" t="s">
        <v>24</v>
      </c>
      <c r="D266" s="7" t="s">
        <v>35</v>
      </c>
      <c r="E266" s="253">
        <f>1000*D_device_values!$Q$11*(1/D_currency_conversion!$H$7)*D_currency_conversion!$H$6</f>
        <v>1064482.5920110256</v>
      </c>
      <c r="F266" s="253">
        <f>E266*D_currency_conversion!$I$12*D_currency_conversion!$J$12</f>
        <v>1249180.502316393</v>
      </c>
      <c r="G266" s="188">
        <f>D_device_lifecycles!$X$11</f>
        <v>10</v>
      </c>
      <c r="H266" s="188">
        <f t="shared" si="339"/>
        <v>5.5</v>
      </c>
      <c r="I266" s="253">
        <f t="shared" ref="I266:I271" si="354">$F266/G266</f>
        <v>124918.0502316393</v>
      </c>
      <c r="J266" s="253">
        <f t="shared" ref="J266:J271" si="355">$F266/H266</f>
        <v>227123.72769388964</v>
      </c>
      <c r="K266" s="253">
        <v>4</v>
      </c>
      <c r="L266" s="259">
        <f t="shared" ref="L266:L271" si="356">K266/18</f>
        <v>0.22222222222222221</v>
      </c>
      <c r="M266" s="334">
        <f t="shared" ref="M266:M271" si="357">K266*E266</f>
        <v>4257930.3680441026</v>
      </c>
      <c r="N266" s="253">
        <f t="shared" ref="N266:N271" si="358">K266*I266</f>
        <v>499672.20092655718</v>
      </c>
      <c r="O266" s="335">
        <f t="shared" ref="O266:O271" si="359">K266*J266</f>
        <v>908494.91077555856</v>
      </c>
      <c r="P266" s="253">
        <f t="shared" ref="P266:P271" si="360">L266*E266</f>
        <v>236551.68711356123</v>
      </c>
      <c r="Q266" s="343">
        <f t="shared" ref="Q266:Q271" si="361">I266*L266</f>
        <v>27759.566718142065</v>
      </c>
      <c r="R266" s="343">
        <f t="shared" ref="R266:R271" si="362">L266*J266</f>
        <v>50471.939487531032</v>
      </c>
      <c r="S266" s="353">
        <f t="shared" ref="S266:S271" si="363">(G266-H266)/G266</f>
        <v>0.45</v>
      </c>
    </row>
    <row r="267" spans="1:19" x14ac:dyDescent="0.25">
      <c r="A267" s="7"/>
      <c r="B267" s="7" t="s">
        <v>10</v>
      </c>
      <c r="C267" s="7" t="s">
        <v>25</v>
      </c>
      <c r="D267" s="7" t="s">
        <v>36</v>
      </c>
      <c r="E267" s="253">
        <f>1000*D_device_values!$Q$12*(1/D_currency_conversion!$H$7)*D_currency_conversion!$H$6</f>
        <v>362399.53256554028</v>
      </c>
      <c r="F267" s="253">
        <f>E267*D_currency_conversion!$I$12*D_currency_conversion!$J$12</f>
        <v>425279.31741391844</v>
      </c>
      <c r="G267" s="188">
        <f>D_device_lifecycles!$X$12</f>
        <v>9</v>
      </c>
      <c r="H267" s="188">
        <f t="shared" si="339"/>
        <v>4.95</v>
      </c>
      <c r="I267" s="253">
        <f t="shared" si="354"/>
        <v>47253.257490435382</v>
      </c>
      <c r="J267" s="253">
        <f t="shared" si="355"/>
        <v>85915.013618973418</v>
      </c>
      <c r="K267" s="253">
        <v>13</v>
      </c>
      <c r="L267" s="259">
        <f t="shared" si="356"/>
        <v>0.72222222222222221</v>
      </c>
      <c r="M267" s="334">
        <f t="shared" si="357"/>
        <v>4711193.9233520236</v>
      </c>
      <c r="N267" s="253">
        <f t="shared" si="358"/>
        <v>614292.34737565997</v>
      </c>
      <c r="O267" s="335">
        <f t="shared" si="359"/>
        <v>1116895.1770466545</v>
      </c>
      <c r="P267" s="253">
        <f t="shared" si="360"/>
        <v>261732.9957417791</v>
      </c>
      <c r="Q267" s="343">
        <f t="shared" si="361"/>
        <v>34127.352631981106</v>
      </c>
      <c r="R267" s="343">
        <f t="shared" si="362"/>
        <v>62049.732058147471</v>
      </c>
      <c r="S267" s="353">
        <f t="shared" si="363"/>
        <v>0.44999999999999996</v>
      </c>
    </row>
    <row r="268" spans="1:19" x14ac:dyDescent="0.25">
      <c r="A268" s="7"/>
      <c r="B268" s="7" t="s">
        <v>15</v>
      </c>
      <c r="C268" s="7" t="s">
        <v>26</v>
      </c>
      <c r="D268" s="7" t="s">
        <v>37</v>
      </c>
      <c r="E268" s="253">
        <f>1000*D_device_values!$Q$13*(1/D_currency_conversion!$H$7)*D_currency_conversion!$H$6</f>
        <v>369662.42145046114</v>
      </c>
      <c r="F268" s="253">
        <f>E268*D_currency_conversion!$I$12*D_currency_conversion!$J$12</f>
        <v>433802.38698182325</v>
      </c>
      <c r="G268" s="188">
        <f>D_device_lifecycles!$X$13</f>
        <v>7</v>
      </c>
      <c r="H268" s="188">
        <f t="shared" si="339"/>
        <v>3.8500000000000005</v>
      </c>
      <c r="I268" s="253">
        <f t="shared" si="354"/>
        <v>61971.769568831893</v>
      </c>
      <c r="J268" s="253">
        <f t="shared" si="355"/>
        <v>112675.94467060342</v>
      </c>
      <c r="K268" s="253">
        <v>19</v>
      </c>
      <c r="L268" s="259">
        <f t="shared" si="356"/>
        <v>1.0555555555555556</v>
      </c>
      <c r="M268" s="334">
        <f t="shared" si="357"/>
        <v>7023586.0075587621</v>
      </c>
      <c r="N268" s="253">
        <f t="shared" si="358"/>
        <v>1177463.621807806</v>
      </c>
      <c r="O268" s="335">
        <f t="shared" si="359"/>
        <v>2140842.9487414649</v>
      </c>
      <c r="P268" s="253">
        <f t="shared" si="360"/>
        <v>390199.22264215344</v>
      </c>
      <c r="Q268" s="343">
        <f t="shared" si="361"/>
        <v>65414.645655989225</v>
      </c>
      <c r="R268" s="343">
        <f t="shared" si="362"/>
        <v>118935.71937452584</v>
      </c>
      <c r="S268" s="353">
        <f t="shared" si="363"/>
        <v>0.4499999999999999</v>
      </c>
    </row>
    <row r="269" spans="1:19" x14ac:dyDescent="0.25">
      <c r="A269" s="7"/>
      <c r="B269" s="7" t="s">
        <v>21</v>
      </c>
      <c r="C269" s="7" t="s">
        <v>27</v>
      </c>
      <c r="D269" s="7" t="s">
        <v>38</v>
      </c>
      <c r="E269" s="253">
        <f>1000*D_device_values!$Q$14*(1/D_currency_conversion!$H$7)*D_currency_conversion!$H$6</f>
        <v>116485.56403892365</v>
      </c>
      <c r="F269" s="253">
        <f>E269*D_currency_conversion!$I$12*D_currency_conversion!$J$12</f>
        <v>136696.92345447378</v>
      </c>
      <c r="G269" s="188">
        <f>D_device_lifecycles!$X$14</f>
        <v>8</v>
      </c>
      <c r="H269" s="188">
        <f t="shared" si="339"/>
        <v>4.4000000000000004</v>
      </c>
      <c r="I269" s="253">
        <f t="shared" si="354"/>
        <v>17087.115431809223</v>
      </c>
      <c r="J269" s="253">
        <f t="shared" si="355"/>
        <v>31067.482603289493</v>
      </c>
      <c r="K269" s="253">
        <v>60</v>
      </c>
      <c r="L269" s="259">
        <f t="shared" si="356"/>
        <v>3.3333333333333335</v>
      </c>
      <c r="M269" s="334">
        <f t="shared" si="357"/>
        <v>6989133.8423354188</v>
      </c>
      <c r="N269" s="253">
        <f t="shared" si="358"/>
        <v>1025226.9259085534</v>
      </c>
      <c r="O269" s="335">
        <f t="shared" si="359"/>
        <v>1864048.9561973696</v>
      </c>
      <c r="P269" s="253">
        <f t="shared" si="360"/>
        <v>388285.21346307884</v>
      </c>
      <c r="Q269" s="343">
        <f t="shared" si="361"/>
        <v>56957.051439364077</v>
      </c>
      <c r="R269" s="343">
        <f t="shared" si="362"/>
        <v>103558.27534429831</v>
      </c>
      <c r="S269" s="353">
        <f t="shared" si="363"/>
        <v>0.44999999999999996</v>
      </c>
    </row>
    <row r="270" spans="1:19" x14ac:dyDescent="0.25">
      <c r="A270" s="7"/>
      <c r="B270" s="7" t="s">
        <v>22</v>
      </c>
      <c r="C270" s="7" t="s">
        <v>28</v>
      </c>
      <c r="D270" s="7" t="s">
        <v>39</v>
      </c>
      <c r="E270" s="253">
        <f>1000*D_device_values!$Q$15*(1/D_currency_conversion!$H$7)*D_currency_conversion!$H$6</f>
        <v>253752.59020685713</v>
      </c>
      <c r="F270" s="253">
        <f>E270*D_currency_conversion!$I$12*D_currency_conversion!$J$12</f>
        <v>297781.09146890056</v>
      </c>
      <c r="G270" s="188">
        <f>D_device_lifecycles!$X$15</f>
        <v>12</v>
      </c>
      <c r="H270" s="188">
        <f t="shared" si="339"/>
        <v>6.6000000000000005</v>
      </c>
      <c r="I270" s="253">
        <f t="shared" si="354"/>
        <v>24815.090955741714</v>
      </c>
      <c r="J270" s="253">
        <f t="shared" si="355"/>
        <v>45118.347192257657</v>
      </c>
      <c r="K270" s="253">
        <v>21</v>
      </c>
      <c r="L270" s="259">
        <f t="shared" si="356"/>
        <v>1.1666666666666667</v>
      </c>
      <c r="M270" s="334">
        <f t="shared" si="357"/>
        <v>5328804.3943440001</v>
      </c>
      <c r="N270" s="253">
        <f t="shared" si="358"/>
        <v>521116.91007057601</v>
      </c>
      <c r="O270" s="335">
        <f t="shared" si="359"/>
        <v>947485.29103741085</v>
      </c>
      <c r="P270" s="253">
        <f t="shared" si="360"/>
        <v>296044.68857466668</v>
      </c>
      <c r="Q270" s="343">
        <f t="shared" si="361"/>
        <v>28950.939448365334</v>
      </c>
      <c r="R270" s="343">
        <f t="shared" si="362"/>
        <v>52638.0717243006</v>
      </c>
      <c r="S270" s="353">
        <f t="shared" si="363"/>
        <v>0.44999999999999996</v>
      </c>
    </row>
    <row r="271" spans="1:19" x14ac:dyDescent="0.25">
      <c r="A271" s="7"/>
      <c r="B271" s="7" t="s">
        <v>23</v>
      </c>
      <c r="C271" s="7" t="s">
        <v>29</v>
      </c>
      <c r="D271" s="7" t="s">
        <v>40</v>
      </c>
      <c r="E271" s="253">
        <f>1000*D_device_values!$Q$16*(1/D_currency_conversion!$H$7)*D_currency_conversion!$H$6</f>
        <v>869019.28727450978</v>
      </c>
      <c r="F271" s="253">
        <f>E271*D_currency_conversion!$I$12*D_currency_conversion!$J$12</f>
        <v>1019802.4448190901</v>
      </c>
      <c r="G271" s="188">
        <f>D_device_lifecycles!$X$16</f>
        <v>15</v>
      </c>
      <c r="H271" s="188">
        <f t="shared" si="339"/>
        <v>8.25</v>
      </c>
      <c r="I271" s="253">
        <f t="shared" si="354"/>
        <v>67986.829654606001</v>
      </c>
      <c r="J271" s="253">
        <f t="shared" si="355"/>
        <v>123612.4175538291</v>
      </c>
      <c r="K271" s="253">
        <v>18</v>
      </c>
      <c r="L271" s="259">
        <f t="shared" si="356"/>
        <v>1</v>
      </c>
      <c r="M271" s="334">
        <f t="shared" si="357"/>
        <v>15642347.170941176</v>
      </c>
      <c r="N271" s="253">
        <f t="shared" si="358"/>
        <v>1223762.9337829081</v>
      </c>
      <c r="O271" s="335">
        <f t="shared" si="359"/>
        <v>2225023.5159689239</v>
      </c>
      <c r="P271" s="253">
        <f t="shared" si="360"/>
        <v>869019.28727450978</v>
      </c>
      <c r="Q271" s="343">
        <f t="shared" si="361"/>
        <v>67986.829654606001</v>
      </c>
      <c r="R271" s="343">
        <f t="shared" si="362"/>
        <v>123612.4175538291</v>
      </c>
      <c r="S271" s="353">
        <f t="shared" si="363"/>
        <v>0.45</v>
      </c>
    </row>
    <row r="272" spans="1:19" x14ac:dyDescent="0.25">
      <c r="A272" s="190">
        <v>4</v>
      </c>
      <c r="B272" s="190" t="s">
        <v>2</v>
      </c>
      <c r="C272" s="190"/>
      <c r="D272" s="190"/>
      <c r="E272" s="456"/>
      <c r="F272" s="253"/>
      <c r="G272" s="188"/>
      <c r="H272" s="188">
        <f t="shared" si="339"/>
        <v>0</v>
      </c>
      <c r="I272" s="253"/>
      <c r="J272" s="253"/>
      <c r="K272" s="253"/>
      <c r="L272" s="253"/>
      <c r="M272" s="334"/>
      <c r="N272" s="253"/>
      <c r="O272" s="335"/>
      <c r="P272" s="253"/>
      <c r="Q272" s="343"/>
      <c r="R272" s="343"/>
      <c r="S272" s="353"/>
    </row>
    <row r="273" spans="1:19" x14ac:dyDescent="0.25">
      <c r="A273" s="7"/>
      <c r="B273" s="7" t="s">
        <v>9</v>
      </c>
      <c r="C273" s="7" t="s">
        <v>8</v>
      </c>
      <c r="D273" s="7" t="s">
        <v>5</v>
      </c>
      <c r="E273" s="253">
        <f>1000*D_device_values!$Q$18*(1/D_currency_conversion!$H$7)*D_currency_conversion!$H$6</f>
        <v>320982.44312947843</v>
      </c>
      <c r="F273" s="253">
        <f>E273*D_currency_conversion!$I$12*D_currency_conversion!$J$12</f>
        <v>376675.96685232763</v>
      </c>
      <c r="G273" s="188">
        <f>D_device_lifecycles!$X$18</f>
        <v>8</v>
      </c>
      <c r="H273" s="188">
        <f t="shared" si="339"/>
        <v>4.4000000000000004</v>
      </c>
      <c r="I273" s="253">
        <f t="shared" ref="I273:I276" si="364">$F273/G273</f>
        <v>47084.495856540954</v>
      </c>
      <c r="J273" s="253">
        <f t="shared" ref="J273:J276" si="365">$F273/H273</f>
        <v>85608.174284619905</v>
      </c>
      <c r="K273" s="253">
        <v>21</v>
      </c>
      <c r="L273" s="259">
        <f t="shared" ref="L273:L276" si="366">K273/18</f>
        <v>1.1666666666666667</v>
      </c>
      <c r="M273" s="334">
        <f t="shared" ref="M273:M276" si="367">K273*E273</f>
        <v>6740631.3057190469</v>
      </c>
      <c r="N273" s="253">
        <f>K273*I273</f>
        <v>988774.41298736003</v>
      </c>
      <c r="O273" s="335">
        <f>K273*J273</f>
        <v>1797771.6599770179</v>
      </c>
      <c r="P273" s="253">
        <f t="shared" ref="P273:P276" si="368">L273*E273</f>
        <v>374479.51698439155</v>
      </c>
      <c r="Q273" s="343">
        <f t="shared" ref="Q273:Q274" si="369">I273*L273</f>
        <v>54931.911832631115</v>
      </c>
      <c r="R273" s="343">
        <f t="shared" ref="R273:R276" si="370">L273*J273</f>
        <v>99876.203332056568</v>
      </c>
      <c r="S273" s="353">
        <f t="shared" ref="S273:S276" si="371">(G273-H273)/G273</f>
        <v>0.44999999999999996</v>
      </c>
    </row>
    <row r="274" spans="1:19" x14ac:dyDescent="0.25">
      <c r="A274" s="7"/>
      <c r="B274" s="7" t="s">
        <v>10</v>
      </c>
      <c r="C274" s="7" t="s">
        <v>30</v>
      </c>
      <c r="D274" s="7" t="s">
        <v>41</v>
      </c>
      <c r="E274" s="253">
        <f>1000*D_device_values!$Q$19*(1/D_currency_conversion!$H$7)*D_currency_conversion!$H$6</f>
        <v>841284.62917000416</v>
      </c>
      <c r="F274" s="253">
        <f>E274*D_currency_conversion!$I$12*D_currency_conversion!$J$12</f>
        <v>987255.55828231061</v>
      </c>
      <c r="G274" s="188">
        <f>D_device_lifecycles!$X$19</f>
        <v>9</v>
      </c>
      <c r="H274" s="188">
        <f t="shared" si="339"/>
        <v>4.95</v>
      </c>
      <c r="I274" s="253">
        <f t="shared" si="364"/>
        <v>109695.06203136785</v>
      </c>
      <c r="J274" s="253">
        <f t="shared" si="365"/>
        <v>199445.56732975971</v>
      </c>
      <c r="K274" s="253">
        <v>17</v>
      </c>
      <c r="L274" s="259">
        <f t="shared" si="366"/>
        <v>0.94444444444444442</v>
      </c>
      <c r="M274" s="334">
        <f t="shared" si="367"/>
        <v>14301838.695890071</v>
      </c>
      <c r="N274" s="253">
        <f>K274*I274</f>
        <v>1864816.0545332534</v>
      </c>
      <c r="O274" s="335">
        <f>K274*J274</f>
        <v>3390574.6446059151</v>
      </c>
      <c r="P274" s="253">
        <f t="shared" si="368"/>
        <v>794546.59421611507</v>
      </c>
      <c r="Q274" s="343">
        <f t="shared" si="369"/>
        <v>103600.89191851408</v>
      </c>
      <c r="R274" s="343">
        <f t="shared" si="370"/>
        <v>188365.25803366193</v>
      </c>
      <c r="S274" s="353">
        <f t="shared" si="371"/>
        <v>0.44999999999999996</v>
      </c>
    </row>
    <row r="275" spans="1:19" x14ac:dyDescent="0.25">
      <c r="A275" s="190">
        <v>5</v>
      </c>
      <c r="B275" s="190" t="s">
        <v>12</v>
      </c>
      <c r="C275" s="190"/>
      <c r="D275" s="191" t="s">
        <v>4</v>
      </c>
      <c r="E275" s="253">
        <f>1000*D_device_values!$Q$20*(1/D_currency_conversion!$H$7)*D_currency_conversion!$H$6</f>
        <v>1216627.0021843137</v>
      </c>
      <c r="F275" s="253">
        <f>E275*D_currency_conversion!$I$12*D_currency_conversion!$J$12</f>
        <v>1427723.4227467263</v>
      </c>
      <c r="G275" s="188">
        <f>D_device_lifecycles!$X$20</f>
        <v>10</v>
      </c>
      <c r="H275" s="188">
        <f t="shared" si="339"/>
        <v>5.5</v>
      </c>
      <c r="I275" s="253">
        <f t="shared" si="364"/>
        <v>142772.34227467264</v>
      </c>
      <c r="J275" s="253">
        <f t="shared" si="365"/>
        <v>259586.07686304115</v>
      </c>
      <c r="K275" s="253">
        <v>50</v>
      </c>
      <c r="L275" s="259">
        <f t="shared" si="366"/>
        <v>2.7777777777777777</v>
      </c>
      <c r="M275" s="334">
        <f t="shared" si="367"/>
        <v>60831350.109215684</v>
      </c>
      <c r="N275" s="253">
        <f>K275*I275</f>
        <v>7138617.1137336325</v>
      </c>
      <c r="O275" s="335">
        <f>K275*J275</f>
        <v>12979303.843152057</v>
      </c>
      <c r="P275" s="253">
        <f t="shared" si="368"/>
        <v>3379519.4505119827</v>
      </c>
      <c r="Q275" s="343">
        <f>I275*L275</f>
        <v>396589.83965186845</v>
      </c>
      <c r="R275" s="343">
        <f t="shared" si="370"/>
        <v>721072.43573066988</v>
      </c>
      <c r="S275" s="353">
        <f t="shared" si="371"/>
        <v>0.45</v>
      </c>
    </row>
    <row r="276" spans="1:19" x14ac:dyDescent="0.25">
      <c r="A276" s="192">
        <v>6</v>
      </c>
      <c r="B276" s="192" t="s">
        <v>13</v>
      </c>
      <c r="C276" s="192"/>
      <c r="D276" s="193" t="s">
        <v>3</v>
      </c>
      <c r="E276" s="254">
        <f>1000*D_device_values!$Q$21*(1/D_currency_conversion!$H$7)*D_currency_conversion!$H$6</f>
        <v>3519053.3760707863</v>
      </c>
      <c r="F276" s="254">
        <f>E276*D_currency_conversion!$I$12*D_currency_conversion!$J$12</f>
        <v>4129642.792648667</v>
      </c>
      <c r="G276" s="194">
        <f>D_device_lifecycles!$X$21</f>
        <v>8</v>
      </c>
      <c r="H276" s="188">
        <f t="shared" si="339"/>
        <v>4.4000000000000004</v>
      </c>
      <c r="I276" s="254">
        <f t="shared" si="364"/>
        <v>516205.34908108338</v>
      </c>
      <c r="J276" s="254">
        <f t="shared" si="365"/>
        <v>938555.18014742422</v>
      </c>
      <c r="K276" s="254">
        <v>47</v>
      </c>
      <c r="L276" s="333">
        <f t="shared" si="366"/>
        <v>2.6111111111111112</v>
      </c>
      <c r="M276" s="336">
        <f t="shared" si="367"/>
        <v>165395508.67532694</v>
      </c>
      <c r="N276" s="254">
        <f>K276*I276</f>
        <v>24261651.406810917</v>
      </c>
      <c r="O276" s="337">
        <f>K276*J276</f>
        <v>44112093.466928937</v>
      </c>
      <c r="P276" s="254">
        <f t="shared" si="368"/>
        <v>9188639.3708514981</v>
      </c>
      <c r="Q276" s="344">
        <f>I276*L276</f>
        <v>1347869.5226006065</v>
      </c>
      <c r="R276" s="344">
        <f t="shared" si="370"/>
        <v>2450671.85927383</v>
      </c>
      <c r="S276" s="354">
        <f t="shared" si="371"/>
        <v>0.44999999999999996</v>
      </c>
    </row>
    <row r="277" spans="1:19" x14ac:dyDescent="0.25">
      <c r="A277" s="1"/>
      <c r="B277" s="1"/>
      <c r="C277" s="1"/>
      <c r="D277" s="1"/>
      <c r="E277" s="1"/>
      <c r="F277" s="1"/>
      <c r="G277" s="1"/>
      <c r="H277" s="1"/>
      <c r="I277" s="225"/>
      <c r="J277" s="225"/>
      <c r="K277" s="255">
        <f>SUM(K259:K276)</f>
        <v>419</v>
      </c>
      <c r="L277" s="255">
        <v>240</v>
      </c>
      <c r="M277" s="338">
        <f t="shared" ref="M277:P277" si="372">SUM(M259:M276)</f>
        <v>320130175.45574528</v>
      </c>
      <c r="N277" s="339">
        <f t="shared" si="372"/>
        <v>43077410.772139512</v>
      </c>
      <c r="O277" s="340">
        <f t="shared" si="372"/>
        <v>78322565.040253654</v>
      </c>
      <c r="P277" s="255">
        <f t="shared" si="372"/>
        <v>17785009.747541405</v>
      </c>
      <c r="Q277" s="345">
        <f>SUM(Q259:Q276)</f>
        <v>2393189.4873410841</v>
      </c>
      <c r="R277" s="345">
        <f t="shared" ref="R277" si="373">SUM(R259:R276)</f>
        <v>4351253.6133474261</v>
      </c>
      <c r="S277" s="225"/>
    </row>
    <row r="278" spans="1:19" x14ac:dyDescent="0.25">
      <c r="A278" s="11" t="s">
        <v>230</v>
      </c>
      <c r="B278" s="1"/>
      <c r="C278" s="1"/>
      <c r="D278" s="1"/>
      <c r="E278" s="199" t="s">
        <v>231</v>
      </c>
      <c r="F278" s="199"/>
      <c r="G278" s="552" t="s">
        <v>400</v>
      </c>
      <c r="H278" s="552"/>
      <c r="I278" s="225"/>
      <c r="J278" s="225"/>
      <c r="N278" s="225"/>
      <c r="O278" s="225"/>
      <c r="S278" s="225"/>
    </row>
    <row r="279" spans="1:19" x14ac:dyDescent="0.25">
      <c r="A279" s="225"/>
      <c r="B279" s="225"/>
      <c r="C279" s="225"/>
      <c r="D279" s="225"/>
      <c r="E279" s="225"/>
      <c r="G279" s="225"/>
      <c r="H279" s="225"/>
      <c r="I279" s="225"/>
      <c r="J279" s="225" t="s">
        <v>615</v>
      </c>
      <c r="K279" s="363">
        <f>SUM(K259:K261,K273,K275,K276)</f>
        <v>223</v>
      </c>
      <c r="L279" s="225" t="s">
        <v>536</v>
      </c>
      <c r="M279" s="427">
        <f>SUM(M259:M261,M273,M275,M276)</f>
        <v>254236891.22773921</v>
      </c>
      <c r="N279" s="363">
        <f>SUM(N259:N261,N273,N275,N276)</f>
        <v>35295455.79246147</v>
      </c>
      <c r="O279" s="363">
        <f>SUM(O259:O261,O273,O275,O276)</f>
        <v>64173555.986293584</v>
      </c>
      <c r="P279" s="225" t="s">
        <v>536</v>
      </c>
      <c r="Q279" s="363">
        <f>SUM(Q259:Q261,Q273,Q275,Q276)</f>
        <v>1960858.6551367487</v>
      </c>
      <c r="R279" s="363">
        <f>SUM(R259:R261,R273,R275,R276)</f>
        <v>3565197.554794088</v>
      </c>
      <c r="S279" s="225"/>
    </row>
    <row r="280" spans="1:19" x14ac:dyDescent="0.25">
      <c r="A280" s="450" t="s">
        <v>623</v>
      </c>
      <c r="B280" s="450"/>
      <c r="C280" s="450"/>
      <c r="D280" s="451">
        <v>0.5</v>
      </c>
      <c r="E280" s="450"/>
      <c r="F280" s="450"/>
      <c r="G280" s="450"/>
      <c r="H280" s="450"/>
      <c r="I280" s="450"/>
      <c r="J280" s="450"/>
      <c r="K280" s="450"/>
      <c r="L280" s="450"/>
      <c r="M280" s="450"/>
      <c r="N280" s="450"/>
      <c r="O280" s="450"/>
      <c r="P280" s="450"/>
      <c r="Q280" s="450"/>
      <c r="R280" s="450"/>
      <c r="S280" s="450"/>
    </row>
    <row r="281" spans="1:19" x14ac:dyDescent="0.25">
      <c r="A281" s="196" t="s">
        <v>14</v>
      </c>
      <c r="B281" s="196"/>
      <c r="C281" s="196"/>
      <c r="D281" s="331" t="str">
        <f>HYPERLINK("#"&amp;ADDRESS(1,1,,,"MASTER"),"M &lt;=")</f>
        <v>M &lt;=</v>
      </c>
      <c r="E281" s="444" t="s">
        <v>229</v>
      </c>
      <c r="F281" s="444" t="s">
        <v>229</v>
      </c>
      <c r="G281" s="544" t="s">
        <v>44</v>
      </c>
      <c r="H281" s="544"/>
      <c r="I281" s="547" t="s">
        <v>454</v>
      </c>
      <c r="J281" s="547"/>
      <c r="K281" s="445" t="s">
        <v>405</v>
      </c>
      <c r="L281" s="445" t="s">
        <v>517</v>
      </c>
      <c r="M281" s="449" t="s">
        <v>459</v>
      </c>
      <c r="N281" s="550" t="s">
        <v>458</v>
      </c>
      <c r="O281" s="551"/>
      <c r="P281" s="445" t="s">
        <v>518</v>
      </c>
      <c r="Q281" s="553" t="s">
        <v>522</v>
      </c>
      <c r="R281" s="553"/>
      <c r="S281" s="446" t="s">
        <v>523</v>
      </c>
    </row>
    <row r="282" spans="1:19" x14ac:dyDescent="0.25">
      <c r="A282" s="198"/>
      <c r="B282" s="198"/>
      <c r="C282" s="198"/>
      <c r="D282" s="198"/>
      <c r="E282" s="448" t="s">
        <v>627</v>
      </c>
      <c r="F282" s="448" t="s">
        <v>628</v>
      </c>
      <c r="G282" s="448" t="s">
        <v>7</v>
      </c>
      <c r="H282" s="448" t="s">
        <v>6</v>
      </c>
      <c r="I282" s="448" t="s">
        <v>7</v>
      </c>
      <c r="J282" s="448" t="s">
        <v>6</v>
      </c>
      <c r="K282" s="448" t="s">
        <v>455</v>
      </c>
      <c r="L282" s="448" t="s">
        <v>455</v>
      </c>
      <c r="M282" s="447" t="s">
        <v>627</v>
      </c>
      <c r="N282" s="448" t="s">
        <v>7</v>
      </c>
      <c r="O282" s="269" t="s">
        <v>6</v>
      </c>
      <c r="P282" s="448" t="s">
        <v>629</v>
      </c>
      <c r="Q282" s="341" t="s">
        <v>7</v>
      </c>
      <c r="R282" s="341" t="s">
        <v>6</v>
      </c>
      <c r="S282" s="446" t="s">
        <v>524</v>
      </c>
    </row>
    <row r="283" spans="1:19" x14ac:dyDescent="0.25">
      <c r="A283" s="3">
        <v>1</v>
      </c>
      <c r="B283" s="3" t="s">
        <v>11</v>
      </c>
      <c r="C283" s="3"/>
      <c r="D283" s="3"/>
      <c r="E283" s="444"/>
      <c r="F283" s="444"/>
      <c r="G283" s="3"/>
      <c r="H283" s="3"/>
      <c r="I283" s="3"/>
      <c r="J283" s="3"/>
      <c r="K283" s="3"/>
      <c r="L283" s="3"/>
      <c r="M283" s="264"/>
      <c r="N283" s="190"/>
      <c r="O283" s="265"/>
      <c r="P283" s="190"/>
      <c r="Q283" s="342"/>
      <c r="R283" s="342"/>
      <c r="S283" s="352"/>
    </row>
    <row r="284" spans="1:19" x14ac:dyDescent="0.25">
      <c r="A284" s="7"/>
      <c r="B284" s="7" t="s">
        <v>9</v>
      </c>
      <c r="C284" s="7" t="s">
        <v>16</v>
      </c>
      <c r="D284" s="7" t="s">
        <v>31</v>
      </c>
      <c r="E284" s="253">
        <f>1000*D_device_values!$Q$4*(1/D_currency_conversion!$H$7)*D_currency_conversion!$H$6</f>
        <v>849913.18946918368</v>
      </c>
      <c r="F284" s="253">
        <f>E284*D_currency_conversion!$I$12*D_currency_conversion!$J$12</f>
        <v>997381.25631597533</v>
      </c>
      <c r="G284" s="188">
        <f>D_device_lifecycles!$X$4</f>
        <v>7.5</v>
      </c>
      <c r="H284" s="188">
        <f>G284*(1-$D$280)</f>
        <v>3.75</v>
      </c>
      <c r="I284" s="253">
        <f>$F284/G284</f>
        <v>132984.1675087967</v>
      </c>
      <c r="J284" s="253">
        <f>$F284/H284</f>
        <v>265968.3350175934</v>
      </c>
      <c r="K284" s="253">
        <v>11</v>
      </c>
      <c r="L284" s="259">
        <f>K284/18</f>
        <v>0.61111111111111116</v>
      </c>
      <c r="M284" s="334">
        <f>K284*E284</f>
        <v>9349045.0841610208</v>
      </c>
      <c r="N284" s="253">
        <f>K284*I284</f>
        <v>1462825.8425967637</v>
      </c>
      <c r="O284" s="335">
        <f>K284*J284</f>
        <v>2925651.6851935275</v>
      </c>
      <c r="P284" s="253">
        <f>L284*E284</f>
        <v>519391.3935645012</v>
      </c>
      <c r="Q284" s="343">
        <f>I284*L284</f>
        <v>81268.102366486884</v>
      </c>
      <c r="R284" s="343">
        <f>L284*J284</f>
        <v>162536.20473297377</v>
      </c>
      <c r="S284" s="353">
        <f>(G284-H284)/G284</f>
        <v>0.5</v>
      </c>
    </row>
    <row r="285" spans="1:19" x14ac:dyDescent="0.25">
      <c r="A285" s="7"/>
      <c r="B285" s="7" t="s">
        <v>10</v>
      </c>
      <c r="C285" s="7" t="s">
        <v>17</v>
      </c>
      <c r="D285" s="7" t="s">
        <v>32</v>
      </c>
      <c r="E285" s="253">
        <f>1000*D_device_values!$Q$5*(1/D_currency_conversion!$H$7)*D_currency_conversion!$H$6</f>
        <v>64714.20224384647</v>
      </c>
      <c r="F285" s="253">
        <f>E285*D_currency_conversion!$I$12*D_currency_conversion!$J$12</f>
        <v>75942.735252485436</v>
      </c>
      <c r="G285" s="188">
        <f>D_device_lifecycles!$X$5</f>
        <v>9</v>
      </c>
      <c r="H285" s="188">
        <f t="shared" ref="H285:H301" si="374">G285*(1-$D$280)</f>
        <v>4.5</v>
      </c>
      <c r="I285" s="253">
        <f t="shared" ref="I285:I286" si="375">$F285/G285</f>
        <v>8438.081694720604</v>
      </c>
      <c r="J285" s="253">
        <f t="shared" ref="J285:J286" si="376">$F285/H285</f>
        <v>16876.163389441208</v>
      </c>
      <c r="K285" s="253">
        <v>53</v>
      </c>
      <c r="L285" s="259">
        <f t="shared" ref="L285:L286" si="377">K285/18</f>
        <v>2.9444444444444446</v>
      </c>
      <c r="M285" s="334">
        <f t="shared" ref="M285:M286" si="378">K285*E285</f>
        <v>3429852.718923863</v>
      </c>
      <c r="N285" s="253">
        <f>K285*I285</f>
        <v>447218.32982019201</v>
      </c>
      <c r="O285" s="335">
        <f>K285*J285</f>
        <v>894436.65964038402</v>
      </c>
      <c r="P285" s="253">
        <f t="shared" ref="P285:P286" si="379">L285*E285</f>
        <v>190547.37327354794</v>
      </c>
      <c r="Q285" s="343">
        <f>I285*L285</f>
        <v>24845.462767788445</v>
      </c>
      <c r="R285" s="343">
        <f>L285*J285</f>
        <v>49690.925535576891</v>
      </c>
      <c r="S285" s="353">
        <f t="shared" ref="S285:S286" si="380">(G285-H285)/G285</f>
        <v>0.5</v>
      </c>
    </row>
    <row r="286" spans="1:19" x14ac:dyDescent="0.25">
      <c r="A286" s="7"/>
      <c r="B286" s="7" t="s">
        <v>15</v>
      </c>
      <c r="C286" s="7" t="s">
        <v>18</v>
      </c>
      <c r="D286" s="7" t="s">
        <v>33</v>
      </c>
      <c r="E286" s="253">
        <f>1000*D_device_values!$Q$6*(1/D_currency_conversion!$H$7)*D_currency_conversion!$H$6</f>
        <v>207085.44718030869</v>
      </c>
      <c r="F286" s="253">
        <f>E286*D_currency_conversion!$I$12*D_currency_conversion!$J$12</f>
        <v>243016.75280795337</v>
      </c>
      <c r="G286" s="188">
        <f>D_device_lifecycles!$X$6</f>
        <v>10</v>
      </c>
      <c r="H286" s="188">
        <f t="shared" si="374"/>
        <v>5</v>
      </c>
      <c r="I286" s="253">
        <f t="shared" si="375"/>
        <v>24301.675280795338</v>
      </c>
      <c r="J286" s="253">
        <f t="shared" si="376"/>
        <v>48603.350561590676</v>
      </c>
      <c r="K286" s="253">
        <v>41</v>
      </c>
      <c r="L286" s="259">
        <f t="shared" si="377"/>
        <v>2.2777777777777777</v>
      </c>
      <c r="M286" s="334">
        <f t="shared" si="378"/>
        <v>8490503.3343926556</v>
      </c>
      <c r="N286" s="253">
        <f>K286*I286</f>
        <v>996368.6865126089</v>
      </c>
      <c r="O286" s="335">
        <f>K286*J286</f>
        <v>1992737.3730252178</v>
      </c>
      <c r="P286" s="253">
        <f t="shared" si="379"/>
        <v>471694.62968848087</v>
      </c>
      <c r="Q286" s="343">
        <f>I286*L286</f>
        <v>55353.815917367159</v>
      </c>
      <c r="R286" s="343">
        <f>L286*J286</f>
        <v>110707.63183473432</v>
      </c>
      <c r="S286" s="353">
        <f t="shared" si="380"/>
        <v>0.5</v>
      </c>
    </row>
    <row r="287" spans="1:19" x14ac:dyDescent="0.25">
      <c r="A287" s="190">
        <v>2</v>
      </c>
      <c r="B287" s="190" t="s">
        <v>43</v>
      </c>
      <c r="C287" s="190"/>
      <c r="D287" s="190"/>
      <c r="E287" s="456"/>
      <c r="F287" s="253"/>
      <c r="G287" s="188"/>
      <c r="H287" s="188"/>
      <c r="I287" s="253"/>
      <c r="J287" s="253"/>
      <c r="K287" s="253"/>
      <c r="L287" s="253"/>
      <c r="M287" s="334"/>
      <c r="N287" s="253"/>
      <c r="O287" s="335"/>
      <c r="P287" s="253"/>
      <c r="Q287" s="343"/>
      <c r="R287" s="343"/>
      <c r="S287" s="353"/>
    </row>
    <row r="288" spans="1:19" x14ac:dyDescent="0.25">
      <c r="A288" s="7"/>
      <c r="B288" s="7" t="s">
        <v>9</v>
      </c>
      <c r="C288" s="7" t="s">
        <v>19</v>
      </c>
      <c r="D288" s="7" t="s">
        <v>34</v>
      </c>
      <c r="E288" s="253">
        <f>1000*D_device_values!$Q$8*(1/D_currency_conversion!$H$7)*D_currency_conversion!$H$6</f>
        <v>173469.52185035453</v>
      </c>
      <c r="F288" s="253">
        <f>E288*D_currency_conversion!$I$12*D_currency_conversion!$J$12</f>
        <v>203568.14293433359</v>
      </c>
      <c r="G288" s="188">
        <f>D_device_lifecycles!$X$8</f>
        <v>10</v>
      </c>
      <c r="H288" s="188">
        <f t="shared" si="374"/>
        <v>5</v>
      </c>
      <c r="I288" s="253">
        <f t="shared" ref="I288:I289" si="381">$F288/G288</f>
        <v>20356.814293433359</v>
      </c>
      <c r="J288" s="253">
        <f t="shared" ref="J288" si="382">$F288/H288</f>
        <v>40713.628586866718</v>
      </c>
      <c r="K288" s="253">
        <v>22</v>
      </c>
      <c r="L288" s="259">
        <f t="shared" ref="L288:L289" si="383">K288/18</f>
        <v>1.2222222222222223</v>
      </c>
      <c r="M288" s="334">
        <f t="shared" ref="M288:M289" si="384">K288*E288</f>
        <v>3816329.4807077996</v>
      </c>
      <c r="N288" s="253">
        <f>K288*I288</f>
        <v>447849.9144555339</v>
      </c>
      <c r="O288" s="335">
        <f>K288*J288</f>
        <v>895699.8289110678</v>
      </c>
      <c r="P288" s="253">
        <f t="shared" ref="P288:P289" si="385">L288*E288</f>
        <v>212018.30448376667</v>
      </c>
      <c r="Q288" s="343">
        <f t="shared" ref="Q288:Q289" si="386">I288*L288</f>
        <v>24880.550803085218</v>
      </c>
      <c r="R288" s="343">
        <f t="shared" ref="R288:R289" si="387">L288*J288</f>
        <v>49761.101606170436</v>
      </c>
      <c r="S288" s="353">
        <f t="shared" ref="S288:S289" si="388">(G288-H288)/G288</f>
        <v>0.5</v>
      </c>
    </row>
    <row r="289" spans="1:19" x14ac:dyDescent="0.25">
      <c r="A289" s="7"/>
      <c r="B289" s="7" t="s">
        <v>10</v>
      </c>
      <c r="C289" s="7" t="s">
        <v>20</v>
      </c>
      <c r="D289" s="7" t="s">
        <v>34</v>
      </c>
      <c r="E289" s="253">
        <f>1000*D_device_values!$Q$9*(1/D_currency_conversion!$H$7)*D_currency_conversion!$H$6</f>
        <v>173732.7429469417</v>
      </c>
      <c r="F289" s="253">
        <f>E289*D_currency_conversion!$I$12*D_currency_conversion!$J$12</f>
        <v>203877.03540859552</v>
      </c>
      <c r="G289" s="188">
        <f>D_device_lifecycles!$X$9</f>
        <v>11</v>
      </c>
      <c r="H289" s="188">
        <f t="shared" si="374"/>
        <v>5.5</v>
      </c>
      <c r="I289" s="253">
        <f t="shared" si="381"/>
        <v>18534.275946235957</v>
      </c>
      <c r="J289" s="253">
        <f>$F289/H289</f>
        <v>37068.551892471914</v>
      </c>
      <c r="K289" s="253">
        <v>22</v>
      </c>
      <c r="L289" s="259">
        <f t="shared" si="383"/>
        <v>1.2222222222222223</v>
      </c>
      <c r="M289" s="334">
        <f t="shared" si="384"/>
        <v>3822120.3448327174</v>
      </c>
      <c r="N289" s="253">
        <f>K289*I289</f>
        <v>407754.07081719104</v>
      </c>
      <c r="O289" s="335">
        <f>K289*J289</f>
        <v>815508.14163438207</v>
      </c>
      <c r="P289" s="253">
        <f t="shared" si="385"/>
        <v>212340.0191573732</v>
      </c>
      <c r="Q289" s="343">
        <f t="shared" si="386"/>
        <v>22653.003934288394</v>
      </c>
      <c r="R289" s="343">
        <f t="shared" si="387"/>
        <v>45306.007868576788</v>
      </c>
      <c r="S289" s="353">
        <f t="shared" si="388"/>
        <v>0.5</v>
      </c>
    </row>
    <row r="290" spans="1:19" x14ac:dyDescent="0.25">
      <c r="A290" s="190">
        <v>3</v>
      </c>
      <c r="B290" s="190" t="s">
        <v>42</v>
      </c>
      <c r="C290" s="190"/>
      <c r="D290" s="190"/>
      <c r="E290" s="456"/>
      <c r="F290" s="253"/>
      <c r="G290" s="188"/>
      <c r="H290" s="188"/>
      <c r="I290" s="253"/>
      <c r="J290" s="253"/>
      <c r="K290" s="253"/>
      <c r="L290" s="253"/>
      <c r="M290" s="334"/>
      <c r="N290" s="253"/>
      <c r="O290" s="335"/>
      <c r="P290" s="253"/>
      <c r="Q290" s="343"/>
      <c r="R290" s="343"/>
      <c r="S290" s="353"/>
    </row>
    <row r="291" spans="1:19" x14ac:dyDescent="0.25">
      <c r="A291" s="7"/>
      <c r="B291" s="7" t="s">
        <v>9</v>
      </c>
      <c r="C291" s="7" t="s">
        <v>24</v>
      </c>
      <c r="D291" s="7" t="s">
        <v>35</v>
      </c>
      <c r="E291" s="253">
        <f>1000*D_device_values!$Q$11*(1/D_currency_conversion!$H$7)*D_currency_conversion!$H$6</f>
        <v>1064482.5920110256</v>
      </c>
      <c r="F291" s="253">
        <f>E291*D_currency_conversion!$I$12*D_currency_conversion!$J$12</f>
        <v>1249180.502316393</v>
      </c>
      <c r="G291" s="188">
        <f>D_device_lifecycles!$X$11</f>
        <v>10</v>
      </c>
      <c r="H291" s="188">
        <f t="shared" si="374"/>
        <v>5</v>
      </c>
      <c r="I291" s="253">
        <f t="shared" ref="I291:I296" si="389">$F291/G291</f>
        <v>124918.0502316393</v>
      </c>
      <c r="J291" s="253">
        <f t="shared" ref="J291:J296" si="390">$F291/H291</f>
        <v>249836.10046327859</v>
      </c>
      <c r="K291" s="253">
        <v>4</v>
      </c>
      <c r="L291" s="259">
        <f t="shared" ref="L291:L296" si="391">K291/18</f>
        <v>0.22222222222222221</v>
      </c>
      <c r="M291" s="334">
        <f t="shared" ref="M291:M296" si="392">K291*E291</f>
        <v>4257930.3680441026</v>
      </c>
      <c r="N291" s="253">
        <f t="shared" ref="N291:N296" si="393">K291*I291</f>
        <v>499672.20092655718</v>
      </c>
      <c r="O291" s="335">
        <f t="shared" ref="O291:O296" si="394">K291*J291</f>
        <v>999344.40185311437</v>
      </c>
      <c r="P291" s="253">
        <f t="shared" ref="P291:P296" si="395">L291*E291</f>
        <v>236551.68711356123</v>
      </c>
      <c r="Q291" s="343">
        <f t="shared" ref="Q291:Q296" si="396">I291*L291</f>
        <v>27759.566718142065</v>
      </c>
      <c r="R291" s="343">
        <f t="shared" ref="R291:R296" si="397">L291*J291</f>
        <v>55519.13343628413</v>
      </c>
      <c r="S291" s="353">
        <f t="shared" ref="S291:S296" si="398">(G291-H291)/G291</f>
        <v>0.5</v>
      </c>
    </row>
    <row r="292" spans="1:19" x14ac:dyDescent="0.25">
      <c r="A292" s="7"/>
      <c r="B292" s="7" t="s">
        <v>10</v>
      </c>
      <c r="C292" s="7" t="s">
        <v>25</v>
      </c>
      <c r="D292" s="7" t="s">
        <v>36</v>
      </c>
      <c r="E292" s="253">
        <f>1000*D_device_values!$Q$12*(1/D_currency_conversion!$H$7)*D_currency_conversion!$H$6</f>
        <v>362399.53256554028</v>
      </c>
      <c r="F292" s="253">
        <f>E292*D_currency_conversion!$I$12*D_currency_conversion!$J$12</f>
        <v>425279.31741391844</v>
      </c>
      <c r="G292" s="188">
        <f>D_device_lifecycles!$X$12</f>
        <v>9</v>
      </c>
      <c r="H292" s="188">
        <f t="shared" si="374"/>
        <v>4.5</v>
      </c>
      <c r="I292" s="253">
        <f t="shared" si="389"/>
        <v>47253.257490435382</v>
      </c>
      <c r="J292" s="253">
        <f t="shared" si="390"/>
        <v>94506.514980870765</v>
      </c>
      <c r="K292" s="253">
        <v>13</v>
      </c>
      <c r="L292" s="259">
        <f t="shared" si="391"/>
        <v>0.72222222222222221</v>
      </c>
      <c r="M292" s="334">
        <f t="shared" si="392"/>
        <v>4711193.9233520236</v>
      </c>
      <c r="N292" s="253">
        <f t="shared" si="393"/>
        <v>614292.34737565997</v>
      </c>
      <c r="O292" s="335">
        <f t="shared" si="394"/>
        <v>1228584.6947513199</v>
      </c>
      <c r="P292" s="253">
        <f t="shared" si="395"/>
        <v>261732.9957417791</v>
      </c>
      <c r="Q292" s="343">
        <f t="shared" si="396"/>
        <v>34127.352631981106</v>
      </c>
      <c r="R292" s="343">
        <f t="shared" si="397"/>
        <v>68254.705263962212</v>
      </c>
      <c r="S292" s="353">
        <f t="shared" si="398"/>
        <v>0.5</v>
      </c>
    </row>
    <row r="293" spans="1:19" x14ac:dyDescent="0.25">
      <c r="A293" s="7"/>
      <c r="B293" s="7" t="s">
        <v>15</v>
      </c>
      <c r="C293" s="7" t="s">
        <v>26</v>
      </c>
      <c r="D293" s="7" t="s">
        <v>37</v>
      </c>
      <c r="E293" s="253">
        <f>1000*D_device_values!$Q$13*(1/D_currency_conversion!$H$7)*D_currency_conversion!$H$6</f>
        <v>369662.42145046114</v>
      </c>
      <c r="F293" s="253">
        <f>E293*D_currency_conversion!$I$12*D_currency_conversion!$J$12</f>
        <v>433802.38698182325</v>
      </c>
      <c r="G293" s="188">
        <f>D_device_lifecycles!$X$13</f>
        <v>7</v>
      </c>
      <c r="H293" s="188">
        <f t="shared" si="374"/>
        <v>3.5</v>
      </c>
      <c r="I293" s="253">
        <f t="shared" si="389"/>
        <v>61971.769568831893</v>
      </c>
      <c r="J293" s="253">
        <f t="shared" si="390"/>
        <v>123943.53913766379</v>
      </c>
      <c r="K293" s="253">
        <v>19</v>
      </c>
      <c r="L293" s="259">
        <f t="shared" si="391"/>
        <v>1.0555555555555556</v>
      </c>
      <c r="M293" s="334">
        <f t="shared" si="392"/>
        <v>7023586.0075587621</v>
      </c>
      <c r="N293" s="253">
        <f t="shared" si="393"/>
        <v>1177463.621807806</v>
      </c>
      <c r="O293" s="335">
        <f t="shared" si="394"/>
        <v>2354927.2436156119</v>
      </c>
      <c r="P293" s="253">
        <f t="shared" si="395"/>
        <v>390199.22264215344</v>
      </c>
      <c r="Q293" s="343">
        <f t="shared" si="396"/>
        <v>65414.645655989225</v>
      </c>
      <c r="R293" s="343">
        <f t="shared" si="397"/>
        <v>130829.29131197845</v>
      </c>
      <c r="S293" s="353">
        <f t="shared" si="398"/>
        <v>0.5</v>
      </c>
    </row>
    <row r="294" spans="1:19" x14ac:dyDescent="0.25">
      <c r="A294" s="7"/>
      <c r="B294" s="7" t="s">
        <v>21</v>
      </c>
      <c r="C294" s="7" t="s">
        <v>27</v>
      </c>
      <c r="D294" s="7" t="s">
        <v>38</v>
      </c>
      <c r="E294" s="253">
        <f>1000*D_device_values!$Q$14*(1/D_currency_conversion!$H$7)*D_currency_conversion!$H$6</f>
        <v>116485.56403892365</v>
      </c>
      <c r="F294" s="253">
        <f>E294*D_currency_conversion!$I$12*D_currency_conversion!$J$12</f>
        <v>136696.92345447378</v>
      </c>
      <c r="G294" s="188">
        <f>D_device_lifecycles!$X$14</f>
        <v>8</v>
      </c>
      <c r="H294" s="188">
        <f t="shared" si="374"/>
        <v>4</v>
      </c>
      <c r="I294" s="253">
        <f t="shared" si="389"/>
        <v>17087.115431809223</v>
      </c>
      <c r="J294" s="253">
        <f t="shared" si="390"/>
        <v>34174.230863618446</v>
      </c>
      <c r="K294" s="253">
        <v>60</v>
      </c>
      <c r="L294" s="259">
        <f t="shared" si="391"/>
        <v>3.3333333333333335</v>
      </c>
      <c r="M294" s="334">
        <f t="shared" si="392"/>
        <v>6989133.8423354188</v>
      </c>
      <c r="N294" s="253">
        <f t="shared" si="393"/>
        <v>1025226.9259085534</v>
      </c>
      <c r="O294" s="335">
        <f t="shared" si="394"/>
        <v>2050453.8518171068</v>
      </c>
      <c r="P294" s="253">
        <f t="shared" si="395"/>
        <v>388285.21346307884</v>
      </c>
      <c r="Q294" s="343">
        <f t="shared" si="396"/>
        <v>56957.051439364077</v>
      </c>
      <c r="R294" s="343">
        <f t="shared" si="397"/>
        <v>113914.10287872815</v>
      </c>
      <c r="S294" s="353">
        <f t="shared" si="398"/>
        <v>0.5</v>
      </c>
    </row>
    <row r="295" spans="1:19" x14ac:dyDescent="0.25">
      <c r="A295" s="7"/>
      <c r="B295" s="7" t="s">
        <v>22</v>
      </c>
      <c r="C295" s="7" t="s">
        <v>28</v>
      </c>
      <c r="D295" s="7" t="s">
        <v>39</v>
      </c>
      <c r="E295" s="253">
        <f>1000*D_device_values!$Q$15*(1/D_currency_conversion!$H$7)*D_currency_conversion!$H$6</f>
        <v>253752.59020685713</v>
      </c>
      <c r="F295" s="253">
        <f>E295*D_currency_conversion!$I$12*D_currency_conversion!$J$12</f>
        <v>297781.09146890056</v>
      </c>
      <c r="G295" s="188">
        <f>D_device_lifecycles!$X$15</f>
        <v>12</v>
      </c>
      <c r="H295" s="188">
        <f t="shared" si="374"/>
        <v>6</v>
      </c>
      <c r="I295" s="253">
        <f t="shared" si="389"/>
        <v>24815.090955741714</v>
      </c>
      <c r="J295" s="253">
        <f t="shared" si="390"/>
        <v>49630.181911483429</v>
      </c>
      <c r="K295" s="253">
        <v>21</v>
      </c>
      <c r="L295" s="259">
        <f t="shared" si="391"/>
        <v>1.1666666666666667</v>
      </c>
      <c r="M295" s="334">
        <f t="shared" si="392"/>
        <v>5328804.3943440001</v>
      </c>
      <c r="N295" s="253">
        <f t="shared" si="393"/>
        <v>521116.91007057601</v>
      </c>
      <c r="O295" s="335">
        <f t="shared" si="394"/>
        <v>1042233.820141152</v>
      </c>
      <c r="P295" s="253">
        <f t="shared" si="395"/>
        <v>296044.68857466668</v>
      </c>
      <c r="Q295" s="343">
        <f t="shared" si="396"/>
        <v>28950.939448365334</v>
      </c>
      <c r="R295" s="343">
        <f t="shared" si="397"/>
        <v>57901.878896730668</v>
      </c>
      <c r="S295" s="353">
        <f t="shared" si="398"/>
        <v>0.5</v>
      </c>
    </row>
    <row r="296" spans="1:19" x14ac:dyDescent="0.25">
      <c r="A296" s="7"/>
      <c r="B296" s="7" t="s">
        <v>23</v>
      </c>
      <c r="C296" s="7" t="s">
        <v>29</v>
      </c>
      <c r="D296" s="7" t="s">
        <v>40</v>
      </c>
      <c r="E296" s="253">
        <f>1000*D_device_values!$Q$16*(1/D_currency_conversion!$H$7)*D_currency_conversion!$H$6</f>
        <v>869019.28727450978</v>
      </c>
      <c r="F296" s="253">
        <f>E296*D_currency_conversion!$I$12*D_currency_conversion!$J$12</f>
        <v>1019802.4448190901</v>
      </c>
      <c r="G296" s="188">
        <f>D_device_lifecycles!$X$16</f>
        <v>15</v>
      </c>
      <c r="H296" s="188">
        <f t="shared" si="374"/>
        <v>7.5</v>
      </c>
      <c r="I296" s="253">
        <f t="shared" si="389"/>
        <v>67986.829654606001</v>
      </c>
      <c r="J296" s="253">
        <f t="shared" si="390"/>
        <v>135973.659309212</v>
      </c>
      <c r="K296" s="253">
        <v>18</v>
      </c>
      <c r="L296" s="259">
        <f t="shared" si="391"/>
        <v>1</v>
      </c>
      <c r="M296" s="334">
        <f t="shared" si="392"/>
        <v>15642347.170941176</v>
      </c>
      <c r="N296" s="253">
        <f t="shared" si="393"/>
        <v>1223762.9337829081</v>
      </c>
      <c r="O296" s="335">
        <f t="shared" si="394"/>
        <v>2447525.8675658163</v>
      </c>
      <c r="P296" s="253">
        <f t="shared" si="395"/>
        <v>869019.28727450978</v>
      </c>
      <c r="Q296" s="343">
        <f t="shared" si="396"/>
        <v>67986.829654606001</v>
      </c>
      <c r="R296" s="343">
        <f t="shared" si="397"/>
        <v>135973.659309212</v>
      </c>
      <c r="S296" s="353">
        <f t="shared" si="398"/>
        <v>0.5</v>
      </c>
    </row>
    <row r="297" spans="1:19" x14ac:dyDescent="0.25">
      <c r="A297" s="190">
        <v>4</v>
      </c>
      <c r="B297" s="190" t="s">
        <v>2</v>
      </c>
      <c r="C297" s="190"/>
      <c r="D297" s="190"/>
      <c r="E297" s="456"/>
      <c r="F297" s="253"/>
      <c r="G297" s="188"/>
      <c r="H297" s="188"/>
      <c r="I297" s="253"/>
      <c r="J297" s="253"/>
      <c r="K297" s="253"/>
      <c r="L297" s="253"/>
      <c r="M297" s="334"/>
      <c r="N297" s="253"/>
      <c r="O297" s="335"/>
      <c r="P297" s="253"/>
      <c r="Q297" s="343"/>
      <c r="R297" s="343"/>
      <c r="S297" s="353"/>
    </row>
    <row r="298" spans="1:19" x14ac:dyDescent="0.25">
      <c r="A298" s="7"/>
      <c r="B298" s="7" t="s">
        <v>9</v>
      </c>
      <c r="C298" s="7" t="s">
        <v>8</v>
      </c>
      <c r="D298" s="7" t="s">
        <v>5</v>
      </c>
      <c r="E298" s="253">
        <f>1000*D_device_values!$Q$18*(1/D_currency_conversion!$H$7)*D_currency_conversion!$H$6</f>
        <v>320982.44312947843</v>
      </c>
      <c r="F298" s="253">
        <f>E298*D_currency_conversion!$I$12*D_currency_conversion!$J$12</f>
        <v>376675.96685232763</v>
      </c>
      <c r="G298" s="188">
        <f>D_device_lifecycles!$X$18</f>
        <v>8</v>
      </c>
      <c r="H298" s="188">
        <f t="shared" si="374"/>
        <v>4</v>
      </c>
      <c r="I298" s="253">
        <f t="shared" ref="I298:I301" si="399">$F298/G298</f>
        <v>47084.495856540954</v>
      </c>
      <c r="J298" s="253">
        <f t="shared" ref="J298:J301" si="400">$F298/H298</f>
        <v>94168.991713081909</v>
      </c>
      <c r="K298" s="253">
        <v>21</v>
      </c>
      <c r="L298" s="259">
        <f t="shared" ref="L298:L301" si="401">K298/18</f>
        <v>1.1666666666666667</v>
      </c>
      <c r="M298" s="334">
        <f t="shared" ref="M298:M301" si="402">K298*E298</f>
        <v>6740631.3057190469</v>
      </c>
      <c r="N298" s="253">
        <f>K298*I298</f>
        <v>988774.41298736003</v>
      </c>
      <c r="O298" s="335">
        <f>K298*J298</f>
        <v>1977548.8259747201</v>
      </c>
      <c r="P298" s="253">
        <f t="shared" ref="P298:P301" si="403">L298*E298</f>
        <v>374479.51698439155</v>
      </c>
      <c r="Q298" s="343">
        <f t="shared" ref="Q298:Q299" si="404">I298*L298</f>
        <v>54931.911832631115</v>
      </c>
      <c r="R298" s="343">
        <f t="shared" ref="R298:R301" si="405">L298*J298</f>
        <v>109863.82366526223</v>
      </c>
      <c r="S298" s="353">
        <f t="shared" ref="S298:S301" si="406">(G298-H298)/G298</f>
        <v>0.5</v>
      </c>
    </row>
    <row r="299" spans="1:19" x14ac:dyDescent="0.25">
      <c r="A299" s="7"/>
      <c r="B299" s="7" t="s">
        <v>10</v>
      </c>
      <c r="C299" s="7" t="s">
        <v>30</v>
      </c>
      <c r="D299" s="7" t="s">
        <v>41</v>
      </c>
      <c r="E299" s="253">
        <f>1000*D_device_values!$Q$19*(1/D_currency_conversion!$H$7)*D_currency_conversion!$H$6</f>
        <v>841284.62917000416</v>
      </c>
      <c r="F299" s="253">
        <f>E299*D_currency_conversion!$I$12*D_currency_conversion!$J$12</f>
        <v>987255.55828231061</v>
      </c>
      <c r="G299" s="188">
        <f>D_device_lifecycles!$X$19</f>
        <v>9</v>
      </c>
      <c r="H299" s="188">
        <f t="shared" si="374"/>
        <v>4.5</v>
      </c>
      <c r="I299" s="253">
        <f t="shared" si="399"/>
        <v>109695.06203136785</v>
      </c>
      <c r="J299" s="253">
        <f t="shared" si="400"/>
        <v>219390.1240627357</v>
      </c>
      <c r="K299" s="253">
        <v>17</v>
      </c>
      <c r="L299" s="259">
        <f t="shared" si="401"/>
        <v>0.94444444444444442</v>
      </c>
      <c r="M299" s="334">
        <f t="shared" si="402"/>
        <v>14301838.695890071</v>
      </c>
      <c r="N299" s="253">
        <f>K299*I299</f>
        <v>1864816.0545332534</v>
      </c>
      <c r="O299" s="335">
        <f>K299*J299</f>
        <v>3729632.1090665068</v>
      </c>
      <c r="P299" s="253">
        <f t="shared" si="403"/>
        <v>794546.59421611507</v>
      </c>
      <c r="Q299" s="343">
        <f t="shared" si="404"/>
        <v>103600.89191851408</v>
      </c>
      <c r="R299" s="343">
        <f t="shared" si="405"/>
        <v>207201.78383702817</v>
      </c>
      <c r="S299" s="353">
        <f t="shared" si="406"/>
        <v>0.5</v>
      </c>
    </row>
    <row r="300" spans="1:19" x14ac:dyDescent="0.25">
      <c r="A300" s="190">
        <v>5</v>
      </c>
      <c r="B300" s="190" t="s">
        <v>12</v>
      </c>
      <c r="C300" s="190"/>
      <c r="D300" s="191" t="s">
        <v>4</v>
      </c>
      <c r="E300" s="253">
        <f>1000*D_device_values!$Q$20*(1/D_currency_conversion!$H$7)*D_currency_conversion!$H$6</f>
        <v>1216627.0021843137</v>
      </c>
      <c r="F300" s="253">
        <f>E300*D_currency_conversion!$I$12*D_currency_conversion!$J$12</f>
        <v>1427723.4227467263</v>
      </c>
      <c r="G300" s="188">
        <f>D_device_lifecycles!$X$20</f>
        <v>10</v>
      </c>
      <c r="H300" s="188">
        <f t="shared" si="374"/>
        <v>5</v>
      </c>
      <c r="I300" s="253">
        <f t="shared" si="399"/>
        <v>142772.34227467264</v>
      </c>
      <c r="J300" s="253">
        <f t="shared" si="400"/>
        <v>285544.68454934529</v>
      </c>
      <c r="K300" s="253">
        <v>50</v>
      </c>
      <c r="L300" s="259">
        <f t="shared" si="401"/>
        <v>2.7777777777777777</v>
      </c>
      <c r="M300" s="334">
        <f t="shared" si="402"/>
        <v>60831350.109215684</v>
      </c>
      <c r="N300" s="253">
        <f>K300*I300</f>
        <v>7138617.1137336325</v>
      </c>
      <c r="O300" s="335">
        <f>K300*J300</f>
        <v>14277234.227467265</v>
      </c>
      <c r="P300" s="253">
        <f t="shared" si="403"/>
        <v>3379519.4505119827</v>
      </c>
      <c r="Q300" s="343">
        <f>I300*L300</f>
        <v>396589.83965186845</v>
      </c>
      <c r="R300" s="343">
        <f t="shared" si="405"/>
        <v>793179.67930373689</v>
      </c>
      <c r="S300" s="353">
        <f t="shared" si="406"/>
        <v>0.5</v>
      </c>
    </row>
    <row r="301" spans="1:19" x14ac:dyDescent="0.25">
      <c r="A301" s="192">
        <v>6</v>
      </c>
      <c r="B301" s="192" t="s">
        <v>13</v>
      </c>
      <c r="C301" s="192"/>
      <c r="D301" s="193" t="s">
        <v>3</v>
      </c>
      <c r="E301" s="254">
        <f>1000*D_device_values!$Q$21*(1/D_currency_conversion!$H$7)*D_currency_conversion!$H$6</f>
        <v>3519053.3760707863</v>
      </c>
      <c r="F301" s="254">
        <f>E301*D_currency_conversion!$I$12*D_currency_conversion!$J$12</f>
        <v>4129642.792648667</v>
      </c>
      <c r="G301" s="194">
        <f>D_device_lifecycles!$X$21</f>
        <v>8</v>
      </c>
      <c r="H301" s="188">
        <f t="shared" si="374"/>
        <v>4</v>
      </c>
      <c r="I301" s="254">
        <f t="shared" si="399"/>
        <v>516205.34908108338</v>
      </c>
      <c r="J301" s="254">
        <f t="shared" si="400"/>
        <v>1032410.6981621668</v>
      </c>
      <c r="K301" s="254">
        <v>47</v>
      </c>
      <c r="L301" s="333">
        <f t="shared" si="401"/>
        <v>2.6111111111111112</v>
      </c>
      <c r="M301" s="336">
        <f t="shared" si="402"/>
        <v>165395508.67532694</v>
      </c>
      <c r="N301" s="254">
        <f>K301*I301</f>
        <v>24261651.406810917</v>
      </c>
      <c r="O301" s="337">
        <f>K301*J301</f>
        <v>48523302.813621834</v>
      </c>
      <c r="P301" s="254">
        <f t="shared" si="403"/>
        <v>9188639.3708514981</v>
      </c>
      <c r="Q301" s="344">
        <f>I301*L301</f>
        <v>1347869.5226006065</v>
      </c>
      <c r="R301" s="344">
        <f t="shared" si="405"/>
        <v>2695739.0452012131</v>
      </c>
      <c r="S301" s="354">
        <f t="shared" si="406"/>
        <v>0.5</v>
      </c>
    </row>
    <row r="302" spans="1:19" x14ac:dyDescent="0.25">
      <c r="A302" s="1"/>
      <c r="B302" s="1"/>
      <c r="C302" s="1"/>
      <c r="D302" s="1"/>
      <c r="E302" s="1"/>
      <c r="F302" s="1"/>
      <c r="G302" s="1"/>
      <c r="H302" s="1"/>
      <c r="I302" s="225"/>
      <c r="J302" s="225"/>
      <c r="K302" s="255">
        <f>SUM(K284:K301)</f>
        <v>419</v>
      </c>
      <c r="L302" s="255">
        <v>240</v>
      </c>
      <c r="M302" s="338">
        <f t="shared" ref="M302:P302" si="407">SUM(M284:M301)</f>
        <v>320130175.45574528</v>
      </c>
      <c r="N302" s="339">
        <f t="shared" si="407"/>
        <v>43077410.772139512</v>
      </c>
      <c r="O302" s="340">
        <f t="shared" si="407"/>
        <v>86154821.544279024</v>
      </c>
      <c r="P302" s="255">
        <f t="shared" si="407"/>
        <v>17785009.747541405</v>
      </c>
      <c r="Q302" s="345">
        <f>SUM(Q284:Q301)</f>
        <v>2393189.4873410841</v>
      </c>
      <c r="R302" s="345">
        <f t="shared" ref="R302" si="408">SUM(R284:R301)</f>
        <v>4786378.9746821681</v>
      </c>
      <c r="S302" s="225"/>
    </row>
    <row r="303" spans="1:19" x14ac:dyDescent="0.25">
      <c r="A303" s="11" t="s">
        <v>230</v>
      </c>
      <c r="B303" s="1"/>
      <c r="C303" s="1"/>
      <c r="D303" s="1"/>
      <c r="E303" s="199" t="s">
        <v>231</v>
      </c>
      <c r="F303" s="199"/>
      <c r="G303" s="552" t="s">
        <v>400</v>
      </c>
      <c r="H303" s="552"/>
      <c r="I303" s="225"/>
      <c r="J303" s="225"/>
      <c r="N303" s="225"/>
      <c r="O303" s="225"/>
      <c r="S303" s="225"/>
    </row>
    <row r="304" spans="1:19" x14ac:dyDescent="0.25">
      <c r="A304" s="225"/>
      <c r="B304" s="225"/>
      <c r="C304" s="225"/>
      <c r="D304" s="225"/>
      <c r="E304" s="225"/>
      <c r="G304" s="225"/>
      <c r="H304" s="225"/>
      <c r="I304" s="225"/>
      <c r="J304" s="225" t="s">
        <v>615</v>
      </c>
      <c r="K304" s="363">
        <f>SUM(K284:K286,K298,K300,K301)</f>
        <v>223</v>
      </c>
      <c r="L304" s="225" t="s">
        <v>536</v>
      </c>
      <c r="M304" s="427">
        <f>SUM(M284:M286,M298,M300,M301)</f>
        <v>254236891.22773921</v>
      </c>
      <c r="N304" s="363">
        <f>SUM(N284:N286,N298,N300,N301)</f>
        <v>35295455.79246147</v>
      </c>
      <c r="O304" s="363">
        <f>SUM(O284:O286,O298,O300,O301)</f>
        <v>70590911.58492294</v>
      </c>
      <c r="P304" s="225" t="s">
        <v>536</v>
      </c>
      <c r="Q304" s="363">
        <f>SUM(Q284:Q286,Q298,Q300,Q301)</f>
        <v>1960858.6551367487</v>
      </c>
      <c r="R304" s="363">
        <f>SUM(R284:R286,R298,R300,R301)</f>
        <v>3921717.3102734974</v>
      </c>
      <c r="S304" s="225"/>
    </row>
  </sheetData>
  <sortState xmlns:xlrd2="http://schemas.microsoft.com/office/spreadsheetml/2017/richdata2" ref="G5:H19">
    <sortCondition ref="G5:G19"/>
  </sortState>
  <mergeCells count="60">
    <mergeCell ref="G281:H281"/>
    <mergeCell ref="I281:J281"/>
    <mergeCell ref="N281:O281"/>
    <mergeCell ref="Q281:R281"/>
    <mergeCell ref="G303:H303"/>
    <mergeCell ref="G256:H256"/>
    <mergeCell ref="I256:J256"/>
    <mergeCell ref="N256:O256"/>
    <mergeCell ref="Q256:R256"/>
    <mergeCell ref="G278:H278"/>
    <mergeCell ref="G231:H231"/>
    <mergeCell ref="I231:J231"/>
    <mergeCell ref="N231:O231"/>
    <mergeCell ref="Q231:R231"/>
    <mergeCell ref="G253:H253"/>
    <mergeCell ref="G206:H206"/>
    <mergeCell ref="I206:J206"/>
    <mergeCell ref="N206:O206"/>
    <mergeCell ref="Q206:R206"/>
    <mergeCell ref="G228:H228"/>
    <mergeCell ref="G181:H181"/>
    <mergeCell ref="I181:J181"/>
    <mergeCell ref="N181:O181"/>
    <mergeCell ref="Q181:R181"/>
    <mergeCell ref="G203:H203"/>
    <mergeCell ref="G156:H156"/>
    <mergeCell ref="I156:J156"/>
    <mergeCell ref="N156:O156"/>
    <mergeCell ref="Q156:R156"/>
    <mergeCell ref="G178:H178"/>
    <mergeCell ref="G131:H131"/>
    <mergeCell ref="I131:J131"/>
    <mergeCell ref="N131:O131"/>
    <mergeCell ref="Q131:R131"/>
    <mergeCell ref="G153:H153"/>
    <mergeCell ref="G106:H106"/>
    <mergeCell ref="I106:J106"/>
    <mergeCell ref="N106:O106"/>
    <mergeCell ref="Q106:R106"/>
    <mergeCell ref="G128:H128"/>
    <mergeCell ref="G81:H81"/>
    <mergeCell ref="I81:J81"/>
    <mergeCell ref="N81:O81"/>
    <mergeCell ref="Q81:R81"/>
    <mergeCell ref="G103:H103"/>
    <mergeCell ref="G56:H56"/>
    <mergeCell ref="I56:J56"/>
    <mergeCell ref="N56:O56"/>
    <mergeCell ref="Q56:R56"/>
    <mergeCell ref="G78:H78"/>
    <mergeCell ref="G31:H31"/>
    <mergeCell ref="I31:J31"/>
    <mergeCell ref="N31:O31"/>
    <mergeCell ref="Q31:R31"/>
    <mergeCell ref="G53:H53"/>
    <mergeCell ref="N2:O2"/>
    <mergeCell ref="G2:H2"/>
    <mergeCell ref="G24:H24"/>
    <mergeCell ref="I2:J2"/>
    <mergeCell ref="Q2:R2"/>
  </mergeCells>
  <hyperlinks>
    <hyperlink ref="E24" location="'A_value estimate'!A1" display="A_value estimate" xr:uid="{00000000-0004-0000-1400-000000000000}"/>
    <hyperlink ref="G24:H24" location="C_lifecycle!A1" display="C_lifecycle" xr:uid="{00000000-0004-0000-1400-000001000000}"/>
    <hyperlink ref="E53" location="'A_value estimate'!A1" display="A_value estimate" xr:uid="{00000000-0004-0000-1400-000002000000}"/>
    <hyperlink ref="G53:H53" location="C_lifecycle!A1" display="C_lifecycle" xr:uid="{00000000-0004-0000-1400-000003000000}"/>
    <hyperlink ref="E78" location="'A_value estimate'!A1" display="A_value estimate" xr:uid="{00000000-0004-0000-1400-000004000000}"/>
    <hyperlink ref="G78:H78" location="C_lifecycle!A1" display="C_lifecycle" xr:uid="{00000000-0004-0000-1400-000005000000}"/>
    <hyperlink ref="E103" location="'A_value estimate'!A1" display="A_value estimate" xr:uid="{00000000-0004-0000-1400-000006000000}"/>
    <hyperlink ref="G103:H103" location="C_lifecycle!A1" display="C_lifecycle" xr:uid="{00000000-0004-0000-1400-000007000000}"/>
    <hyperlink ref="E128" location="'A_value estimate'!A1" display="A_value estimate" xr:uid="{00000000-0004-0000-1400-000008000000}"/>
    <hyperlink ref="G128:H128" location="C_lifecycle!A1" display="C_lifecycle" xr:uid="{00000000-0004-0000-1400-000009000000}"/>
    <hyperlink ref="E153" location="'A_value estimate'!A1" display="A_value estimate" xr:uid="{00000000-0004-0000-1400-00000A000000}"/>
    <hyperlink ref="G153:H153" location="C_lifecycle!A1" display="C_lifecycle" xr:uid="{00000000-0004-0000-1400-00000B000000}"/>
    <hyperlink ref="E178" location="'A_value estimate'!A1" display="A_value estimate" xr:uid="{00000000-0004-0000-1400-00000C000000}"/>
    <hyperlink ref="G178:H178" location="C_lifecycle!A1" display="C_lifecycle" xr:uid="{00000000-0004-0000-1400-00000D000000}"/>
    <hyperlink ref="E203" location="'A_value estimate'!A1" display="A_value estimate" xr:uid="{00000000-0004-0000-1400-00000E000000}"/>
    <hyperlink ref="G203:H203" location="C_lifecycle!A1" display="C_lifecycle" xr:uid="{00000000-0004-0000-1400-00000F000000}"/>
    <hyperlink ref="E228" location="'A_value estimate'!A1" display="A_value estimate" xr:uid="{00000000-0004-0000-1400-000010000000}"/>
    <hyperlink ref="G228:H228" location="C_lifecycle!A1" display="C_lifecycle" xr:uid="{00000000-0004-0000-1400-000011000000}"/>
    <hyperlink ref="E253" location="'A_value estimate'!A1" display="A_value estimate" xr:uid="{00000000-0004-0000-1400-000012000000}"/>
    <hyperlink ref="G253:H253" location="C_lifecycle!A1" display="C_lifecycle" xr:uid="{00000000-0004-0000-1400-000013000000}"/>
    <hyperlink ref="E278" location="'A_value estimate'!A1" display="A_value estimate" xr:uid="{00000000-0004-0000-1400-000014000000}"/>
    <hyperlink ref="G278:H278" location="C_lifecycle!A1" display="C_lifecycle" xr:uid="{00000000-0004-0000-1400-000015000000}"/>
    <hyperlink ref="E303" location="'A_value estimate'!A1" display="A_value estimate" xr:uid="{00000000-0004-0000-1400-000016000000}"/>
    <hyperlink ref="G303:H303" location="C_lifecycle!A1" display="C_lifecycle" xr:uid="{00000000-0004-0000-1400-000017000000}"/>
  </hyperlinks>
  <pageMargins left="0.7" right="0.7" top="0.75" bottom="0.75" header="0.3" footer="0.3"/>
  <pageSetup paperSize="9" orientation="portrait" horizontalDpi="0" verticalDpi="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0"/>
  <dimension ref="A1:AH26"/>
  <sheetViews>
    <sheetView zoomScale="85" zoomScaleNormal="85" workbookViewId="0">
      <pane xSplit="4" ySplit="5" topLeftCell="E6" activePane="bottomRight" state="frozen"/>
      <selection pane="topRight" activeCell="E1" sqref="E1"/>
      <selection pane="bottomLeft" activeCell="A5" sqref="A5"/>
      <selection pane="bottomRight" activeCell="I7" sqref="I7"/>
    </sheetView>
  </sheetViews>
  <sheetFormatPr defaultColWidth="8.7109375" defaultRowHeight="15" x14ac:dyDescent="0.25"/>
  <cols>
    <col min="1" max="2" width="3.85546875" customWidth="1"/>
    <col min="3" max="3" width="19.42578125" bestFit="1" customWidth="1"/>
    <col min="5" max="6" width="9.140625" customWidth="1"/>
    <col min="7" max="8" width="9.140625" style="225"/>
    <col min="9" max="14" width="10.7109375" style="225" customWidth="1"/>
    <col min="15" max="16" width="9.140625" style="225"/>
    <col min="17" max="18" width="9.140625" style="223" customWidth="1"/>
    <col min="20" max="20" width="8.7109375" style="225"/>
    <col min="33" max="33" width="9.85546875" bestFit="1" customWidth="1"/>
  </cols>
  <sheetData>
    <row r="1" spans="1:34" s="225" customFormat="1" x14ac:dyDescent="0.25">
      <c r="A1" s="16" t="s">
        <v>693</v>
      </c>
      <c r="B1" s="491"/>
      <c r="C1" s="491"/>
      <c r="D1" s="491"/>
      <c r="Q1" s="443"/>
      <c r="R1" s="443"/>
    </row>
    <row r="2" spans="1:34" x14ac:dyDescent="0.25">
      <c r="A2" s="230" t="s">
        <v>660</v>
      </c>
      <c r="C2" s="1"/>
      <c r="D2" s="1">
        <f>N4</f>
        <v>0.15</v>
      </c>
      <c r="E2" s="547" t="s">
        <v>534</v>
      </c>
      <c r="F2" s="547"/>
      <c r="G2" s="547"/>
      <c r="H2" s="547"/>
      <c r="I2" s="547" t="s">
        <v>469</v>
      </c>
      <c r="J2" s="547"/>
      <c r="K2" s="547"/>
      <c r="L2" s="547"/>
      <c r="M2" s="547"/>
      <c r="N2" s="547"/>
      <c r="O2" s="547" t="s">
        <v>502</v>
      </c>
      <c r="P2" s="547"/>
      <c r="Q2" s="547"/>
      <c r="R2" s="547"/>
      <c r="S2" s="1"/>
      <c r="T2" s="1"/>
      <c r="U2" s="1"/>
      <c r="V2" s="1"/>
      <c r="W2" s="1"/>
      <c r="X2" s="1"/>
      <c r="Y2" s="1"/>
      <c r="Z2" s="1"/>
      <c r="AA2" s="1"/>
      <c r="AB2" s="1"/>
      <c r="AC2" s="1"/>
      <c r="AD2" s="1"/>
      <c r="AE2" s="1"/>
      <c r="AF2" s="1"/>
      <c r="AG2" s="1"/>
      <c r="AH2" s="1"/>
    </row>
    <row r="3" spans="1:34" x14ac:dyDescent="0.25">
      <c r="A3" s="331" t="str">
        <f>HYPERLINK("#"&amp;ADDRESS(1,1,,,"MASTER"),"M &lt;=")</f>
        <v>M &lt;=</v>
      </c>
      <c r="B3" s="1"/>
      <c r="C3" s="1"/>
      <c r="D3" s="1"/>
      <c r="E3" s="547" t="s">
        <v>535</v>
      </c>
      <c r="F3" s="547"/>
      <c r="G3" s="547"/>
      <c r="H3" s="547"/>
      <c r="I3" s="547" t="s">
        <v>460</v>
      </c>
      <c r="J3" s="547"/>
      <c r="K3" s="547"/>
      <c r="L3" s="547"/>
      <c r="M3" s="547"/>
      <c r="N3" s="547"/>
      <c r="O3" s="547" t="s">
        <v>503</v>
      </c>
      <c r="P3" s="547"/>
      <c r="Q3" s="547"/>
      <c r="R3" s="547"/>
      <c r="S3" s="428" t="s">
        <v>232</v>
      </c>
      <c r="T3" s="535" t="s">
        <v>232</v>
      </c>
      <c r="U3" s="1"/>
      <c r="V3" s="1"/>
      <c r="W3" s="547" t="s">
        <v>533</v>
      </c>
      <c r="X3" s="547"/>
      <c r="Y3" s="547"/>
      <c r="Z3" s="547"/>
      <c r="AA3" s="547"/>
      <c r="AB3" s="547"/>
      <c r="AC3" s="547" t="s">
        <v>630</v>
      </c>
      <c r="AD3" s="547"/>
      <c r="AE3" s="547"/>
      <c r="AF3" s="547"/>
      <c r="AG3" s="547"/>
      <c r="AH3" s="547"/>
    </row>
    <row r="4" spans="1:34" s="225" customFormat="1" x14ac:dyDescent="0.25">
      <c r="A4" s="1"/>
      <c r="B4" s="1"/>
      <c r="C4" s="1"/>
      <c r="D4" s="1"/>
      <c r="E4" s="547" t="s">
        <v>500</v>
      </c>
      <c r="F4" s="547"/>
      <c r="G4" s="547" t="s">
        <v>501</v>
      </c>
      <c r="H4" s="547"/>
      <c r="I4" s="547" t="s">
        <v>466</v>
      </c>
      <c r="J4" s="547"/>
      <c r="K4" s="547" t="s">
        <v>467</v>
      </c>
      <c r="L4" s="547"/>
      <c r="M4" s="299" t="s">
        <v>461</v>
      </c>
      <c r="N4" s="300">
        <v>0.15</v>
      </c>
      <c r="O4" s="428" t="s">
        <v>465</v>
      </c>
      <c r="P4" s="428" t="s">
        <v>464</v>
      </c>
      <c r="Q4" s="428" t="s">
        <v>462</v>
      </c>
      <c r="R4" s="428" t="s">
        <v>405</v>
      </c>
      <c r="S4" s="428" t="s">
        <v>233</v>
      </c>
      <c r="T4" s="535" t="s">
        <v>233</v>
      </c>
      <c r="U4" s="547" t="s">
        <v>505</v>
      </c>
      <c r="V4" s="547"/>
      <c r="W4" s="556" t="s">
        <v>509</v>
      </c>
      <c r="X4" s="550"/>
      <c r="Y4" s="557" t="s">
        <v>511</v>
      </c>
      <c r="Z4" s="551"/>
      <c r="AA4" s="550" t="s">
        <v>510</v>
      </c>
      <c r="AB4" s="550"/>
      <c r="AC4" s="556" t="s">
        <v>509</v>
      </c>
      <c r="AD4" s="550"/>
      <c r="AE4" s="557" t="s">
        <v>511</v>
      </c>
      <c r="AF4" s="551"/>
      <c r="AG4" s="550" t="s">
        <v>510</v>
      </c>
      <c r="AH4" s="550"/>
    </row>
    <row r="5" spans="1:34" x14ac:dyDescent="0.25">
      <c r="A5" s="4" t="s">
        <v>14</v>
      </c>
      <c r="B5" s="4"/>
      <c r="C5" s="4"/>
      <c r="D5" s="1"/>
      <c r="E5" s="261" t="s">
        <v>6</v>
      </c>
      <c r="F5" s="269" t="s">
        <v>7</v>
      </c>
      <c r="G5" s="302" t="s">
        <v>6</v>
      </c>
      <c r="H5" s="293" t="s">
        <v>7</v>
      </c>
      <c r="I5" s="208" t="s">
        <v>6</v>
      </c>
      <c r="J5" s="269" t="s">
        <v>7</v>
      </c>
      <c r="K5" s="205" t="s">
        <v>6</v>
      </c>
      <c r="L5" s="269" t="s">
        <v>7</v>
      </c>
      <c r="M5" s="295" t="s">
        <v>6</v>
      </c>
      <c r="N5" s="296" t="s">
        <v>7</v>
      </c>
      <c r="O5" s="428" t="s">
        <v>6</v>
      </c>
      <c r="P5" s="430" t="s">
        <v>7</v>
      </c>
      <c r="Q5" s="429" t="s">
        <v>405</v>
      </c>
      <c r="R5" s="431" t="s">
        <v>463</v>
      </c>
      <c r="S5" s="358" t="s">
        <v>631</v>
      </c>
      <c r="T5" s="358" t="s">
        <v>692</v>
      </c>
      <c r="U5" s="429" t="s">
        <v>506</v>
      </c>
      <c r="V5" s="429" t="s">
        <v>507</v>
      </c>
      <c r="W5" s="435" t="s">
        <v>6</v>
      </c>
      <c r="X5" s="430" t="s">
        <v>7</v>
      </c>
      <c r="Y5" s="432" t="s">
        <v>6</v>
      </c>
      <c r="Z5" s="269" t="s">
        <v>7</v>
      </c>
      <c r="AA5" s="428" t="s">
        <v>6</v>
      </c>
      <c r="AB5" s="430" t="s">
        <v>7</v>
      </c>
      <c r="AC5" s="435" t="s">
        <v>6</v>
      </c>
      <c r="AD5" s="430" t="s">
        <v>7</v>
      </c>
      <c r="AE5" s="432" t="s">
        <v>6</v>
      </c>
      <c r="AF5" s="269" t="s">
        <v>7</v>
      </c>
      <c r="AG5" s="428" t="s">
        <v>6</v>
      </c>
      <c r="AH5" s="430" t="s">
        <v>7</v>
      </c>
    </row>
    <row r="6" spans="1:34" s="10" customFormat="1" ht="20.100000000000001" customHeight="1" x14ac:dyDescent="0.25">
      <c r="A6" s="3">
        <v>1</v>
      </c>
      <c r="B6" s="3" t="s">
        <v>11</v>
      </c>
      <c r="C6" s="3"/>
      <c r="D6" s="3"/>
      <c r="E6" s="266"/>
      <c r="F6" s="267"/>
      <c r="G6" s="303"/>
      <c r="H6" s="294"/>
      <c r="I6" s="282"/>
      <c r="J6" s="267"/>
      <c r="K6" s="266"/>
      <c r="L6" s="267"/>
      <c r="M6" s="297"/>
      <c r="N6" s="298"/>
      <c r="O6" s="439"/>
      <c r="P6" s="439"/>
      <c r="Q6" s="202"/>
      <c r="R6" s="270"/>
      <c r="S6" s="3"/>
      <c r="T6" s="3"/>
      <c r="U6" s="310">
        <v>33.625113333333303</v>
      </c>
      <c r="V6" s="311">
        <v>12273.166366666666</v>
      </c>
      <c r="W6" s="315">
        <f>$U6*AVERAGE(G7:G9)</f>
        <v>98.066229147352459</v>
      </c>
      <c r="X6" s="318">
        <f>$U6*AVERAGE(H7:H9)</f>
        <v>51.993670562781745</v>
      </c>
      <c r="Y6" s="314">
        <f>$U6*AVERAGE(M7:M9)</f>
        <v>387.21513601398408</v>
      </c>
      <c r="Z6" s="322">
        <f>$U6*AVERAGE(N7:N9)</f>
        <v>200.08176235443798</v>
      </c>
      <c r="AA6" s="318">
        <f>$U6*AVERAGE(O7:O9)</f>
        <v>8591.2164566666597</v>
      </c>
      <c r="AB6" s="318">
        <f>$U6*AVERAGE(P7:P9)</f>
        <v>477.28980314814783</v>
      </c>
      <c r="AC6" s="315">
        <f>W6*$S7</f>
        <v>9806.622914735246</v>
      </c>
      <c r="AD6" s="318">
        <f>X6*$S7</f>
        <v>5199.3670562781745</v>
      </c>
      <c r="AE6" s="314">
        <f>Y6*$S7</f>
        <v>38721.513601398408</v>
      </c>
      <c r="AF6" s="322">
        <f>Z6*$S7</f>
        <v>20008.1762354438</v>
      </c>
      <c r="AG6" s="318">
        <f t="shared" ref="AG6:AH6" si="0">AA6*$S7</f>
        <v>859121.64566666598</v>
      </c>
      <c r="AH6" s="318">
        <f t="shared" si="0"/>
        <v>47728.980314814784</v>
      </c>
    </row>
    <row r="7" spans="1:34" ht="20.100000000000001" customHeight="1" x14ac:dyDescent="0.25">
      <c r="A7" s="1"/>
      <c r="B7" s="1" t="s">
        <v>9</v>
      </c>
      <c r="C7" s="1" t="s">
        <v>16</v>
      </c>
      <c r="D7" s="1" t="s">
        <v>31</v>
      </c>
      <c r="E7" s="306">
        <v>52.827087500000005</v>
      </c>
      <c r="F7" s="280">
        <v>30.083335000000002</v>
      </c>
      <c r="G7" s="304">
        <f>E7/24</f>
        <v>2.2011286458333337</v>
      </c>
      <c r="H7" s="292">
        <f>F7/24</f>
        <v>1.2534722916666667</v>
      </c>
      <c r="I7" s="283">
        <v>0.42105262999999998</v>
      </c>
      <c r="J7" s="273">
        <v>0.30769231000000002</v>
      </c>
      <c r="K7" s="274">
        <v>236.90280000000001</v>
      </c>
      <c r="L7" s="275">
        <v>207.95327784</v>
      </c>
      <c r="M7" s="288">
        <f t="shared" ref="M7:M9" si="1">$N$4*I7*K7</f>
        <v>14.962282049154599</v>
      </c>
      <c r="N7" s="289">
        <f>$N$4*J7*L7</f>
        <v>9.5978436645992122</v>
      </c>
      <c r="O7" s="8">
        <f>0.36*R7*365</f>
        <v>80.3</v>
      </c>
      <c r="P7" s="188">
        <f>0.02*R7*365</f>
        <v>4.4611111111111112</v>
      </c>
      <c r="Q7" s="8">
        <v>11</v>
      </c>
      <c r="R7" s="271">
        <f>Q7/18</f>
        <v>0.61111111111111116</v>
      </c>
      <c r="S7" s="560">
        <f>100</f>
        <v>100</v>
      </c>
      <c r="T7" s="536"/>
      <c r="U7" s="558"/>
      <c r="V7" s="559"/>
      <c r="W7" s="555"/>
      <c r="X7" s="227"/>
      <c r="Y7" s="561"/>
      <c r="Z7" s="323"/>
      <c r="AA7" s="560"/>
      <c r="AB7" s="227"/>
      <c r="AC7" s="555"/>
      <c r="AD7" s="227"/>
      <c r="AE7" s="561"/>
      <c r="AF7" s="323"/>
      <c r="AG7" s="560"/>
      <c r="AH7" s="227"/>
    </row>
    <row r="8" spans="1:34" ht="20.100000000000001" customHeight="1" x14ac:dyDescent="0.25">
      <c r="A8" s="1"/>
      <c r="B8" s="1" t="s">
        <v>10</v>
      </c>
      <c r="C8" s="1" t="s">
        <v>17</v>
      </c>
      <c r="D8" s="1" t="s">
        <v>32</v>
      </c>
      <c r="E8" s="306">
        <v>82.015585000000002</v>
      </c>
      <c r="F8" s="280">
        <v>69.446376666666666</v>
      </c>
      <c r="G8" s="304">
        <f t="shared" ref="G8:G24" si="2">E8/24</f>
        <v>3.4173160416666666</v>
      </c>
      <c r="H8" s="292">
        <f t="shared" ref="H8:H24" si="3">F8/24</f>
        <v>2.8935990277777779</v>
      </c>
      <c r="I8" s="283">
        <v>0.52941176000000001</v>
      </c>
      <c r="J8" s="273">
        <v>0.18918919000000001</v>
      </c>
      <c r="K8" s="274">
        <v>147.8631</v>
      </c>
      <c r="L8" s="276">
        <v>177.07900000000001</v>
      </c>
      <c r="M8" s="288">
        <f t="shared" si="1"/>
        <v>11.742069601508399</v>
      </c>
      <c r="N8" s="289">
        <f t="shared" ref="N8:N9" si="4">$N$4*J8*L8</f>
        <v>5.0252148864014998</v>
      </c>
      <c r="O8" s="8">
        <f t="shared" ref="O8" si="5">0.36*R8*365</f>
        <v>386.90000000000003</v>
      </c>
      <c r="P8" s="188">
        <f t="shared" ref="P8:P24" si="6">0.02*R8*365</f>
        <v>21.494444444444447</v>
      </c>
      <c r="Q8" s="8">
        <v>53</v>
      </c>
      <c r="R8" s="271">
        <f t="shared" ref="R8:R9" si="7">Q8/18</f>
        <v>2.9444444444444446</v>
      </c>
      <c r="S8" s="560"/>
      <c r="T8" s="536">
        <f>S7/D_currency_conversion!$J$17</f>
        <v>3.1251162333804174</v>
      </c>
      <c r="U8" s="558"/>
      <c r="V8" s="559"/>
      <c r="W8" s="555"/>
      <c r="X8" s="227"/>
      <c r="Y8" s="561"/>
      <c r="Z8" s="323"/>
      <c r="AA8" s="560"/>
      <c r="AB8" s="227"/>
      <c r="AC8" s="555"/>
      <c r="AD8" s="227"/>
      <c r="AE8" s="561"/>
      <c r="AF8" s="323"/>
      <c r="AG8" s="560"/>
      <c r="AH8" s="227"/>
    </row>
    <row r="9" spans="1:34" ht="20.100000000000001" customHeight="1" x14ac:dyDescent="0.25">
      <c r="A9" s="1"/>
      <c r="B9" s="1" t="s">
        <v>15</v>
      </c>
      <c r="C9" s="1" t="s">
        <v>18</v>
      </c>
      <c r="D9" s="1" t="s">
        <v>33</v>
      </c>
      <c r="E9" s="279">
        <v>75.142300000000006</v>
      </c>
      <c r="F9" s="280">
        <v>11.802085</v>
      </c>
      <c r="G9" s="304">
        <f t="shared" si="2"/>
        <v>3.1309291666666668</v>
      </c>
      <c r="H9" s="292">
        <f t="shared" si="3"/>
        <v>0.49175354166666668</v>
      </c>
      <c r="I9" s="283">
        <v>0.29032258</v>
      </c>
      <c r="J9" s="273">
        <v>0.25396825000000001</v>
      </c>
      <c r="K9" s="274">
        <v>180.08949999999999</v>
      </c>
      <c r="L9" s="276">
        <v>84.736109999999996</v>
      </c>
      <c r="M9" s="288">
        <f t="shared" si="1"/>
        <v>7.8426072406364993</v>
      </c>
      <c r="N9" s="289">
        <f t="shared" si="4"/>
        <v>3.2280422352761247</v>
      </c>
      <c r="O9" s="8">
        <f>0.36*R9*365</f>
        <v>299.29999999999995</v>
      </c>
      <c r="P9" s="188">
        <f t="shared" si="6"/>
        <v>16.62777777777778</v>
      </c>
      <c r="Q9" s="8">
        <v>41</v>
      </c>
      <c r="R9" s="271">
        <f t="shared" si="7"/>
        <v>2.2777777777777777</v>
      </c>
      <c r="S9" s="560"/>
      <c r="T9" s="536"/>
      <c r="U9" s="558"/>
      <c r="V9" s="559"/>
      <c r="W9" s="555"/>
      <c r="X9" s="227"/>
      <c r="Y9" s="561"/>
      <c r="Z9" s="323"/>
      <c r="AA9" s="560"/>
      <c r="AB9" s="227"/>
      <c r="AC9" s="555"/>
      <c r="AD9" s="227"/>
      <c r="AE9" s="561"/>
      <c r="AF9" s="323"/>
      <c r="AG9" s="560"/>
      <c r="AH9" s="227"/>
    </row>
    <row r="10" spans="1:34" s="10" customFormat="1" ht="20.100000000000001" hidden="1" customHeight="1" x14ac:dyDescent="0.25">
      <c r="A10" s="11">
        <v>2</v>
      </c>
      <c r="B10" s="11" t="s">
        <v>43</v>
      </c>
      <c r="C10" s="11"/>
      <c r="D10" s="11"/>
      <c r="E10" s="264"/>
      <c r="F10" s="265"/>
      <c r="G10" s="304"/>
      <c r="H10" s="292"/>
      <c r="I10" s="283"/>
      <c r="J10" s="273"/>
      <c r="K10" s="277"/>
      <c r="L10" s="278"/>
      <c r="M10" s="288"/>
      <c r="N10" s="289"/>
      <c r="O10" s="429"/>
      <c r="P10" s="188"/>
      <c r="Q10" s="429"/>
      <c r="R10" s="431"/>
      <c r="S10" s="319"/>
      <c r="T10" s="319"/>
      <c r="U10" s="433"/>
      <c r="V10" s="434"/>
      <c r="W10" s="316"/>
      <c r="X10" s="312"/>
      <c r="Y10" s="277"/>
      <c r="Z10" s="324"/>
      <c r="AA10" s="319"/>
      <c r="AB10" s="312"/>
      <c r="AC10" s="316"/>
      <c r="AD10" s="312"/>
      <c r="AE10" s="277"/>
      <c r="AF10" s="324"/>
      <c r="AG10" s="319"/>
      <c r="AH10" s="312"/>
    </row>
    <row r="11" spans="1:34" ht="20.100000000000001" hidden="1" customHeight="1" x14ac:dyDescent="0.25">
      <c r="A11" s="1"/>
      <c r="B11" s="1" t="s">
        <v>9</v>
      </c>
      <c r="C11" s="1" t="s">
        <v>19</v>
      </c>
      <c r="D11" s="1" t="s">
        <v>34</v>
      </c>
      <c r="E11" s="262"/>
      <c r="F11" s="263"/>
      <c r="G11" s="304"/>
      <c r="H11" s="292"/>
      <c r="I11" s="283"/>
      <c r="J11" s="273"/>
      <c r="K11" s="274"/>
      <c r="L11" s="276"/>
      <c r="M11" s="288"/>
      <c r="N11" s="289"/>
      <c r="O11" s="8"/>
      <c r="P11" s="188">
        <f t="shared" si="6"/>
        <v>8.9222222222222225</v>
      </c>
      <c r="Q11" s="8">
        <v>22</v>
      </c>
      <c r="R11" s="271">
        <f t="shared" ref="R11:R12" si="8">Q11/18</f>
        <v>1.2222222222222223</v>
      </c>
      <c r="S11" s="188"/>
      <c r="T11" s="188"/>
      <c r="U11" s="433"/>
      <c r="V11" s="434"/>
      <c r="W11" s="317"/>
      <c r="X11" s="227"/>
      <c r="Y11" s="274"/>
      <c r="Z11" s="323"/>
      <c r="AA11" s="188"/>
      <c r="AB11" s="227"/>
      <c r="AC11" s="317"/>
      <c r="AD11" s="227"/>
      <c r="AE11" s="274"/>
      <c r="AF11" s="323"/>
      <c r="AG11" s="188"/>
      <c r="AH11" s="227"/>
    </row>
    <row r="12" spans="1:34" ht="20.100000000000001" hidden="1" customHeight="1" x14ac:dyDescent="0.25">
      <c r="A12" s="1"/>
      <c r="B12" s="1" t="s">
        <v>10</v>
      </c>
      <c r="C12" s="1" t="s">
        <v>20</v>
      </c>
      <c r="D12" s="1" t="s">
        <v>34</v>
      </c>
      <c r="E12" s="262"/>
      <c r="F12" s="263"/>
      <c r="G12" s="304"/>
      <c r="H12" s="292"/>
      <c r="I12" s="283"/>
      <c r="J12" s="273"/>
      <c r="K12" s="274"/>
      <c r="L12" s="276"/>
      <c r="M12" s="288"/>
      <c r="N12" s="289"/>
      <c r="O12" s="8"/>
      <c r="P12" s="188">
        <f t="shared" si="6"/>
        <v>8.9222222222222225</v>
      </c>
      <c r="Q12" s="8">
        <v>22</v>
      </c>
      <c r="R12" s="271">
        <f t="shared" si="8"/>
        <v>1.2222222222222223</v>
      </c>
      <c r="S12" s="188"/>
      <c r="T12" s="188"/>
      <c r="U12" s="433"/>
      <c r="V12" s="434"/>
      <c r="W12" s="317"/>
      <c r="X12" s="227"/>
      <c r="Y12" s="274"/>
      <c r="Z12" s="323"/>
      <c r="AA12" s="188"/>
      <c r="AB12" s="227"/>
      <c r="AC12" s="317"/>
      <c r="AD12" s="227"/>
      <c r="AE12" s="274"/>
      <c r="AF12" s="323"/>
      <c r="AG12" s="188"/>
      <c r="AH12" s="227"/>
    </row>
    <row r="13" spans="1:34" s="10" customFormat="1" ht="20.100000000000001" hidden="1" customHeight="1" x14ac:dyDescent="0.25">
      <c r="A13" s="11">
        <v>3</v>
      </c>
      <c r="B13" s="11" t="s">
        <v>42</v>
      </c>
      <c r="C13" s="11"/>
      <c r="D13" s="11"/>
      <c r="E13" s="264"/>
      <c r="F13" s="265"/>
      <c r="G13" s="304"/>
      <c r="H13" s="292"/>
      <c r="I13" s="283"/>
      <c r="J13" s="273"/>
      <c r="K13" s="277"/>
      <c r="L13" s="278"/>
      <c r="M13" s="288"/>
      <c r="N13" s="289"/>
      <c r="O13" s="429"/>
      <c r="P13" s="188"/>
      <c r="Q13" s="429"/>
      <c r="R13" s="431"/>
      <c r="S13" s="319"/>
      <c r="T13" s="319"/>
      <c r="U13" s="433"/>
      <c r="V13" s="434"/>
      <c r="W13" s="316"/>
      <c r="X13" s="312"/>
      <c r="Y13" s="277"/>
      <c r="Z13" s="324"/>
      <c r="AA13" s="319"/>
      <c r="AB13" s="312"/>
      <c r="AC13" s="316"/>
      <c r="AD13" s="312"/>
      <c r="AE13" s="277"/>
      <c r="AF13" s="324"/>
      <c r="AG13" s="319"/>
      <c r="AH13" s="312"/>
    </row>
    <row r="14" spans="1:34" ht="20.100000000000001" hidden="1" customHeight="1" x14ac:dyDescent="0.25">
      <c r="A14" s="1"/>
      <c r="B14" s="1" t="s">
        <v>9</v>
      </c>
      <c r="C14" s="1" t="s">
        <v>24</v>
      </c>
      <c r="D14" s="1" t="s">
        <v>35</v>
      </c>
      <c r="E14" s="262"/>
      <c r="F14" s="263"/>
      <c r="G14" s="304"/>
      <c r="H14" s="292"/>
      <c r="I14" s="283"/>
      <c r="J14" s="273"/>
      <c r="K14" s="274"/>
      <c r="L14" s="276"/>
      <c r="M14" s="288"/>
      <c r="N14" s="289"/>
      <c r="O14" s="8"/>
      <c r="P14" s="188">
        <f t="shared" si="6"/>
        <v>1.6222222222222222</v>
      </c>
      <c r="Q14" s="8">
        <v>4</v>
      </c>
      <c r="R14" s="271">
        <f t="shared" ref="R14:R19" si="9">Q14/18</f>
        <v>0.22222222222222221</v>
      </c>
      <c r="S14" s="188"/>
      <c r="T14" s="188"/>
      <c r="U14" s="433"/>
      <c r="V14" s="434"/>
      <c r="W14" s="317"/>
      <c r="X14" s="227"/>
      <c r="Y14" s="274"/>
      <c r="Z14" s="323"/>
      <c r="AA14" s="188"/>
      <c r="AB14" s="227"/>
      <c r="AC14" s="317"/>
      <c r="AD14" s="227"/>
      <c r="AE14" s="274"/>
      <c r="AF14" s="323"/>
      <c r="AG14" s="188"/>
      <c r="AH14" s="227"/>
    </row>
    <row r="15" spans="1:34" ht="20.100000000000001" hidden="1" customHeight="1" x14ac:dyDescent="0.25">
      <c r="A15" s="1"/>
      <c r="B15" s="1" t="s">
        <v>10</v>
      </c>
      <c r="C15" s="1" t="s">
        <v>25</v>
      </c>
      <c r="D15" s="1" t="s">
        <v>36</v>
      </c>
      <c r="E15" s="262"/>
      <c r="F15" s="263"/>
      <c r="G15" s="304"/>
      <c r="H15" s="292"/>
      <c r="I15" s="283"/>
      <c r="J15" s="273"/>
      <c r="K15" s="274"/>
      <c r="L15" s="276"/>
      <c r="M15" s="288"/>
      <c r="N15" s="289"/>
      <c r="O15" s="8"/>
      <c r="P15" s="188">
        <f t="shared" si="6"/>
        <v>5.2722222222222221</v>
      </c>
      <c r="Q15" s="8">
        <v>13</v>
      </c>
      <c r="R15" s="271">
        <f t="shared" si="9"/>
        <v>0.72222222222222221</v>
      </c>
      <c r="S15" s="188"/>
      <c r="T15" s="188"/>
      <c r="U15" s="433"/>
      <c r="V15" s="434"/>
      <c r="W15" s="317"/>
      <c r="X15" s="227"/>
      <c r="Y15" s="274"/>
      <c r="Z15" s="323"/>
      <c r="AA15" s="188"/>
      <c r="AB15" s="227"/>
      <c r="AC15" s="317"/>
      <c r="AD15" s="227"/>
      <c r="AE15" s="274"/>
      <c r="AF15" s="323"/>
      <c r="AG15" s="188"/>
      <c r="AH15" s="227"/>
    </row>
    <row r="16" spans="1:34" ht="20.100000000000001" hidden="1" customHeight="1" x14ac:dyDescent="0.25">
      <c r="A16" s="1"/>
      <c r="B16" s="1" t="s">
        <v>15</v>
      </c>
      <c r="C16" s="1" t="s">
        <v>26</v>
      </c>
      <c r="D16" s="1" t="s">
        <v>37</v>
      </c>
      <c r="E16" s="262"/>
      <c r="F16" s="263"/>
      <c r="G16" s="304"/>
      <c r="H16" s="292"/>
      <c r="I16" s="283"/>
      <c r="J16" s="273"/>
      <c r="K16" s="274"/>
      <c r="L16" s="276"/>
      <c r="M16" s="288"/>
      <c r="N16" s="289"/>
      <c r="O16" s="8"/>
      <c r="P16" s="188">
        <f t="shared" si="6"/>
        <v>7.7055555555555557</v>
      </c>
      <c r="Q16" s="8">
        <v>19</v>
      </c>
      <c r="R16" s="271">
        <f t="shared" si="9"/>
        <v>1.0555555555555556</v>
      </c>
      <c r="S16" s="188"/>
      <c r="T16" s="188"/>
      <c r="U16" s="433"/>
      <c r="V16" s="434"/>
      <c r="W16" s="317"/>
      <c r="X16" s="227"/>
      <c r="Y16" s="274"/>
      <c r="Z16" s="323"/>
      <c r="AA16" s="188"/>
      <c r="AB16" s="227"/>
      <c r="AC16" s="317"/>
      <c r="AD16" s="227"/>
      <c r="AE16" s="274"/>
      <c r="AF16" s="323"/>
      <c r="AG16" s="188"/>
      <c r="AH16" s="227"/>
    </row>
    <row r="17" spans="1:34" ht="20.100000000000001" hidden="1" customHeight="1" x14ac:dyDescent="0.25">
      <c r="A17" s="1"/>
      <c r="B17" s="1" t="s">
        <v>21</v>
      </c>
      <c r="C17" s="1" t="s">
        <v>27</v>
      </c>
      <c r="D17" s="1" t="s">
        <v>38</v>
      </c>
      <c r="E17" s="262"/>
      <c r="F17" s="263"/>
      <c r="G17" s="304"/>
      <c r="H17" s="292"/>
      <c r="I17" s="283"/>
      <c r="J17" s="273"/>
      <c r="K17" s="274"/>
      <c r="L17" s="276"/>
      <c r="M17" s="288"/>
      <c r="N17" s="289"/>
      <c r="O17" s="8"/>
      <c r="P17" s="188">
        <f t="shared" si="6"/>
        <v>24.333333333333332</v>
      </c>
      <c r="Q17" s="8">
        <v>60</v>
      </c>
      <c r="R17" s="271">
        <f t="shared" si="9"/>
        <v>3.3333333333333335</v>
      </c>
      <c r="S17" s="188"/>
      <c r="T17" s="188"/>
      <c r="U17" s="433"/>
      <c r="V17" s="434"/>
      <c r="W17" s="317"/>
      <c r="X17" s="227"/>
      <c r="Y17" s="274"/>
      <c r="Z17" s="323"/>
      <c r="AA17" s="188"/>
      <c r="AB17" s="227"/>
      <c r="AC17" s="317"/>
      <c r="AD17" s="227"/>
      <c r="AE17" s="274"/>
      <c r="AF17" s="323"/>
      <c r="AG17" s="188"/>
      <c r="AH17" s="227"/>
    </row>
    <row r="18" spans="1:34" ht="20.100000000000001" hidden="1" customHeight="1" x14ac:dyDescent="0.25">
      <c r="A18" s="1"/>
      <c r="B18" s="1" t="s">
        <v>22</v>
      </c>
      <c r="C18" s="1" t="s">
        <v>28</v>
      </c>
      <c r="D18" s="1" t="s">
        <v>39</v>
      </c>
      <c r="E18" s="262"/>
      <c r="F18" s="263"/>
      <c r="G18" s="304"/>
      <c r="H18" s="292"/>
      <c r="I18" s="283"/>
      <c r="J18" s="273"/>
      <c r="K18" s="274"/>
      <c r="L18" s="276"/>
      <c r="M18" s="288"/>
      <c r="N18" s="289"/>
      <c r="O18" s="8"/>
      <c r="P18" s="188">
        <f t="shared" si="6"/>
        <v>8.5166666666666675</v>
      </c>
      <c r="Q18" s="8">
        <v>21</v>
      </c>
      <c r="R18" s="271">
        <f t="shared" si="9"/>
        <v>1.1666666666666667</v>
      </c>
      <c r="S18" s="188"/>
      <c r="T18" s="188"/>
      <c r="U18" s="433"/>
      <c r="V18" s="434"/>
      <c r="W18" s="317"/>
      <c r="X18" s="227"/>
      <c r="Y18" s="274"/>
      <c r="Z18" s="323"/>
      <c r="AA18" s="188"/>
      <c r="AB18" s="227"/>
      <c r="AC18" s="317"/>
      <c r="AD18" s="227"/>
      <c r="AE18" s="274"/>
      <c r="AF18" s="323"/>
      <c r="AG18" s="188"/>
      <c r="AH18" s="227"/>
    </row>
    <row r="19" spans="1:34" ht="20.100000000000001" hidden="1" customHeight="1" x14ac:dyDescent="0.25">
      <c r="A19" s="1"/>
      <c r="B19" s="1" t="s">
        <v>23</v>
      </c>
      <c r="C19" s="1" t="s">
        <v>29</v>
      </c>
      <c r="D19" s="1" t="s">
        <v>40</v>
      </c>
      <c r="E19" s="262"/>
      <c r="F19" s="263"/>
      <c r="G19" s="304"/>
      <c r="H19" s="292"/>
      <c r="I19" s="283"/>
      <c r="J19" s="273"/>
      <c r="K19" s="274"/>
      <c r="L19" s="276"/>
      <c r="M19" s="288"/>
      <c r="N19" s="289"/>
      <c r="O19" s="8"/>
      <c r="P19" s="188">
        <f t="shared" si="6"/>
        <v>7.3</v>
      </c>
      <c r="Q19" s="8">
        <v>18</v>
      </c>
      <c r="R19" s="271">
        <f t="shared" si="9"/>
        <v>1</v>
      </c>
      <c r="S19" s="188"/>
      <c r="T19" s="188"/>
      <c r="U19" s="433"/>
      <c r="V19" s="434"/>
      <c r="W19" s="317"/>
      <c r="X19" s="227"/>
      <c r="Y19" s="274"/>
      <c r="Z19" s="323"/>
      <c r="AA19" s="188"/>
      <c r="AB19" s="227"/>
      <c r="AC19" s="317"/>
      <c r="AD19" s="227"/>
      <c r="AE19" s="274"/>
      <c r="AF19" s="323"/>
      <c r="AG19" s="188"/>
      <c r="AH19" s="227"/>
    </row>
    <row r="20" spans="1:34" s="10" customFormat="1" ht="20.100000000000001" customHeight="1" x14ac:dyDescent="0.25">
      <c r="A20" s="11">
        <v>4</v>
      </c>
      <c r="B20" s="11" t="s">
        <v>2</v>
      </c>
      <c r="C20" s="11"/>
      <c r="D20" s="11"/>
      <c r="E20" s="264"/>
      <c r="F20" s="265"/>
      <c r="G20" s="304"/>
      <c r="H20" s="292"/>
      <c r="I20" s="283"/>
      <c r="J20" s="273"/>
      <c r="K20" s="277"/>
      <c r="L20" s="278"/>
      <c r="M20" s="288"/>
      <c r="N20" s="289"/>
      <c r="O20" s="429"/>
      <c r="P20" s="188"/>
      <c r="Q20" s="429"/>
      <c r="R20" s="431"/>
      <c r="S20" s="319"/>
      <c r="T20" s="319"/>
      <c r="U20" s="433"/>
      <c r="V20" s="434"/>
      <c r="W20" s="316"/>
      <c r="X20" s="312"/>
      <c r="Y20" s="277"/>
      <c r="Z20" s="324"/>
      <c r="AA20" s="319"/>
      <c r="AB20" s="312"/>
      <c r="AC20" s="316"/>
      <c r="AD20" s="312"/>
      <c r="AE20" s="277"/>
      <c r="AF20" s="324"/>
      <c r="AG20" s="319"/>
      <c r="AH20" s="312"/>
    </row>
    <row r="21" spans="1:34" ht="20.100000000000001" customHeight="1" x14ac:dyDescent="0.25">
      <c r="A21" s="1"/>
      <c r="B21" s="1" t="s">
        <v>9</v>
      </c>
      <c r="C21" s="1" t="s">
        <v>8</v>
      </c>
      <c r="D21" s="1" t="s">
        <v>5</v>
      </c>
      <c r="E21" s="306">
        <v>42.465628500000001</v>
      </c>
      <c r="F21" s="280">
        <v>12.225019000000001</v>
      </c>
      <c r="G21" s="304">
        <f t="shared" si="2"/>
        <v>1.7694011875</v>
      </c>
      <c r="H21" s="292">
        <f t="shared" si="3"/>
        <v>0.50937579166666669</v>
      </c>
      <c r="I21" s="283">
        <v>0.21621621999999999</v>
      </c>
      <c r="J21" s="273">
        <v>0.21951219999999999</v>
      </c>
      <c r="K21" s="279">
        <v>159.2671</v>
      </c>
      <c r="L21" s="280">
        <v>142.8099</v>
      </c>
      <c r="M21" s="288">
        <f t="shared" ref="M21:N24" si="10">$N$4*I21*K21</f>
        <v>5.1654195498542999</v>
      </c>
      <c r="N21" s="289">
        <f t="shared" si="10"/>
        <v>4.7022772996169993</v>
      </c>
      <c r="O21" s="8">
        <f t="shared" ref="O21:O24" si="11">0.36*R21*365</f>
        <v>153.29999999999998</v>
      </c>
      <c r="P21" s="188">
        <f t="shared" si="6"/>
        <v>8.5166666666666675</v>
      </c>
      <c r="Q21" s="8">
        <v>21</v>
      </c>
      <c r="R21" s="271">
        <f t="shared" ref="R21:R24" si="12">Q21/18</f>
        <v>1.1666666666666667</v>
      </c>
      <c r="S21" s="188">
        <f>D_service_prices!E13</f>
        <v>200</v>
      </c>
      <c r="T21" s="536">
        <f>S21/D_currency_conversion!$J$17</f>
        <v>6.2502324667608349</v>
      </c>
      <c r="U21" s="433">
        <v>0.21963469999999999</v>
      </c>
      <c r="V21" s="434">
        <v>80.166665499999993</v>
      </c>
      <c r="W21" s="327">
        <f>$U21*G21</f>
        <v>0.38862189899620625</v>
      </c>
      <c r="X21" s="328">
        <f>$U21*H21</f>
        <v>0.11187659918997084</v>
      </c>
      <c r="Y21" s="329">
        <f>$U21*M21</f>
        <v>1.1345053732063841</v>
      </c>
      <c r="Z21" s="330">
        <f>$U21*N21</f>
        <v>1.0327832640181898</v>
      </c>
      <c r="AA21" s="328">
        <f>$U21*O21</f>
        <v>33.669999509999997</v>
      </c>
      <c r="AB21" s="328">
        <f>$U21*P21</f>
        <v>1.8705555283333335</v>
      </c>
      <c r="AC21" s="315">
        <f t="shared" ref="AC21:AH21" si="13">W21*$S21</f>
        <v>77.724379799241248</v>
      </c>
      <c r="AD21" s="318">
        <f t="shared" si="13"/>
        <v>22.375319837994169</v>
      </c>
      <c r="AE21" s="314">
        <f t="shared" si="13"/>
        <v>226.90107464127684</v>
      </c>
      <c r="AF21" s="322">
        <f t="shared" si="13"/>
        <v>206.55665280363795</v>
      </c>
      <c r="AG21" s="318">
        <f t="shared" si="13"/>
        <v>6733.9999019999996</v>
      </c>
      <c r="AH21" s="318">
        <f t="shared" si="13"/>
        <v>374.11110566666667</v>
      </c>
    </row>
    <row r="22" spans="1:34" ht="20.100000000000001" customHeight="1" x14ac:dyDescent="0.25">
      <c r="A22" s="1"/>
      <c r="B22" s="1" t="s">
        <v>10</v>
      </c>
      <c r="C22" s="1" t="s">
        <v>30</v>
      </c>
      <c r="D22" s="1" t="s">
        <v>41</v>
      </c>
      <c r="E22" s="279">
        <v>49.75</v>
      </c>
      <c r="F22" s="280">
        <v>21.191669999999998</v>
      </c>
      <c r="G22" s="304">
        <f t="shared" si="2"/>
        <v>2.0729166666666665</v>
      </c>
      <c r="H22" s="292">
        <f t="shared" si="3"/>
        <v>0.88298624999999997</v>
      </c>
      <c r="I22" s="283">
        <v>0.22580644999999999</v>
      </c>
      <c r="J22" s="273">
        <v>0.15555556000000001</v>
      </c>
      <c r="K22" s="281">
        <v>230</v>
      </c>
      <c r="L22" s="280">
        <v>186.85069999999999</v>
      </c>
      <c r="M22" s="288">
        <f t="shared" si="10"/>
        <v>7.7903225249999988</v>
      </c>
      <c r="N22" s="289">
        <f t="shared" si="10"/>
        <v>4.3598497912337999</v>
      </c>
      <c r="O22" s="8">
        <f t="shared" si="11"/>
        <v>124.1</v>
      </c>
      <c r="P22" s="188">
        <f t="shared" si="6"/>
        <v>6.8944444444444448</v>
      </c>
      <c r="Q22" s="8">
        <v>17</v>
      </c>
      <c r="R22" s="271">
        <f t="shared" si="12"/>
        <v>0.94444444444444442</v>
      </c>
      <c r="S22" s="188"/>
      <c r="T22" s="188"/>
      <c r="U22" s="433"/>
      <c r="V22" s="434"/>
      <c r="W22" s="317"/>
      <c r="X22" s="227"/>
      <c r="Y22" s="274"/>
      <c r="Z22" s="323"/>
      <c r="AA22" s="188"/>
      <c r="AB22" s="227"/>
      <c r="AC22" s="317"/>
      <c r="AD22" s="227"/>
      <c r="AE22" s="274"/>
      <c r="AF22" s="323"/>
      <c r="AG22" s="188"/>
      <c r="AH22" s="227"/>
    </row>
    <row r="23" spans="1:34" s="10" customFormat="1" ht="20.100000000000001" customHeight="1" x14ac:dyDescent="0.25">
      <c r="A23" s="11">
        <v>5</v>
      </c>
      <c r="B23" s="11" t="s">
        <v>12</v>
      </c>
      <c r="C23" s="11"/>
      <c r="D23" s="14" t="s">
        <v>4</v>
      </c>
      <c r="E23" s="279">
        <v>61.362502500000005</v>
      </c>
      <c r="F23" s="280">
        <v>171.534885</v>
      </c>
      <c r="G23" s="304">
        <f t="shared" si="2"/>
        <v>2.5567709375000001</v>
      </c>
      <c r="H23" s="292">
        <f t="shared" si="3"/>
        <v>7.1472868749999998</v>
      </c>
      <c r="I23" s="283">
        <v>3.5087720000000003E-2</v>
      </c>
      <c r="J23" s="273">
        <v>1.234568E-2</v>
      </c>
      <c r="K23" s="281">
        <v>180</v>
      </c>
      <c r="L23" s="275">
        <v>150</v>
      </c>
      <c r="M23" s="288">
        <f>$N$4*I23*K23</f>
        <v>0.94736844000000009</v>
      </c>
      <c r="N23" s="289">
        <f t="shared" si="10"/>
        <v>0.27777779999999996</v>
      </c>
      <c r="O23" s="8">
        <f>0.36*R23*365</f>
        <v>364.99999999999994</v>
      </c>
      <c r="P23" s="188">
        <f t="shared" si="6"/>
        <v>20.277777777777775</v>
      </c>
      <c r="Q23" s="203">
        <v>50</v>
      </c>
      <c r="R23" s="271">
        <f t="shared" si="12"/>
        <v>2.7777777777777777</v>
      </c>
      <c r="S23" s="313">
        <f>AVERAGE(D_service_prices!E9:E10)</f>
        <v>430</v>
      </c>
      <c r="T23" s="536">
        <f>S23/D_currency_conversion!$J$17</f>
        <v>13.437999803535794</v>
      </c>
      <c r="U23" s="433">
        <v>5.8237445000000001</v>
      </c>
      <c r="V23" s="434">
        <v>2125.6667425000001</v>
      </c>
      <c r="W23" s="315">
        <f>$U23*G23</f>
        <v>14.889980685025469</v>
      </c>
      <c r="X23" s="318">
        <f>$U23*H23</f>
        <v>41.62397262820344</v>
      </c>
      <c r="Y23" s="314">
        <f t="shared" ref="Y23:AA24" si="14">$U23*M23</f>
        <v>5.517231741923581</v>
      </c>
      <c r="Z23" s="322">
        <f t="shared" si="14"/>
        <v>1.6177069349720998</v>
      </c>
      <c r="AA23" s="318">
        <f t="shared" si="14"/>
        <v>2125.6667424999996</v>
      </c>
      <c r="AB23" s="318">
        <f t="shared" ref="AB23:AB24" si="15">$U23*P23</f>
        <v>118.09259680555554</v>
      </c>
      <c r="AC23" s="315">
        <f>W23*$S23</f>
        <v>6402.6916945609519</v>
      </c>
      <c r="AD23" s="318">
        <f>X23*$S23</f>
        <v>17898.308230127481</v>
      </c>
      <c r="AE23" s="314">
        <f t="shared" ref="AE23:AE24" si="16">Y23*$S23</f>
        <v>2372.4096490271399</v>
      </c>
      <c r="AF23" s="322">
        <f>Z23*$S23</f>
        <v>695.61398203800297</v>
      </c>
      <c r="AG23" s="318">
        <f t="shared" ref="AG23:AG24" si="17">AA23*$S23</f>
        <v>914036.69927499979</v>
      </c>
      <c r="AH23" s="318">
        <f t="shared" ref="AH23:AH24" si="18">AB23*$S23</f>
        <v>50779.816626388885</v>
      </c>
    </row>
    <row r="24" spans="1:34" s="10" customFormat="1" ht="20.100000000000001" customHeight="1" x14ac:dyDescent="0.25">
      <c r="A24" s="11">
        <v>6</v>
      </c>
      <c r="B24" s="11" t="s">
        <v>13</v>
      </c>
      <c r="C24" s="11"/>
      <c r="D24" s="14" t="s">
        <v>3</v>
      </c>
      <c r="E24" s="286">
        <v>110.56672</v>
      </c>
      <c r="F24" s="287">
        <v>62.934615000000001</v>
      </c>
      <c r="G24" s="305">
        <f t="shared" si="2"/>
        <v>4.6069466666666665</v>
      </c>
      <c r="H24" s="292">
        <f t="shared" si="3"/>
        <v>2.6222756249999999</v>
      </c>
      <c r="I24" s="284">
        <v>0.61666666999999997</v>
      </c>
      <c r="J24" s="285">
        <v>0.95774647999999996</v>
      </c>
      <c r="K24" s="286">
        <v>244.72559999999999</v>
      </c>
      <c r="L24" s="287">
        <v>134.10740000000001</v>
      </c>
      <c r="M24" s="290">
        <f t="shared" si="10"/>
        <v>22.6371181223628</v>
      </c>
      <c r="N24" s="291">
        <f t="shared" si="10"/>
        <v>19.266133543792801</v>
      </c>
      <c r="O24" s="8">
        <f t="shared" si="11"/>
        <v>343.09999999999997</v>
      </c>
      <c r="P24" s="188">
        <f t="shared" si="6"/>
        <v>19.061111111111114</v>
      </c>
      <c r="Q24" s="204">
        <v>47</v>
      </c>
      <c r="R24" s="272">
        <f t="shared" si="12"/>
        <v>2.6111111111111112</v>
      </c>
      <c r="S24" s="359">
        <f>AVERAGE(D_service_prices!E3:E6)</f>
        <v>262.5</v>
      </c>
      <c r="T24" s="359">
        <f>S24/D_currency_conversion!$J$17</f>
        <v>8.2034301126235949</v>
      </c>
      <c r="U24" s="308">
        <v>3.926940483333333</v>
      </c>
      <c r="V24" s="309">
        <v>1433.3332764166666</v>
      </c>
      <c r="W24" s="320">
        <f>$U24*G24</f>
        <v>18.091205369890886</v>
      </c>
      <c r="X24" s="321">
        <f>$U24*H24</f>
        <v>10.297520310270718</v>
      </c>
      <c r="Y24" s="325">
        <f t="shared" si="14"/>
        <v>88.894615580705121</v>
      </c>
      <c r="Z24" s="326">
        <f t="shared" si="14"/>
        <v>75.656959770426241</v>
      </c>
      <c r="AA24" s="321">
        <f t="shared" si="14"/>
        <v>1347.3332798316665</v>
      </c>
      <c r="AB24" s="321">
        <f t="shared" si="15"/>
        <v>74.851848879537044</v>
      </c>
      <c r="AC24" s="320">
        <f t="shared" ref="AC24" si="19">W24*$S24</f>
        <v>4748.9414095963575</v>
      </c>
      <c r="AD24" s="321">
        <f t="shared" ref="AD24" si="20">X24*$S24</f>
        <v>2703.0990814460633</v>
      </c>
      <c r="AE24" s="325">
        <f t="shared" si="16"/>
        <v>23334.836589935094</v>
      </c>
      <c r="AF24" s="326">
        <f t="shared" ref="AF24" si="21">Z24*$S24</f>
        <v>19859.951939736889</v>
      </c>
      <c r="AG24" s="321">
        <f t="shared" si="17"/>
        <v>353674.98595581244</v>
      </c>
      <c r="AH24" s="321">
        <f t="shared" si="18"/>
        <v>19648.610330878473</v>
      </c>
    </row>
    <row r="25" spans="1:34" ht="20.100000000000001" customHeight="1" x14ac:dyDescent="0.25">
      <c r="A25" s="2"/>
      <c r="B25" s="2"/>
      <c r="C25" s="2"/>
      <c r="D25" s="2"/>
      <c r="E25" s="2"/>
      <c r="F25" s="2"/>
      <c r="G25" s="2">
        <f>AVERAGE(G7:G24)</f>
        <v>2.8222013303571427</v>
      </c>
      <c r="H25" s="2">
        <f>AVERAGE(H7:H24)</f>
        <v>2.2572499146825398</v>
      </c>
      <c r="I25" s="2"/>
      <c r="J25" s="2"/>
      <c r="K25" s="2"/>
      <c r="L25" s="2"/>
      <c r="M25" s="2">
        <f>AVERAGE(M7:M24)</f>
        <v>10.1553125040738</v>
      </c>
      <c r="N25" s="2">
        <f>AVERAGE(N7:N24)</f>
        <v>6.6367341744172057</v>
      </c>
      <c r="O25" s="2">
        <f>AVERAGE(O7:O24)</f>
        <v>250.28571428571425</v>
      </c>
      <c r="P25" s="2">
        <f>AVERAGE(P7:P24)</f>
        <v>11.328518518518518</v>
      </c>
      <c r="Q25" s="512"/>
      <c r="R25" s="512"/>
      <c r="S25" s="517">
        <f>AVERAGE(S6:S24)</f>
        <v>248.125</v>
      </c>
      <c r="T25" s="517"/>
      <c r="U25" s="1"/>
      <c r="V25" s="1"/>
      <c r="W25" s="2"/>
      <c r="X25" s="2"/>
      <c r="Y25" s="2"/>
      <c r="Z25" s="2"/>
      <c r="AA25" s="2"/>
      <c r="AB25" s="2"/>
      <c r="AC25" s="200">
        <f>SUM(AC6:AC24)</f>
        <v>21035.980398691798</v>
      </c>
      <c r="AD25" s="200">
        <f t="shared" ref="AD25:AH25" si="22">SUM(AD6:AD24)</f>
        <v>25823.149687689714</v>
      </c>
      <c r="AE25" s="200">
        <f>SUM(AE6:AE24)</f>
        <v>64655.660915001921</v>
      </c>
      <c r="AF25" s="200">
        <f>SUM(AF6:AF24)</f>
        <v>40770.29881002233</v>
      </c>
      <c r="AG25" s="200">
        <f t="shared" si="22"/>
        <v>2133567.3307994781</v>
      </c>
      <c r="AH25" s="200">
        <f t="shared" si="22"/>
        <v>118531.51837774881</v>
      </c>
    </row>
    <row r="26" spans="1:34" ht="83.25" customHeight="1" x14ac:dyDescent="0.25">
      <c r="A26" s="1"/>
      <c r="B26" s="1"/>
      <c r="C26" s="1"/>
      <c r="D26" s="519" t="s">
        <v>661</v>
      </c>
      <c r="E26" s="554" t="s">
        <v>512</v>
      </c>
      <c r="F26" s="554"/>
      <c r="G26" s="554"/>
      <c r="H26" s="554"/>
      <c r="I26" s="554" t="s">
        <v>468</v>
      </c>
      <c r="J26" s="554"/>
      <c r="K26" s="554"/>
      <c r="L26" s="554"/>
      <c r="M26" s="554"/>
      <c r="N26" s="554"/>
      <c r="O26" s="554" t="s">
        <v>508</v>
      </c>
      <c r="P26" s="554"/>
      <c r="Q26" s="554"/>
      <c r="R26" s="554"/>
      <c r="S26" s="520" t="s">
        <v>267</v>
      </c>
      <c r="T26" s="520"/>
      <c r="U26" s="518"/>
      <c r="V26" s="518" t="s">
        <v>662</v>
      </c>
      <c r="W26" s="1"/>
      <c r="X26" s="1"/>
      <c r="Y26" s="1"/>
      <c r="Z26" s="1"/>
      <c r="AA26" s="1"/>
      <c r="AB26" s="1"/>
      <c r="AC26" s="1"/>
      <c r="AD26" s="1"/>
      <c r="AE26" s="1"/>
      <c r="AF26" s="1"/>
      <c r="AG26" s="1"/>
      <c r="AH26" s="1"/>
    </row>
  </sheetData>
  <mergeCells count="31">
    <mergeCell ref="AC7:AC9"/>
    <mergeCell ref="AE7:AE9"/>
    <mergeCell ref="AG7:AG9"/>
    <mergeCell ref="Y7:Y9"/>
    <mergeCell ref="AA7:AA9"/>
    <mergeCell ref="W3:AB3"/>
    <mergeCell ref="AC3:AH3"/>
    <mergeCell ref="AC4:AD4"/>
    <mergeCell ref="AE4:AF4"/>
    <mergeCell ref="AG4:AH4"/>
    <mergeCell ref="E26:H26"/>
    <mergeCell ref="W7:W9"/>
    <mergeCell ref="W4:X4"/>
    <mergeCell ref="Y4:Z4"/>
    <mergeCell ref="AA4:AB4"/>
    <mergeCell ref="U7:U9"/>
    <mergeCell ref="V7:V9"/>
    <mergeCell ref="U4:V4"/>
    <mergeCell ref="S7:S9"/>
    <mergeCell ref="O2:R2"/>
    <mergeCell ref="O3:R3"/>
    <mergeCell ref="I2:N2"/>
    <mergeCell ref="I3:N3"/>
    <mergeCell ref="I26:N26"/>
    <mergeCell ref="O26:R26"/>
    <mergeCell ref="E2:H2"/>
    <mergeCell ref="E3:H3"/>
    <mergeCell ref="G4:H4"/>
    <mergeCell ref="I4:J4"/>
    <mergeCell ref="K4:L4"/>
    <mergeCell ref="E4:F4"/>
  </mergeCells>
  <hyperlinks>
    <hyperlink ref="S26" location="B_service_prices!A1" display="B_service_prices" xr:uid="{00000000-0004-0000-1700-000000000000}"/>
  </hyperlinks>
  <pageMargins left="0.7" right="0.7" top="0.75" bottom="0.75" header="0.3" footer="0.3"/>
  <pageSetup paperSize="9" orientation="portrait" horizontalDpi="1200" verticalDpi="1200"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dimension ref="A1:N26"/>
  <sheetViews>
    <sheetView workbookViewId="0">
      <selection activeCell="E1" sqref="E1"/>
    </sheetView>
  </sheetViews>
  <sheetFormatPr defaultColWidth="8.7109375" defaultRowHeight="15" x14ac:dyDescent="0.25"/>
  <cols>
    <col min="2" max="2" width="11.140625" customWidth="1"/>
    <col min="3" max="3" width="9.140625" style="225"/>
    <col min="4" max="4" width="10.7109375" bestFit="1" customWidth="1"/>
    <col min="5" max="5" width="10.7109375" style="225" customWidth="1"/>
    <col min="9" max="9" width="10.7109375" style="225" bestFit="1" customWidth="1"/>
    <col min="10" max="13" width="9.140625" style="225"/>
    <col min="14" max="14" width="3" customWidth="1"/>
  </cols>
  <sheetData>
    <row r="1" spans="1:14" x14ac:dyDescent="0.25">
      <c r="A1" s="472" t="s">
        <v>659</v>
      </c>
      <c r="B1" s="450"/>
      <c r="C1" s="450"/>
      <c r="D1" s="450"/>
      <c r="E1" s="331" t="str">
        <f>HYPERLINK("#"&amp;ADDRESS(1,1,,,"MASTER"),"M &lt;=")</f>
        <v>M &lt;=</v>
      </c>
      <c r="F1" s="450"/>
      <c r="G1" s="450"/>
      <c r="H1" s="450"/>
      <c r="I1" s="450"/>
      <c r="J1" s="450"/>
      <c r="K1" s="450"/>
      <c r="L1" s="450"/>
      <c r="M1" s="450"/>
      <c r="N1" s="450"/>
    </row>
    <row r="2" spans="1:14" s="225" customFormat="1" x14ac:dyDescent="0.25">
      <c r="A2" s="2"/>
      <c r="B2" s="2"/>
      <c r="C2" s="2"/>
      <c r="D2" s="544" t="s">
        <v>495</v>
      </c>
      <c r="E2" s="544"/>
      <c r="F2" s="544"/>
      <c r="G2" s="544"/>
      <c r="H2" s="544"/>
      <c r="I2" s="544" t="s">
        <v>496</v>
      </c>
      <c r="J2" s="544"/>
      <c r="K2" s="544"/>
      <c r="L2" s="544"/>
      <c r="M2" s="544"/>
      <c r="N2" s="450"/>
    </row>
    <row r="3" spans="1:14" s="225" customFormat="1" ht="5.25" customHeight="1" x14ac:dyDescent="0.25">
      <c r="A3" s="7"/>
      <c r="B3" s="7"/>
      <c r="C3" s="7"/>
      <c r="D3" s="474"/>
      <c r="E3" s="474"/>
      <c r="F3" s="474"/>
      <c r="G3" s="474"/>
      <c r="H3" s="474"/>
      <c r="I3" s="474"/>
      <c r="J3" s="474"/>
      <c r="K3" s="474"/>
      <c r="L3" s="474"/>
      <c r="M3" s="474"/>
      <c r="N3" s="450"/>
    </row>
    <row r="4" spans="1:14" x14ac:dyDescent="0.25">
      <c r="A4" s="190"/>
      <c r="B4" s="190"/>
      <c r="C4" s="190"/>
      <c r="D4" s="190"/>
      <c r="E4" s="550" t="s">
        <v>492</v>
      </c>
      <c r="F4" s="550"/>
      <c r="G4" s="550"/>
      <c r="H4" s="550"/>
      <c r="I4" s="264"/>
      <c r="J4" s="550" t="s">
        <v>492</v>
      </c>
      <c r="K4" s="550"/>
      <c r="L4" s="550"/>
      <c r="M4" s="550"/>
      <c r="N4" s="450"/>
    </row>
    <row r="5" spans="1:14" x14ac:dyDescent="0.25">
      <c r="A5" s="11" t="s">
        <v>490</v>
      </c>
      <c r="B5" s="11" t="s">
        <v>489</v>
      </c>
      <c r="C5" s="11" t="s">
        <v>498</v>
      </c>
      <c r="D5" s="475" t="s">
        <v>491</v>
      </c>
      <c r="E5" s="475" t="s">
        <v>497</v>
      </c>
      <c r="F5" s="475" t="s">
        <v>5</v>
      </c>
      <c r="G5" s="475" t="s">
        <v>493</v>
      </c>
      <c r="H5" s="475" t="s">
        <v>494</v>
      </c>
      <c r="I5" s="479" t="s">
        <v>491</v>
      </c>
      <c r="J5" s="475" t="s">
        <v>497</v>
      </c>
      <c r="K5" s="475" t="s">
        <v>5</v>
      </c>
      <c r="L5" s="475" t="s">
        <v>493</v>
      </c>
      <c r="M5" s="475" t="s">
        <v>494</v>
      </c>
      <c r="N5" s="450"/>
    </row>
    <row r="6" spans="1:14" x14ac:dyDescent="0.25">
      <c r="A6" s="2" t="s">
        <v>482</v>
      </c>
      <c r="B6" s="2" t="s">
        <v>486</v>
      </c>
      <c r="C6" s="512">
        <v>1</v>
      </c>
      <c r="D6" s="200">
        <v>140226</v>
      </c>
      <c r="E6" s="513">
        <v>18.189039999999999</v>
      </c>
      <c r="F6" s="513">
        <v>0</v>
      </c>
      <c r="G6" s="513">
        <v>1.953425</v>
      </c>
      <c r="H6" s="513">
        <v>6.0274000000000001E-2</v>
      </c>
      <c r="I6" s="514">
        <v>142345</v>
      </c>
      <c r="J6" s="513">
        <v>32.134250000000002</v>
      </c>
      <c r="K6" s="513">
        <v>0</v>
      </c>
      <c r="L6" s="513">
        <v>1.4082190000000001</v>
      </c>
      <c r="M6" s="513">
        <v>0.46027400000000002</v>
      </c>
      <c r="N6" s="450"/>
    </row>
    <row r="7" spans="1:14" x14ac:dyDescent="0.25">
      <c r="A7" s="7" t="s">
        <v>482</v>
      </c>
      <c r="B7" s="7" t="s">
        <v>487</v>
      </c>
      <c r="C7" s="8">
        <v>1</v>
      </c>
      <c r="D7" s="189">
        <v>135344</v>
      </c>
      <c r="E7" s="234">
        <v>32.42192</v>
      </c>
      <c r="F7" s="234">
        <v>0.4</v>
      </c>
      <c r="G7" s="234">
        <v>7.8328769999999999</v>
      </c>
      <c r="H7" s="234">
        <v>1.3972599999999999</v>
      </c>
      <c r="I7" s="515"/>
      <c r="J7" s="234"/>
      <c r="K7" s="234"/>
      <c r="L7" s="234"/>
      <c r="M7" s="234"/>
      <c r="N7" s="450"/>
    </row>
    <row r="8" spans="1:14" x14ac:dyDescent="0.25">
      <c r="A8" s="7" t="s">
        <v>470</v>
      </c>
      <c r="B8" s="7" t="s">
        <v>473</v>
      </c>
      <c r="C8" s="8">
        <v>1</v>
      </c>
      <c r="D8" s="189">
        <v>37962</v>
      </c>
      <c r="E8" s="234">
        <v>4.523288</v>
      </c>
      <c r="F8" s="234">
        <v>0</v>
      </c>
      <c r="G8" s="234">
        <v>2.1397110000000001</v>
      </c>
      <c r="H8" s="234">
        <v>0.48767120000000003</v>
      </c>
      <c r="I8" s="515">
        <v>38002</v>
      </c>
      <c r="J8" s="234">
        <v>4.4000000000000004</v>
      </c>
      <c r="K8" s="234">
        <v>0</v>
      </c>
      <c r="L8" s="234">
        <v>4.6263820000000004</v>
      </c>
      <c r="M8" s="234">
        <v>2.6438359999999999</v>
      </c>
      <c r="N8" s="450"/>
    </row>
    <row r="9" spans="1:14" x14ac:dyDescent="0.25">
      <c r="A9" s="7" t="s">
        <v>470</v>
      </c>
      <c r="B9" s="7" t="s">
        <v>474</v>
      </c>
      <c r="C9" s="8">
        <v>1</v>
      </c>
      <c r="D9" s="189">
        <v>52857</v>
      </c>
      <c r="E9" s="234">
        <v>4.6054789999999999</v>
      </c>
      <c r="F9" s="234">
        <v>0</v>
      </c>
      <c r="G9" s="234">
        <v>0</v>
      </c>
      <c r="H9" s="234">
        <v>2.1362410000000001</v>
      </c>
      <c r="I9" s="515">
        <v>52940</v>
      </c>
      <c r="J9" s="234">
        <v>2.8986299999999998</v>
      </c>
      <c r="K9" s="234">
        <v>0</v>
      </c>
      <c r="L9" s="234">
        <v>0</v>
      </c>
      <c r="M9" s="234">
        <v>2.057534</v>
      </c>
      <c r="N9" s="450"/>
    </row>
    <row r="10" spans="1:14" x14ac:dyDescent="0.25">
      <c r="A10" s="7" t="s">
        <v>470</v>
      </c>
      <c r="B10" s="7" t="s">
        <v>476</v>
      </c>
      <c r="C10" s="8">
        <v>1</v>
      </c>
      <c r="D10" s="189">
        <v>148255</v>
      </c>
      <c r="E10" s="234">
        <v>22.23836</v>
      </c>
      <c r="F10" s="234">
        <v>0.36368060000000002</v>
      </c>
      <c r="G10" s="234">
        <v>2.720548</v>
      </c>
      <c r="H10" s="234">
        <v>0.83835610000000005</v>
      </c>
      <c r="I10" s="515">
        <v>146335</v>
      </c>
      <c r="J10" s="234">
        <v>30.230139999999999</v>
      </c>
      <c r="K10" s="234">
        <v>0.22375490000000001</v>
      </c>
      <c r="L10" s="234">
        <v>0.49041099999999999</v>
      </c>
      <c r="M10" s="234">
        <v>1.386301</v>
      </c>
      <c r="N10" s="450"/>
    </row>
    <row r="11" spans="1:14" x14ac:dyDescent="0.25">
      <c r="A11" s="7" t="s">
        <v>470</v>
      </c>
      <c r="B11" s="7" t="s">
        <v>477</v>
      </c>
      <c r="C11" s="8">
        <v>1</v>
      </c>
      <c r="D11" s="189">
        <v>57334</v>
      </c>
      <c r="E11" s="234">
        <v>2.4575339999999999</v>
      </c>
      <c r="F11" s="234">
        <v>0</v>
      </c>
      <c r="G11" s="234">
        <v>0.73698629999999998</v>
      </c>
      <c r="H11" s="234">
        <v>1.6246579999999999</v>
      </c>
      <c r="I11" s="515">
        <v>59057</v>
      </c>
      <c r="J11" s="234">
        <v>6.8219180000000001</v>
      </c>
      <c r="K11" s="234">
        <v>0</v>
      </c>
      <c r="L11" s="234">
        <v>1.3150679999999999</v>
      </c>
      <c r="M11" s="234">
        <v>3.2082190000000002</v>
      </c>
      <c r="N11" s="450"/>
    </row>
    <row r="12" spans="1:14" x14ac:dyDescent="0.25">
      <c r="A12" s="7" t="s">
        <v>482</v>
      </c>
      <c r="B12" s="7" t="s">
        <v>485</v>
      </c>
      <c r="C12" s="8">
        <v>2</v>
      </c>
      <c r="D12" s="189">
        <v>201278</v>
      </c>
      <c r="E12" s="234">
        <v>33.147950000000002</v>
      </c>
      <c r="F12" s="234">
        <v>0.13972599999999999</v>
      </c>
      <c r="G12" s="234">
        <v>5.3972600000000002</v>
      </c>
      <c r="H12" s="234">
        <v>6.6602740000000002</v>
      </c>
      <c r="I12" s="515">
        <v>202733</v>
      </c>
      <c r="J12" s="234">
        <v>41.0411</v>
      </c>
      <c r="K12" s="234">
        <v>5.2054799999999998E-2</v>
      </c>
      <c r="L12" s="234">
        <v>6.8493149999999998</v>
      </c>
      <c r="M12" s="234">
        <v>6.1205480000000003</v>
      </c>
      <c r="N12" s="450"/>
    </row>
    <row r="13" spans="1:14" x14ac:dyDescent="0.25">
      <c r="A13" s="7" t="s">
        <v>482</v>
      </c>
      <c r="B13" s="7" t="s">
        <v>488</v>
      </c>
      <c r="C13" s="8">
        <v>2</v>
      </c>
      <c r="D13" s="189">
        <v>212575</v>
      </c>
      <c r="E13" s="234">
        <v>35.660269999999997</v>
      </c>
      <c r="F13" s="234">
        <v>0</v>
      </c>
      <c r="G13" s="234">
        <v>4.6164379999999996</v>
      </c>
      <c r="H13" s="234">
        <v>4.2410959999999998</v>
      </c>
      <c r="I13" s="515">
        <v>207263</v>
      </c>
      <c r="J13" s="234">
        <v>47.180819999999997</v>
      </c>
      <c r="K13" s="234">
        <v>0.79452060000000002</v>
      </c>
      <c r="L13" s="234">
        <v>6.7561650000000002</v>
      </c>
      <c r="M13" s="234">
        <v>6.3753419999999998</v>
      </c>
      <c r="N13" s="450"/>
    </row>
    <row r="14" spans="1:14" x14ac:dyDescent="0.25">
      <c r="A14" s="7" t="s">
        <v>470</v>
      </c>
      <c r="B14" s="7" t="s">
        <v>475</v>
      </c>
      <c r="C14" s="8">
        <v>2</v>
      </c>
      <c r="D14" s="189">
        <v>179323</v>
      </c>
      <c r="E14" s="234">
        <v>9.3369870000000006</v>
      </c>
      <c r="F14" s="234">
        <v>0</v>
      </c>
      <c r="G14" s="234">
        <v>1.090411</v>
      </c>
      <c r="H14" s="234">
        <v>1.91781E-2</v>
      </c>
      <c r="I14" s="515">
        <v>180621</v>
      </c>
      <c r="J14" s="234">
        <v>10.3863</v>
      </c>
      <c r="K14" s="234">
        <v>9.8630099999999998E-2</v>
      </c>
      <c r="L14" s="234">
        <v>2.1698629999999999</v>
      </c>
      <c r="M14" s="234">
        <v>2.5698629999999998</v>
      </c>
      <c r="N14" s="450"/>
    </row>
    <row r="15" spans="1:14" x14ac:dyDescent="0.25">
      <c r="A15" s="7" t="s">
        <v>470</v>
      </c>
      <c r="B15" s="7" t="s">
        <v>478</v>
      </c>
      <c r="C15" s="8">
        <v>2</v>
      </c>
      <c r="D15" s="189">
        <v>238912</v>
      </c>
      <c r="E15" s="234">
        <v>19.917809999999999</v>
      </c>
      <c r="F15" s="234">
        <v>0</v>
      </c>
      <c r="G15" s="234">
        <v>3.0438360000000002</v>
      </c>
      <c r="H15" s="234">
        <v>0</v>
      </c>
      <c r="I15" s="515">
        <v>230853</v>
      </c>
      <c r="J15" s="234">
        <v>28.769860000000001</v>
      </c>
      <c r="K15" s="234">
        <v>0</v>
      </c>
      <c r="L15" s="234">
        <v>3.7589039999999998</v>
      </c>
      <c r="M15" s="234">
        <v>0.61095889999999997</v>
      </c>
      <c r="N15" s="450"/>
    </row>
    <row r="16" spans="1:14" x14ac:dyDescent="0.25">
      <c r="A16" s="7" t="s">
        <v>470</v>
      </c>
      <c r="B16" s="7" t="s">
        <v>479</v>
      </c>
      <c r="C16" s="8">
        <v>2</v>
      </c>
      <c r="D16" s="189">
        <v>229856</v>
      </c>
      <c r="E16" s="234">
        <v>53.54795</v>
      </c>
      <c r="F16" s="234">
        <v>0.49589040000000001</v>
      </c>
      <c r="G16" s="234">
        <v>8.0246569999999995</v>
      </c>
      <c r="H16" s="234">
        <v>0.87123289999999998</v>
      </c>
      <c r="I16" s="515">
        <v>224318</v>
      </c>
      <c r="J16" s="234">
        <v>39.060270000000003</v>
      </c>
      <c r="K16" s="234">
        <v>0.1287671</v>
      </c>
      <c r="L16" s="234">
        <v>8.1369869999999995</v>
      </c>
      <c r="M16" s="234">
        <v>2.6191779999999998</v>
      </c>
      <c r="N16" s="450"/>
    </row>
    <row r="17" spans="1:14" x14ac:dyDescent="0.25">
      <c r="A17" s="7" t="s">
        <v>470</v>
      </c>
      <c r="B17" s="7" t="s">
        <v>480</v>
      </c>
      <c r="C17" s="8">
        <v>2</v>
      </c>
      <c r="D17" s="189">
        <v>214606</v>
      </c>
      <c r="E17" s="234">
        <v>40.865749999999998</v>
      </c>
      <c r="F17" s="234">
        <v>0.18082190000000001</v>
      </c>
      <c r="G17" s="234">
        <v>7.7945200000000003</v>
      </c>
      <c r="H17" s="234">
        <v>0.78904110000000005</v>
      </c>
      <c r="I17" s="515">
        <v>212982</v>
      </c>
      <c r="J17" s="234">
        <v>35.312330000000003</v>
      </c>
      <c r="K17" s="234">
        <v>0.24383560000000001</v>
      </c>
      <c r="L17" s="234">
        <v>7.2712329999999996</v>
      </c>
      <c r="M17" s="234">
        <v>5.2657530000000001</v>
      </c>
      <c r="N17" s="450"/>
    </row>
    <row r="18" spans="1:14" x14ac:dyDescent="0.25">
      <c r="A18" s="7" t="s">
        <v>482</v>
      </c>
      <c r="B18" s="7" t="s">
        <v>483</v>
      </c>
      <c r="C18" s="8">
        <v>3</v>
      </c>
      <c r="D18" s="189">
        <v>262459</v>
      </c>
      <c r="E18" s="234">
        <v>60.583559999999999</v>
      </c>
      <c r="F18" s="234">
        <v>0</v>
      </c>
      <c r="G18" s="234">
        <v>5.1013700000000002</v>
      </c>
      <c r="H18" s="234">
        <v>1.4027400000000001</v>
      </c>
      <c r="I18" s="515">
        <v>263382</v>
      </c>
      <c r="J18" s="234">
        <v>61.975340000000003</v>
      </c>
      <c r="K18" s="234">
        <v>0</v>
      </c>
      <c r="L18" s="234">
        <v>6.1232879999999996</v>
      </c>
      <c r="M18" s="234">
        <v>1.1643840000000001</v>
      </c>
      <c r="N18" s="450"/>
    </row>
    <row r="19" spans="1:14" x14ac:dyDescent="0.25">
      <c r="A19" s="7" t="s">
        <v>482</v>
      </c>
      <c r="B19" s="7" t="s">
        <v>484</v>
      </c>
      <c r="C19" s="8">
        <v>3</v>
      </c>
      <c r="D19" s="189">
        <v>254988</v>
      </c>
      <c r="E19" s="234">
        <v>52.230139999999999</v>
      </c>
      <c r="F19" s="234">
        <v>0</v>
      </c>
      <c r="G19" s="234">
        <v>5.5506849999999996</v>
      </c>
      <c r="H19" s="234">
        <v>4.3972600000000002</v>
      </c>
      <c r="I19" s="515">
        <v>254727</v>
      </c>
      <c r="J19" s="234">
        <v>73.961650000000006</v>
      </c>
      <c r="K19" s="234">
        <v>5.4795E-3</v>
      </c>
      <c r="L19" s="234">
        <v>5.2849320000000004</v>
      </c>
      <c r="M19" s="234">
        <v>6.4</v>
      </c>
      <c r="N19" s="450"/>
    </row>
    <row r="20" spans="1:14" x14ac:dyDescent="0.25">
      <c r="A20" s="7" t="s">
        <v>470</v>
      </c>
      <c r="B20" s="7" t="s">
        <v>471</v>
      </c>
      <c r="C20" s="8">
        <v>3</v>
      </c>
      <c r="D20" s="189">
        <v>434300</v>
      </c>
      <c r="E20" s="234">
        <v>28.509589999999999</v>
      </c>
      <c r="F20" s="234">
        <v>0</v>
      </c>
      <c r="G20" s="234">
        <v>3.468493</v>
      </c>
      <c r="H20" s="234">
        <v>0</v>
      </c>
      <c r="I20" s="515">
        <v>435353</v>
      </c>
      <c r="J20" s="234">
        <v>44.068489999999997</v>
      </c>
      <c r="K20" s="234">
        <v>0</v>
      </c>
      <c r="L20" s="234">
        <v>3.5041099999999998</v>
      </c>
      <c r="M20" s="234">
        <v>0.4328767</v>
      </c>
      <c r="N20" s="450"/>
    </row>
    <row r="21" spans="1:14" x14ac:dyDescent="0.25">
      <c r="A21" s="7" t="s">
        <v>470</v>
      </c>
      <c r="B21" s="7" t="s">
        <v>472</v>
      </c>
      <c r="C21" s="8">
        <v>3</v>
      </c>
      <c r="D21" s="189">
        <v>270431</v>
      </c>
      <c r="E21" s="234">
        <v>54.652050000000003</v>
      </c>
      <c r="F21" s="234">
        <v>8.2191999999999994E-3</v>
      </c>
      <c r="G21" s="234">
        <v>8.0301369999999999</v>
      </c>
      <c r="H21" s="234">
        <v>5.7780820000000004</v>
      </c>
      <c r="I21" s="515">
        <v>271195</v>
      </c>
      <c r="J21" s="234">
        <v>53.758899999999997</v>
      </c>
      <c r="K21" s="234">
        <v>0.31780819999999999</v>
      </c>
      <c r="L21" s="234">
        <v>7.9698630000000001</v>
      </c>
      <c r="M21" s="234">
        <v>8.0547939999999993</v>
      </c>
      <c r="N21" s="450"/>
    </row>
    <row r="22" spans="1:14" x14ac:dyDescent="0.25">
      <c r="A22" s="198" t="s">
        <v>470</v>
      </c>
      <c r="B22" s="198" t="s">
        <v>481</v>
      </c>
      <c r="C22" s="481">
        <v>3</v>
      </c>
      <c r="D22" s="195">
        <v>248631</v>
      </c>
      <c r="E22" s="458">
        <v>32.495890000000003</v>
      </c>
      <c r="F22" s="458">
        <v>0.1013699</v>
      </c>
      <c r="G22" s="458">
        <v>1.7479450000000001</v>
      </c>
      <c r="H22" s="458">
        <v>3.6027399999999998</v>
      </c>
      <c r="I22" s="516">
        <v>269711</v>
      </c>
      <c r="J22" s="458">
        <v>35.52055</v>
      </c>
      <c r="K22" s="458">
        <v>2.1917800000000001E-2</v>
      </c>
      <c r="L22" s="458">
        <v>2.868493</v>
      </c>
      <c r="M22" s="458">
        <v>2.5917810000000001</v>
      </c>
      <c r="N22" s="450"/>
    </row>
    <row r="23" spans="1:14" ht="4.5" customHeight="1" x14ac:dyDescent="0.25">
      <c r="A23" s="1"/>
      <c r="B23" s="1"/>
      <c r="C23" s="1"/>
      <c r="D23" s="1"/>
      <c r="E23" s="1"/>
      <c r="F23" s="1"/>
      <c r="G23" s="1"/>
      <c r="H23" s="1"/>
      <c r="I23" s="1"/>
      <c r="J23" s="1"/>
      <c r="K23" s="1"/>
      <c r="L23" s="1"/>
      <c r="M23" s="1"/>
      <c r="N23" s="450"/>
    </row>
    <row r="24" spans="1:14" x14ac:dyDescent="0.25">
      <c r="A24" s="11" t="s">
        <v>499</v>
      </c>
      <c r="B24" s="11"/>
      <c r="C24" s="11"/>
      <c r="D24" s="11"/>
      <c r="E24" s="301">
        <f>AVERAGE(E12:E17)</f>
        <v>32.079452833333335</v>
      </c>
      <c r="F24" s="301">
        <f t="shared" ref="F24:M24" si="0">AVERAGE(F12:F17)</f>
        <v>0.13607305</v>
      </c>
      <c r="G24" s="301">
        <f t="shared" si="0"/>
        <v>4.994520333333333</v>
      </c>
      <c r="H24" s="301">
        <f t="shared" si="0"/>
        <v>2.0968036833333334</v>
      </c>
      <c r="I24" s="301"/>
      <c r="J24" s="301">
        <f>AVERAGE(J12:J17)</f>
        <v>33.625113333333339</v>
      </c>
      <c r="K24" s="301">
        <f t="shared" si="0"/>
        <v>0.21963469999999996</v>
      </c>
      <c r="L24" s="301">
        <f t="shared" si="0"/>
        <v>5.8237445000000001</v>
      </c>
      <c r="M24" s="301">
        <f t="shared" si="0"/>
        <v>3.926940483333333</v>
      </c>
      <c r="N24" s="450"/>
    </row>
    <row r="25" spans="1:14" x14ac:dyDescent="0.25">
      <c r="A25" s="190" t="s">
        <v>504</v>
      </c>
      <c r="B25" s="1"/>
      <c r="C25" s="1"/>
      <c r="D25" s="1"/>
      <c r="E25" s="307">
        <f>E24*365</f>
        <v>11709.000284166666</v>
      </c>
      <c r="F25" s="307">
        <f t="shared" ref="F25:H25" si="1">F24*365</f>
        <v>49.666663249999999</v>
      </c>
      <c r="G25" s="307">
        <f t="shared" si="1"/>
        <v>1822.9999216666665</v>
      </c>
      <c r="H25" s="307">
        <f t="shared" si="1"/>
        <v>765.33334441666671</v>
      </c>
      <c r="I25" s="1"/>
      <c r="J25" s="307">
        <f>J24*365</f>
        <v>12273.166366666668</v>
      </c>
      <c r="K25" s="307">
        <f t="shared" ref="K25" si="2">K24*365</f>
        <v>80.166665499999979</v>
      </c>
      <c r="L25" s="307">
        <f t="shared" ref="L25" si="3">L24*365</f>
        <v>2125.6667425000001</v>
      </c>
      <c r="M25" s="307">
        <f t="shared" ref="M25" si="4">M24*365</f>
        <v>1433.3332764166666</v>
      </c>
      <c r="N25" s="450"/>
    </row>
    <row r="26" spans="1:14" x14ac:dyDescent="0.25">
      <c r="A26" s="450"/>
      <c r="B26" s="450"/>
      <c r="C26" s="450"/>
      <c r="D26" s="450"/>
      <c r="E26" s="450"/>
      <c r="F26" s="450"/>
      <c r="G26" s="450"/>
      <c r="H26" s="450"/>
      <c r="I26" s="450"/>
      <c r="J26" s="450"/>
      <c r="K26" s="450"/>
      <c r="L26" s="450"/>
      <c r="M26" s="450"/>
      <c r="N26" s="450"/>
    </row>
  </sheetData>
  <autoFilter ref="A5:M5" xr:uid="{00000000-0009-0000-0000-000018000000}">
    <sortState xmlns:xlrd2="http://schemas.microsoft.com/office/spreadsheetml/2017/richdata2" ref="A6:M22">
      <sortCondition ref="C5"/>
    </sortState>
  </autoFilter>
  <mergeCells count="4">
    <mergeCell ref="D2:H2"/>
    <mergeCell ref="I2:M2"/>
    <mergeCell ref="J4:M4"/>
    <mergeCell ref="E4:H4"/>
  </mergeCells>
  <pageMargins left="0.7" right="0.7" top="0.75" bottom="0.75"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2"/>
  <dimension ref="A1:AD43"/>
  <sheetViews>
    <sheetView topLeftCell="B3" zoomScaleNormal="100" workbookViewId="0">
      <selection activeCell="I32" sqref="I32"/>
    </sheetView>
  </sheetViews>
  <sheetFormatPr defaultColWidth="8.7109375" defaultRowHeight="15" x14ac:dyDescent="0.25"/>
  <cols>
    <col min="1" max="1" width="4.7109375" style="16" customWidth="1"/>
    <col min="2" max="2" width="3.85546875" customWidth="1"/>
    <col min="3" max="5" width="3.85546875" style="225" customWidth="1"/>
    <col min="6" max="6" width="13.85546875" customWidth="1"/>
    <col min="7" max="7" width="13.85546875" style="225" customWidth="1"/>
    <col min="8" max="8" width="13.85546875" customWidth="1"/>
    <col min="9" max="12" width="13.85546875" style="225" customWidth="1"/>
    <col min="13" max="13" width="14.42578125" style="225" customWidth="1"/>
    <col min="14" max="14" width="13.85546875" style="225" customWidth="1"/>
    <col min="15" max="15" width="13.85546875" customWidth="1"/>
    <col min="16" max="16" width="13.85546875" style="225" customWidth="1"/>
    <col min="17" max="19" width="13.85546875" customWidth="1"/>
    <col min="20" max="21" width="13.85546875" style="225" customWidth="1"/>
    <col min="22" max="24" width="13.85546875" customWidth="1"/>
    <col min="25" max="26" width="13.85546875" style="225" customWidth="1"/>
    <col min="27" max="27" width="2.42578125" style="225" customWidth="1"/>
    <col min="28" max="28" width="12.85546875" bestFit="1" customWidth="1"/>
    <col min="29" max="29" width="3" customWidth="1"/>
    <col min="31" max="31" width="14.7109375" bestFit="1" customWidth="1"/>
  </cols>
  <sheetData>
    <row r="1" spans="1:27" s="225" customFormat="1" x14ac:dyDescent="0.25">
      <c r="A1" s="5" t="s">
        <v>680</v>
      </c>
      <c r="B1" s="1"/>
      <c r="C1" s="1"/>
      <c r="D1" s="1"/>
      <c r="E1" s="1"/>
      <c r="F1" s="1"/>
      <c r="G1" s="1"/>
    </row>
    <row r="2" spans="1:27" x14ac:dyDescent="0.25">
      <c r="A2" s="331" t="str">
        <f>HYPERLINK("#"&amp;ADDRESS(1,1,,,"MASTER"),"M &lt;=")</f>
        <v>M &lt;=</v>
      </c>
      <c r="B2" s="2"/>
      <c r="C2" s="2"/>
      <c r="D2" s="2"/>
      <c r="E2" s="2"/>
      <c r="F2" s="2"/>
      <c r="G2" s="2"/>
      <c r="H2" s="562" t="s">
        <v>59</v>
      </c>
      <c r="I2" s="562"/>
      <c r="J2" s="495" t="s">
        <v>61</v>
      </c>
      <c r="K2" s="495"/>
      <c r="L2" s="495"/>
      <c r="M2" s="495"/>
      <c r="N2" s="495"/>
      <c r="O2" s="495"/>
      <c r="P2" s="496" t="s">
        <v>654</v>
      </c>
      <c r="Q2" s="225"/>
      <c r="R2" s="505" t="s">
        <v>625</v>
      </c>
      <c r="S2" s="506" t="s">
        <v>655</v>
      </c>
      <c r="U2"/>
      <c r="Y2"/>
      <c r="Z2"/>
      <c r="AA2"/>
    </row>
    <row r="3" spans="1:27" x14ac:dyDescent="0.25">
      <c r="A3" s="497"/>
      <c r="B3" s="7"/>
      <c r="C3" s="7"/>
      <c r="D3" s="7"/>
      <c r="E3" s="7"/>
      <c r="F3" s="474" t="s">
        <v>49</v>
      </c>
      <c r="G3" s="474" t="s">
        <v>51</v>
      </c>
      <c r="H3" s="21" t="s">
        <v>57</v>
      </c>
      <c r="I3" s="190" t="s">
        <v>55</v>
      </c>
      <c r="J3" s="21" t="s">
        <v>60</v>
      </c>
      <c r="K3" s="474" t="s">
        <v>62</v>
      </c>
      <c r="L3" s="477" t="s">
        <v>431</v>
      </c>
      <c r="M3" s="477" t="s">
        <v>430</v>
      </c>
      <c r="N3" s="477" t="s">
        <v>426</v>
      </c>
      <c r="O3" s="474" t="s">
        <v>427</v>
      </c>
      <c r="P3" s="459" t="s">
        <v>426</v>
      </c>
      <c r="Q3" s="225"/>
      <c r="R3" s="442"/>
      <c r="S3" s="416" t="s">
        <v>656</v>
      </c>
      <c r="U3"/>
      <c r="Y3"/>
      <c r="Z3"/>
      <c r="AA3"/>
    </row>
    <row r="4" spans="1:27" x14ac:dyDescent="0.25">
      <c r="A4" s="498" t="s">
        <v>46</v>
      </c>
      <c r="B4" s="2"/>
      <c r="C4" s="2"/>
      <c r="D4" s="2"/>
      <c r="E4" s="2"/>
      <c r="F4" s="2"/>
      <c r="G4" s="2"/>
      <c r="H4" s="22"/>
      <c r="I4" s="2"/>
      <c r="J4" s="22"/>
      <c r="K4" s="18"/>
      <c r="L4" s="19"/>
      <c r="M4" s="19"/>
      <c r="N4" s="7"/>
      <c r="O4" s="2"/>
      <c r="P4" s="413"/>
      <c r="Q4" s="225"/>
      <c r="R4" s="508"/>
      <c r="S4" s="509"/>
      <c r="U4"/>
      <c r="Y4"/>
      <c r="Z4"/>
      <c r="AA4"/>
    </row>
    <row r="5" spans="1:27" x14ac:dyDescent="0.25">
      <c r="A5" s="497"/>
      <c r="B5" s="7" t="s">
        <v>47</v>
      </c>
      <c r="C5" s="7"/>
      <c r="D5" s="7"/>
      <c r="E5" s="7"/>
      <c r="F5" s="8">
        <v>0.7</v>
      </c>
      <c r="G5" s="8">
        <v>1</v>
      </c>
      <c r="H5" s="12" t="s">
        <v>514</v>
      </c>
      <c r="I5" s="19">
        <v>55000</v>
      </c>
      <c r="J5" s="23">
        <f>I5*F5*G5</f>
        <v>38500</v>
      </c>
      <c r="K5" s="7">
        <v>2014</v>
      </c>
      <c r="L5" s="231">
        <f>J5*(1/D_currency_conversion!$H$7)</f>
        <v>51079.249026877478</v>
      </c>
      <c r="M5" s="20">
        <f>L5*D_currency_conversion!$H$6</f>
        <v>4982993.5727761788</v>
      </c>
      <c r="N5" s="20">
        <f>M5*D_currency_conversion!I12*D_currency_conversion!I12</f>
        <v>5798062.5885604285</v>
      </c>
      <c r="O5" s="231">
        <f>(1/D_currency_conversion!$J$6)*N5</f>
        <v>53993.821872785862</v>
      </c>
      <c r="P5" s="366"/>
      <c r="Q5" s="225"/>
      <c r="R5" s="504">
        <v>1</v>
      </c>
      <c r="S5" s="366">
        <f>N5*R5</f>
        <v>5798062.5885604285</v>
      </c>
      <c r="U5"/>
      <c r="Y5"/>
      <c r="Z5"/>
      <c r="AA5"/>
    </row>
    <row r="6" spans="1:27" x14ac:dyDescent="0.25">
      <c r="A6" s="497"/>
      <c r="B6" s="7" t="s">
        <v>48</v>
      </c>
      <c r="C6" s="7"/>
      <c r="D6" s="7"/>
      <c r="E6" s="7"/>
      <c r="F6" s="8">
        <v>0.5</v>
      </c>
      <c r="G6" s="8">
        <v>1</v>
      </c>
      <c r="H6" s="12" t="s">
        <v>514</v>
      </c>
      <c r="I6" s="19">
        <v>30000</v>
      </c>
      <c r="J6" s="23">
        <f>I6*F6*G6</f>
        <v>15000</v>
      </c>
      <c r="K6" s="7">
        <v>2014</v>
      </c>
      <c r="L6" s="231">
        <f>J6*(1/D_currency_conversion!$H$7)</f>
        <v>19901.006114367847</v>
      </c>
      <c r="M6" s="20">
        <f>L6*D_currency_conversion!$H$6</f>
        <v>1941426.0673153941</v>
      </c>
      <c r="N6" s="20">
        <f>M6*D_currency_conversion!I12*D_currency_conversion!J12</f>
        <v>2278282.0575745627</v>
      </c>
      <c r="O6" s="231">
        <f>(1/D_currency_conversion!$J$6)*N6</f>
        <v>21216.251758880604</v>
      </c>
      <c r="P6" s="366"/>
      <c r="Q6" s="225"/>
      <c r="R6" s="504">
        <f>R$5</f>
        <v>1</v>
      </c>
      <c r="S6" s="366">
        <f>N6*R6</f>
        <v>2278282.0575745627</v>
      </c>
      <c r="U6"/>
      <c r="Y6"/>
      <c r="Z6"/>
      <c r="AA6"/>
    </row>
    <row r="7" spans="1:27" x14ac:dyDescent="0.25">
      <c r="A7" s="497"/>
      <c r="B7" s="7" t="s">
        <v>54</v>
      </c>
      <c r="C7" s="7"/>
      <c r="D7" s="7"/>
      <c r="E7" s="7"/>
      <c r="F7" s="8">
        <v>1</v>
      </c>
      <c r="G7" s="8">
        <v>40</v>
      </c>
      <c r="H7" s="12" t="s">
        <v>514</v>
      </c>
      <c r="I7" s="7">
        <v>5500</v>
      </c>
      <c r="J7" s="24">
        <f>I7*G7*F7</f>
        <v>220000</v>
      </c>
      <c r="K7" s="7">
        <v>2016</v>
      </c>
      <c r="L7" s="231">
        <f>J7*(1/D_currency_conversion!$J$6)</f>
        <v>2048.7258684391295</v>
      </c>
      <c r="M7" s="20"/>
      <c r="N7" s="20">
        <f>J7</f>
        <v>220000</v>
      </c>
      <c r="O7" s="231">
        <f>L7</f>
        <v>2048.7258684391295</v>
      </c>
      <c r="P7" s="366"/>
      <c r="Q7" s="225"/>
      <c r="R7" s="504">
        <f t="shared" ref="R7:R8" si="0">R$5</f>
        <v>1</v>
      </c>
      <c r="S7" s="366">
        <f>N7*R7</f>
        <v>220000</v>
      </c>
      <c r="U7"/>
      <c r="Y7"/>
      <c r="Z7"/>
      <c r="AA7"/>
    </row>
    <row r="8" spans="1:27" x14ac:dyDescent="0.25">
      <c r="A8" s="497"/>
      <c r="B8" s="7" t="s">
        <v>56</v>
      </c>
      <c r="C8" s="7"/>
      <c r="D8" s="7"/>
      <c r="E8" s="7"/>
      <c r="F8" s="8">
        <v>1</v>
      </c>
      <c r="G8" s="8">
        <v>1</v>
      </c>
      <c r="H8" s="12" t="s">
        <v>514</v>
      </c>
      <c r="I8" s="19">
        <v>50000</v>
      </c>
      <c r="J8" s="23">
        <f>I8*F8*G8</f>
        <v>50000</v>
      </c>
      <c r="K8" s="7">
        <v>2010</v>
      </c>
      <c r="L8" s="231">
        <f>J8*(1/D_currency_conversion!$D$7)</f>
        <v>66221.222813596309</v>
      </c>
      <c r="M8" s="20">
        <f>L8*D_currency_conversion!D6</f>
        <v>4851523.0002352828</v>
      </c>
      <c r="N8" s="20">
        <f>M8*D_currency_conversion!E12*D_currency_conversion!F12*D_currency_conversion!G12*D_currency_conversion!H12*D_currency_conversion!I12*D_currency_conversion!J12</f>
        <v>8043070.2682034904</v>
      </c>
      <c r="O8" s="231">
        <f>(1/D_currency_conversion!$J$6)*N8</f>
        <v>74900.209637009713</v>
      </c>
      <c r="P8" s="366"/>
      <c r="Q8" s="225"/>
      <c r="R8" s="504">
        <f t="shared" si="0"/>
        <v>1</v>
      </c>
      <c r="S8" s="366">
        <f>N8*R8</f>
        <v>8043070.2682034904</v>
      </c>
      <c r="U8"/>
      <c r="Y8"/>
      <c r="Z8"/>
      <c r="AA8"/>
    </row>
    <row r="9" spans="1:27" x14ac:dyDescent="0.25">
      <c r="A9" s="497" t="s">
        <v>45</v>
      </c>
      <c r="B9" s="7"/>
      <c r="C9" s="7"/>
      <c r="D9" s="7"/>
      <c r="E9" s="7"/>
      <c r="F9" s="8"/>
      <c r="G9" s="8"/>
      <c r="H9" s="12"/>
      <c r="I9" s="7"/>
      <c r="J9" s="12"/>
      <c r="K9" s="7"/>
      <c r="L9" s="7"/>
      <c r="M9" s="7"/>
      <c r="N9" s="7"/>
      <c r="O9" s="7"/>
      <c r="P9" s="370">
        <f>SUM(N5:N8)</f>
        <v>16339414.914338481</v>
      </c>
      <c r="Q9" s="332"/>
      <c r="R9" s="504"/>
      <c r="S9" s="366"/>
      <c r="U9"/>
      <c r="Y9"/>
      <c r="Z9"/>
      <c r="AA9"/>
    </row>
    <row r="10" spans="1:27" x14ac:dyDescent="0.25">
      <c r="A10" s="497"/>
      <c r="B10" s="7" t="s">
        <v>589</v>
      </c>
      <c r="C10" s="7"/>
      <c r="D10" s="7"/>
      <c r="E10" s="7"/>
      <c r="F10" s="8"/>
      <c r="G10" s="8"/>
      <c r="H10" s="12"/>
      <c r="I10" s="7"/>
      <c r="J10" s="24"/>
      <c r="K10" s="7"/>
      <c r="L10" s="7"/>
      <c r="M10" s="7"/>
      <c r="N10" s="7"/>
      <c r="O10" s="7"/>
      <c r="P10" s="370"/>
      <c r="Q10" s="225"/>
      <c r="R10" s="504"/>
      <c r="S10" s="366"/>
      <c r="U10"/>
      <c r="Y10"/>
      <c r="Z10"/>
      <c r="AA10"/>
    </row>
    <row r="11" spans="1:27" x14ac:dyDescent="0.25">
      <c r="A11" s="497"/>
      <c r="B11" s="7"/>
      <c r="C11" s="7" t="s">
        <v>50</v>
      </c>
      <c r="D11" s="7"/>
      <c r="E11" s="7"/>
      <c r="F11" s="8">
        <v>1</v>
      </c>
      <c r="G11" s="8">
        <v>2</v>
      </c>
      <c r="H11" s="25" t="s">
        <v>58</v>
      </c>
      <c r="I11" s="20">
        <v>35000</v>
      </c>
      <c r="J11" s="24">
        <f>I11*F11*G11*12</f>
        <v>840000</v>
      </c>
      <c r="K11" s="7">
        <v>2016</v>
      </c>
      <c r="L11" s="231">
        <f>J11*(1/D_currency_conversion!$J$6)</f>
        <v>7822.4078613130396</v>
      </c>
      <c r="M11" s="20"/>
      <c r="N11" s="7"/>
      <c r="O11" s="231">
        <f>L11</f>
        <v>7822.4078613130396</v>
      </c>
      <c r="P11" s="366"/>
      <c r="Q11" s="225"/>
      <c r="R11" s="504">
        <v>1</v>
      </c>
      <c r="S11" s="366">
        <f>J11*R11</f>
        <v>840000</v>
      </c>
      <c r="U11"/>
      <c r="Y11"/>
      <c r="Z11"/>
      <c r="AA11"/>
    </row>
    <row r="12" spans="1:27" x14ac:dyDescent="0.25">
      <c r="A12" s="497"/>
      <c r="B12" s="7"/>
      <c r="C12" s="7" t="s">
        <v>52</v>
      </c>
      <c r="D12" s="7"/>
      <c r="E12" s="7"/>
      <c r="F12" s="8">
        <v>1</v>
      </c>
      <c r="G12" s="8">
        <v>2</v>
      </c>
      <c r="H12" s="25" t="s">
        <v>58</v>
      </c>
      <c r="I12" s="20">
        <v>35000</v>
      </c>
      <c r="J12" s="24">
        <f>I12*F12*G12*12</f>
        <v>840000</v>
      </c>
      <c r="K12" s="7">
        <v>2016</v>
      </c>
      <c r="L12" s="231">
        <f>J12*(1/D_currency_conversion!$J$6)</f>
        <v>7822.4078613130396</v>
      </c>
      <c r="M12" s="20"/>
      <c r="N12" s="7"/>
      <c r="O12" s="231">
        <f t="shared" ref="O12:O13" si="1">L12</f>
        <v>7822.4078613130396</v>
      </c>
      <c r="P12" s="366"/>
      <c r="Q12" s="225"/>
      <c r="R12" s="504">
        <f>R$11</f>
        <v>1</v>
      </c>
      <c r="S12" s="366">
        <f>J12*R12</f>
        <v>840000</v>
      </c>
      <c r="U12"/>
      <c r="Y12"/>
      <c r="Z12"/>
      <c r="AA12"/>
    </row>
    <row r="13" spans="1:27" x14ac:dyDescent="0.25">
      <c r="A13" s="497"/>
      <c r="B13" s="7"/>
      <c r="C13" s="7" t="s">
        <v>53</v>
      </c>
      <c r="D13" s="7"/>
      <c r="E13" s="7"/>
      <c r="F13" s="8">
        <v>0.5</v>
      </c>
      <c r="G13" s="8">
        <v>1</v>
      </c>
      <c r="H13" s="25" t="s">
        <v>58</v>
      </c>
      <c r="I13" s="20">
        <v>70000</v>
      </c>
      <c r="J13" s="24">
        <f>I13*F13*G13*12</f>
        <v>420000</v>
      </c>
      <c r="K13" s="7">
        <v>2016</v>
      </c>
      <c r="L13" s="231">
        <f>J13*(1/D_currency_conversion!$J$6)</f>
        <v>3911.2039306565198</v>
      </c>
      <c r="M13" s="7"/>
      <c r="N13" s="7"/>
      <c r="O13" s="231">
        <f t="shared" si="1"/>
        <v>3911.2039306565198</v>
      </c>
      <c r="P13" s="366"/>
      <c r="Q13" s="225"/>
      <c r="R13" s="504">
        <f t="shared" ref="R13:R15" si="2">R$11</f>
        <v>1</v>
      </c>
      <c r="S13" s="366">
        <f>J13*R13</f>
        <v>420000</v>
      </c>
      <c r="U13"/>
      <c r="Y13"/>
      <c r="Z13"/>
      <c r="AA13"/>
    </row>
    <row r="14" spans="1:27" x14ac:dyDescent="0.25">
      <c r="A14" s="497"/>
      <c r="B14" s="7" t="s">
        <v>47</v>
      </c>
      <c r="C14" s="7"/>
      <c r="D14" s="7"/>
      <c r="E14" s="7"/>
      <c r="F14" s="8">
        <v>0.3</v>
      </c>
      <c r="G14" s="8">
        <v>1</v>
      </c>
      <c r="H14" s="12" t="s">
        <v>514</v>
      </c>
      <c r="I14" s="19">
        <v>55000</v>
      </c>
      <c r="J14" s="23">
        <f>(I14*F14*G14)/3</f>
        <v>5500</v>
      </c>
      <c r="K14" s="7">
        <v>2014</v>
      </c>
      <c r="L14" s="231">
        <f>J14*(1/D_currency_conversion!$H$7)</f>
        <v>7297.0355752682108</v>
      </c>
      <c r="M14" s="20">
        <f>L14*D_currency_conversion!$H$6</f>
        <v>711856.22468231118</v>
      </c>
      <c r="N14" s="20">
        <f>M14*D_currency_conversion!I12*D_currency_conversion!J12</f>
        <v>835370.08777733974</v>
      </c>
      <c r="O14" s="231">
        <f>(1/D_currency_conversion!$J$6)*N14</f>
        <v>7779.2923115895546</v>
      </c>
      <c r="P14" s="366"/>
      <c r="Q14" s="225"/>
      <c r="R14" s="504">
        <f t="shared" si="2"/>
        <v>1</v>
      </c>
      <c r="S14" s="366">
        <f>N14*R14</f>
        <v>835370.08777733974</v>
      </c>
      <c r="U14"/>
      <c r="Y14"/>
      <c r="Z14"/>
      <c r="AA14"/>
    </row>
    <row r="15" spans="1:27" x14ac:dyDescent="0.25">
      <c r="A15" s="497"/>
      <c r="B15" s="7" t="s">
        <v>48</v>
      </c>
      <c r="C15" s="7"/>
      <c r="D15" s="7"/>
      <c r="E15" s="7"/>
      <c r="F15" s="8">
        <v>0.5</v>
      </c>
      <c r="G15" s="8">
        <v>1</v>
      </c>
      <c r="H15" s="25" t="s">
        <v>58</v>
      </c>
      <c r="I15" s="20">
        <v>30000</v>
      </c>
      <c r="J15" s="24">
        <f>I15*F15*G15*12</f>
        <v>180000</v>
      </c>
      <c r="K15" s="7">
        <v>2014</v>
      </c>
      <c r="L15" s="231">
        <f>J15*(1/D_currency_conversion!$H$6)</f>
        <v>1845.1287746123942</v>
      </c>
      <c r="M15" s="20">
        <f>L15*D_currency_conversion!$H$6</f>
        <v>180000</v>
      </c>
      <c r="N15" s="20">
        <f>M15*D_currency_conversion!I12*D_currency_conversion!J12</f>
        <v>211231.72149969908</v>
      </c>
      <c r="O15" s="231">
        <f>(1/D_currency_conversion!$J$6)*N15</f>
        <v>1967.072236688015</v>
      </c>
      <c r="P15" s="366"/>
      <c r="Q15" s="225"/>
      <c r="R15" s="504">
        <f t="shared" si="2"/>
        <v>1</v>
      </c>
      <c r="S15" s="366">
        <f>N15*R15</f>
        <v>211231.72149969908</v>
      </c>
      <c r="U15"/>
      <c r="Y15"/>
      <c r="Z15"/>
      <c r="AA15"/>
    </row>
    <row r="16" spans="1:27" x14ac:dyDescent="0.25">
      <c r="A16" s="497"/>
      <c r="B16" s="7"/>
      <c r="C16" s="7"/>
      <c r="D16" s="7"/>
      <c r="E16" s="7"/>
      <c r="F16" s="8"/>
      <c r="G16" s="8"/>
      <c r="H16" s="12"/>
      <c r="I16" s="7"/>
      <c r="J16" s="12"/>
      <c r="K16" s="7"/>
      <c r="L16" s="7"/>
      <c r="M16" s="7"/>
      <c r="N16" s="7"/>
      <c r="O16" s="7"/>
      <c r="P16" s="370">
        <f>SUM(S11:S15)</f>
        <v>3146601.809277039</v>
      </c>
      <c r="Q16" s="438"/>
      <c r="R16" s="504"/>
      <c r="S16" s="366"/>
      <c r="U16"/>
      <c r="Y16"/>
      <c r="Z16"/>
      <c r="AA16"/>
    </row>
    <row r="17" spans="1:30" x14ac:dyDescent="0.25">
      <c r="A17" s="497"/>
      <c r="B17" s="7" t="s">
        <v>63</v>
      </c>
      <c r="C17" s="7"/>
      <c r="D17" s="7"/>
      <c r="E17" s="7"/>
      <c r="F17" s="8">
        <v>0.75</v>
      </c>
      <c r="G17" s="8"/>
      <c r="H17" s="12"/>
      <c r="I17" s="19">
        <v>110000</v>
      </c>
      <c r="J17" s="23">
        <f>I17*F17</f>
        <v>82500</v>
      </c>
      <c r="K17" s="7">
        <v>2014</v>
      </c>
      <c r="L17" s="231">
        <f>J17*(1/D_currency_conversion!$H$7)</f>
        <v>109455.53362902316</v>
      </c>
      <c r="M17" s="20">
        <f>L17*D_currency_conversion!$H$6</f>
        <v>10677843.370234668</v>
      </c>
      <c r="N17" s="20">
        <f>M17*D_currency_conversion!I12*D_currency_conversion!J12</f>
        <v>12530551.316660097</v>
      </c>
      <c r="O17" s="231">
        <f>(1/D_currency_conversion!$J$6)*N17</f>
        <v>116689.38467384333</v>
      </c>
      <c r="P17" s="366"/>
      <c r="Q17" s="225"/>
      <c r="R17" s="510">
        <v>1</v>
      </c>
      <c r="S17" s="511">
        <f>M17*R17</f>
        <v>10677843.370234668</v>
      </c>
      <c r="U17"/>
      <c r="Y17"/>
      <c r="Z17"/>
      <c r="AA17"/>
    </row>
    <row r="18" spans="1:30" x14ac:dyDescent="0.25">
      <c r="A18" s="497"/>
      <c r="B18" s="7"/>
      <c r="C18" s="7"/>
      <c r="D18" s="7"/>
      <c r="E18" s="7"/>
      <c r="F18" s="8"/>
      <c r="G18" s="7"/>
      <c r="H18" s="7"/>
      <c r="I18" s="7"/>
      <c r="J18" s="7"/>
      <c r="K18" s="7"/>
      <c r="L18" s="7"/>
      <c r="M18" s="7"/>
      <c r="N18" s="7"/>
      <c r="O18" s="7"/>
      <c r="P18" s="370">
        <f>O17</f>
        <v>116689.38467384333</v>
      </c>
      <c r="Q18" s="332"/>
      <c r="R18" s="563" t="s">
        <v>658</v>
      </c>
      <c r="S18" s="563"/>
      <c r="U18"/>
      <c r="Y18"/>
      <c r="Z18"/>
      <c r="AA18"/>
    </row>
    <row r="19" spans="1:30" ht="15" customHeight="1" x14ac:dyDescent="0.25">
      <c r="A19" s="497"/>
      <c r="B19" s="7"/>
      <c r="C19" s="7"/>
      <c r="D19" s="7"/>
      <c r="E19" s="7"/>
      <c r="F19" s="7"/>
      <c r="G19" s="7"/>
      <c r="H19" s="7"/>
      <c r="I19" s="7"/>
      <c r="J19" s="7"/>
      <c r="K19" s="7"/>
      <c r="L19" s="7"/>
      <c r="M19" s="7"/>
      <c r="N19" s="7" t="s">
        <v>429</v>
      </c>
      <c r="O19" s="499">
        <f>SUM(O5:O15)</f>
        <v>181461.39333867547</v>
      </c>
      <c r="P19" s="500"/>
      <c r="Q19" s="225"/>
      <c r="R19" s="563"/>
      <c r="S19" s="563"/>
      <c r="T19" s="507"/>
      <c r="U19" s="507"/>
      <c r="W19" s="218"/>
      <c r="Y19"/>
      <c r="Z19"/>
      <c r="AA19"/>
    </row>
    <row r="20" spans="1:30" x14ac:dyDescent="0.25">
      <c r="A20" s="501"/>
      <c r="B20" s="198"/>
      <c r="C20" s="198"/>
      <c r="D20" s="198"/>
      <c r="E20" s="198"/>
      <c r="F20" s="198"/>
      <c r="G20" s="198"/>
      <c r="H20" s="198"/>
      <c r="I20" s="198"/>
      <c r="J20" s="198"/>
      <c r="K20" s="198"/>
      <c r="L20" s="198"/>
      <c r="M20" s="198"/>
      <c r="N20" s="198" t="s">
        <v>428</v>
      </c>
      <c r="O20" s="502">
        <f>SUM(O5:O17)</f>
        <v>298150.77801251877</v>
      </c>
      <c r="P20" s="503"/>
      <c r="Q20" s="225"/>
      <c r="R20" s="563"/>
      <c r="S20" s="563"/>
      <c r="T20" s="426"/>
      <c r="U20" s="426"/>
      <c r="Y20"/>
      <c r="Z20"/>
      <c r="AA20"/>
    </row>
    <row r="21" spans="1:30" x14ac:dyDescent="0.25">
      <c r="A21" s="201" t="s">
        <v>657</v>
      </c>
      <c r="B21" s="1"/>
      <c r="C21" s="1"/>
      <c r="D21" s="1"/>
      <c r="E21" s="1"/>
      <c r="F21" s="1"/>
      <c r="G21" s="1"/>
      <c r="H21" s="1"/>
      <c r="I21" s="1"/>
      <c r="J21" s="1"/>
      <c r="K21" s="1"/>
      <c r="L21" s="1"/>
      <c r="M21" s="1"/>
      <c r="N21" s="1"/>
      <c r="O21" s="1"/>
      <c r="P21" s="1"/>
      <c r="R21" s="563"/>
      <c r="S21" s="563"/>
      <c r="T21" s="426"/>
      <c r="U21" s="426"/>
      <c r="Y21"/>
      <c r="Z21"/>
      <c r="AA21"/>
    </row>
    <row r="22" spans="1:30" x14ac:dyDescent="0.25">
      <c r="T22" s="426"/>
      <c r="U22" s="426"/>
    </row>
    <row r="23" spans="1:30" x14ac:dyDescent="0.25">
      <c r="A23" s="480" t="s">
        <v>590</v>
      </c>
      <c r="B23" s="450"/>
      <c r="C23" s="450"/>
      <c r="D23" s="450"/>
      <c r="E23" s="450"/>
      <c r="F23" s="450"/>
      <c r="G23" s="450"/>
      <c r="H23" s="450"/>
      <c r="I23" s="450"/>
      <c r="J23" s="450"/>
      <c r="K23" s="450"/>
      <c r="L23" s="450"/>
      <c r="M23" s="450"/>
      <c r="N23" s="450"/>
      <c r="O23" s="450"/>
      <c r="P23" s="450"/>
      <c r="Q23" s="450"/>
      <c r="R23" s="450"/>
      <c r="S23" s="450"/>
      <c r="T23" s="450"/>
      <c r="U23" s="450"/>
      <c r="V23" s="450"/>
      <c r="W23" s="450"/>
      <c r="X23" s="450"/>
      <c r="Y23" s="450"/>
      <c r="Z23" s="450"/>
      <c r="AA23" s="450"/>
      <c r="AB23" s="450"/>
      <c r="AC23" s="450"/>
    </row>
    <row r="24" spans="1:30" s="225" customFormat="1" x14ac:dyDescent="0.25">
      <c r="A24" s="414" t="e">
        <f>Master!#REF!</f>
        <v>#REF!</v>
      </c>
      <c r="B24" s="198"/>
      <c r="C24" s="198"/>
      <c r="D24" s="198"/>
      <c r="E24" s="198"/>
      <c r="F24" s="192" t="s">
        <v>594</v>
      </c>
      <c r="G24" s="192" t="s">
        <v>595</v>
      </c>
      <c r="H24" s="192" t="s">
        <v>592</v>
      </c>
      <c r="I24" s="192" t="s">
        <v>596</v>
      </c>
      <c r="J24" s="192" t="s">
        <v>597</v>
      </c>
      <c r="K24" s="192" t="s">
        <v>598</v>
      </c>
      <c r="L24" s="192" t="s">
        <v>599</v>
      </c>
      <c r="M24" s="192" t="s">
        <v>600</v>
      </c>
      <c r="N24" s="412" t="s">
        <v>601</v>
      </c>
      <c r="O24" s="412" t="s">
        <v>602</v>
      </c>
      <c r="P24" s="412" t="s">
        <v>621</v>
      </c>
      <c r="Q24" s="412" t="s">
        <v>622</v>
      </c>
      <c r="R24" s="409">
        <v>0</v>
      </c>
      <c r="S24" s="409">
        <v>1</v>
      </c>
      <c r="T24" s="477">
        <v>2</v>
      </c>
      <c r="U24" s="409">
        <v>3</v>
      </c>
      <c r="V24" s="409">
        <v>4</v>
      </c>
      <c r="W24" s="409">
        <v>5</v>
      </c>
      <c r="X24" s="409">
        <v>6</v>
      </c>
      <c r="Y24" s="409">
        <v>7</v>
      </c>
      <c r="Z24" s="409">
        <v>8</v>
      </c>
      <c r="AA24" s="409">
        <v>9</v>
      </c>
      <c r="AB24" s="409">
        <v>10</v>
      </c>
      <c r="AC24" s="450"/>
    </row>
    <row r="25" spans="1:30" x14ac:dyDescent="0.25">
      <c r="A25" s="6" t="s">
        <v>46</v>
      </c>
      <c r="B25" s="7"/>
      <c r="C25" s="7"/>
      <c r="D25" s="7"/>
      <c r="E25" s="7"/>
      <c r="F25" s="7"/>
      <c r="G25" s="7"/>
      <c r="H25" s="7"/>
      <c r="I25" s="7"/>
      <c r="J25" s="7"/>
      <c r="K25" s="7"/>
      <c r="L25" s="7"/>
      <c r="M25" s="7"/>
      <c r="N25" s="7"/>
      <c r="O25" s="370"/>
      <c r="P25" s="370"/>
      <c r="Q25" s="370"/>
      <c r="R25" s="1"/>
      <c r="S25" s="1"/>
      <c r="T25" s="1"/>
      <c r="U25" s="1"/>
      <c r="V25" s="1"/>
      <c r="W25" s="1"/>
      <c r="X25" s="1"/>
      <c r="Y25" s="1"/>
      <c r="Z25" s="1"/>
      <c r="AA25" s="1"/>
      <c r="AB25" s="1"/>
      <c r="AC25" s="450"/>
      <c r="AD25" s="225"/>
    </row>
    <row r="26" spans="1:30" x14ac:dyDescent="0.25">
      <c r="A26" s="6"/>
      <c r="B26" s="7" t="s">
        <v>47</v>
      </c>
      <c r="C26" s="7"/>
      <c r="D26" s="7"/>
      <c r="E26" s="7"/>
      <c r="F26" s="417">
        <f t="shared" ref="F26:G26" si="3">$R26</f>
        <v>5798062.5885604285</v>
      </c>
      <c r="G26" s="417">
        <f t="shared" si="3"/>
        <v>5798062.5885604285</v>
      </c>
      <c r="H26" s="417">
        <f>$R26</f>
        <v>5798062.5885604285</v>
      </c>
      <c r="I26" s="417">
        <f t="shared" ref="I26:Q26" si="4">$R26</f>
        <v>5798062.5885604285</v>
      </c>
      <c r="J26" s="417">
        <f t="shared" si="4"/>
        <v>5798062.5885604285</v>
      </c>
      <c r="K26" s="417">
        <f t="shared" si="4"/>
        <v>5798062.5885604285</v>
      </c>
      <c r="L26" s="417">
        <f t="shared" si="4"/>
        <v>5798062.5885604285</v>
      </c>
      <c r="M26" s="417">
        <f t="shared" si="4"/>
        <v>5798062.5885604285</v>
      </c>
      <c r="N26" s="417">
        <f t="shared" si="4"/>
        <v>5798062.5885604285</v>
      </c>
      <c r="O26" s="415">
        <f t="shared" si="4"/>
        <v>5798062.5885604285</v>
      </c>
      <c r="P26" s="415">
        <f t="shared" si="4"/>
        <v>5798062.5885604285</v>
      </c>
      <c r="Q26" s="415">
        <f t="shared" si="4"/>
        <v>5798062.5885604285</v>
      </c>
      <c r="R26" s="411">
        <f>S5</f>
        <v>5798062.5885604285</v>
      </c>
      <c r="S26" s="411">
        <v>0</v>
      </c>
      <c r="T26" s="411">
        <v>0</v>
      </c>
      <c r="U26" s="411">
        <v>0</v>
      </c>
      <c r="V26" s="411">
        <v>0</v>
      </c>
      <c r="W26" s="411">
        <v>0</v>
      </c>
      <c r="X26" s="411">
        <v>0</v>
      </c>
      <c r="Y26" s="411">
        <v>0</v>
      </c>
      <c r="Z26" s="411">
        <v>0</v>
      </c>
      <c r="AA26" s="411">
        <v>0</v>
      </c>
      <c r="AB26" s="411">
        <v>0</v>
      </c>
      <c r="AC26" s="450"/>
      <c r="AD26" s="225"/>
    </row>
    <row r="27" spans="1:30" x14ac:dyDescent="0.25">
      <c r="A27" s="6"/>
      <c r="B27" s="7" t="s">
        <v>48</v>
      </c>
      <c r="C27" s="7"/>
      <c r="D27" s="7"/>
      <c r="E27" s="7"/>
      <c r="F27" s="417">
        <f t="shared" ref="F27:Q29" si="5">$R27</f>
        <v>2278282.0575745627</v>
      </c>
      <c r="G27" s="417">
        <f t="shared" si="5"/>
        <v>2278282.0575745627</v>
      </c>
      <c r="H27" s="417">
        <f t="shared" si="5"/>
        <v>2278282.0575745627</v>
      </c>
      <c r="I27" s="417">
        <f t="shared" si="5"/>
        <v>2278282.0575745627</v>
      </c>
      <c r="J27" s="417">
        <f t="shared" si="5"/>
        <v>2278282.0575745627</v>
      </c>
      <c r="K27" s="417">
        <f t="shared" si="5"/>
        <v>2278282.0575745627</v>
      </c>
      <c r="L27" s="417">
        <f t="shared" si="5"/>
        <v>2278282.0575745627</v>
      </c>
      <c r="M27" s="417">
        <f t="shared" si="5"/>
        <v>2278282.0575745627</v>
      </c>
      <c r="N27" s="417">
        <f t="shared" si="5"/>
        <v>2278282.0575745627</v>
      </c>
      <c r="O27" s="415">
        <f t="shared" si="5"/>
        <v>2278282.0575745627</v>
      </c>
      <c r="P27" s="415">
        <f t="shared" si="5"/>
        <v>2278282.0575745627</v>
      </c>
      <c r="Q27" s="415">
        <f t="shared" si="5"/>
        <v>2278282.0575745627</v>
      </c>
      <c r="R27" s="411">
        <f>S6</f>
        <v>2278282.0575745627</v>
      </c>
      <c r="S27" s="411">
        <v>0</v>
      </c>
      <c r="T27" s="411">
        <v>0</v>
      </c>
      <c r="U27" s="411">
        <v>0</v>
      </c>
      <c r="V27" s="411">
        <v>0</v>
      </c>
      <c r="W27" s="411">
        <v>0</v>
      </c>
      <c r="X27" s="411">
        <v>0</v>
      </c>
      <c r="Y27" s="411">
        <v>0</v>
      </c>
      <c r="Z27" s="411">
        <v>0</v>
      </c>
      <c r="AA27" s="411">
        <v>0</v>
      </c>
      <c r="AB27" s="411">
        <v>0</v>
      </c>
      <c r="AC27" s="450"/>
      <c r="AD27" s="225"/>
    </row>
    <row r="28" spans="1:30" x14ac:dyDescent="0.25">
      <c r="A28" s="6"/>
      <c r="B28" s="7" t="s">
        <v>54</v>
      </c>
      <c r="C28" s="7"/>
      <c r="D28" s="7"/>
      <c r="E28" s="7"/>
      <c r="F28" s="417">
        <f t="shared" si="5"/>
        <v>220000</v>
      </c>
      <c r="G28" s="417">
        <f t="shared" si="5"/>
        <v>220000</v>
      </c>
      <c r="H28" s="417">
        <f t="shared" si="5"/>
        <v>220000</v>
      </c>
      <c r="I28" s="417">
        <f t="shared" si="5"/>
        <v>220000</v>
      </c>
      <c r="J28" s="417">
        <f t="shared" si="5"/>
        <v>220000</v>
      </c>
      <c r="K28" s="417">
        <f t="shared" si="5"/>
        <v>220000</v>
      </c>
      <c r="L28" s="417">
        <f t="shared" si="5"/>
        <v>220000</v>
      </c>
      <c r="M28" s="417">
        <f t="shared" si="5"/>
        <v>220000</v>
      </c>
      <c r="N28" s="417">
        <f t="shared" si="5"/>
        <v>220000</v>
      </c>
      <c r="O28" s="415">
        <f t="shared" si="5"/>
        <v>220000</v>
      </c>
      <c r="P28" s="415">
        <f t="shared" si="5"/>
        <v>220000</v>
      </c>
      <c r="Q28" s="415">
        <f t="shared" si="5"/>
        <v>220000</v>
      </c>
      <c r="R28" s="411">
        <f>S7</f>
        <v>220000</v>
      </c>
      <c r="S28" s="411">
        <v>0</v>
      </c>
      <c r="T28" s="411">
        <v>0</v>
      </c>
      <c r="U28" s="411">
        <v>0</v>
      </c>
      <c r="V28" s="411">
        <v>0</v>
      </c>
      <c r="W28" s="411">
        <v>0</v>
      </c>
      <c r="X28" s="411">
        <v>0</v>
      </c>
      <c r="Y28" s="411">
        <v>0</v>
      </c>
      <c r="Z28" s="411">
        <v>0</v>
      </c>
      <c r="AA28" s="411">
        <v>0</v>
      </c>
      <c r="AB28" s="411">
        <v>0</v>
      </c>
      <c r="AC28" s="450"/>
      <c r="AD28" s="225"/>
    </row>
    <row r="29" spans="1:30" x14ac:dyDescent="0.25">
      <c r="A29" s="6"/>
      <c r="B29" s="7" t="s">
        <v>56</v>
      </c>
      <c r="C29" s="7"/>
      <c r="D29" s="7"/>
      <c r="E29" s="7"/>
      <c r="F29" s="417">
        <f t="shared" si="5"/>
        <v>8043070.2682034904</v>
      </c>
      <c r="G29" s="417">
        <f t="shared" si="5"/>
        <v>8043070.2682034904</v>
      </c>
      <c r="H29" s="417">
        <f t="shared" si="5"/>
        <v>8043070.2682034904</v>
      </c>
      <c r="I29" s="417">
        <f t="shared" si="5"/>
        <v>8043070.2682034904</v>
      </c>
      <c r="J29" s="417">
        <f t="shared" si="5"/>
        <v>8043070.2682034904</v>
      </c>
      <c r="K29" s="417">
        <f t="shared" si="5"/>
        <v>8043070.2682034904</v>
      </c>
      <c r="L29" s="417">
        <f t="shared" si="5"/>
        <v>8043070.2682034904</v>
      </c>
      <c r="M29" s="417">
        <f t="shared" si="5"/>
        <v>8043070.2682034904</v>
      </c>
      <c r="N29" s="417">
        <f t="shared" si="5"/>
        <v>8043070.2682034904</v>
      </c>
      <c r="O29" s="415">
        <f t="shared" si="5"/>
        <v>8043070.2682034904</v>
      </c>
      <c r="P29" s="415">
        <f t="shared" si="5"/>
        <v>8043070.2682034904</v>
      </c>
      <c r="Q29" s="415">
        <f t="shared" si="5"/>
        <v>8043070.2682034904</v>
      </c>
      <c r="R29" s="411">
        <f>S8</f>
        <v>8043070.2682034904</v>
      </c>
      <c r="S29" s="411">
        <v>0</v>
      </c>
      <c r="T29" s="411">
        <v>0</v>
      </c>
      <c r="U29" s="411">
        <v>0</v>
      </c>
      <c r="V29" s="411">
        <v>0</v>
      </c>
      <c r="W29" s="411">
        <v>0</v>
      </c>
      <c r="X29" s="411">
        <v>0</v>
      </c>
      <c r="Y29" s="411">
        <v>0</v>
      </c>
      <c r="Z29" s="411">
        <v>0</v>
      </c>
      <c r="AA29" s="411">
        <v>0</v>
      </c>
      <c r="AB29" s="411">
        <v>0</v>
      </c>
      <c r="AC29" s="450"/>
      <c r="AD29" s="225"/>
    </row>
    <row r="30" spans="1:30" s="225" customFormat="1" x14ac:dyDescent="0.25">
      <c r="A30" s="436" t="s">
        <v>612</v>
      </c>
      <c r="B30" s="7"/>
      <c r="C30" s="7"/>
      <c r="D30" s="7"/>
      <c r="E30" s="7"/>
      <c r="G30" s="417"/>
      <c r="H30" s="417"/>
      <c r="I30" s="417"/>
      <c r="J30" s="417"/>
      <c r="K30" s="417"/>
      <c r="L30" s="417"/>
      <c r="M30" s="417"/>
      <c r="N30" s="417"/>
      <c r="O30" s="415"/>
      <c r="P30" s="415"/>
      <c r="Q30" s="415"/>
      <c r="R30" s="411"/>
      <c r="S30" s="411"/>
      <c r="T30" s="411"/>
      <c r="U30" s="411"/>
      <c r="V30" s="411"/>
      <c r="W30" s="411"/>
      <c r="X30" s="411"/>
      <c r="Y30" s="411"/>
      <c r="Z30" s="411"/>
      <c r="AA30" s="411"/>
      <c r="AB30" s="411"/>
      <c r="AC30" s="450"/>
    </row>
    <row r="31" spans="1:30" s="225" customFormat="1" x14ac:dyDescent="0.25">
      <c r="A31" s="6"/>
      <c r="B31" s="7"/>
      <c r="C31" s="7"/>
      <c r="D31" s="7"/>
      <c r="E31" s="7"/>
      <c r="F31" s="417">
        <f>D_invoiced_cost!$C$31*10^6*D_currency_conversion!$I$12*D_currency_conversion!$J$12*C_depreciation_yearly!$M$27+SUM(F26:F29)</f>
        <v>21448431.861074675</v>
      </c>
      <c r="G31" s="417">
        <f>D_invoiced_cost!$C$31*10^6*D_currency_conversion!$I$12*D_currency_conversion!$J$12*C_depreciation_yearly!$M$27+SUM(G26:G29)</f>
        <v>21448431.861074675</v>
      </c>
      <c r="H31" s="417">
        <f>D_invoiced_cost!$C$31*10^6*D_currency_conversion!$I$12*D_currency_conversion!$J$12*C_depreciation_yearly!$M$27+SUM(H26:H29)</f>
        <v>21448431.861074675</v>
      </c>
      <c r="I31" s="417">
        <f>D_invoiced_cost!$C$31*10^6*D_currency_conversion!$I$12*D_currency_conversion!$J$12*C_depreciation_yearly!$M$27+SUM(I26:I29)</f>
        <v>21448431.861074675</v>
      </c>
      <c r="J31" s="417">
        <f>D_invoiced_cost!$C$31*10^6*D_currency_conversion!$I$12*D_currency_conversion!$J$12*C_depreciation_yearly!$M$27+SUM(J26:J29)</f>
        <v>21448431.861074675</v>
      </c>
      <c r="K31" s="417">
        <f>D_invoiced_cost!$C$31*10^6*D_currency_conversion!$I$12*D_currency_conversion!$J$12*C_depreciation_yearly!$M$27+SUM(K26:K29)</f>
        <v>21448431.861074675</v>
      </c>
      <c r="L31" s="417">
        <f>D_invoiced_cost!$C$31*10^6*D_currency_conversion!$I$12*D_currency_conversion!$J$12*C_depreciation_yearly!$M$27+SUM(L26:L29)</f>
        <v>21448431.861074675</v>
      </c>
      <c r="M31" s="417">
        <f>D_invoiced_cost!$C$31*10^6*D_currency_conversion!$I$12*D_currency_conversion!$J$12*C_depreciation_yearly!$M$27+SUM(M26:M29)</f>
        <v>21448431.861074675</v>
      </c>
      <c r="N31" s="417">
        <f>D_invoiced_cost!$C$31*10^6*D_currency_conversion!$I$12*D_currency_conversion!$J$12*C_depreciation_yearly!$M$27+SUM(N26:N29)</f>
        <v>21448431.861074675</v>
      </c>
      <c r="O31" s="415">
        <f>D_invoiced_cost!$C$31*10^6*D_currency_conversion!$I$12*D_currency_conversion!$J$12*C_depreciation_yearly!$M$27+SUM(O26:O29)</f>
        <v>21448431.861074675</v>
      </c>
      <c r="P31" s="415">
        <f>D_invoiced_cost!$C$31*10^6*D_currency_conversion!$I$12*D_currency_conversion!$J$12*C_depreciation_yearly!$M$27+SUM(P26:P29)</f>
        <v>21448431.861074675</v>
      </c>
      <c r="Q31" s="415">
        <f>D_invoiced_cost!$C$31*10^6*D_currency_conversion!$I$12*D_currency_conversion!$J$12*C_depreciation_yearly!$M$27+SUM(Q26:Q29)</f>
        <v>21448431.861074675</v>
      </c>
      <c r="R31" s="411"/>
      <c r="S31" s="411"/>
      <c r="T31" s="411"/>
      <c r="U31" s="411"/>
      <c r="V31" s="411"/>
      <c r="W31" s="411"/>
      <c r="X31" s="411"/>
      <c r="Y31" s="411"/>
      <c r="Z31" s="411"/>
      <c r="AA31" s="411"/>
      <c r="AB31" s="411"/>
      <c r="AC31" s="450"/>
    </row>
    <row r="32" spans="1:30" x14ac:dyDescent="0.25">
      <c r="A32" s="6" t="s">
        <v>45</v>
      </c>
      <c r="B32" s="7"/>
      <c r="C32" s="7"/>
      <c r="D32" s="7"/>
      <c r="E32" s="7"/>
      <c r="F32" s="7"/>
      <c r="G32" s="7"/>
      <c r="H32" s="417"/>
      <c r="I32" s="417"/>
      <c r="J32" s="417"/>
      <c r="K32" s="417"/>
      <c r="L32" s="417"/>
      <c r="M32" s="417"/>
      <c r="N32" s="417"/>
      <c r="O32" s="415"/>
      <c r="P32" s="415"/>
      <c r="Q32" s="415"/>
      <c r="R32" s="411"/>
      <c r="S32" s="411"/>
      <c r="T32" s="411"/>
      <c r="U32" s="411"/>
      <c r="V32" s="411"/>
      <c r="W32" s="411"/>
      <c r="X32" s="411"/>
      <c r="Y32" s="411"/>
      <c r="Z32" s="411"/>
      <c r="AA32" s="411"/>
      <c r="AB32" s="411"/>
      <c r="AC32" s="450"/>
      <c r="AD32" s="225"/>
    </row>
    <row r="33" spans="1:30" x14ac:dyDescent="0.25">
      <c r="A33" s="6"/>
      <c r="B33" s="7" t="s">
        <v>589</v>
      </c>
      <c r="C33" s="7"/>
      <c r="D33" s="7"/>
      <c r="E33" s="7"/>
      <c r="F33" s="7"/>
      <c r="G33" s="7"/>
      <c r="H33" s="417"/>
      <c r="I33" s="417"/>
      <c r="J33" s="417"/>
      <c r="K33" s="417"/>
      <c r="L33" s="417"/>
      <c r="M33" s="417"/>
      <c r="N33" s="417"/>
      <c r="O33" s="415"/>
      <c r="P33" s="415"/>
      <c r="Q33" s="415"/>
      <c r="R33" s="411"/>
      <c r="S33" s="411"/>
      <c r="T33" s="411"/>
      <c r="U33" s="411"/>
      <c r="V33" s="411"/>
      <c r="W33" s="411"/>
      <c r="X33" s="411"/>
      <c r="Y33" s="411"/>
      <c r="Z33" s="411"/>
      <c r="AA33" s="411"/>
      <c r="AB33" s="411"/>
      <c r="AC33" s="450"/>
      <c r="AD33" s="225"/>
    </row>
    <row r="34" spans="1:30" x14ac:dyDescent="0.25">
      <c r="A34" s="6"/>
      <c r="B34" s="7"/>
      <c r="C34" s="7" t="s">
        <v>50</v>
      </c>
      <c r="D34" s="7"/>
      <c r="E34" s="7"/>
      <c r="F34" s="417" t="e">
        <f>(S34/(1+A$24)^1)</f>
        <v>#REF!</v>
      </c>
      <c r="G34" s="417" t="e">
        <f>(S34/(1+A$24)^1)+(T34/(1+A$24)^2)</f>
        <v>#REF!</v>
      </c>
      <c r="H34" s="417" t="e">
        <f>R34+(S34/(1+A$24)^1)+(T34/(1+A$24)^2)+(U34/(1+A$24)^3)</f>
        <v>#REF!</v>
      </c>
      <c r="I34" s="417" t="e">
        <f>R34+(S34/(1+A$24)^1)+(T34/(1+A$24)^2)+(U34/(1+A$24)^3)+(V34/(1+A$24)^4)</f>
        <v>#REF!</v>
      </c>
      <c r="J34" s="417" t="e">
        <f>R34+(S34/(1+A$24)^1)+(T34/(1+A$24)^2)+(U34/(1+A$24)^3)+(V34/(1+A$24)^4)+(W34/(1+A$24)^5)</f>
        <v>#REF!</v>
      </c>
      <c r="K34" s="417" t="e">
        <f>R34+(S34/(1+A$24)^1)+(T34/(1+A$24)^2)+(U34/(1+A$24)^3)+(V34/(1+A$24)^4)+(W34/(1+A$24)^5)+(X34/(1+A$24)^6)</f>
        <v>#REF!</v>
      </c>
      <c r="L34" s="417" t="e">
        <f>R34+(S34/(1+A$24)^1)+(T34/(1+A$24)^2)+(U34/(1+A$24)^3)+(V34/(1+A$24)^4)+(W34/(1+A$24)^5)+(X34/(1+A$24)^6)+(Y34/(1+A$24)^7)</f>
        <v>#REF!</v>
      </c>
      <c r="M34" s="417" t="e">
        <f>R34+(S34/(1+A$24)^1)+(T34/(1+A$24)^2)+(U34/(1+A$24)^3)+(V34/(1+A$24)^4)+(W34/(1+A$24)^5)+(X34/(1+A$24)^6)+(Y34/(1+A$24)^7)+(Z34/(1+A$24)^8)</f>
        <v>#REF!</v>
      </c>
      <c r="N34" s="417" t="e">
        <f>R34+(S34/(1+A$24)^1)+(T34/(1+A$24)^2)+(U34/(1+A$24)^3)+(V34/(1+A$24)^4)+(W34/(1+A$24)^5)+(X34/(1+A$24)^6)+(Y34/(1+A$24)^7)+(Z34/(1+A$24)^8)+(AA34/(1+A$24)^9)</f>
        <v>#REF!</v>
      </c>
      <c r="O34" s="415" t="e">
        <f>R34+(S34/(1+A$24)^1)+(T34/(1+A$24)^2)+(U34/(1+A$24)^3)+(V34/(1+A$24)^4)+(W34/(1+A$24)^5)+(X34/(1+A$24)^6)+(Y34/(1+A$24)^7)+(Z34/(1+A$24)^8)+(AA34/(1+A$24)^9)+(AB34/(1+A$24)^10)</f>
        <v>#REF!</v>
      </c>
      <c r="P34" s="415" t="e">
        <f>O34+AB34*(1/(1+$A$24)^11+1/(1+$A$24)^12+1/(1+$A$24)^13+1/(1+$A$24)^14+1/(1+$A$24)^15)</f>
        <v>#REF!</v>
      </c>
      <c r="Q34" s="415" t="e">
        <f>P34+AB34*(1/(1+$Q$6)^16+1/(1+$Q$6)^17+1/(1+$Q$6)^18+1/(1+$Q$6)^19+1/(1+$Q$6)^20)</f>
        <v>#REF!</v>
      </c>
      <c r="R34" s="411">
        <v>0</v>
      </c>
      <c r="S34" s="411">
        <f t="shared" ref="S34:AB34" si="6">$S11</f>
        <v>840000</v>
      </c>
      <c r="T34" s="411">
        <f t="shared" si="6"/>
        <v>840000</v>
      </c>
      <c r="U34" s="411">
        <f t="shared" si="6"/>
        <v>840000</v>
      </c>
      <c r="V34" s="411">
        <f t="shared" si="6"/>
        <v>840000</v>
      </c>
      <c r="W34" s="411">
        <f t="shared" si="6"/>
        <v>840000</v>
      </c>
      <c r="X34" s="411">
        <f t="shared" si="6"/>
        <v>840000</v>
      </c>
      <c r="Y34" s="411">
        <f t="shared" si="6"/>
        <v>840000</v>
      </c>
      <c r="Z34" s="411">
        <f t="shared" si="6"/>
        <v>840000</v>
      </c>
      <c r="AA34" s="411">
        <f t="shared" si="6"/>
        <v>840000</v>
      </c>
      <c r="AB34" s="411">
        <f t="shared" si="6"/>
        <v>840000</v>
      </c>
      <c r="AC34" s="450"/>
      <c r="AD34" s="225"/>
    </row>
    <row r="35" spans="1:30" x14ac:dyDescent="0.25">
      <c r="A35" s="6"/>
      <c r="B35" s="7"/>
      <c r="C35" s="7" t="s">
        <v>52</v>
      </c>
      <c r="D35" s="7"/>
      <c r="E35" s="7"/>
      <c r="F35" s="417" t="e">
        <f>(S35/(1+A$24)^1)</f>
        <v>#REF!</v>
      </c>
      <c r="G35" s="417" t="e">
        <f>(S35/(1+A$24)^1)+(T35/(1+A$24)^2)</f>
        <v>#REF!</v>
      </c>
      <c r="H35" s="417" t="e">
        <f>R35+(S35/(1+A$24)^1)+(T35/(1+A$24)^2)+(U35/(1+A$24)^3)</f>
        <v>#REF!</v>
      </c>
      <c r="I35" s="417" t="e">
        <f>R35+(S35/(1+A$24)^1)+(T35/(1+A$24)^2)+(U35/(1+A$24)^3)+(V35/(1+A$24)^4)</f>
        <v>#REF!</v>
      </c>
      <c r="J35" s="417" t="e">
        <f>R35+(S35/(1+A$24)^1)+(T35/(1+A$24)^2)+(U35/(1+A$24)^3)+(V35/(1+A$24)^4)+(W35/(1+A$24)^5)</f>
        <v>#REF!</v>
      </c>
      <c r="K35" s="417" t="e">
        <f>R35+(S35/(1+A$24)^1)+(T35/(1+A$24)^2)+(U35/(1+A$24)^3)+(V35/(1+A$24)^4)+(W35/(1+A$24)^5)+(X35/(1+A$24)^6)</f>
        <v>#REF!</v>
      </c>
      <c r="L35" s="417" t="e">
        <f>R35+(S35/(1+A$24)^1)+(T35/(1+A$24)^2)+(U35/(1+A$24)^3)+(V35/(1+A$24)^4)+(W35/(1+A$24)^5)+(X35/(1+A$24)^6)+(Y35/(1+A$24)^7)</f>
        <v>#REF!</v>
      </c>
      <c r="M35" s="417" t="e">
        <f>R35+(S35/(1+A$24)^1)+(T35/(1+A$24)^2)+(U35/(1+A$24)^3)+(V35/(1+A$24)^4)+(W35/(1+A$24)^5)+(X35/(1+A$24)^6)+(Y35/(1+A$24)^7)+(Z35/(1+A$24)^8)</f>
        <v>#REF!</v>
      </c>
      <c r="N35" s="417" t="e">
        <f>R35+(S35/(1+A$24)^1)+(T35/(1+A$24)^2)+(U35/(1+A$24)^3)+(V35/(1+A$24)^4)+(W35/(1+A$24)^5)+(X35/(1+A$24)^6)+(Y35/(1+A$24)^7)+(Z35/(1+A$24)^8)+(AA35/(1+A$24)^9)</f>
        <v>#REF!</v>
      </c>
      <c r="O35" s="415" t="e">
        <f>R35+(S35/(1+A$24)^1)+(T35/(1+A$24)^2)+(U35/(1+A$24)^3)+(V35/(1+A$24)^4)+(W35/(1+A$24)^5)+(X35/(1+A$24)^6)+(Y35/(1+A$24)^7)+(Z35/(1+A$24)^8)+(AA35/(1+A$24)^9)+(AB35/(1+A$24)^10)</f>
        <v>#REF!</v>
      </c>
      <c r="P35" s="415" t="e">
        <f t="shared" ref="P35:P38" si="7">O35+AB35*(1/(1+$A$24)^11+1/(1+$A$24)^12+1/(1+$A$24)^13+1/(1+$A$24)^14+1/(1+$A$24)^15)</f>
        <v>#REF!</v>
      </c>
      <c r="Q35" s="415" t="e">
        <f t="shared" ref="Q35:Q38" si="8">P35+AB35*(1/(1+$Q$6)^16+1/(1+$Q$6)^17+1/(1+$Q$6)^18+1/(1+$Q$6)^19+1/(1+$Q$6)^20)</f>
        <v>#REF!</v>
      </c>
      <c r="R35" s="411">
        <v>0</v>
      </c>
      <c r="S35" s="411">
        <f t="shared" ref="S35:AB35" si="9">$S12</f>
        <v>840000</v>
      </c>
      <c r="T35" s="411">
        <f t="shared" si="9"/>
        <v>840000</v>
      </c>
      <c r="U35" s="411">
        <f t="shared" si="9"/>
        <v>840000</v>
      </c>
      <c r="V35" s="411">
        <f t="shared" si="9"/>
        <v>840000</v>
      </c>
      <c r="W35" s="411">
        <f t="shared" si="9"/>
        <v>840000</v>
      </c>
      <c r="X35" s="411">
        <f t="shared" si="9"/>
        <v>840000</v>
      </c>
      <c r="Y35" s="411">
        <f t="shared" si="9"/>
        <v>840000</v>
      </c>
      <c r="Z35" s="411">
        <f t="shared" si="9"/>
        <v>840000</v>
      </c>
      <c r="AA35" s="411">
        <f t="shared" si="9"/>
        <v>840000</v>
      </c>
      <c r="AB35" s="411">
        <f t="shared" si="9"/>
        <v>840000</v>
      </c>
      <c r="AC35" s="450"/>
      <c r="AD35" s="225"/>
    </row>
    <row r="36" spans="1:30" x14ac:dyDescent="0.25">
      <c r="A36" s="6"/>
      <c r="B36" s="7"/>
      <c r="C36" s="7" t="s">
        <v>53</v>
      </c>
      <c r="D36" s="7"/>
      <c r="E36" s="7"/>
      <c r="F36" s="417" t="e">
        <f>(S36/(1+A$24)^1)</f>
        <v>#REF!</v>
      </c>
      <c r="G36" s="417" t="e">
        <f>(S36/(1+A$24)^1)+(T36/(1+A$24)^2)</f>
        <v>#REF!</v>
      </c>
      <c r="H36" s="417" t="e">
        <f>R36+(S36/(1+A$24)^1)+(T36/(1+A$24)^2)+(U36/(1+A$24)^3)</f>
        <v>#REF!</v>
      </c>
      <c r="I36" s="417" t="e">
        <f>R36+(S36/(1+A$24)^1)+(T36/(1+A$24)^2)+(U36/(1+A$24)^3)+(V36/(1+A$24)^4)</f>
        <v>#REF!</v>
      </c>
      <c r="J36" s="417" t="e">
        <f>R36+(S36/(1+A$24)^1)+(T36/(1+A$24)^2)+(U36/(1+A$24)^3)+(V36/(1+A$24)^4)+(W36/(1+A$24)^5)</f>
        <v>#REF!</v>
      </c>
      <c r="K36" s="417" t="e">
        <f>R36+(S36/(1+A$24)^1)+(T36/(1+A$24)^2)+(U36/(1+A$24)^3)+(V36/(1+A$24)^4)+(W36/(1+A$24)^5)+(X36/(1+A$24)^6)</f>
        <v>#REF!</v>
      </c>
      <c r="L36" s="417" t="e">
        <f>R36+(S36/(1+A$24)^1)+(T36/(1+A$24)^2)+(U36/(1+A$24)^3)+(V36/(1+A$24)^4)+(W36/(1+A$24)^5)+(X36/(1+A$24)^6)+(Y36/(1+A$24)^7)</f>
        <v>#REF!</v>
      </c>
      <c r="M36" s="417" t="e">
        <f>R36+(S36/(1+A$24)^1)+(T36/(1+A$24)^2)+(U36/(1+A$24)^3)+(V36/(1+A$24)^4)+(W36/(1+A$24)^5)+(X36/(1+A$24)^6)+(Y36/(1+A$24)^7)+(Z36/(1+A$24)^8)</f>
        <v>#REF!</v>
      </c>
      <c r="N36" s="417" t="e">
        <f>R36+(S36/(1+A$24)^1)+(T36/(1+A$24)^2)+(U36/(1+A$24)^3)+(V36/(1+A$24)^4)+(W36/(1+A$24)^5)+(X36/(1+A$24)^6)+(Y36/(1+A$24)^7)+(Z36/(1+A$24)^8)+(AA36/(1+A$24)^9)</f>
        <v>#REF!</v>
      </c>
      <c r="O36" s="415" t="e">
        <f>R36+(S36/(1+A$24)^1)+(T36/(1+A$24)^2)+(U36/(1+A$24)^3)+(V36/(1+A$24)^4)+(W36/(1+A$24)^5)+(X36/(1+A$24)^6)+(Y36/(1+A$24)^7)+(Z36/(1+A$24)^8)+(AA36/(1+A$24)^9)+(AB36/(1+A$24)^10)</f>
        <v>#REF!</v>
      </c>
      <c r="P36" s="415" t="e">
        <f t="shared" si="7"/>
        <v>#REF!</v>
      </c>
      <c r="Q36" s="415" t="e">
        <f t="shared" si="8"/>
        <v>#REF!</v>
      </c>
      <c r="R36" s="411">
        <v>0</v>
      </c>
      <c r="S36" s="411">
        <f t="shared" ref="S36:AB36" si="10">$S13</f>
        <v>420000</v>
      </c>
      <c r="T36" s="411">
        <f t="shared" si="10"/>
        <v>420000</v>
      </c>
      <c r="U36" s="411">
        <f t="shared" si="10"/>
        <v>420000</v>
      </c>
      <c r="V36" s="411">
        <f t="shared" si="10"/>
        <v>420000</v>
      </c>
      <c r="W36" s="411">
        <f t="shared" si="10"/>
        <v>420000</v>
      </c>
      <c r="X36" s="411">
        <f t="shared" si="10"/>
        <v>420000</v>
      </c>
      <c r="Y36" s="411">
        <f t="shared" si="10"/>
        <v>420000</v>
      </c>
      <c r="Z36" s="411">
        <f t="shared" si="10"/>
        <v>420000</v>
      </c>
      <c r="AA36" s="411">
        <f t="shared" si="10"/>
        <v>420000</v>
      </c>
      <c r="AB36" s="411">
        <f t="shared" si="10"/>
        <v>420000</v>
      </c>
      <c r="AC36" s="450"/>
      <c r="AD36" s="225"/>
    </row>
    <row r="37" spans="1:30" x14ac:dyDescent="0.25">
      <c r="A37" s="6"/>
      <c r="B37" s="7" t="s">
        <v>47</v>
      </c>
      <c r="C37" s="7"/>
      <c r="D37" s="7"/>
      <c r="E37" s="7"/>
      <c r="F37" s="417" t="e">
        <f>(S37/(1+A$24)^1)</f>
        <v>#REF!</v>
      </c>
      <c r="G37" s="417" t="e">
        <f>(S37/(1+A$24)^1)+(T37/(1+A$24)^2)</f>
        <v>#REF!</v>
      </c>
      <c r="H37" s="417" t="e">
        <f>R37+(S37/(1+A$24)^1)+(T37/(1+A$24)^2)+(U37/(1+A$24)^3)</f>
        <v>#REF!</v>
      </c>
      <c r="I37" s="417" t="e">
        <f>R37+(S37/(1+A$24)^1)+(T37/(1+A$24)^2)+(U37/(1+A$24)^3)+(V37/(1+A$24)^4)</f>
        <v>#REF!</v>
      </c>
      <c r="J37" s="417" t="e">
        <f>R37+(S37/(1+A$24)^1)+(T37/(1+A$24)^2)+(U37/(1+A$24)^3)+(V37/(1+A$24)^4)+(W37/(1+A$24)^5)</f>
        <v>#REF!</v>
      </c>
      <c r="K37" s="417" t="e">
        <f>R37+(S37/(1+A$24)^1)+(T37/(1+A$24)^2)+(U37/(1+A$24)^3)+(V37/(1+A$24)^4)+(W37/(1+A$24)^5)+(X37/(1+A$24)^6)</f>
        <v>#REF!</v>
      </c>
      <c r="L37" s="417" t="e">
        <f>R37+(S37/(1+A$24)^1)+(T37/(1+A$24)^2)+(U37/(1+A$24)^3)+(V37/(1+A$24)^4)+(W37/(1+A$24)^5)+(X37/(1+A$24)^6)+(Y37/(1+A$24)^7)</f>
        <v>#REF!</v>
      </c>
      <c r="M37" s="417" t="e">
        <f>R37+(S37/(1+A$24)^1)+(T37/(1+A$24)^2)+(U37/(1+A$24)^3)+(V37/(1+A$24)^4)+(W37/(1+A$24)^5)+(X37/(1+A$24)^6)+(Y37/(1+A$24)^7)+(Z37/(1+A$24)^8)</f>
        <v>#REF!</v>
      </c>
      <c r="N37" s="417" t="e">
        <f>R37+(S37/(1+A$24)^1)+(T37/(1+A$24)^2)+(U37/(1+A$24)^3)+(V37/(1+A$24)^4)+(W37/(1+A$24)^5)+(X37/(1+A$24)^6)+(Y37/(1+A$24)^7)+(Z37/(1+A$24)^8)+(AA37/(1+A$24)^9)</f>
        <v>#REF!</v>
      </c>
      <c r="O37" s="415" t="e">
        <f>R37+(S37/(1+A$24)^1)+(T37/(1+A$24)^2)+(U37/(1+A$24)^3)+(V37/(1+A$24)^4)+(W37/(1+A$24)^5)+(X37/(1+A$24)^6)+(Y37/(1+A$24)^7)+(Z37/(1+A$24)^8)+(AA37/(1+A$24)^9)+(AB37/(1+A$24)^10)</f>
        <v>#REF!</v>
      </c>
      <c r="P37" s="415" t="e">
        <f t="shared" si="7"/>
        <v>#REF!</v>
      </c>
      <c r="Q37" s="415" t="e">
        <f t="shared" si="8"/>
        <v>#REF!</v>
      </c>
      <c r="R37" s="411">
        <v>0</v>
      </c>
      <c r="S37" s="411">
        <f t="shared" ref="S37:AB37" si="11">$S14</f>
        <v>835370.08777733974</v>
      </c>
      <c r="T37" s="411">
        <f t="shared" si="11"/>
        <v>835370.08777733974</v>
      </c>
      <c r="U37" s="411">
        <f t="shared" si="11"/>
        <v>835370.08777733974</v>
      </c>
      <c r="V37" s="411">
        <f t="shared" si="11"/>
        <v>835370.08777733974</v>
      </c>
      <c r="W37" s="411">
        <f t="shared" si="11"/>
        <v>835370.08777733974</v>
      </c>
      <c r="X37" s="411">
        <f t="shared" si="11"/>
        <v>835370.08777733974</v>
      </c>
      <c r="Y37" s="411">
        <f t="shared" si="11"/>
        <v>835370.08777733974</v>
      </c>
      <c r="Z37" s="411">
        <f t="shared" si="11"/>
        <v>835370.08777733974</v>
      </c>
      <c r="AA37" s="411">
        <f t="shared" si="11"/>
        <v>835370.08777733974</v>
      </c>
      <c r="AB37" s="411">
        <f t="shared" si="11"/>
        <v>835370.08777733974</v>
      </c>
      <c r="AC37" s="450"/>
      <c r="AD37" s="225"/>
    </row>
    <row r="38" spans="1:30" x14ac:dyDescent="0.25">
      <c r="A38" s="6"/>
      <c r="B38" s="7" t="s">
        <v>48</v>
      </c>
      <c r="C38" s="7"/>
      <c r="D38" s="7"/>
      <c r="E38" s="7"/>
      <c r="F38" s="417" t="e">
        <f>(S38/(1+A$24)^1)</f>
        <v>#REF!</v>
      </c>
      <c r="G38" s="417" t="e">
        <f>(S38/(1+A$24)^1)+(T38/(1+A$24)^2)</f>
        <v>#REF!</v>
      </c>
      <c r="H38" s="417" t="e">
        <f>R38+(S38/(1+A$24)^1)+(T38/(1+A$24)^2)+(U38/(1+A$24)^3)</f>
        <v>#REF!</v>
      </c>
      <c r="I38" s="417" t="e">
        <f>R38+(S38/(1+A$24)^1)+(T38/(1+A$24)^2)+(U38/(1+A$24)^3)+(V38/(1+A$24)^4)</f>
        <v>#REF!</v>
      </c>
      <c r="J38" s="417" t="e">
        <f>R38+(S38/(1+A$24)^1)+(T38/(1+A$24)^2)+(U38/(1+A$24)^3)+(V38/(1+A$24)^4)+(W38/(1+A$24)^5)</f>
        <v>#REF!</v>
      </c>
      <c r="K38" s="417" t="e">
        <f>R38+(S38/(1+A$24)^1)+(T38/(1+A$24)^2)+(U38/(1+A$24)^3)+(V38/(1+A$24)^4)+(W38/(1+A$24)^5)+(X38/(1+A$24)^6)</f>
        <v>#REF!</v>
      </c>
      <c r="L38" s="417" t="e">
        <f>R38+(S38/(1+A$24)^1)+(T38/(1+A$24)^2)+(U38/(1+A$24)^3)+(V38/(1+A$24)^4)+(W38/(1+A$24)^5)+(X38/(1+A$24)^6)+(Y38/(1+A$24)^7)</f>
        <v>#REF!</v>
      </c>
      <c r="M38" s="417" t="e">
        <f>R38+(S38/(1+A$24)^1)+(T38/(1+A$24)^2)+(U38/(1+A$24)^3)+(V38/(1+A$24)^4)+(W38/(1+A$24)^5)+(X38/(1+A$24)^6)+(Y38/(1+A$24)^7)+(Z38/(1+A$24)^8)</f>
        <v>#REF!</v>
      </c>
      <c r="N38" s="417" t="e">
        <f>R38+(S38/(1+A$24)^1)+(T38/(1+A$24)^2)+(U38/(1+A$24)^3)+(V38/(1+A$24)^4)+(W38/(1+A$24)^5)+(X38/(1+A$24)^6)+(Y38/(1+A$24)^7)+(Z38/(1+A$24)^8)+(AA38/(1+A$24)^9)</f>
        <v>#REF!</v>
      </c>
      <c r="O38" s="415" t="e">
        <f>R38+(S38/(1+A$24)^1)+(T38/(1+A$24)^2)+(U38/(1+A$24)^3)+(V38/(1+A$24)^4)+(W38/(1+A$24)^5)+(X38/(1+A$24)^6)+(Y38/(1+A$24)^7)+(Z38/(1+A$24)^8)+(AA38/(1+A$24)^9)+(AB38/(1+A$24)^10)</f>
        <v>#REF!</v>
      </c>
      <c r="P38" s="415" t="e">
        <f t="shared" si="7"/>
        <v>#REF!</v>
      </c>
      <c r="Q38" s="415" t="e">
        <f t="shared" si="8"/>
        <v>#REF!</v>
      </c>
      <c r="R38" s="411">
        <v>0</v>
      </c>
      <c r="S38" s="411">
        <f t="shared" ref="S38:AB38" si="12">$S15</f>
        <v>211231.72149969908</v>
      </c>
      <c r="T38" s="411">
        <f t="shared" si="12"/>
        <v>211231.72149969908</v>
      </c>
      <c r="U38" s="411">
        <f t="shared" si="12"/>
        <v>211231.72149969908</v>
      </c>
      <c r="V38" s="411">
        <f t="shared" si="12"/>
        <v>211231.72149969908</v>
      </c>
      <c r="W38" s="411">
        <f t="shared" si="12"/>
        <v>211231.72149969908</v>
      </c>
      <c r="X38" s="411">
        <f t="shared" si="12"/>
        <v>211231.72149969908</v>
      </c>
      <c r="Y38" s="411">
        <f t="shared" si="12"/>
        <v>211231.72149969908</v>
      </c>
      <c r="Z38" s="411">
        <f t="shared" si="12"/>
        <v>211231.72149969908</v>
      </c>
      <c r="AA38" s="411">
        <f t="shared" si="12"/>
        <v>211231.72149969908</v>
      </c>
      <c r="AB38" s="411">
        <f t="shared" si="12"/>
        <v>211231.72149969908</v>
      </c>
      <c r="AC38" s="450"/>
      <c r="AD38" s="225"/>
    </row>
    <row r="39" spans="1:30" s="225" customFormat="1" x14ac:dyDescent="0.25">
      <c r="A39" s="436" t="s">
        <v>613</v>
      </c>
      <c r="B39" s="7"/>
      <c r="C39" s="7"/>
      <c r="D39" s="7"/>
      <c r="E39" s="7"/>
      <c r="F39" s="417"/>
      <c r="G39" s="417"/>
      <c r="H39" s="417"/>
      <c r="I39" s="417"/>
      <c r="J39" s="417"/>
      <c r="K39" s="417"/>
      <c r="L39" s="417"/>
      <c r="M39" s="417"/>
      <c r="N39" s="417"/>
      <c r="O39" s="415"/>
      <c r="P39" s="415"/>
      <c r="Q39" s="415"/>
      <c r="R39" s="411"/>
      <c r="S39" s="411"/>
      <c r="T39" s="411"/>
      <c r="U39" s="411"/>
      <c r="V39" s="411"/>
      <c r="W39" s="411"/>
      <c r="X39" s="411"/>
      <c r="Y39" s="411"/>
      <c r="Z39" s="411"/>
      <c r="AA39" s="411"/>
      <c r="AB39" s="411"/>
      <c r="AC39" s="450"/>
    </row>
    <row r="40" spans="1:30" s="225" customFormat="1" x14ac:dyDescent="0.25">
      <c r="A40" s="6"/>
      <c r="B40" s="7"/>
      <c r="C40" s="7"/>
      <c r="D40" s="7"/>
      <c r="E40" s="7"/>
      <c r="F40" s="417" t="e">
        <f>SUM(F34:F38)</f>
        <v>#REF!</v>
      </c>
      <c r="G40" s="417" t="e">
        <f t="shared" ref="G40:P40" si="13">SUM(G34:G38)</f>
        <v>#REF!</v>
      </c>
      <c r="H40" s="417" t="e">
        <f t="shared" si="13"/>
        <v>#REF!</v>
      </c>
      <c r="I40" s="417" t="e">
        <f t="shared" si="13"/>
        <v>#REF!</v>
      </c>
      <c r="J40" s="417" t="e">
        <f t="shared" si="13"/>
        <v>#REF!</v>
      </c>
      <c r="K40" s="417" t="e">
        <f t="shared" si="13"/>
        <v>#REF!</v>
      </c>
      <c r="L40" s="417" t="e">
        <f t="shared" si="13"/>
        <v>#REF!</v>
      </c>
      <c r="M40" s="417" t="e">
        <f t="shared" si="13"/>
        <v>#REF!</v>
      </c>
      <c r="N40" s="417" t="e">
        <f t="shared" si="13"/>
        <v>#REF!</v>
      </c>
      <c r="O40" s="415" t="e">
        <f t="shared" si="13"/>
        <v>#REF!</v>
      </c>
      <c r="P40" s="415" t="e">
        <f t="shared" si="13"/>
        <v>#REF!</v>
      </c>
      <c r="Q40" s="415" t="e">
        <f>SUM(Q34:Q38)</f>
        <v>#REF!</v>
      </c>
      <c r="R40" s="411"/>
      <c r="S40" s="411"/>
      <c r="T40" s="411"/>
      <c r="U40" s="411"/>
      <c r="V40" s="411"/>
      <c r="W40" s="411"/>
      <c r="X40" s="411"/>
      <c r="Y40" s="411"/>
      <c r="Z40" s="411"/>
      <c r="AA40" s="411"/>
      <c r="AB40" s="411"/>
      <c r="AC40" s="450"/>
    </row>
    <row r="41" spans="1:30" x14ac:dyDescent="0.25">
      <c r="A41" s="450"/>
      <c r="B41" s="450"/>
      <c r="C41" s="450"/>
      <c r="D41" s="450"/>
      <c r="E41" s="450"/>
      <c r="F41" s="450"/>
      <c r="G41" s="450"/>
      <c r="H41" s="494"/>
      <c r="I41" s="450"/>
      <c r="J41" s="450"/>
      <c r="K41" s="450"/>
      <c r="L41" s="450"/>
      <c r="M41" s="450"/>
      <c r="N41" s="450"/>
      <c r="O41" s="450"/>
      <c r="P41" s="450"/>
      <c r="Q41" s="450"/>
      <c r="R41" s="450"/>
      <c r="S41" s="450"/>
      <c r="T41" s="450"/>
      <c r="U41" s="450"/>
      <c r="V41" s="450"/>
      <c r="W41" s="450"/>
      <c r="X41" s="450"/>
      <c r="Y41" s="450"/>
      <c r="Z41" s="450"/>
      <c r="AA41" s="450"/>
      <c r="AB41" s="450"/>
      <c r="AC41" s="450"/>
    </row>
    <row r="42" spans="1:30" x14ac:dyDescent="0.25">
      <c r="A42" s="225"/>
      <c r="B42" s="225"/>
      <c r="F42" s="225"/>
      <c r="H42" s="17"/>
      <c r="O42" s="225"/>
      <c r="Q42" s="225"/>
      <c r="R42" s="225"/>
      <c r="S42" s="225"/>
      <c r="V42" s="225"/>
      <c r="W42" s="225"/>
      <c r="X42" s="225"/>
      <c r="Z42" s="426"/>
      <c r="AA42" s="426"/>
      <c r="AB42" s="426"/>
    </row>
    <row r="43" spans="1:30" x14ac:dyDescent="0.25">
      <c r="Z43" s="426"/>
      <c r="AA43" s="426"/>
      <c r="AB43" s="426"/>
    </row>
  </sheetData>
  <mergeCells count="2">
    <mergeCell ref="H2:I2"/>
    <mergeCell ref="R18:S21"/>
  </mergeCells>
  <pageMargins left="0.7" right="0.7" top="0.75" bottom="0.75" header="0.3" footer="0.3"/>
  <pageSetup paperSize="9" orientation="portrait" horizontalDpi="0" verticalDpi="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dimension ref="A1:S42"/>
  <sheetViews>
    <sheetView zoomScaleNormal="100" workbookViewId="0">
      <selection activeCell="C31" sqref="C31"/>
    </sheetView>
  </sheetViews>
  <sheetFormatPr defaultColWidth="8.7109375" defaultRowHeight="15" x14ac:dyDescent="0.25"/>
  <cols>
    <col min="1" max="1" width="6.7109375" style="225" customWidth="1"/>
    <col min="2" max="2" width="13.42578125" style="225" customWidth="1"/>
    <col min="3" max="3" width="13.42578125" style="225" bestFit="1" customWidth="1"/>
    <col min="4" max="4" width="11.140625" style="225" bestFit="1" customWidth="1"/>
    <col min="5" max="6" width="9.140625" style="225" customWidth="1"/>
    <col min="7" max="7" width="9.140625" style="225"/>
    <col min="8" max="8" width="11.28515625" style="225" customWidth="1"/>
    <col min="9" max="9" width="12" style="225" bestFit="1" customWidth="1"/>
    <col min="10" max="18" width="12" style="225" customWidth="1"/>
    <col min="19" max="19" width="11.7109375" style="225" customWidth="1"/>
  </cols>
  <sheetData>
    <row r="1" spans="1:19" x14ac:dyDescent="0.25">
      <c r="A1" s="491" t="s">
        <v>434</v>
      </c>
      <c r="D1" s="331" t="str">
        <f>HYPERLINK("#"&amp;ADDRESS(1,1,,,"MASTER"),"M &lt;=")</f>
        <v>M &lt;=</v>
      </c>
    </row>
    <row r="3" spans="1:19" x14ac:dyDescent="0.25">
      <c r="A3" s="472" t="s">
        <v>527</v>
      </c>
      <c r="B3" s="450"/>
      <c r="C3" s="450"/>
      <c r="D3" s="450"/>
      <c r="E3" s="450"/>
      <c r="F3" s="450"/>
      <c r="G3" s="450"/>
      <c r="H3" s="450"/>
      <c r="J3" s="472" t="s">
        <v>526</v>
      </c>
      <c r="K3" s="450"/>
      <c r="L3" s="450"/>
      <c r="M3" s="450"/>
      <c r="N3" s="450"/>
      <c r="O3" s="450"/>
    </row>
    <row r="4" spans="1:19" x14ac:dyDescent="0.25">
      <c r="A4" s="483" t="s">
        <v>521</v>
      </c>
      <c r="B4" s="2"/>
      <c r="C4" s="473" t="s">
        <v>435</v>
      </c>
      <c r="D4" s="3"/>
      <c r="E4" s="3" t="s">
        <v>438</v>
      </c>
      <c r="F4" s="473" t="s">
        <v>421</v>
      </c>
      <c r="G4" s="544" t="s">
        <v>415</v>
      </c>
      <c r="H4" s="564"/>
      <c r="J4" s="454" t="s">
        <v>650</v>
      </c>
      <c r="K4" s="221" t="s">
        <v>446</v>
      </c>
      <c r="L4" s="221" t="s">
        <v>448</v>
      </c>
      <c r="M4" s="221" t="s">
        <v>449</v>
      </c>
      <c r="N4" s="221" t="s">
        <v>451</v>
      </c>
      <c r="O4" s="240" t="s">
        <v>453</v>
      </c>
    </row>
    <row r="5" spans="1:19" x14ac:dyDescent="0.25">
      <c r="A5" s="245" t="s">
        <v>401</v>
      </c>
      <c r="B5" s="198"/>
      <c r="C5" s="477" t="s">
        <v>414</v>
      </c>
      <c r="D5" s="192" t="s">
        <v>436</v>
      </c>
      <c r="E5" s="192" t="s">
        <v>439</v>
      </c>
      <c r="F5" s="477" t="s">
        <v>442</v>
      </c>
      <c r="G5" s="192" t="s">
        <v>421</v>
      </c>
      <c r="H5" s="484" t="s">
        <v>414</v>
      </c>
      <c r="J5" s="245" t="s">
        <v>651</v>
      </c>
      <c r="K5" s="220" t="s">
        <v>447</v>
      </c>
      <c r="L5" s="220" t="s">
        <v>447</v>
      </c>
      <c r="M5" s="220" t="s">
        <v>450</v>
      </c>
      <c r="N5" s="220" t="s">
        <v>404</v>
      </c>
      <c r="O5" s="241" t="s">
        <v>452</v>
      </c>
    </row>
    <row r="6" spans="1:19" x14ac:dyDescent="0.25">
      <c r="A6" s="485">
        <v>0</v>
      </c>
      <c r="B6" s="235" t="s">
        <v>402</v>
      </c>
      <c r="C6" s="234">
        <v>22.1</v>
      </c>
      <c r="D6" s="8">
        <v>0</v>
      </c>
      <c r="E6" s="8">
        <v>0</v>
      </c>
      <c r="F6" s="8"/>
      <c r="G6" s="8">
        <v>0</v>
      </c>
      <c r="H6" s="486">
        <v>0</v>
      </c>
      <c r="J6" s="246">
        <v>1</v>
      </c>
      <c r="K6" s="200">
        <v>30166</v>
      </c>
      <c r="L6" s="200">
        <v>0</v>
      </c>
      <c r="M6" s="200">
        <v>4769100</v>
      </c>
      <c r="N6" s="200">
        <v>850500</v>
      </c>
      <c r="O6" s="242">
        <v>880666</v>
      </c>
    </row>
    <row r="7" spans="1:19" x14ac:dyDescent="0.25">
      <c r="A7" s="487">
        <v>1</v>
      </c>
      <c r="B7" s="8"/>
      <c r="C7" s="234">
        <v>9.8058920000000001</v>
      </c>
      <c r="D7" s="234">
        <v>9.8058920000000001</v>
      </c>
      <c r="E7" s="234">
        <f>D7+(C$13/6)</f>
        <v>9.7775735000000008</v>
      </c>
      <c r="F7" s="234">
        <f>G$14/6</f>
        <v>0.71120010476190476</v>
      </c>
      <c r="G7" s="234">
        <v>0</v>
      </c>
      <c r="H7" s="488">
        <v>3.2812500000000001E-2</v>
      </c>
      <c r="J7" s="208">
        <v>2</v>
      </c>
      <c r="K7" s="189">
        <v>121132</v>
      </c>
      <c r="L7" s="189">
        <v>64771</v>
      </c>
      <c r="M7" s="189">
        <v>4703100</v>
      </c>
      <c r="N7" s="189">
        <v>1066140</v>
      </c>
      <c r="O7" s="243">
        <v>1187272</v>
      </c>
    </row>
    <row r="8" spans="1:19" x14ac:dyDescent="0.25">
      <c r="A8" s="487">
        <v>2</v>
      </c>
      <c r="B8" s="8"/>
      <c r="C8" s="234">
        <v>9.8058920000000001</v>
      </c>
      <c r="D8" s="234">
        <v>9.8058920000000001</v>
      </c>
      <c r="E8" s="234">
        <f t="shared" ref="E8:E12" si="0">D8+(C$13/6)</f>
        <v>9.7775735000000008</v>
      </c>
      <c r="F8" s="234">
        <f t="shared" ref="F8:F12" si="1">G$14/6</f>
        <v>0.71120010476190476</v>
      </c>
      <c r="G8" s="234">
        <v>0</v>
      </c>
      <c r="H8" s="488">
        <v>3.2812500000000001E-2</v>
      </c>
      <c r="I8" s="224"/>
      <c r="J8" s="208">
        <v>3</v>
      </c>
      <c r="K8" s="492">
        <v>205745</v>
      </c>
      <c r="L8" s="492">
        <v>117595</v>
      </c>
      <c r="M8" s="492">
        <v>4771100</v>
      </c>
      <c r="N8" s="492">
        <v>1162980</v>
      </c>
      <c r="O8" s="243">
        <v>1368725</v>
      </c>
    </row>
    <row r="9" spans="1:19" x14ac:dyDescent="0.25">
      <c r="A9" s="487">
        <v>3</v>
      </c>
      <c r="B9" s="8"/>
      <c r="C9" s="234">
        <v>11.036578</v>
      </c>
      <c r="D9" s="234">
        <v>10.452201000000001</v>
      </c>
      <c r="E9" s="234">
        <f t="shared" si="0"/>
        <v>10.423882500000001</v>
      </c>
      <c r="F9" s="234">
        <f t="shared" si="1"/>
        <v>0.71120010476190476</v>
      </c>
      <c r="G9" s="234">
        <v>0.58437700000000004</v>
      </c>
      <c r="H9" s="488">
        <v>1.026661</v>
      </c>
      <c r="I9" s="224"/>
      <c r="J9" s="208">
        <v>4</v>
      </c>
      <c r="K9" s="492">
        <v>618753.6</v>
      </c>
      <c r="L9" s="492">
        <v>524038</v>
      </c>
      <c r="M9" s="492">
        <v>5055100</v>
      </c>
      <c r="N9" s="492">
        <v>1383600</v>
      </c>
      <c r="O9" s="243">
        <v>2002354</v>
      </c>
    </row>
    <row r="10" spans="1:19" x14ac:dyDescent="0.25">
      <c r="A10" s="487">
        <v>4</v>
      </c>
      <c r="B10" s="8"/>
      <c r="C10" s="234">
        <v>14.582523999999999</v>
      </c>
      <c r="D10" s="234">
        <v>13.666537714285713</v>
      </c>
      <c r="E10" s="234">
        <f t="shared" si="0"/>
        <v>13.638219214285714</v>
      </c>
      <c r="F10" s="234">
        <f t="shared" si="1"/>
        <v>0.71120010476190476</v>
      </c>
      <c r="G10" s="234">
        <v>0.91598628571428575</v>
      </c>
      <c r="H10" s="488">
        <v>1.2997289999999999</v>
      </c>
      <c r="I10" s="224"/>
      <c r="J10" s="208">
        <v>5</v>
      </c>
      <c r="K10" s="492">
        <v>315092.8</v>
      </c>
      <c r="L10" s="492">
        <v>201140</v>
      </c>
      <c r="M10" s="492">
        <v>5137100</v>
      </c>
      <c r="N10" s="492">
        <v>1414920</v>
      </c>
      <c r="O10" s="243">
        <v>1730013</v>
      </c>
    </row>
    <row r="11" spans="1:19" x14ac:dyDescent="0.25">
      <c r="A11" s="487">
        <v>5</v>
      </c>
      <c r="B11" s="8"/>
      <c r="C11" s="234">
        <v>16.420245000000001</v>
      </c>
      <c r="D11" s="234">
        <v>15.146416657142858</v>
      </c>
      <c r="E11" s="234">
        <f t="shared" si="0"/>
        <v>15.118098157142859</v>
      </c>
      <c r="F11" s="234">
        <f t="shared" si="1"/>
        <v>0.71120010476190476</v>
      </c>
      <c r="G11" s="234">
        <v>1.2738283428571429</v>
      </c>
      <c r="H11" s="488">
        <v>1.5910443428571428</v>
      </c>
      <c r="I11" s="224"/>
      <c r="J11" s="247">
        <v>6</v>
      </c>
      <c r="K11" s="493">
        <v>167004.9</v>
      </c>
      <c r="L11" s="493">
        <v>134325</v>
      </c>
      <c r="M11" s="493">
        <v>5057100</v>
      </c>
      <c r="N11" s="493">
        <v>1449360</v>
      </c>
      <c r="O11" s="244">
        <v>1616365</v>
      </c>
    </row>
    <row r="12" spans="1:19" x14ac:dyDescent="0.25">
      <c r="A12" s="487">
        <v>6</v>
      </c>
      <c r="B12" s="8"/>
      <c r="C12" s="234">
        <v>14.212133</v>
      </c>
      <c r="D12" s="234">
        <v>12.719123999999999</v>
      </c>
      <c r="E12" s="234">
        <f t="shared" si="0"/>
        <v>12.6908055</v>
      </c>
      <c r="F12" s="234">
        <f t="shared" si="1"/>
        <v>0.71120010476190476</v>
      </c>
      <c r="G12" s="234">
        <v>1.493009</v>
      </c>
      <c r="H12" s="488">
        <v>1.9168940000000001</v>
      </c>
      <c r="I12" s="224"/>
      <c r="J12" s="201" t="s">
        <v>652</v>
      </c>
      <c r="K12" s="1"/>
      <c r="L12" s="1"/>
      <c r="M12" s="1"/>
      <c r="N12" s="1"/>
      <c r="O12" s="1"/>
      <c r="P12"/>
      <c r="Q12"/>
      <c r="R12"/>
      <c r="S12"/>
    </row>
    <row r="13" spans="1:19" x14ac:dyDescent="0.25">
      <c r="A13" s="489" t="s">
        <v>437</v>
      </c>
      <c r="B13" s="481" t="s">
        <v>403</v>
      </c>
      <c r="C13" s="458">
        <v>-0.16991099999999992</v>
      </c>
      <c r="D13" s="481">
        <v>0</v>
      </c>
      <c r="E13" s="481">
        <v>0</v>
      </c>
      <c r="F13" s="481"/>
      <c r="G13" s="481">
        <v>0</v>
      </c>
      <c r="H13" s="490">
        <v>0</v>
      </c>
      <c r="N13"/>
      <c r="O13"/>
      <c r="P13"/>
      <c r="Q13"/>
      <c r="R13"/>
      <c r="S13"/>
    </row>
    <row r="14" spans="1:19" x14ac:dyDescent="0.25">
      <c r="A14" s="1"/>
      <c r="B14" s="1"/>
      <c r="C14" s="457">
        <f>SUM(C6:C13)</f>
        <v>97.793352999999982</v>
      </c>
      <c r="D14" s="457"/>
      <c r="E14" s="457">
        <f>SUM(E7:E12)</f>
        <v>71.426152371428572</v>
      </c>
      <c r="F14" s="457"/>
      <c r="G14" s="457">
        <f>SUM(G7:G12)</f>
        <v>4.2672006285714286</v>
      </c>
      <c r="H14" s="1" t="s">
        <v>443</v>
      </c>
      <c r="N14"/>
      <c r="O14"/>
      <c r="P14"/>
      <c r="Q14"/>
      <c r="R14"/>
      <c r="S14"/>
    </row>
    <row r="15" spans="1:19" x14ac:dyDescent="0.25">
      <c r="A15" s="1"/>
      <c r="B15" s="1"/>
      <c r="C15" s="482">
        <f>C14*10^6*D_currency_conversion!I12*D_currency_conversion!J12*(1/D_currency_conversion!J6)</f>
        <v>1068703.2756607253</v>
      </c>
      <c r="D15" s="457"/>
      <c r="E15" s="457">
        <f>E14*1.21</f>
        <v>86.425644369428568</v>
      </c>
      <c r="F15" s="457"/>
      <c r="G15" s="457">
        <f>G14*1.2</f>
        <v>5.1206407542857137</v>
      </c>
      <c r="H15" s="1" t="s">
        <v>444</v>
      </c>
      <c r="N15"/>
      <c r="O15"/>
      <c r="P15"/>
      <c r="Q15"/>
      <c r="R15"/>
      <c r="S15"/>
    </row>
    <row r="16" spans="1:19" x14ac:dyDescent="0.25">
      <c r="A16" s="1"/>
      <c r="B16" s="1"/>
      <c r="C16" s="1"/>
      <c r="D16" s="457"/>
      <c r="E16" s="457">
        <f>E15*4/3</f>
        <v>115.23419249257142</v>
      </c>
      <c r="F16" s="457"/>
      <c r="G16" s="457">
        <f>G15*4/3</f>
        <v>6.827521005714285</v>
      </c>
      <c r="H16" s="1" t="s">
        <v>445</v>
      </c>
      <c r="N16"/>
      <c r="O16"/>
      <c r="P16"/>
      <c r="Q16"/>
      <c r="R16"/>
      <c r="S16"/>
    </row>
    <row r="17" spans="1:19" x14ac:dyDescent="0.25">
      <c r="A17" s="346" t="s">
        <v>653</v>
      </c>
      <c r="B17" s="2"/>
      <c r="C17" s="2"/>
      <c r="D17" s="463"/>
      <c r="E17" s="463"/>
      <c r="F17" s="463"/>
      <c r="G17" s="463"/>
      <c r="H17" s="2"/>
      <c r="N17"/>
      <c r="O17"/>
      <c r="P17"/>
      <c r="Q17"/>
      <c r="R17"/>
      <c r="S17"/>
    </row>
    <row r="18" spans="1:19" s="225" customFormat="1" x14ac:dyDescent="0.25"/>
    <row r="19" spans="1:19" x14ac:dyDescent="0.25">
      <c r="A19" s="472" t="s">
        <v>645</v>
      </c>
      <c r="B19" s="472"/>
      <c r="C19" s="472"/>
      <c r="D19" s="472"/>
      <c r="E19" s="450"/>
      <c r="F19" s="450"/>
      <c r="G19" s="450"/>
      <c r="H19" s="450"/>
      <c r="I19" s="450"/>
      <c r="J19" s="450"/>
      <c r="K19" s="450"/>
      <c r="L19" s="450"/>
      <c r="M19" s="450"/>
    </row>
    <row r="20" spans="1:19" s="225" customFormat="1" x14ac:dyDescent="0.25">
      <c r="A20" s="201"/>
      <c r="B20" s="1"/>
      <c r="C20" s="11" t="s">
        <v>422</v>
      </c>
      <c r="D20" s="1"/>
      <c r="E20" s="1"/>
      <c r="F20" s="1"/>
      <c r="G20" s="1"/>
      <c r="H20" s="1"/>
      <c r="I20" s="1"/>
      <c r="J20" s="1"/>
      <c r="K20" s="1"/>
      <c r="L20" s="1"/>
      <c r="M20" s="1"/>
    </row>
    <row r="21" spans="1:19" x14ac:dyDescent="0.25">
      <c r="A21" s="2">
        <v>1</v>
      </c>
      <c r="B21" s="201" t="s">
        <v>49</v>
      </c>
      <c r="C21" s="462">
        <v>0</v>
      </c>
      <c r="D21" s="461">
        <v>1</v>
      </c>
      <c r="E21" s="461">
        <v>2</v>
      </c>
      <c r="F21" s="461">
        <v>3</v>
      </c>
      <c r="G21" s="461">
        <v>4</v>
      </c>
      <c r="H21" s="461">
        <v>5</v>
      </c>
      <c r="I21" s="461">
        <v>6</v>
      </c>
      <c r="J21" s="461">
        <v>7</v>
      </c>
      <c r="K21" s="461">
        <v>8</v>
      </c>
      <c r="L21" s="461">
        <v>9</v>
      </c>
      <c r="M21" s="461">
        <v>10</v>
      </c>
    </row>
    <row r="22" spans="1:19" x14ac:dyDescent="0.25">
      <c r="A22" s="2"/>
      <c r="B22" s="2" t="s">
        <v>401</v>
      </c>
      <c r="C22" s="469">
        <f>A21*$C$6</f>
        <v>22.1</v>
      </c>
      <c r="D22" s="258">
        <f>A21*(E$7+E$8)</f>
        <v>19.555147000000002</v>
      </c>
      <c r="E22" s="258">
        <f>A21*(E$9+E$10)</f>
        <v>24.062101714285717</v>
      </c>
      <c r="F22" s="258">
        <f>A21*($E$11+$E$12)</f>
        <v>27.808903657142857</v>
      </c>
      <c r="G22" s="258">
        <f>$A21*($E$15/3)</f>
        <v>28.808548123142856</v>
      </c>
      <c r="H22" s="258">
        <f t="shared" ref="H22:M22" si="2">$A21*($E$15/3)</f>
        <v>28.808548123142856</v>
      </c>
      <c r="I22" s="258">
        <f t="shared" si="2"/>
        <v>28.808548123142856</v>
      </c>
      <c r="J22" s="258">
        <f t="shared" si="2"/>
        <v>28.808548123142856</v>
      </c>
      <c r="K22" s="258">
        <f t="shared" si="2"/>
        <v>28.808548123142856</v>
      </c>
      <c r="L22" s="258">
        <f t="shared" si="2"/>
        <v>28.808548123142856</v>
      </c>
      <c r="M22" s="258">
        <f t="shared" si="2"/>
        <v>28.808548123142856</v>
      </c>
    </row>
    <row r="23" spans="1:19" ht="15" customHeight="1" x14ac:dyDescent="0.25">
      <c r="A23" s="1"/>
      <c r="B23" s="1" t="s">
        <v>440</v>
      </c>
      <c r="C23" s="470">
        <v>0</v>
      </c>
      <c r="D23" s="259">
        <f>A21*($G$14/3)</f>
        <v>1.4224002095238095</v>
      </c>
      <c r="E23" s="259">
        <f>A21*($G$14/3)</f>
        <v>1.4224002095238095</v>
      </c>
      <c r="F23" s="259">
        <f>A21*($G$14/3)</f>
        <v>1.4224002095238095</v>
      </c>
      <c r="G23" s="259">
        <f>$A21*($G$15/3)</f>
        <v>1.7068802514285712</v>
      </c>
      <c r="H23" s="259">
        <f t="shared" ref="H23:M23" si="3">$A21*($G$15/3)</f>
        <v>1.7068802514285712</v>
      </c>
      <c r="I23" s="259">
        <f t="shared" si="3"/>
        <v>1.7068802514285712</v>
      </c>
      <c r="J23" s="259">
        <f t="shared" si="3"/>
        <v>1.7068802514285712</v>
      </c>
      <c r="K23" s="259">
        <f t="shared" si="3"/>
        <v>1.7068802514285712</v>
      </c>
      <c r="L23" s="259">
        <f t="shared" si="3"/>
        <v>1.7068802514285712</v>
      </c>
      <c r="M23" s="259">
        <f t="shared" si="3"/>
        <v>1.7068802514285712</v>
      </c>
    </row>
    <row r="24" spans="1:19" hidden="1" x14ac:dyDescent="0.25">
      <c r="A24" s="225" t="s">
        <v>441</v>
      </c>
      <c r="C24" s="239">
        <v>0</v>
      </c>
      <c r="D24" s="237">
        <f>H7+H8</f>
        <v>6.5625000000000003E-2</v>
      </c>
      <c r="E24" s="237">
        <f>H9+H10</f>
        <v>2.32639</v>
      </c>
      <c r="F24" s="237">
        <f>$H$11+$H$12</f>
        <v>3.5079383428571429</v>
      </c>
      <c r="G24" s="236">
        <f t="shared" ref="G24:M24" si="4">$H$11+$H$12</f>
        <v>3.5079383428571429</v>
      </c>
      <c r="H24" s="236">
        <f t="shared" si="4"/>
        <v>3.5079383428571429</v>
      </c>
      <c r="I24" s="236">
        <f t="shared" si="4"/>
        <v>3.5079383428571429</v>
      </c>
      <c r="J24" s="236">
        <f t="shared" si="4"/>
        <v>3.5079383428571429</v>
      </c>
      <c r="K24" s="236">
        <f t="shared" si="4"/>
        <v>3.5079383428571429</v>
      </c>
      <c r="L24" s="236">
        <f t="shared" si="4"/>
        <v>3.5079383428571429</v>
      </c>
      <c r="M24" s="236">
        <f t="shared" si="4"/>
        <v>3.5079383428571429</v>
      </c>
    </row>
    <row r="25" spans="1:19" s="225" customFormat="1" x14ac:dyDescent="0.25">
      <c r="A25" s="346" t="s">
        <v>649</v>
      </c>
      <c r="B25" s="346"/>
      <c r="C25" s="346"/>
      <c r="D25" s="346"/>
      <c r="E25" s="346"/>
      <c r="F25" s="346"/>
      <c r="G25" s="346"/>
      <c r="H25" s="346"/>
      <c r="I25" s="346"/>
      <c r="J25" s="346"/>
      <c r="K25" s="346"/>
      <c r="L25" s="346"/>
      <c r="M25" s="346"/>
    </row>
    <row r="27" spans="1:19" x14ac:dyDescent="0.25">
      <c r="A27" s="472" t="s">
        <v>648</v>
      </c>
      <c r="B27" s="450"/>
      <c r="C27" s="450"/>
      <c r="D27" s="450"/>
      <c r="E27" s="450"/>
      <c r="F27" s="450"/>
      <c r="G27" s="450"/>
      <c r="H27" s="450"/>
      <c r="I27" s="450"/>
      <c r="J27" s="450"/>
      <c r="K27" s="450"/>
      <c r="L27" s="450"/>
      <c r="M27" s="450"/>
    </row>
    <row r="28" spans="1:19" x14ac:dyDescent="0.25">
      <c r="A28" s="201"/>
      <c r="B28" s="1"/>
      <c r="C28" s="11" t="s">
        <v>422</v>
      </c>
      <c r="D28" s="1"/>
      <c r="E28" s="1"/>
      <c r="F28" s="1"/>
      <c r="G28" s="1"/>
      <c r="H28" s="1"/>
      <c r="I28" s="1"/>
      <c r="J28" s="1"/>
      <c r="K28" s="1"/>
      <c r="L28" s="1"/>
      <c r="M28" s="1"/>
    </row>
    <row r="29" spans="1:19" x14ac:dyDescent="0.25">
      <c r="A29" s="468">
        <f>C_device_share!M20</f>
        <v>0.66166077738515905</v>
      </c>
      <c r="B29" s="201" t="s">
        <v>49</v>
      </c>
      <c r="C29" s="462">
        <v>0</v>
      </c>
      <c r="D29" s="461">
        <v>1</v>
      </c>
      <c r="E29" s="461">
        <v>2</v>
      </c>
      <c r="F29" s="461">
        <v>3</v>
      </c>
      <c r="G29" s="461">
        <v>4</v>
      </c>
      <c r="H29" s="461">
        <v>5</v>
      </c>
      <c r="I29" s="461">
        <v>6</v>
      </c>
      <c r="J29" s="461">
        <v>7</v>
      </c>
      <c r="K29" s="461">
        <v>8</v>
      </c>
      <c r="L29" s="461">
        <v>9</v>
      </c>
      <c r="M29" s="461">
        <v>10</v>
      </c>
    </row>
    <row r="30" spans="1:19" s="225" customFormat="1" x14ac:dyDescent="0.25">
      <c r="A30" s="346" t="s">
        <v>647</v>
      </c>
      <c r="B30" s="471"/>
      <c r="C30" s="460"/>
      <c r="D30" s="460"/>
      <c r="E30" s="460"/>
      <c r="F30" s="460"/>
      <c r="G30" s="460"/>
      <c r="H30" s="460"/>
      <c r="I30" s="460"/>
      <c r="J30" s="460"/>
      <c r="K30" s="460"/>
      <c r="L30" s="460"/>
      <c r="M30" s="460"/>
    </row>
    <row r="31" spans="1:19" x14ac:dyDescent="0.25">
      <c r="A31" s="7"/>
      <c r="B31" s="370" t="s">
        <v>401</v>
      </c>
      <c r="C31" s="260">
        <f>A29*$C$6</f>
        <v>14.622703180212016</v>
      </c>
      <c r="D31" s="260">
        <f>A29*(E$7+E$8)</f>
        <v>12.938873765901063</v>
      </c>
      <c r="E31" s="260">
        <f>A29*(E$9+E$10)</f>
        <v>15.920948925795056</v>
      </c>
      <c r="F31" s="260">
        <f>A29*($E$11+$E$12)</f>
        <v>18.400060812014136</v>
      </c>
      <c r="G31" s="260">
        <f>$A29*($E$15/3)</f>
        <v>19.061486346496466</v>
      </c>
      <c r="H31" s="260">
        <f t="shared" ref="H31" si="5">$A29*($E$15/3)</f>
        <v>19.061486346496466</v>
      </c>
      <c r="I31" s="260">
        <f t="shared" ref="I31" si="6">$A29*($E$15/3)</f>
        <v>19.061486346496466</v>
      </c>
      <c r="J31" s="260">
        <f t="shared" ref="J31" si="7">$A29*($E$15/3)</f>
        <v>19.061486346496466</v>
      </c>
      <c r="K31" s="260">
        <f t="shared" ref="K31" si="8">$A29*($E$15/3)</f>
        <v>19.061486346496466</v>
      </c>
      <c r="L31" s="260">
        <f t="shared" ref="L31" si="9">$A29*($E$15/3)</f>
        <v>19.061486346496466</v>
      </c>
      <c r="M31" s="260">
        <f t="shared" ref="M31" si="10">$A29*($E$15/3)</f>
        <v>19.061486346496466</v>
      </c>
    </row>
    <row r="32" spans="1:19" x14ac:dyDescent="0.25">
      <c r="A32" s="1"/>
      <c r="B32" s="370" t="s">
        <v>440</v>
      </c>
      <c r="C32" s="260">
        <v>0</v>
      </c>
      <c r="D32" s="260">
        <f>A29*($G$14/3)</f>
        <v>0.94114642838633689</v>
      </c>
      <c r="E32" s="260">
        <f>A29*($G$14/3)</f>
        <v>0.94114642838633689</v>
      </c>
      <c r="F32" s="260">
        <f>A29*($G$14/3)</f>
        <v>0.94114642838633689</v>
      </c>
      <c r="G32" s="260">
        <f>$A29*($G$15/3)</f>
        <v>1.1293757140636043</v>
      </c>
      <c r="H32" s="260">
        <f t="shared" ref="H32:M32" si="11">$A29*($G$15/3)</f>
        <v>1.1293757140636043</v>
      </c>
      <c r="I32" s="260">
        <f t="shared" si="11"/>
        <v>1.1293757140636043</v>
      </c>
      <c r="J32" s="260">
        <f t="shared" si="11"/>
        <v>1.1293757140636043</v>
      </c>
      <c r="K32" s="260">
        <f t="shared" si="11"/>
        <v>1.1293757140636043</v>
      </c>
      <c r="L32" s="260">
        <f t="shared" si="11"/>
        <v>1.1293757140636043</v>
      </c>
      <c r="M32" s="260">
        <f t="shared" si="11"/>
        <v>1.1293757140636043</v>
      </c>
    </row>
    <row r="33" spans="1:19" x14ac:dyDescent="0.25">
      <c r="A33" s="201" t="s">
        <v>646</v>
      </c>
      <c r="B33" s="370"/>
      <c r="C33" s="1"/>
      <c r="D33" s="1"/>
      <c r="E33" s="1"/>
      <c r="F33" s="1"/>
      <c r="G33" s="1"/>
      <c r="H33" s="1"/>
      <c r="I33" s="1"/>
      <c r="J33" s="1"/>
      <c r="K33" s="1"/>
      <c r="L33" s="1"/>
      <c r="M33" s="1"/>
    </row>
    <row r="34" spans="1:19" s="225" customFormat="1" x14ac:dyDescent="0.25">
      <c r="A34" s="1"/>
      <c r="B34" s="370" t="s">
        <v>451</v>
      </c>
      <c r="C34" s="232">
        <v>0</v>
      </c>
      <c r="D34" s="232">
        <f>($N$6+$N$7)/10^6</f>
        <v>1.9166399999999999</v>
      </c>
      <c r="E34" s="232">
        <f>($N$8+$N$9)/10^6</f>
        <v>2.5465800000000001</v>
      </c>
      <c r="F34" s="232">
        <f>($N$10+$N$11)/10^6</f>
        <v>2.8642799999999999</v>
      </c>
      <c r="G34" s="232"/>
      <c r="H34" s="232"/>
      <c r="I34" s="232">
        <f>F34*(1+0.4944)</f>
        <v>4.2803800320000001</v>
      </c>
      <c r="J34" s="232"/>
      <c r="K34" s="232"/>
      <c r="L34" s="232"/>
      <c r="M34" s="232"/>
    </row>
    <row r="35" spans="1:19" s="225" customFormat="1" x14ac:dyDescent="0.25">
      <c r="A35" s="1"/>
      <c r="B35" s="370" t="s">
        <v>446</v>
      </c>
      <c r="C35" s="232">
        <v>0</v>
      </c>
      <c r="D35" s="232">
        <f>($K$6+$K$7)/10^6</f>
        <v>0.15129799999999999</v>
      </c>
      <c r="E35" s="232">
        <f>($K$8+$K$9)/10^6</f>
        <v>0.82449859999999997</v>
      </c>
      <c r="F35" s="232">
        <f>($K$10+$K$11)/10^6</f>
        <v>0.48209769999999996</v>
      </c>
      <c r="G35" s="232">
        <v>0.67275313214074195</v>
      </c>
      <c r="H35" s="232">
        <v>0.86340856428148416</v>
      </c>
      <c r="I35" s="232">
        <f>F35*2.186</f>
        <v>1.0538655721999999</v>
      </c>
      <c r="J35" s="232"/>
      <c r="K35" s="232"/>
      <c r="L35" s="232"/>
      <c r="M35" s="232"/>
    </row>
    <row r="36" spans="1:19" s="225" customFormat="1" x14ac:dyDescent="0.25">
      <c r="A36" s="346" t="s">
        <v>649</v>
      </c>
      <c r="B36" s="346"/>
      <c r="C36" s="346"/>
      <c r="D36" s="346"/>
      <c r="E36" s="346"/>
      <c r="F36" s="346"/>
      <c r="G36" s="346"/>
      <c r="H36" s="346"/>
      <c r="I36" s="346"/>
      <c r="J36" s="346"/>
      <c r="K36" s="346"/>
      <c r="L36" s="346"/>
      <c r="M36" s="346"/>
    </row>
    <row r="41" spans="1:19" x14ac:dyDescent="0.25">
      <c r="S41"/>
    </row>
    <row r="42" spans="1:19" x14ac:dyDescent="0.25">
      <c r="S42"/>
    </row>
  </sheetData>
  <mergeCells count="1">
    <mergeCell ref="G4:H4"/>
  </mergeCell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4"/>
  <dimension ref="A1:U149"/>
  <sheetViews>
    <sheetView workbookViewId="0">
      <selection activeCell="P18" sqref="P18"/>
    </sheetView>
  </sheetViews>
  <sheetFormatPr defaultColWidth="8.7109375" defaultRowHeight="18" customHeight="1" x14ac:dyDescent="0.25"/>
  <cols>
    <col min="1" max="1" width="6.28515625" style="30" customWidth="1"/>
    <col min="2" max="2" width="9.42578125" style="30" customWidth="1"/>
    <col min="3" max="3" width="4.42578125" style="32" customWidth="1"/>
    <col min="4" max="4" width="33.42578125" style="30" customWidth="1"/>
    <col min="5" max="5" width="8.42578125" style="30" customWidth="1"/>
    <col min="6" max="6" width="8.42578125" style="80" customWidth="1"/>
    <col min="7" max="7" width="8.42578125" style="32" customWidth="1"/>
    <col min="8" max="9" width="6" style="30" customWidth="1"/>
    <col min="10" max="10" width="7.140625" style="30" customWidth="1"/>
    <col min="11" max="11" width="10.42578125" style="31" customWidth="1"/>
    <col min="12" max="12" width="1.140625" style="30" customWidth="1"/>
    <col min="13" max="14" width="5.42578125" style="30" customWidth="1"/>
    <col min="15" max="15" width="19.42578125" style="30" bestFit="1" customWidth="1"/>
    <col min="16" max="16384" width="8.7109375" style="30"/>
  </cols>
  <sheetData>
    <row r="1" spans="1:21" ht="18" customHeight="1" x14ac:dyDescent="0.25">
      <c r="A1" s="331" t="str">
        <f>HYPERLINK("#"&amp;ADDRESS(1,1,,,"MASTER"),"M &lt;=")</f>
        <v>M &lt;=</v>
      </c>
    </row>
    <row r="2" spans="1:21" ht="18" customHeight="1" x14ac:dyDescent="0.25">
      <c r="B2" s="27" t="s">
        <v>64</v>
      </c>
      <c r="C2" s="28"/>
      <c r="D2" s="28"/>
      <c r="E2" s="28"/>
      <c r="F2" s="29"/>
      <c r="G2" s="28"/>
      <c r="S2" t="s">
        <v>406</v>
      </c>
      <c r="U2" t="s">
        <v>412</v>
      </c>
    </row>
    <row r="3" spans="1:21" ht="15.75" thickBot="1" x14ac:dyDescent="0.3">
      <c r="D3" s="32"/>
      <c r="E3" s="32"/>
      <c r="F3" s="33"/>
      <c r="H3" s="32"/>
      <c r="I3" s="32"/>
      <c r="J3" s="32"/>
      <c r="K3" s="34"/>
      <c r="M3" s="11">
        <v>1</v>
      </c>
      <c r="N3" s="11" t="s">
        <v>11</v>
      </c>
      <c r="O3" s="11"/>
      <c r="P3" s="11"/>
      <c r="S3" t="s">
        <v>407</v>
      </c>
      <c r="U3" t="s">
        <v>413</v>
      </c>
    </row>
    <row r="4" spans="1:21" ht="15.75" thickBot="1" x14ac:dyDescent="0.3">
      <c r="D4" s="32"/>
      <c r="E4" s="36" t="s">
        <v>65</v>
      </c>
      <c r="F4" s="37" t="s">
        <v>66</v>
      </c>
      <c r="G4" s="38"/>
      <c r="I4" s="39"/>
      <c r="J4" s="39"/>
      <c r="K4" s="40"/>
      <c r="M4" s="1"/>
      <c r="N4" s="1" t="s">
        <v>9</v>
      </c>
      <c r="O4" s="119" t="s">
        <v>16</v>
      </c>
      <c r="P4" s="1" t="s">
        <v>31</v>
      </c>
      <c r="Q4" s="128">
        <f>SUM(J41:J47)</f>
        <v>6.5666666666666664</v>
      </c>
    </row>
    <row r="5" spans="1:21" s="32" customFormat="1" ht="15.75" thickBot="1" x14ac:dyDescent="0.3">
      <c r="D5" s="42" t="s">
        <v>67</v>
      </c>
      <c r="E5" s="43" t="s">
        <v>68</v>
      </c>
      <c r="F5" s="44" t="s">
        <v>69</v>
      </c>
      <c r="G5" s="45" t="s">
        <v>70</v>
      </c>
      <c r="H5" s="41"/>
      <c r="I5" s="46"/>
      <c r="J5" s="46"/>
      <c r="K5" s="47"/>
      <c r="L5" s="30"/>
      <c r="M5" s="1"/>
      <c r="N5" s="1" t="s">
        <v>10</v>
      </c>
      <c r="O5" s="123" t="s">
        <v>17</v>
      </c>
      <c r="P5" s="1" t="s">
        <v>32</v>
      </c>
      <c r="Q5" s="128">
        <f>F39</f>
        <v>0.5</v>
      </c>
    </row>
    <row r="6" spans="1:21" s="32" customFormat="1" ht="15" x14ac:dyDescent="0.25">
      <c r="B6" s="36" t="s">
        <v>71</v>
      </c>
      <c r="C6" s="49">
        <v>1</v>
      </c>
      <c r="D6" s="143" t="s">
        <v>72</v>
      </c>
      <c r="E6" s="50">
        <v>9</v>
      </c>
      <c r="F6" s="51">
        <v>22</v>
      </c>
      <c r="G6" s="52">
        <f t="shared" ref="G6:G69" si="0">F6*E6</f>
        <v>198</v>
      </c>
      <c r="H6" s="41">
        <f>SUM(E6:E11)</f>
        <v>111</v>
      </c>
      <c r="I6" s="41">
        <f>E6/H$6</f>
        <v>8.1081081081081086E-2</v>
      </c>
      <c r="J6" s="41">
        <f>I6*F6</f>
        <v>1.7837837837837838</v>
      </c>
      <c r="K6" s="53"/>
      <c r="L6" s="30"/>
      <c r="M6" s="1"/>
      <c r="N6" s="1" t="s">
        <v>15</v>
      </c>
      <c r="O6" s="121" t="s">
        <v>18</v>
      </c>
      <c r="P6" s="1" t="s">
        <v>33</v>
      </c>
      <c r="Q6" s="128">
        <f>F37</f>
        <v>1.6</v>
      </c>
    </row>
    <row r="7" spans="1:21" s="32" customFormat="1" ht="15" x14ac:dyDescent="0.25">
      <c r="B7" s="54"/>
      <c r="C7" s="55">
        <v>2</v>
      </c>
      <c r="D7" s="144" t="s">
        <v>73</v>
      </c>
      <c r="E7" s="57">
        <v>14</v>
      </c>
      <c r="F7" s="58">
        <v>34</v>
      </c>
      <c r="G7" s="59">
        <f t="shared" si="0"/>
        <v>476</v>
      </c>
      <c r="H7" s="39"/>
      <c r="I7" s="41">
        <f t="shared" ref="I7:I11" si="1">E7/H$6</f>
        <v>0.12612612612612611</v>
      </c>
      <c r="J7" s="41">
        <f t="shared" ref="J7:J11" si="2">I7*F7</f>
        <v>4.288288288288288</v>
      </c>
      <c r="K7" s="53"/>
      <c r="L7" s="30"/>
      <c r="M7" s="11">
        <v>2</v>
      </c>
      <c r="N7" s="11" t="s">
        <v>43</v>
      </c>
      <c r="O7" s="11"/>
      <c r="P7" s="11"/>
      <c r="Q7" s="128"/>
    </row>
    <row r="8" spans="1:21" s="32" customFormat="1" ht="15" x14ac:dyDescent="0.25">
      <c r="B8" s="54"/>
      <c r="C8" s="55">
        <v>3</v>
      </c>
      <c r="D8" s="144" t="s">
        <v>74</v>
      </c>
      <c r="E8" s="57">
        <v>19</v>
      </c>
      <c r="F8" s="58">
        <v>50</v>
      </c>
      <c r="G8" s="59">
        <f t="shared" si="0"/>
        <v>950</v>
      </c>
      <c r="H8" s="41"/>
      <c r="I8" s="41">
        <f t="shared" si="1"/>
        <v>0.17117117117117117</v>
      </c>
      <c r="J8" s="41">
        <f t="shared" si="2"/>
        <v>8.5585585585585591</v>
      </c>
      <c r="K8" s="53"/>
      <c r="L8" s="30"/>
      <c r="M8" s="1"/>
      <c r="N8" s="1" t="s">
        <v>9</v>
      </c>
      <c r="O8" s="126" t="s">
        <v>19</v>
      </c>
      <c r="P8" s="1" t="s">
        <v>34</v>
      </c>
      <c r="Q8" s="128">
        <f>SUM(J107:J108)</f>
        <v>1.3402739726027399</v>
      </c>
    </row>
    <row r="9" spans="1:21" ht="15" x14ac:dyDescent="0.25">
      <c r="B9" s="60"/>
      <c r="C9" s="55">
        <v>4</v>
      </c>
      <c r="D9" s="144" t="s">
        <v>75</v>
      </c>
      <c r="E9" s="57">
        <v>5</v>
      </c>
      <c r="F9" s="58">
        <v>68</v>
      </c>
      <c r="G9" s="59">
        <f t="shared" si="0"/>
        <v>340</v>
      </c>
      <c r="H9" s="41"/>
      <c r="I9" s="41">
        <f t="shared" si="1"/>
        <v>4.5045045045045043E-2</v>
      </c>
      <c r="J9" s="41">
        <f t="shared" si="2"/>
        <v>3.0630630630630629</v>
      </c>
      <c r="K9" s="53"/>
      <c r="M9" s="1"/>
      <c r="N9" s="1" t="s">
        <v>10</v>
      </c>
      <c r="O9" s="125" t="s">
        <v>20</v>
      </c>
      <c r="P9" s="1" t="s">
        <v>34</v>
      </c>
      <c r="Q9" s="128">
        <f>SUM(J104:J106)</f>
        <v>1.3423076923076924</v>
      </c>
    </row>
    <row r="10" spans="1:21" ht="15" x14ac:dyDescent="0.25">
      <c r="B10" s="60"/>
      <c r="C10" s="55">
        <v>5</v>
      </c>
      <c r="D10" s="144" t="s">
        <v>76</v>
      </c>
      <c r="E10" s="57">
        <v>61</v>
      </c>
      <c r="F10" s="58">
        <v>16</v>
      </c>
      <c r="G10" s="59">
        <f t="shared" si="0"/>
        <v>976</v>
      </c>
      <c r="H10" s="41"/>
      <c r="I10" s="41">
        <f t="shared" si="1"/>
        <v>0.5495495495495496</v>
      </c>
      <c r="J10" s="41">
        <f t="shared" si="2"/>
        <v>8.7927927927927936</v>
      </c>
      <c r="K10" s="53"/>
      <c r="M10" s="11">
        <v>3</v>
      </c>
      <c r="N10" s="11" t="s">
        <v>42</v>
      </c>
      <c r="O10" s="11"/>
      <c r="P10" s="11"/>
      <c r="Q10" s="128"/>
    </row>
    <row r="11" spans="1:21" ht="15" x14ac:dyDescent="0.25">
      <c r="B11" s="60"/>
      <c r="C11" s="55">
        <v>6</v>
      </c>
      <c r="D11" s="144" t="s">
        <v>77</v>
      </c>
      <c r="E11" s="57">
        <v>3</v>
      </c>
      <c r="F11" s="58">
        <v>26</v>
      </c>
      <c r="G11" s="59">
        <f t="shared" si="0"/>
        <v>78</v>
      </c>
      <c r="H11" s="41"/>
      <c r="I11" s="41">
        <f t="shared" si="1"/>
        <v>2.7027027027027029E-2</v>
      </c>
      <c r="J11" s="41">
        <f t="shared" si="2"/>
        <v>0.70270270270270274</v>
      </c>
      <c r="K11" s="53"/>
      <c r="M11" s="1"/>
      <c r="N11" s="1" t="s">
        <v>9</v>
      </c>
      <c r="O11" s="129" t="s">
        <v>24</v>
      </c>
      <c r="P11" s="1" t="s">
        <v>35</v>
      </c>
      <c r="Q11" s="128">
        <f>SUM(J86:J88)</f>
        <v>8.2244897959183678</v>
      </c>
    </row>
    <row r="12" spans="1:21" ht="15" x14ac:dyDescent="0.25">
      <c r="B12" s="60"/>
      <c r="C12" s="55">
        <v>7</v>
      </c>
      <c r="D12" s="56" t="s">
        <v>78</v>
      </c>
      <c r="E12" s="57">
        <v>10</v>
      </c>
      <c r="F12" s="58">
        <v>5.5</v>
      </c>
      <c r="G12" s="59">
        <f t="shared" si="0"/>
        <v>55</v>
      </c>
      <c r="H12" s="41"/>
      <c r="I12" s="41"/>
      <c r="J12" s="41"/>
      <c r="K12" s="53"/>
      <c r="M12" s="1"/>
      <c r="N12" s="1" t="s">
        <v>10</v>
      </c>
      <c r="O12" s="133" t="s">
        <v>25</v>
      </c>
      <c r="P12" s="1" t="s">
        <v>36</v>
      </c>
      <c r="Q12" s="128">
        <f>F91</f>
        <v>2.8</v>
      </c>
    </row>
    <row r="13" spans="1:21" ht="15" x14ac:dyDescent="0.25">
      <c r="B13" s="60"/>
      <c r="C13" s="55">
        <v>8</v>
      </c>
      <c r="D13" s="56" t="s">
        <v>79</v>
      </c>
      <c r="E13" s="57">
        <v>12</v>
      </c>
      <c r="F13" s="58">
        <v>5</v>
      </c>
      <c r="G13" s="59">
        <f t="shared" si="0"/>
        <v>60</v>
      </c>
      <c r="H13" s="41"/>
      <c r="I13" s="41"/>
      <c r="J13" s="41"/>
      <c r="K13" s="53"/>
      <c r="M13" s="1"/>
      <c r="N13" s="1" t="s">
        <v>15</v>
      </c>
      <c r="O13" s="135" t="s">
        <v>26</v>
      </c>
      <c r="P13" s="1" t="s">
        <v>37</v>
      </c>
      <c r="Q13" s="128">
        <f>SUM(J93:J95)</f>
        <v>2.8561151079136691</v>
      </c>
    </row>
    <row r="14" spans="1:21" ht="15" x14ac:dyDescent="0.25">
      <c r="B14" s="60"/>
      <c r="C14" s="55">
        <v>9</v>
      </c>
      <c r="D14" s="56" t="s">
        <v>80</v>
      </c>
      <c r="E14" s="57">
        <v>1</v>
      </c>
      <c r="F14" s="58">
        <v>1.5</v>
      </c>
      <c r="G14" s="59">
        <f t="shared" si="0"/>
        <v>1.5</v>
      </c>
      <c r="H14" s="41"/>
      <c r="I14" s="41"/>
      <c r="J14" s="41"/>
      <c r="K14" s="53"/>
      <c r="M14" s="1"/>
      <c r="N14" s="1" t="s">
        <v>21</v>
      </c>
      <c r="O14" s="136" t="s">
        <v>27</v>
      </c>
      <c r="P14" s="1" t="s">
        <v>38</v>
      </c>
      <c r="Q14" s="128">
        <f>F65</f>
        <v>0.9</v>
      </c>
    </row>
    <row r="15" spans="1:21" ht="15" x14ac:dyDescent="0.25">
      <c r="B15" s="60"/>
      <c r="C15" s="55">
        <v>10</v>
      </c>
      <c r="D15" s="146" t="s">
        <v>81</v>
      </c>
      <c r="E15" s="57">
        <v>3</v>
      </c>
      <c r="F15" s="58">
        <v>5.5</v>
      </c>
      <c r="G15" s="59">
        <f t="shared" si="0"/>
        <v>16.5</v>
      </c>
      <c r="H15" s="41">
        <f>SUM(E15:E17)</f>
        <v>65</v>
      </c>
      <c r="I15" s="41">
        <f>E15/H$15</f>
        <v>4.6153846153846156E-2</v>
      </c>
      <c r="J15" s="41">
        <f>I15*F15</f>
        <v>0.25384615384615383</v>
      </c>
      <c r="K15" s="53"/>
      <c r="M15" s="1"/>
      <c r="N15" s="1" t="s">
        <v>22</v>
      </c>
      <c r="O15" s="138" t="s">
        <v>28</v>
      </c>
      <c r="P15" s="1" t="s">
        <v>39</v>
      </c>
      <c r="Q15" s="128">
        <f>SUM(J70:J74)</f>
        <v>1.9605633802816902</v>
      </c>
    </row>
    <row r="16" spans="1:21" ht="15" x14ac:dyDescent="0.25">
      <c r="B16" s="60"/>
      <c r="C16" s="55">
        <v>11</v>
      </c>
      <c r="D16" s="146" t="s">
        <v>82</v>
      </c>
      <c r="E16" s="57">
        <v>53</v>
      </c>
      <c r="F16" s="58">
        <v>8.5</v>
      </c>
      <c r="G16" s="59">
        <f t="shared" si="0"/>
        <v>450.5</v>
      </c>
      <c r="H16" s="41"/>
      <c r="I16" s="41">
        <f t="shared" ref="I16" si="3">E16/H$15</f>
        <v>0.81538461538461537</v>
      </c>
      <c r="J16" s="41">
        <f t="shared" ref="J16:J17" si="4">I16*F16</f>
        <v>6.930769230769231</v>
      </c>
      <c r="K16" s="53"/>
      <c r="M16" s="1"/>
      <c r="N16" s="1" t="s">
        <v>23</v>
      </c>
      <c r="O16" s="142" t="s">
        <v>29</v>
      </c>
      <c r="P16" s="1" t="s">
        <v>40</v>
      </c>
      <c r="Q16" s="128">
        <f>SUM(J99:J100)</f>
        <v>6.7142857142857144</v>
      </c>
    </row>
    <row r="17" spans="2:17" ht="15" x14ac:dyDescent="0.25">
      <c r="B17" s="60"/>
      <c r="C17" s="55">
        <v>12</v>
      </c>
      <c r="D17" s="146" t="s">
        <v>83</v>
      </c>
      <c r="E17" s="57">
        <v>9</v>
      </c>
      <c r="F17" s="58">
        <v>16</v>
      </c>
      <c r="G17" s="59">
        <f t="shared" si="0"/>
        <v>144</v>
      </c>
      <c r="H17" s="41"/>
      <c r="I17" s="41">
        <f>E17/H$15</f>
        <v>0.13846153846153847</v>
      </c>
      <c r="J17" s="41">
        <f t="shared" si="4"/>
        <v>2.2153846153846155</v>
      </c>
      <c r="K17" s="53"/>
      <c r="M17" s="11">
        <v>4</v>
      </c>
      <c r="N17" s="11" t="s">
        <v>2</v>
      </c>
      <c r="O17" s="11"/>
      <c r="P17" s="11"/>
      <c r="Q17" s="128"/>
    </row>
    <row r="18" spans="2:17" ht="15.75" thickBot="1" x14ac:dyDescent="0.3">
      <c r="B18" s="61"/>
      <c r="C18" s="62">
        <v>13</v>
      </c>
      <c r="D18" s="63" t="s">
        <v>84</v>
      </c>
      <c r="E18" s="64">
        <v>63</v>
      </c>
      <c r="F18" s="65">
        <v>0.3</v>
      </c>
      <c r="G18" s="66">
        <f t="shared" si="0"/>
        <v>18.899999999999999</v>
      </c>
      <c r="H18" s="41"/>
      <c r="I18" s="41"/>
      <c r="J18" s="41"/>
      <c r="K18" s="53"/>
      <c r="M18" s="1"/>
      <c r="N18" s="1" t="s">
        <v>9</v>
      </c>
      <c r="O18" s="150" t="s">
        <v>8</v>
      </c>
      <c r="P18" s="1" t="s">
        <v>5</v>
      </c>
      <c r="Q18" s="128">
        <f>0.8*F19+0.2*F20</f>
        <v>2.4799999999999995</v>
      </c>
    </row>
    <row r="19" spans="2:17" s="32" customFormat="1" ht="15" x14ac:dyDescent="0.25">
      <c r="B19" s="36" t="s">
        <v>85</v>
      </c>
      <c r="C19" s="49">
        <v>14</v>
      </c>
      <c r="D19" s="148" t="s">
        <v>86</v>
      </c>
      <c r="E19" s="68">
        <v>76</v>
      </c>
      <c r="F19" s="69">
        <v>2.8</v>
      </c>
      <c r="G19" s="70">
        <f t="shared" si="0"/>
        <v>212.79999999999998</v>
      </c>
      <c r="H19" s="41"/>
      <c r="I19" s="41"/>
      <c r="J19" s="41"/>
      <c r="K19" s="53"/>
      <c r="L19" s="30"/>
      <c r="M19" s="1"/>
      <c r="N19" s="1" t="s">
        <v>10</v>
      </c>
      <c r="O19" s="152" t="s">
        <v>30</v>
      </c>
      <c r="P19" s="1" t="s">
        <v>41</v>
      </c>
      <c r="Q19" s="128">
        <f>F31</f>
        <v>6.5</v>
      </c>
    </row>
    <row r="20" spans="2:17" ht="15" x14ac:dyDescent="0.25">
      <c r="B20" s="60"/>
      <c r="C20" s="55">
        <v>15</v>
      </c>
      <c r="D20" s="149" t="s">
        <v>87</v>
      </c>
      <c r="E20" s="57">
        <v>6</v>
      </c>
      <c r="F20" s="58">
        <v>1.2</v>
      </c>
      <c r="G20" s="59">
        <f t="shared" si="0"/>
        <v>7.1999999999999993</v>
      </c>
      <c r="H20" s="41"/>
      <c r="I20" s="41"/>
      <c r="J20" s="41"/>
      <c r="K20" s="53"/>
      <c r="M20" s="11">
        <v>5</v>
      </c>
      <c r="N20" s="147" t="s">
        <v>12</v>
      </c>
      <c r="O20" s="147"/>
      <c r="P20" s="14" t="s">
        <v>4</v>
      </c>
      <c r="Q20" s="128">
        <f>SUM(J15:J17)</f>
        <v>9.4</v>
      </c>
    </row>
    <row r="21" spans="2:17" ht="15" x14ac:dyDescent="0.25">
      <c r="B21" s="60"/>
      <c r="C21" s="55">
        <v>16</v>
      </c>
      <c r="D21" s="56" t="s">
        <v>88</v>
      </c>
      <c r="E21" s="57">
        <v>2</v>
      </c>
      <c r="F21" s="58">
        <v>3</v>
      </c>
      <c r="G21" s="59">
        <f t="shared" si="0"/>
        <v>6</v>
      </c>
      <c r="H21" s="41"/>
      <c r="I21" s="41"/>
      <c r="J21" s="41"/>
      <c r="K21" s="53"/>
      <c r="M21" s="11">
        <v>6</v>
      </c>
      <c r="N21" s="145" t="s">
        <v>13</v>
      </c>
      <c r="O21" s="145"/>
      <c r="P21" s="14" t="s">
        <v>3</v>
      </c>
      <c r="Q21" s="128">
        <f>SUM(J6:J11)</f>
        <v>27.189189189189186</v>
      </c>
    </row>
    <row r="22" spans="2:17" ht="12" x14ac:dyDescent="0.25">
      <c r="B22" s="60"/>
      <c r="C22" s="55">
        <v>17</v>
      </c>
      <c r="D22" s="56" t="s">
        <v>89</v>
      </c>
      <c r="E22" s="57">
        <v>3</v>
      </c>
      <c r="F22" s="58">
        <v>8.5</v>
      </c>
      <c r="G22" s="59">
        <f t="shared" si="0"/>
        <v>25.5</v>
      </c>
      <c r="H22" s="41"/>
      <c r="I22" s="41"/>
      <c r="J22" s="41"/>
      <c r="K22" s="53"/>
    </row>
    <row r="23" spans="2:17" ht="12" x14ac:dyDescent="0.25">
      <c r="B23" s="60"/>
      <c r="C23" s="55">
        <v>18</v>
      </c>
      <c r="D23" s="56" t="s">
        <v>90</v>
      </c>
      <c r="E23" s="57">
        <v>2</v>
      </c>
      <c r="F23" s="58">
        <v>5</v>
      </c>
      <c r="G23" s="59">
        <f t="shared" si="0"/>
        <v>10</v>
      </c>
      <c r="H23" s="41"/>
      <c r="I23" s="41"/>
      <c r="J23" s="41"/>
      <c r="K23" s="53"/>
    </row>
    <row r="24" spans="2:17" ht="12" x14ac:dyDescent="0.25">
      <c r="B24" s="60"/>
      <c r="C24" s="55">
        <v>19</v>
      </c>
      <c r="D24" s="56" t="s">
        <v>91</v>
      </c>
      <c r="E24" s="57">
        <v>25</v>
      </c>
      <c r="F24" s="58">
        <v>3.5</v>
      </c>
      <c r="G24" s="59">
        <f t="shared" si="0"/>
        <v>87.5</v>
      </c>
      <c r="H24" s="41"/>
      <c r="I24" s="41"/>
      <c r="J24" s="41"/>
      <c r="K24" s="53"/>
    </row>
    <row r="25" spans="2:17" ht="12" x14ac:dyDescent="0.25">
      <c r="B25" s="60"/>
      <c r="C25" s="55">
        <v>20</v>
      </c>
      <c r="D25" s="56" t="s">
        <v>92</v>
      </c>
      <c r="E25" s="57">
        <v>1</v>
      </c>
      <c r="F25" s="58">
        <v>3.5</v>
      </c>
      <c r="G25" s="59">
        <f t="shared" si="0"/>
        <v>3.5</v>
      </c>
      <c r="H25" s="41"/>
      <c r="I25" s="41"/>
      <c r="J25" s="41"/>
      <c r="K25" s="53"/>
    </row>
    <row r="26" spans="2:17" ht="12" x14ac:dyDescent="0.25">
      <c r="B26" s="60"/>
      <c r="C26" s="55">
        <v>21</v>
      </c>
      <c r="D26" s="56" t="s">
        <v>93</v>
      </c>
      <c r="E26" s="57">
        <v>3</v>
      </c>
      <c r="F26" s="58">
        <v>4</v>
      </c>
      <c r="G26" s="59">
        <f t="shared" si="0"/>
        <v>12</v>
      </c>
      <c r="H26" s="41"/>
      <c r="I26" s="41"/>
      <c r="J26" s="41"/>
      <c r="K26" s="53"/>
    </row>
    <row r="27" spans="2:17" ht="12" x14ac:dyDescent="0.25">
      <c r="B27" s="60"/>
      <c r="C27" s="55">
        <v>22</v>
      </c>
      <c r="D27" s="56" t="s">
        <v>94</v>
      </c>
      <c r="E27" s="57">
        <v>4</v>
      </c>
      <c r="F27" s="58">
        <v>3.5</v>
      </c>
      <c r="G27" s="59">
        <f t="shared" si="0"/>
        <v>14</v>
      </c>
      <c r="H27" s="41"/>
      <c r="I27" s="41"/>
      <c r="J27" s="41"/>
      <c r="K27" s="53"/>
    </row>
    <row r="28" spans="2:17" ht="12" x14ac:dyDescent="0.25">
      <c r="B28" s="60"/>
      <c r="C28" s="55">
        <v>23</v>
      </c>
      <c r="D28" s="56" t="s">
        <v>95</v>
      </c>
      <c r="E28" s="57">
        <v>4</v>
      </c>
      <c r="F28" s="58">
        <v>4</v>
      </c>
      <c r="G28" s="59">
        <f t="shared" si="0"/>
        <v>16</v>
      </c>
      <c r="H28" s="41"/>
      <c r="I28" s="41"/>
      <c r="J28" s="41"/>
      <c r="K28" s="53"/>
    </row>
    <row r="29" spans="2:17" ht="12" x14ac:dyDescent="0.25">
      <c r="B29" s="60"/>
      <c r="C29" s="55">
        <v>24</v>
      </c>
      <c r="D29" s="56" t="s">
        <v>96</v>
      </c>
      <c r="E29" s="57">
        <v>1</v>
      </c>
      <c r="F29" s="58">
        <v>3.5</v>
      </c>
      <c r="G29" s="59">
        <f t="shared" si="0"/>
        <v>3.5</v>
      </c>
      <c r="H29" s="41"/>
      <c r="I29" s="41"/>
      <c r="J29" s="41"/>
      <c r="K29" s="53"/>
    </row>
    <row r="30" spans="2:17" ht="12" x14ac:dyDescent="0.25">
      <c r="B30" s="60"/>
      <c r="C30" s="55">
        <v>25</v>
      </c>
      <c r="D30" s="151" t="s">
        <v>97</v>
      </c>
      <c r="E30" s="57">
        <v>1</v>
      </c>
      <c r="F30" s="58">
        <v>8.5</v>
      </c>
      <c r="G30" s="59">
        <f t="shared" si="0"/>
        <v>8.5</v>
      </c>
      <c r="H30" s="41"/>
      <c r="I30" s="41"/>
      <c r="J30" s="41"/>
      <c r="K30" s="53"/>
    </row>
    <row r="31" spans="2:17" ht="12" x14ac:dyDescent="0.25">
      <c r="B31" s="60"/>
      <c r="C31" s="55">
        <v>26</v>
      </c>
      <c r="D31" s="151" t="s">
        <v>98</v>
      </c>
      <c r="E31" s="57">
        <v>117</v>
      </c>
      <c r="F31" s="58">
        <v>6.5</v>
      </c>
      <c r="G31" s="59">
        <f t="shared" si="0"/>
        <v>760.5</v>
      </c>
      <c r="H31" s="41"/>
      <c r="I31" s="41"/>
      <c r="J31" s="41"/>
      <c r="K31" s="53"/>
    </row>
    <row r="32" spans="2:17" ht="12" x14ac:dyDescent="0.25">
      <c r="B32" s="60"/>
      <c r="C32" s="55">
        <v>27</v>
      </c>
      <c r="D32" s="56" t="s">
        <v>99</v>
      </c>
      <c r="E32" s="57">
        <v>6</v>
      </c>
      <c r="F32" s="58">
        <v>0.6</v>
      </c>
      <c r="G32" s="59">
        <f t="shared" si="0"/>
        <v>3.5999999999999996</v>
      </c>
      <c r="H32" s="41"/>
      <c r="I32" s="41"/>
      <c r="J32" s="41"/>
      <c r="K32" s="53"/>
    </row>
    <row r="33" spans="2:12" ht="12" x14ac:dyDescent="0.25">
      <c r="B33" s="60"/>
      <c r="C33" s="55">
        <v>28</v>
      </c>
      <c r="D33" s="56" t="s">
        <v>100</v>
      </c>
      <c r="E33" s="57">
        <v>9</v>
      </c>
      <c r="F33" s="58">
        <v>2.4</v>
      </c>
      <c r="G33" s="59">
        <f t="shared" si="0"/>
        <v>21.599999999999998</v>
      </c>
      <c r="H33" s="41"/>
      <c r="I33" s="41"/>
      <c r="J33" s="41"/>
      <c r="K33" s="53"/>
    </row>
    <row r="34" spans="2:12" ht="12" x14ac:dyDescent="0.25">
      <c r="B34" s="60"/>
      <c r="C34" s="55">
        <v>29</v>
      </c>
      <c r="D34" s="56" t="s">
        <v>101</v>
      </c>
      <c r="E34" s="57">
        <v>2</v>
      </c>
      <c r="F34" s="58">
        <v>2.8</v>
      </c>
      <c r="G34" s="59">
        <f t="shared" si="0"/>
        <v>5.6</v>
      </c>
      <c r="H34" s="41"/>
      <c r="I34" s="41"/>
      <c r="J34" s="41"/>
      <c r="K34" s="53"/>
    </row>
    <row r="35" spans="2:12" ht="12" x14ac:dyDescent="0.25">
      <c r="B35" s="60"/>
      <c r="C35" s="55">
        <v>30</v>
      </c>
      <c r="D35" s="56" t="s">
        <v>102</v>
      </c>
      <c r="E35" s="57">
        <v>2</v>
      </c>
      <c r="F35" s="58">
        <v>1.6</v>
      </c>
      <c r="G35" s="59">
        <f t="shared" si="0"/>
        <v>3.2</v>
      </c>
      <c r="H35" s="41"/>
      <c r="I35" s="41"/>
      <c r="J35" s="41"/>
      <c r="K35" s="53"/>
    </row>
    <row r="36" spans="2:12" ht="12.75" thickBot="1" x14ac:dyDescent="0.3">
      <c r="B36" s="61"/>
      <c r="C36" s="62">
        <v>31</v>
      </c>
      <c r="D36" s="63" t="s">
        <v>103</v>
      </c>
      <c r="E36" s="64">
        <v>1</v>
      </c>
      <c r="F36" s="65">
        <v>3.5</v>
      </c>
      <c r="G36" s="66">
        <f t="shared" si="0"/>
        <v>3.5</v>
      </c>
      <c r="H36" s="41"/>
      <c r="I36" s="41"/>
      <c r="J36" s="41"/>
      <c r="K36" s="53"/>
    </row>
    <row r="37" spans="2:12" s="32" customFormat="1" ht="12" x14ac:dyDescent="0.25">
      <c r="B37" s="36" t="s">
        <v>104</v>
      </c>
      <c r="C37" s="32">
        <v>32</v>
      </c>
      <c r="D37" s="120" t="s">
        <v>105</v>
      </c>
      <c r="E37" s="68">
        <v>164</v>
      </c>
      <c r="F37" s="69">
        <v>1.6</v>
      </c>
      <c r="G37" s="70">
        <f t="shared" si="0"/>
        <v>262.40000000000003</v>
      </c>
      <c r="H37" s="41"/>
      <c r="I37" s="41"/>
      <c r="J37" s="41"/>
      <c r="K37" s="53"/>
      <c r="L37" s="30"/>
    </row>
    <row r="38" spans="2:12" ht="12" x14ac:dyDescent="0.25">
      <c r="B38" s="60"/>
      <c r="C38" s="32">
        <v>33</v>
      </c>
      <c r="D38" s="122" t="s">
        <v>106</v>
      </c>
      <c r="E38" s="57">
        <v>134</v>
      </c>
      <c r="F38" s="58">
        <v>0.5</v>
      </c>
      <c r="G38" s="59">
        <f t="shared" si="0"/>
        <v>67</v>
      </c>
      <c r="H38" s="41"/>
      <c r="I38" s="41"/>
      <c r="J38" s="41"/>
      <c r="K38" s="53"/>
    </row>
    <row r="39" spans="2:12" ht="12" x14ac:dyDescent="0.25">
      <c r="B39" s="60"/>
      <c r="C39" s="32">
        <v>34</v>
      </c>
      <c r="D39" s="122" t="s">
        <v>107</v>
      </c>
      <c r="E39" s="57">
        <v>5</v>
      </c>
      <c r="F39" s="58">
        <v>0.5</v>
      </c>
      <c r="G39" s="59">
        <f t="shared" si="0"/>
        <v>2.5</v>
      </c>
      <c r="H39" s="41"/>
      <c r="I39" s="41"/>
      <c r="J39" s="41"/>
      <c r="K39" s="53"/>
    </row>
    <row r="40" spans="2:12" ht="12" x14ac:dyDescent="0.25">
      <c r="B40" s="60"/>
      <c r="C40" s="32">
        <v>35</v>
      </c>
      <c r="D40" s="56" t="s">
        <v>108</v>
      </c>
      <c r="E40" s="57">
        <v>94</v>
      </c>
      <c r="F40" s="58">
        <v>0.6</v>
      </c>
      <c r="G40" s="59">
        <f t="shared" si="0"/>
        <v>56.4</v>
      </c>
      <c r="H40" s="41"/>
      <c r="I40" s="41"/>
      <c r="J40" s="41"/>
      <c r="K40" s="53"/>
    </row>
    <row r="41" spans="2:12" ht="12" x14ac:dyDescent="0.25">
      <c r="B41" s="60"/>
      <c r="C41" s="32">
        <v>36</v>
      </c>
      <c r="D41" s="118" t="s">
        <v>109</v>
      </c>
      <c r="E41" s="57">
        <v>37</v>
      </c>
      <c r="F41" s="58">
        <v>7.5</v>
      </c>
      <c r="G41" s="59">
        <f t="shared" si="0"/>
        <v>277.5</v>
      </c>
      <c r="H41" s="41">
        <f>SUM(E41:E44,E46,E47)</f>
        <v>60</v>
      </c>
      <c r="I41" s="41">
        <f>E41/H$41</f>
        <v>0.6166666666666667</v>
      </c>
      <c r="J41" s="41">
        <f>I41*F41</f>
        <v>4.625</v>
      </c>
      <c r="K41" s="53"/>
    </row>
    <row r="42" spans="2:12" ht="12" x14ac:dyDescent="0.25">
      <c r="B42" s="60"/>
      <c r="C42" s="32">
        <v>37</v>
      </c>
      <c r="D42" s="118" t="s">
        <v>110</v>
      </c>
      <c r="E42" s="57">
        <v>2</v>
      </c>
      <c r="F42" s="58">
        <v>7</v>
      </c>
      <c r="G42" s="59">
        <f t="shared" si="0"/>
        <v>14</v>
      </c>
      <c r="H42" s="41"/>
      <c r="I42" s="41">
        <f t="shared" ref="I42:I47" si="5">E42/H$41</f>
        <v>3.3333333333333333E-2</v>
      </c>
      <c r="J42" s="41">
        <f t="shared" ref="J42:J47" si="6">I42*F42</f>
        <v>0.23333333333333334</v>
      </c>
      <c r="K42" s="53"/>
    </row>
    <row r="43" spans="2:12" ht="12" x14ac:dyDescent="0.25">
      <c r="B43" s="60"/>
      <c r="C43" s="32">
        <v>38</v>
      </c>
      <c r="D43" s="118" t="s">
        <v>111</v>
      </c>
      <c r="E43" s="57">
        <v>9</v>
      </c>
      <c r="F43" s="58">
        <v>4</v>
      </c>
      <c r="G43" s="59">
        <f t="shared" si="0"/>
        <v>36</v>
      </c>
      <c r="H43" s="41"/>
      <c r="I43" s="41">
        <f t="shared" si="5"/>
        <v>0.15</v>
      </c>
      <c r="J43" s="41">
        <f t="shared" si="6"/>
        <v>0.6</v>
      </c>
      <c r="K43" s="53"/>
    </row>
    <row r="44" spans="2:12" ht="12" x14ac:dyDescent="0.25">
      <c r="B44" s="60"/>
      <c r="C44" s="32">
        <v>39</v>
      </c>
      <c r="D44" s="118" t="s">
        <v>112</v>
      </c>
      <c r="E44" s="57">
        <v>7</v>
      </c>
      <c r="F44" s="58">
        <v>4.5</v>
      </c>
      <c r="G44" s="59">
        <f t="shared" si="0"/>
        <v>31.5</v>
      </c>
      <c r="H44" s="41"/>
      <c r="I44" s="41">
        <f t="shared" si="5"/>
        <v>0.11666666666666667</v>
      </c>
      <c r="J44" s="41">
        <f t="shared" si="6"/>
        <v>0.52500000000000002</v>
      </c>
      <c r="K44" s="53"/>
    </row>
    <row r="45" spans="2:12" ht="12" x14ac:dyDescent="0.25">
      <c r="B45" s="60"/>
      <c r="C45" s="32">
        <v>40</v>
      </c>
      <c r="D45" s="56" t="s">
        <v>113</v>
      </c>
      <c r="E45" s="57">
        <v>7</v>
      </c>
      <c r="F45" s="58">
        <v>6</v>
      </c>
      <c r="G45" s="59">
        <f t="shared" si="0"/>
        <v>42</v>
      </c>
      <c r="H45" s="41"/>
      <c r="I45" s="41"/>
      <c r="J45" s="41"/>
      <c r="K45" s="53"/>
    </row>
    <row r="46" spans="2:12" ht="12" x14ac:dyDescent="0.25">
      <c r="B46" s="60"/>
      <c r="C46" s="32">
        <v>41</v>
      </c>
      <c r="D46" s="118" t="s">
        <v>114</v>
      </c>
      <c r="E46" s="57">
        <v>3</v>
      </c>
      <c r="F46" s="58">
        <v>7</v>
      </c>
      <c r="G46" s="59">
        <f t="shared" si="0"/>
        <v>21</v>
      </c>
      <c r="H46" s="41"/>
      <c r="I46" s="41">
        <f t="shared" si="5"/>
        <v>0.05</v>
      </c>
      <c r="J46" s="41">
        <f t="shared" si="6"/>
        <v>0.35000000000000003</v>
      </c>
      <c r="K46" s="53"/>
    </row>
    <row r="47" spans="2:12" ht="12" x14ac:dyDescent="0.25">
      <c r="B47" s="60"/>
      <c r="C47" s="32">
        <v>42</v>
      </c>
      <c r="D47" s="118" t="s">
        <v>115</v>
      </c>
      <c r="E47" s="57">
        <v>2</v>
      </c>
      <c r="F47" s="58">
        <v>7</v>
      </c>
      <c r="G47" s="59">
        <f t="shared" si="0"/>
        <v>14</v>
      </c>
      <c r="H47" s="41"/>
      <c r="I47" s="41">
        <f t="shared" si="5"/>
        <v>3.3333333333333333E-2</v>
      </c>
      <c r="J47" s="41">
        <f t="shared" si="6"/>
        <v>0.23333333333333334</v>
      </c>
      <c r="K47" s="53"/>
    </row>
    <row r="48" spans="2:12" ht="12" x14ac:dyDescent="0.25">
      <c r="B48" s="60"/>
      <c r="C48" s="32">
        <v>43</v>
      </c>
      <c r="D48" s="56" t="s">
        <v>116</v>
      </c>
      <c r="E48" s="57">
        <v>2</v>
      </c>
      <c r="F48" s="58">
        <v>2</v>
      </c>
      <c r="G48" s="59">
        <f t="shared" si="0"/>
        <v>4</v>
      </c>
      <c r="H48" s="41"/>
      <c r="I48" s="41"/>
      <c r="J48" s="41"/>
      <c r="K48" s="53"/>
    </row>
    <row r="49" spans="2:12" ht="12" x14ac:dyDescent="0.25">
      <c r="B49" s="60"/>
      <c r="C49" s="32">
        <v>44</v>
      </c>
      <c r="D49" s="56" t="s">
        <v>117</v>
      </c>
      <c r="E49" s="57">
        <v>2</v>
      </c>
      <c r="F49" s="58">
        <v>3.5</v>
      </c>
      <c r="G49" s="59">
        <f t="shared" si="0"/>
        <v>7</v>
      </c>
      <c r="H49" s="41"/>
      <c r="I49" s="41"/>
      <c r="J49" s="41"/>
      <c r="K49" s="53"/>
    </row>
    <row r="50" spans="2:12" ht="12" x14ac:dyDescent="0.25">
      <c r="B50" s="60"/>
      <c r="C50" s="32">
        <v>45</v>
      </c>
      <c r="D50" s="56" t="s">
        <v>118</v>
      </c>
      <c r="E50" s="57">
        <v>3</v>
      </c>
      <c r="F50" s="58">
        <v>0.6</v>
      </c>
      <c r="G50" s="59">
        <f t="shared" si="0"/>
        <v>1.7999999999999998</v>
      </c>
      <c r="H50" s="41"/>
      <c r="I50" s="41"/>
      <c r="J50" s="41"/>
      <c r="K50" s="53"/>
    </row>
    <row r="51" spans="2:12" ht="12" x14ac:dyDescent="0.25">
      <c r="B51" s="60"/>
      <c r="C51" s="32">
        <v>46</v>
      </c>
      <c r="D51" s="56" t="s">
        <v>119</v>
      </c>
      <c r="E51" s="57">
        <v>1</v>
      </c>
      <c r="F51" s="58">
        <v>0.4</v>
      </c>
      <c r="G51" s="59">
        <f t="shared" si="0"/>
        <v>0.4</v>
      </c>
      <c r="H51" s="41"/>
      <c r="I51" s="41"/>
      <c r="J51" s="41"/>
      <c r="K51" s="53"/>
    </row>
    <row r="52" spans="2:12" ht="12" x14ac:dyDescent="0.25">
      <c r="B52" s="60"/>
      <c r="C52" s="32">
        <v>47</v>
      </c>
      <c r="D52" s="56" t="s">
        <v>120</v>
      </c>
      <c r="E52" s="57">
        <v>79</v>
      </c>
      <c r="F52" s="58">
        <v>2.4</v>
      </c>
      <c r="G52" s="59">
        <f t="shared" si="0"/>
        <v>189.6</v>
      </c>
      <c r="H52" s="41"/>
      <c r="I52" s="41"/>
      <c r="J52" s="41"/>
      <c r="K52" s="53"/>
    </row>
    <row r="53" spans="2:12" ht="12" x14ac:dyDescent="0.25">
      <c r="B53" s="60"/>
      <c r="C53" s="32">
        <v>48</v>
      </c>
      <c r="D53" s="56" t="s">
        <v>121</v>
      </c>
      <c r="E53" s="57">
        <v>2</v>
      </c>
      <c r="F53" s="58">
        <v>5</v>
      </c>
      <c r="G53" s="59">
        <f t="shared" si="0"/>
        <v>10</v>
      </c>
      <c r="H53" s="41"/>
      <c r="I53" s="41"/>
      <c r="J53" s="41"/>
      <c r="K53" s="53"/>
    </row>
    <row r="54" spans="2:12" ht="12" x14ac:dyDescent="0.25">
      <c r="B54" s="60"/>
      <c r="C54" s="32">
        <v>49</v>
      </c>
      <c r="D54" s="56" t="s">
        <v>122</v>
      </c>
      <c r="E54" s="57">
        <v>51</v>
      </c>
      <c r="F54" s="58">
        <v>1.2</v>
      </c>
      <c r="G54" s="59">
        <f t="shared" si="0"/>
        <v>61.199999999999996</v>
      </c>
      <c r="H54" s="41"/>
      <c r="I54" s="41"/>
      <c r="J54" s="41"/>
      <c r="K54" s="53"/>
    </row>
    <row r="55" spans="2:12" ht="12" x14ac:dyDescent="0.25">
      <c r="B55" s="60"/>
      <c r="C55" s="32">
        <v>50</v>
      </c>
      <c r="D55" s="56" t="s">
        <v>123</v>
      </c>
      <c r="E55" s="57">
        <v>30</v>
      </c>
      <c r="F55" s="58">
        <v>0.3</v>
      </c>
      <c r="G55" s="59">
        <f t="shared" si="0"/>
        <v>9</v>
      </c>
      <c r="H55" s="41"/>
      <c r="I55" s="41"/>
      <c r="J55" s="41"/>
      <c r="K55" s="53"/>
    </row>
    <row r="56" spans="2:12" ht="12.75" thickBot="1" x14ac:dyDescent="0.3">
      <c r="B56" s="60"/>
      <c r="C56" s="32">
        <v>51</v>
      </c>
      <c r="D56" s="63" t="s">
        <v>124</v>
      </c>
      <c r="E56" s="64">
        <v>3</v>
      </c>
      <c r="F56" s="65">
        <v>2.5</v>
      </c>
      <c r="G56" s="66">
        <f t="shared" si="0"/>
        <v>7.5</v>
      </c>
      <c r="H56" s="41"/>
      <c r="I56" s="41"/>
      <c r="J56" s="41"/>
      <c r="K56" s="53"/>
    </row>
    <row r="57" spans="2:12" s="32" customFormat="1" ht="12" x14ac:dyDescent="0.25">
      <c r="B57" s="36" t="s">
        <v>2</v>
      </c>
      <c r="C57" s="71">
        <v>52</v>
      </c>
      <c r="D57" s="67" t="s">
        <v>125</v>
      </c>
      <c r="E57" s="68">
        <v>26</v>
      </c>
      <c r="F57" s="69">
        <v>8.5</v>
      </c>
      <c r="G57" s="70">
        <f t="shared" si="0"/>
        <v>221</v>
      </c>
      <c r="H57" s="41"/>
      <c r="I57" s="41"/>
      <c r="J57" s="41"/>
      <c r="K57" s="53"/>
      <c r="L57" s="30"/>
    </row>
    <row r="58" spans="2:12" ht="12" x14ac:dyDescent="0.25">
      <c r="B58" s="60"/>
      <c r="C58" s="41">
        <v>53</v>
      </c>
      <c r="D58" s="56" t="s">
        <v>126</v>
      </c>
      <c r="E58" s="57">
        <v>3</v>
      </c>
      <c r="F58" s="58">
        <v>5.5</v>
      </c>
      <c r="G58" s="59">
        <f t="shared" si="0"/>
        <v>16.5</v>
      </c>
      <c r="H58" s="41"/>
      <c r="I58" s="41"/>
      <c r="J58" s="41"/>
      <c r="K58" s="53"/>
    </row>
    <row r="59" spans="2:12" ht="12" x14ac:dyDescent="0.25">
      <c r="B59" s="60"/>
      <c r="C59" s="41">
        <v>54</v>
      </c>
      <c r="D59" s="56" t="s">
        <v>127</v>
      </c>
      <c r="E59" s="57">
        <v>15</v>
      </c>
      <c r="F59" s="58">
        <v>1</v>
      </c>
      <c r="G59" s="59">
        <f t="shared" si="0"/>
        <v>15</v>
      </c>
      <c r="H59" s="41"/>
      <c r="I59" s="41"/>
      <c r="J59" s="41"/>
      <c r="K59" s="53"/>
    </row>
    <row r="60" spans="2:12" ht="12" x14ac:dyDescent="0.25">
      <c r="B60" s="60"/>
      <c r="C60" s="41">
        <v>55</v>
      </c>
      <c r="D60" s="56" t="s">
        <v>128</v>
      </c>
      <c r="E60" s="57">
        <v>23</v>
      </c>
      <c r="F60" s="58">
        <v>9</v>
      </c>
      <c r="G60" s="59">
        <f t="shared" si="0"/>
        <v>207</v>
      </c>
      <c r="H60" s="41"/>
      <c r="I60" s="41"/>
      <c r="J60" s="41"/>
      <c r="K60" s="53"/>
    </row>
    <row r="61" spans="2:12" ht="12" x14ac:dyDescent="0.25">
      <c r="B61" s="60"/>
      <c r="C61" s="41">
        <v>56</v>
      </c>
      <c r="D61" s="56" t="s">
        <v>129</v>
      </c>
      <c r="E61" s="57">
        <v>8</v>
      </c>
      <c r="F61" s="58">
        <v>7.5</v>
      </c>
      <c r="G61" s="59">
        <f t="shared" si="0"/>
        <v>60</v>
      </c>
      <c r="H61" s="41"/>
      <c r="I61" s="41"/>
      <c r="J61" s="41"/>
      <c r="K61" s="53"/>
    </row>
    <row r="62" spans="2:12" ht="12" x14ac:dyDescent="0.25">
      <c r="B62" s="60"/>
      <c r="C62" s="41">
        <v>57</v>
      </c>
      <c r="D62" s="56" t="s">
        <v>130</v>
      </c>
      <c r="E62" s="57">
        <v>8</v>
      </c>
      <c r="F62" s="58">
        <v>0.3</v>
      </c>
      <c r="G62" s="59">
        <f t="shared" si="0"/>
        <v>2.4</v>
      </c>
      <c r="H62" s="41"/>
      <c r="I62" s="41"/>
      <c r="J62" s="41"/>
      <c r="K62" s="53"/>
    </row>
    <row r="63" spans="2:12" ht="12.75" thickBot="1" x14ac:dyDescent="0.3">
      <c r="B63" s="61"/>
      <c r="C63" s="72">
        <v>58</v>
      </c>
      <c r="D63" s="73" t="s">
        <v>131</v>
      </c>
      <c r="E63" s="74">
        <v>1</v>
      </c>
      <c r="F63" s="75">
        <v>0.6</v>
      </c>
      <c r="G63" s="76">
        <f t="shared" si="0"/>
        <v>0.6</v>
      </c>
      <c r="H63" s="41"/>
      <c r="I63" s="41"/>
      <c r="J63" s="41"/>
      <c r="K63" s="53"/>
    </row>
    <row r="64" spans="2:12" s="32" customFormat="1" ht="12" x14ac:dyDescent="0.25">
      <c r="B64" s="36" t="s">
        <v>132</v>
      </c>
      <c r="C64" s="71">
        <v>59</v>
      </c>
      <c r="D64" s="67" t="s">
        <v>133</v>
      </c>
      <c r="E64" s="68">
        <v>305</v>
      </c>
      <c r="F64" s="69">
        <v>0.4</v>
      </c>
      <c r="G64" s="70">
        <f t="shared" si="0"/>
        <v>122</v>
      </c>
      <c r="H64" s="41"/>
      <c r="I64" s="41"/>
      <c r="J64" s="41"/>
      <c r="K64" s="53"/>
      <c r="L64" s="30"/>
    </row>
    <row r="65" spans="2:11" ht="12" x14ac:dyDescent="0.25">
      <c r="B65" s="60"/>
      <c r="C65" s="41">
        <v>60</v>
      </c>
      <c r="D65" s="137" t="s">
        <v>134</v>
      </c>
      <c r="E65" s="57">
        <v>108</v>
      </c>
      <c r="F65" s="58">
        <v>0.9</v>
      </c>
      <c r="G65" s="59">
        <f t="shared" si="0"/>
        <v>97.2</v>
      </c>
      <c r="H65" s="41"/>
      <c r="I65" s="41"/>
      <c r="J65" s="41"/>
      <c r="K65" s="53"/>
    </row>
    <row r="66" spans="2:11" ht="12" x14ac:dyDescent="0.25">
      <c r="B66" s="60"/>
      <c r="C66" s="41">
        <v>61</v>
      </c>
      <c r="D66" s="56" t="s">
        <v>135</v>
      </c>
      <c r="E66" s="57">
        <v>32</v>
      </c>
      <c r="F66" s="58">
        <v>9</v>
      </c>
      <c r="G66" s="59">
        <f t="shared" si="0"/>
        <v>288</v>
      </c>
      <c r="H66" s="41"/>
      <c r="I66" s="41"/>
      <c r="J66" s="41"/>
      <c r="K66" s="53"/>
    </row>
    <row r="67" spans="2:11" ht="12" x14ac:dyDescent="0.25">
      <c r="B67" s="60"/>
      <c r="C67" s="41">
        <v>62</v>
      </c>
      <c r="D67" s="56" t="s">
        <v>136</v>
      </c>
      <c r="E67" s="57">
        <v>1</v>
      </c>
      <c r="F67" s="58">
        <v>2.5</v>
      </c>
      <c r="G67" s="59">
        <f t="shared" si="0"/>
        <v>2.5</v>
      </c>
      <c r="H67" s="41"/>
      <c r="I67" s="41"/>
      <c r="J67" s="41"/>
      <c r="K67" s="53"/>
    </row>
    <row r="68" spans="2:11" ht="12" x14ac:dyDescent="0.25">
      <c r="B68" s="60"/>
      <c r="C68" s="41">
        <v>63</v>
      </c>
      <c r="D68" s="56" t="s">
        <v>137</v>
      </c>
      <c r="E68" s="57">
        <v>6</v>
      </c>
      <c r="F68" s="58">
        <v>0.1</v>
      </c>
      <c r="G68" s="59">
        <f t="shared" si="0"/>
        <v>0.60000000000000009</v>
      </c>
      <c r="H68" s="41"/>
      <c r="I68" s="41"/>
      <c r="J68" s="41"/>
      <c r="K68" s="53"/>
    </row>
    <row r="69" spans="2:11" ht="12" x14ac:dyDescent="0.25">
      <c r="B69" s="60"/>
      <c r="C69" s="41">
        <v>64</v>
      </c>
      <c r="D69" s="56" t="s">
        <v>138</v>
      </c>
      <c r="E69" s="57">
        <v>9</v>
      </c>
      <c r="F69" s="58">
        <v>0.1</v>
      </c>
      <c r="G69" s="59">
        <f t="shared" si="0"/>
        <v>0.9</v>
      </c>
      <c r="H69" s="41"/>
      <c r="I69" s="41"/>
      <c r="J69" s="41"/>
      <c r="K69" s="53"/>
    </row>
    <row r="70" spans="2:11" ht="12" x14ac:dyDescent="0.25">
      <c r="B70" s="60"/>
      <c r="C70" s="41">
        <v>65</v>
      </c>
      <c r="D70" s="139" t="s">
        <v>139</v>
      </c>
      <c r="E70" s="57">
        <v>26</v>
      </c>
      <c r="F70" s="58">
        <v>0.7</v>
      </c>
      <c r="G70" s="59">
        <f t="shared" ref="G70:G119" si="7">F70*E70</f>
        <v>18.2</v>
      </c>
      <c r="H70" s="41">
        <f>SUM(E70:E74)</f>
        <v>71</v>
      </c>
      <c r="I70" s="41">
        <f>E70/H$70</f>
        <v>0.36619718309859156</v>
      </c>
      <c r="J70" s="41">
        <f t="shared" ref="J70" si="8">I70*F70</f>
        <v>0.25633802816901408</v>
      </c>
      <c r="K70" s="53"/>
    </row>
    <row r="71" spans="2:11" ht="12" x14ac:dyDescent="0.25">
      <c r="B71" s="60"/>
      <c r="C71" s="41">
        <v>66</v>
      </c>
      <c r="D71" s="139" t="s">
        <v>140</v>
      </c>
      <c r="E71" s="57">
        <v>27</v>
      </c>
      <c r="F71" s="58">
        <v>1</v>
      </c>
      <c r="G71" s="59">
        <f t="shared" si="7"/>
        <v>27</v>
      </c>
      <c r="H71" s="41"/>
      <c r="I71" s="41">
        <f t="shared" ref="I71:I74" si="9">E71/H$70</f>
        <v>0.38028169014084506</v>
      </c>
      <c r="J71" s="41">
        <f t="shared" ref="J71:J74" si="10">I71*F71</f>
        <v>0.38028169014084506</v>
      </c>
      <c r="K71" s="53"/>
    </row>
    <row r="72" spans="2:11" ht="12" x14ac:dyDescent="0.25">
      <c r="B72" s="60"/>
      <c r="C72" s="41">
        <v>67</v>
      </c>
      <c r="D72" s="139" t="s">
        <v>141</v>
      </c>
      <c r="E72" s="57">
        <v>4</v>
      </c>
      <c r="F72" s="58">
        <v>3</v>
      </c>
      <c r="G72" s="59">
        <f t="shared" si="7"/>
        <v>12</v>
      </c>
      <c r="H72" s="41"/>
      <c r="I72" s="41">
        <f t="shared" si="9"/>
        <v>5.6338028169014086E-2</v>
      </c>
      <c r="J72" s="41">
        <f t="shared" si="10"/>
        <v>0.16901408450704225</v>
      </c>
      <c r="K72" s="53"/>
    </row>
    <row r="73" spans="2:11" ht="12" x14ac:dyDescent="0.25">
      <c r="B73" s="60"/>
      <c r="C73" s="41">
        <v>68</v>
      </c>
      <c r="D73" s="139" t="s">
        <v>142</v>
      </c>
      <c r="E73" s="57">
        <v>5</v>
      </c>
      <c r="F73" s="58">
        <v>2</v>
      </c>
      <c r="G73" s="59">
        <f t="shared" si="7"/>
        <v>10</v>
      </c>
      <c r="H73" s="41"/>
      <c r="I73" s="41">
        <f t="shared" si="9"/>
        <v>7.0422535211267609E-2</v>
      </c>
      <c r="J73" s="41">
        <f t="shared" si="10"/>
        <v>0.14084507042253522</v>
      </c>
      <c r="K73" s="53"/>
    </row>
    <row r="74" spans="2:11" ht="12" x14ac:dyDescent="0.25">
      <c r="B74" s="60"/>
      <c r="C74" s="41">
        <v>69</v>
      </c>
      <c r="D74" s="139" t="s">
        <v>143</v>
      </c>
      <c r="E74" s="57">
        <v>9</v>
      </c>
      <c r="F74" s="58">
        <v>8</v>
      </c>
      <c r="G74" s="59">
        <f t="shared" si="7"/>
        <v>72</v>
      </c>
      <c r="H74" s="41"/>
      <c r="I74" s="41">
        <f t="shared" si="9"/>
        <v>0.12676056338028169</v>
      </c>
      <c r="J74" s="41">
        <f t="shared" si="10"/>
        <v>1.0140845070422535</v>
      </c>
      <c r="K74" s="53"/>
    </row>
    <row r="75" spans="2:11" ht="12" x14ac:dyDescent="0.25">
      <c r="B75" s="60"/>
      <c r="C75" s="41">
        <v>70</v>
      </c>
      <c r="D75" s="56" t="s">
        <v>144</v>
      </c>
      <c r="E75" s="57">
        <v>10</v>
      </c>
      <c r="F75" s="58">
        <v>9.5</v>
      </c>
      <c r="G75" s="59">
        <f t="shared" si="7"/>
        <v>95</v>
      </c>
      <c r="H75" s="41"/>
      <c r="I75" s="41"/>
      <c r="J75" s="41"/>
      <c r="K75" s="53"/>
    </row>
    <row r="76" spans="2:11" ht="12" x14ac:dyDescent="0.25">
      <c r="B76" s="60"/>
      <c r="C76" s="41">
        <v>71</v>
      </c>
      <c r="D76" s="56" t="s">
        <v>145</v>
      </c>
      <c r="E76" s="57">
        <v>1</v>
      </c>
      <c r="F76" s="58">
        <v>10</v>
      </c>
      <c r="G76" s="59">
        <f t="shared" si="7"/>
        <v>10</v>
      </c>
      <c r="H76" s="41"/>
      <c r="I76" s="41"/>
      <c r="J76" s="41"/>
      <c r="K76" s="53"/>
    </row>
    <row r="77" spans="2:11" ht="12" x14ac:dyDescent="0.25">
      <c r="B77" s="60"/>
      <c r="C77" s="41">
        <v>72</v>
      </c>
      <c r="D77" s="56" t="s">
        <v>146</v>
      </c>
      <c r="E77" s="57">
        <v>1</v>
      </c>
      <c r="F77" s="58">
        <v>16</v>
      </c>
      <c r="G77" s="59">
        <f t="shared" si="7"/>
        <v>16</v>
      </c>
      <c r="H77" s="41"/>
      <c r="I77" s="41"/>
      <c r="J77" s="41"/>
      <c r="K77" s="53"/>
    </row>
    <row r="78" spans="2:11" ht="12" x14ac:dyDescent="0.25">
      <c r="B78" s="60"/>
      <c r="C78" s="41">
        <v>73</v>
      </c>
      <c r="D78" s="56" t="s">
        <v>147</v>
      </c>
      <c r="E78" s="57">
        <v>5</v>
      </c>
      <c r="F78" s="58">
        <v>2</v>
      </c>
      <c r="G78" s="59">
        <f t="shared" si="7"/>
        <v>10</v>
      </c>
      <c r="H78" s="41"/>
      <c r="I78" s="41"/>
      <c r="J78" s="41"/>
      <c r="K78" s="53"/>
    </row>
    <row r="79" spans="2:11" ht="12" x14ac:dyDescent="0.25">
      <c r="B79" s="60"/>
      <c r="C79" s="41">
        <v>74</v>
      </c>
      <c r="D79" s="56" t="s">
        <v>148</v>
      </c>
      <c r="E79" s="57">
        <v>2</v>
      </c>
      <c r="F79" s="58">
        <v>1.2</v>
      </c>
      <c r="G79" s="59">
        <f t="shared" si="7"/>
        <v>2.4</v>
      </c>
      <c r="H79" s="41"/>
      <c r="I79" s="41"/>
      <c r="J79" s="41"/>
      <c r="K79" s="53"/>
    </row>
    <row r="80" spans="2:11" ht="12" x14ac:dyDescent="0.25">
      <c r="B80" s="60"/>
      <c r="C80" s="41">
        <v>75</v>
      </c>
      <c r="D80" s="56" t="s">
        <v>149</v>
      </c>
      <c r="E80" s="57">
        <v>1</v>
      </c>
      <c r="F80" s="58">
        <v>1.8</v>
      </c>
      <c r="G80" s="59">
        <f t="shared" si="7"/>
        <v>1.8</v>
      </c>
      <c r="H80" s="41"/>
      <c r="I80" s="41"/>
      <c r="J80" s="41"/>
      <c r="K80" s="53"/>
    </row>
    <row r="81" spans="2:12" ht="12" x14ac:dyDescent="0.25">
      <c r="B81" s="60"/>
      <c r="C81" s="41">
        <v>76</v>
      </c>
      <c r="D81" s="56" t="s">
        <v>150</v>
      </c>
      <c r="E81" s="57">
        <v>5</v>
      </c>
      <c r="F81" s="58">
        <v>1.4</v>
      </c>
      <c r="G81" s="59">
        <f t="shared" si="7"/>
        <v>7</v>
      </c>
      <c r="H81" s="41"/>
      <c r="I81" s="41"/>
      <c r="J81" s="41"/>
      <c r="K81" s="53"/>
    </row>
    <row r="82" spans="2:12" ht="12" x14ac:dyDescent="0.25">
      <c r="B82" s="60"/>
      <c r="C82" s="41">
        <v>77</v>
      </c>
      <c r="D82" s="56" t="s">
        <v>151</v>
      </c>
      <c r="E82" s="57">
        <v>2</v>
      </c>
      <c r="F82" s="58">
        <v>0.8</v>
      </c>
      <c r="G82" s="59">
        <f t="shared" si="7"/>
        <v>1.6</v>
      </c>
      <c r="H82" s="41"/>
      <c r="I82" s="41"/>
      <c r="J82" s="41"/>
      <c r="K82" s="53"/>
    </row>
    <row r="83" spans="2:12" ht="12" x14ac:dyDescent="0.25">
      <c r="B83" s="60"/>
      <c r="C83" s="41">
        <v>78</v>
      </c>
      <c r="D83" s="56" t="s">
        <v>152</v>
      </c>
      <c r="E83" s="57">
        <v>12</v>
      </c>
      <c r="F83" s="58">
        <v>0.2</v>
      </c>
      <c r="G83" s="59">
        <f t="shared" si="7"/>
        <v>2.4000000000000004</v>
      </c>
      <c r="H83" s="41"/>
      <c r="I83" s="41"/>
      <c r="J83" s="41"/>
      <c r="K83" s="53"/>
    </row>
    <row r="84" spans="2:12" ht="12" x14ac:dyDescent="0.25">
      <c r="B84" s="60"/>
      <c r="C84" s="41">
        <v>79</v>
      </c>
      <c r="D84" s="56" t="s">
        <v>153</v>
      </c>
      <c r="E84" s="57">
        <v>1</v>
      </c>
      <c r="F84" s="58">
        <v>1.8</v>
      </c>
      <c r="G84" s="59">
        <f t="shared" si="7"/>
        <v>1.8</v>
      </c>
      <c r="H84" s="41"/>
      <c r="I84" s="41"/>
      <c r="J84" s="41"/>
      <c r="K84" s="53"/>
    </row>
    <row r="85" spans="2:12" ht="12.75" thickBot="1" x14ac:dyDescent="0.3">
      <c r="B85" s="61"/>
      <c r="C85" s="72">
        <v>80</v>
      </c>
      <c r="D85" s="73" t="s">
        <v>154</v>
      </c>
      <c r="E85" s="74">
        <v>1</v>
      </c>
      <c r="F85" s="75">
        <v>0.3</v>
      </c>
      <c r="G85" s="77">
        <f t="shared" si="7"/>
        <v>0.3</v>
      </c>
      <c r="H85" s="41"/>
      <c r="I85" s="41"/>
      <c r="J85" s="41"/>
      <c r="K85" s="53"/>
    </row>
    <row r="86" spans="2:12" s="32" customFormat="1" ht="12" x14ac:dyDescent="0.25">
      <c r="B86" s="36" t="s">
        <v>155</v>
      </c>
      <c r="C86" s="49">
        <v>81</v>
      </c>
      <c r="D86" s="130" t="s">
        <v>156</v>
      </c>
      <c r="E86" s="68">
        <v>14</v>
      </c>
      <c r="F86" s="69">
        <v>7</v>
      </c>
      <c r="G86" s="70">
        <f t="shared" si="7"/>
        <v>98</v>
      </c>
      <c r="H86" s="41">
        <f>SUM(E86:E88)</f>
        <v>49</v>
      </c>
      <c r="I86" s="41">
        <f>E86/H$86</f>
        <v>0.2857142857142857</v>
      </c>
      <c r="J86" s="41">
        <f t="shared" ref="J86" si="11">I86*F86</f>
        <v>2</v>
      </c>
      <c r="K86" s="53"/>
      <c r="L86" s="30"/>
    </row>
    <row r="87" spans="2:12" ht="12" x14ac:dyDescent="0.25">
      <c r="B87" s="60"/>
      <c r="C87" s="55">
        <v>82</v>
      </c>
      <c r="D87" s="131" t="s">
        <v>157</v>
      </c>
      <c r="E87" s="57">
        <v>4</v>
      </c>
      <c r="F87" s="58">
        <v>6.5</v>
      </c>
      <c r="G87" s="59">
        <f t="shared" si="7"/>
        <v>26</v>
      </c>
      <c r="H87" s="41"/>
      <c r="I87" s="41">
        <f t="shared" ref="I87:I88" si="12">E87/H$86</f>
        <v>8.1632653061224483E-2</v>
      </c>
      <c r="J87" s="41">
        <f>I87*F87</f>
        <v>0.53061224489795911</v>
      </c>
      <c r="K87" s="53"/>
    </row>
    <row r="88" spans="2:12" ht="12" x14ac:dyDescent="0.25">
      <c r="B88" s="60"/>
      <c r="C88" s="55">
        <v>83</v>
      </c>
      <c r="D88" s="131" t="s">
        <v>158</v>
      </c>
      <c r="E88" s="57">
        <v>31</v>
      </c>
      <c r="F88" s="58">
        <v>9</v>
      </c>
      <c r="G88" s="59">
        <f t="shared" si="7"/>
        <v>279</v>
      </c>
      <c r="H88" s="41"/>
      <c r="I88" s="41">
        <f t="shared" si="12"/>
        <v>0.63265306122448983</v>
      </c>
      <c r="J88" s="41">
        <f t="shared" ref="J88" si="13">I88*F88</f>
        <v>5.6938775510204085</v>
      </c>
      <c r="K88" s="53"/>
    </row>
    <row r="89" spans="2:12" ht="12" x14ac:dyDescent="0.25">
      <c r="B89" s="60"/>
      <c r="C89" s="55">
        <v>84</v>
      </c>
      <c r="D89" s="56" t="s">
        <v>159</v>
      </c>
      <c r="E89" s="57">
        <v>12</v>
      </c>
      <c r="F89" s="58">
        <v>2.6</v>
      </c>
      <c r="G89" s="59">
        <f t="shared" si="7"/>
        <v>31.200000000000003</v>
      </c>
      <c r="H89" s="41"/>
      <c r="I89" s="41"/>
      <c r="J89" s="41"/>
      <c r="K89" s="53"/>
    </row>
    <row r="90" spans="2:12" ht="12" x14ac:dyDescent="0.25">
      <c r="B90" s="60"/>
      <c r="C90" s="55">
        <v>85</v>
      </c>
      <c r="D90" s="56" t="s">
        <v>160</v>
      </c>
      <c r="E90" s="57">
        <v>3</v>
      </c>
      <c r="F90" s="58">
        <v>0.2</v>
      </c>
      <c r="G90" s="59">
        <f t="shared" si="7"/>
        <v>0.60000000000000009</v>
      </c>
      <c r="H90" s="41"/>
      <c r="I90" s="41"/>
      <c r="J90" s="41"/>
      <c r="K90" s="53"/>
    </row>
    <row r="91" spans="2:12" ht="12" x14ac:dyDescent="0.25">
      <c r="B91" s="60"/>
      <c r="C91" s="55">
        <v>86</v>
      </c>
      <c r="D91" s="132" t="s">
        <v>161</v>
      </c>
      <c r="E91" s="57">
        <v>60</v>
      </c>
      <c r="F91" s="58">
        <v>2.8</v>
      </c>
      <c r="G91" s="59">
        <f t="shared" si="7"/>
        <v>168</v>
      </c>
      <c r="H91" s="41"/>
      <c r="I91" s="41"/>
      <c r="J91" s="41"/>
      <c r="K91" s="53"/>
    </row>
    <row r="92" spans="2:12" ht="12" x14ac:dyDescent="0.25">
      <c r="B92" s="60"/>
      <c r="C92" s="55">
        <v>87</v>
      </c>
      <c r="D92" s="132" t="s">
        <v>162</v>
      </c>
      <c r="E92" s="57">
        <v>1</v>
      </c>
      <c r="F92" s="58">
        <v>3</v>
      </c>
      <c r="G92" s="59">
        <f t="shared" si="7"/>
        <v>3</v>
      </c>
      <c r="H92" s="41"/>
      <c r="I92" s="41"/>
      <c r="J92" s="41"/>
      <c r="K92" s="53"/>
    </row>
    <row r="93" spans="2:12" ht="12" x14ac:dyDescent="0.25">
      <c r="B93" s="60"/>
      <c r="C93" s="55">
        <v>88</v>
      </c>
      <c r="D93" s="134" t="s">
        <v>163</v>
      </c>
      <c r="E93" s="57">
        <v>37</v>
      </c>
      <c r="F93" s="58">
        <v>6</v>
      </c>
      <c r="G93" s="59">
        <f t="shared" si="7"/>
        <v>222</v>
      </c>
      <c r="H93" s="41">
        <f>SUM(E93:E95)</f>
        <v>139</v>
      </c>
      <c r="I93" s="41">
        <f>E93/H$93</f>
        <v>0.26618705035971224</v>
      </c>
      <c r="J93" s="41">
        <f t="shared" ref="J93" si="14">I93*F93</f>
        <v>1.5971223021582734</v>
      </c>
      <c r="K93" s="53"/>
    </row>
    <row r="94" spans="2:12" ht="12" x14ac:dyDescent="0.25">
      <c r="B94" s="60"/>
      <c r="C94" s="55">
        <v>89</v>
      </c>
      <c r="D94" s="134" t="s">
        <v>164</v>
      </c>
      <c r="E94" s="57">
        <v>80</v>
      </c>
      <c r="F94" s="58">
        <v>1.5</v>
      </c>
      <c r="G94" s="59">
        <f t="shared" si="7"/>
        <v>120</v>
      </c>
      <c r="H94" s="41"/>
      <c r="I94" s="41">
        <f t="shared" ref="I94:I95" si="15">E94/H$93</f>
        <v>0.57553956834532372</v>
      </c>
      <c r="J94" s="41">
        <f>I94*F94</f>
        <v>0.86330935251798557</v>
      </c>
      <c r="K94" s="53"/>
    </row>
    <row r="95" spans="2:12" ht="12" x14ac:dyDescent="0.25">
      <c r="B95" s="60"/>
      <c r="C95" s="55">
        <v>90</v>
      </c>
      <c r="D95" s="134" t="s">
        <v>165</v>
      </c>
      <c r="E95" s="57">
        <v>22</v>
      </c>
      <c r="F95" s="58">
        <v>2.5</v>
      </c>
      <c r="G95" s="59">
        <f t="shared" si="7"/>
        <v>55</v>
      </c>
      <c r="H95" s="41"/>
      <c r="I95" s="41">
        <f t="shared" si="15"/>
        <v>0.15827338129496402</v>
      </c>
      <c r="J95" s="41">
        <f t="shared" ref="J95" si="16">I95*F95</f>
        <v>0.39568345323741005</v>
      </c>
      <c r="K95" s="53"/>
    </row>
    <row r="96" spans="2:12" ht="12" x14ac:dyDescent="0.25">
      <c r="B96" s="60"/>
      <c r="C96" s="55">
        <v>91</v>
      </c>
      <c r="D96" s="56" t="s">
        <v>166</v>
      </c>
      <c r="E96" s="57">
        <v>6</v>
      </c>
      <c r="F96" s="58">
        <v>3.5</v>
      </c>
      <c r="G96" s="59">
        <f t="shared" si="7"/>
        <v>21</v>
      </c>
      <c r="H96" s="41"/>
      <c r="I96" s="41"/>
      <c r="J96" s="41"/>
      <c r="K96" s="53"/>
    </row>
    <row r="97" spans="2:12" ht="12" x14ac:dyDescent="0.25">
      <c r="B97" s="60"/>
      <c r="C97" s="55">
        <v>92</v>
      </c>
      <c r="D97" s="56" t="s">
        <v>167</v>
      </c>
      <c r="E97" s="57">
        <v>7</v>
      </c>
      <c r="F97" s="58">
        <v>6.5</v>
      </c>
      <c r="G97" s="59">
        <f t="shared" si="7"/>
        <v>45.5</v>
      </c>
      <c r="H97" s="41"/>
      <c r="I97" s="41"/>
      <c r="J97" s="41"/>
      <c r="K97" s="53"/>
    </row>
    <row r="98" spans="2:12" ht="12" x14ac:dyDescent="0.25">
      <c r="B98" s="60"/>
      <c r="C98" s="55">
        <v>93</v>
      </c>
      <c r="D98" s="56" t="s">
        <v>168</v>
      </c>
      <c r="E98" s="57">
        <v>6</v>
      </c>
      <c r="F98" s="58">
        <v>0.3</v>
      </c>
      <c r="G98" s="59">
        <f t="shared" si="7"/>
        <v>1.7999999999999998</v>
      </c>
      <c r="H98" s="41"/>
      <c r="I98" s="41"/>
      <c r="J98" s="41"/>
      <c r="K98" s="53"/>
    </row>
    <row r="99" spans="2:12" ht="12" x14ac:dyDescent="0.25">
      <c r="B99" s="60"/>
      <c r="C99" s="55">
        <v>94</v>
      </c>
      <c r="D99" s="140" t="s">
        <v>169</v>
      </c>
      <c r="E99" s="57">
        <v>6</v>
      </c>
      <c r="F99" s="58">
        <v>8.5</v>
      </c>
      <c r="G99" s="59">
        <f t="shared" si="7"/>
        <v>51</v>
      </c>
      <c r="H99" s="41">
        <v>56</v>
      </c>
      <c r="I99" s="41">
        <f>E99/H$99</f>
        <v>0.10714285714285714</v>
      </c>
      <c r="J99" s="41">
        <f t="shared" ref="J99:J100" si="17">I99*F99</f>
        <v>0.9107142857142857</v>
      </c>
      <c r="K99" s="53"/>
    </row>
    <row r="100" spans="2:12" ht="12.75" thickBot="1" x14ac:dyDescent="0.3">
      <c r="B100" s="61"/>
      <c r="C100" s="62">
        <v>95</v>
      </c>
      <c r="D100" s="141" t="s">
        <v>170</v>
      </c>
      <c r="E100" s="74">
        <v>50</v>
      </c>
      <c r="F100" s="75">
        <v>6.5</v>
      </c>
      <c r="G100" s="76">
        <f t="shared" si="7"/>
        <v>325</v>
      </c>
      <c r="I100" s="41">
        <f>E100/H$99</f>
        <v>0.8928571428571429</v>
      </c>
      <c r="J100" s="41">
        <f t="shared" si="17"/>
        <v>5.8035714285714288</v>
      </c>
      <c r="K100" s="53"/>
    </row>
    <row r="101" spans="2:12" s="32" customFormat="1" ht="12" x14ac:dyDescent="0.25">
      <c r="B101" s="36" t="s">
        <v>171</v>
      </c>
      <c r="C101" s="49">
        <v>96</v>
      </c>
      <c r="D101" s="67" t="s">
        <v>172</v>
      </c>
      <c r="E101" s="68">
        <v>9</v>
      </c>
      <c r="F101" s="69">
        <v>0.2</v>
      </c>
      <c r="G101" s="70">
        <f t="shared" si="7"/>
        <v>1.8</v>
      </c>
      <c r="H101" s="41"/>
      <c r="I101" s="41"/>
      <c r="J101" s="41"/>
      <c r="K101" s="53"/>
      <c r="L101" s="30"/>
    </row>
    <row r="102" spans="2:12" ht="12" x14ac:dyDescent="0.25">
      <c r="B102" s="60" t="s">
        <v>173</v>
      </c>
      <c r="C102" s="55">
        <v>97</v>
      </c>
      <c r="D102" s="56" t="s">
        <v>174</v>
      </c>
      <c r="E102" s="57">
        <v>129</v>
      </c>
      <c r="F102" s="58">
        <v>0.4</v>
      </c>
      <c r="G102" s="59">
        <f t="shared" si="7"/>
        <v>51.6</v>
      </c>
      <c r="H102" s="41"/>
      <c r="I102" s="41"/>
      <c r="J102" s="41"/>
      <c r="K102" s="53"/>
    </row>
    <row r="103" spans="2:12" ht="12" x14ac:dyDescent="0.25">
      <c r="B103" s="60"/>
      <c r="C103" s="55">
        <v>98</v>
      </c>
      <c r="D103" s="56" t="s">
        <v>175</v>
      </c>
      <c r="E103" s="57">
        <v>20</v>
      </c>
      <c r="F103" s="58">
        <v>28</v>
      </c>
      <c r="G103" s="59">
        <f t="shared" si="7"/>
        <v>560</v>
      </c>
      <c r="H103" s="41"/>
      <c r="I103" s="41"/>
      <c r="J103" s="41"/>
      <c r="K103" s="53"/>
    </row>
    <row r="104" spans="2:12" ht="12" x14ac:dyDescent="0.25">
      <c r="B104" s="60"/>
      <c r="C104" s="55">
        <v>99</v>
      </c>
      <c r="D104" s="124" t="s">
        <v>176</v>
      </c>
      <c r="E104" s="57">
        <v>308</v>
      </c>
      <c r="F104" s="58">
        <v>1.3</v>
      </c>
      <c r="G104" s="59">
        <f t="shared" si="7"/>
        <v>400.40000000000003</v>
      </c>
      <c r="H104" s="41">
        <f>E104+E105</f>
        <v>312</v>
      </c>
      <c r="I104" s="41">
        <f>E104/H104</f>
        <v>0.98717948717948723</v>
      </c>
      <c r="J104" s="41">
        <f t="shared" ref="J104:J106" si="18">I104*F104</f>
        <v>1.2833333333333334</v>
      </c>
      <c r="K104" s="53"/>
    </row>
    <row r="105" spans="2:12" ht="12" x14ac:dyDescent="0.25">
      <c r="B105" s="60"/>
      <c r="C105" s="55">
        <v>100</v>
      </c>
      <c r="D105" s="124" t="s">
        <v>177</v>
      </c>
      <c r="E105" s="57">
        <v>4</v>
      </c>
      <c r="F105" s="58">
        <v>1.6</v>
      </c>
      <c r="G105" s="59">
        <f t="shared" si="7"/>
        <v>6.4</v>
      </c>
      <c r="H105" s="41"/>
      <c r="I105" s="41">
        <f>E105/H104</f>
        <v>1.282051282051282E-2</v>
      </c>
      <c r="J105" s="41">
        <f t="shared" si="18"/>
        <v>2.0512820512820513E-2</v>
      </c>
      <c r="K105" s="53"/>
    </row>
    <row r="106" spans="2:12" ht="12" x14ac:dyDescent="0.25">
      <c r="B106" s="60"/>
      <c r="C106" s="55">
        <v>101</v>
      </c>
      <c r="D106" s="124" t="s">
        <v>178</v>
      </c>
      <c r="E106" s="57">
        <v>2</v>
      </c>
      <c r="F106" s="58">
        <v>6</v>
      </c>
      <c r="G106" s="59">
        <f t="shared" si="7"/>
        <v>12</v>
      </c>
      <c r="H106" s="41"/>
      <c r="I106" s="41">
        <f>E106/H104</f>
        <v>6.41025641025641E-3</v>
      </c>
      <c r="J106" s="41">
        <f t="shared" si="18"/>
        <v>3.8461538461538464E-2</v>
      </c>
      <c r="K106" s="53"/>
    </row>
    <row r="107" spans="2:12" ht="12" x14ac:dyDescent="0.25">
      <c r="B107" s="60"/>
      <c r="C107" s="55">
        <v>102</v>
      </c>
      <c r="D107" s="127" t="s">
        <v>179</v>
      </c>
      <c r="E107" s="57">
        <v>316</v>
      </c>
      <c r="F107" s="58">
        <v>1.3</v>
      </c>
      <c r="G107" s="59">
        <f t="shared" si="7"/>
        <v>410.8</v>
      </c>
      <c r="H107" s="41">
        <f>E107+E108</f>
        <v>365</v>
      </c>
      <c r="I107" s="41">
        <f>E107/H107</f>
        <v>0.86575342465753424</v>
      </c>
      <c r="J107" s="41">
        <f>I107*F107</f>
        <v>1.1254794520547946</v>
      </c>
      <c r="K107" s="53"/>
    </row>
    <row r="108" spans="2:12" ht="12" x14ac:dyDescent="0.25">
      <c r="B108" s="60"/>
      <c r="C108" s="55">
        <v>103</v>
      </c>
      <c r="D108" s="127" t="s">
        <v>180</v>
      </c>
      <c r="E108" s="57">
        <v>49</v>
      </c>
      <c r="F108" s="58">
        <v>1.6</v>
      </c>
      <c r="G108" s="59">
        <f t="shared" si="7"/>
        <v>78.400000000000006</v>
      </c>
      <c r="H108" s="41"/>
      <c r="I108" s="41">
        <f>E108/H107</f>
        <v>0.13424657534246576</v>
      </c>
      <c r="J108" s="41">
        <f>I108*F108</f>
        <v>0.21479452054794523</v>
      </c>
      <c r="K108" s="53"/>
    </row>
    <row r="109" spans="2:12" ht="12.75" thickBot="1" x14ac:dyDescent="0.3">
      <c r="B109" s="61"/>
      <c r="C109" s="62">
        <v>104</v>
      </c>
      <c r="D109" s="63" t="s">
        <v>181</v>
      </c>
      <c r="E109" s="64">
        <v>3</v>
      </c>
      <c r="F109" s="65">
        <v>14</v>
      </c>
      <c r="G109" s="66">
        <f t="shared" si="7"/>
        <v>42</v>
      </c>
      <c r="H109" s="41"/>
      <c r="I109" s="41"/>
      <c r="J109" s="41"/>
      <c r="K109" s="53"/>
    </row>
    <row r="110" spans="2:12" s="32" customFormat="1" ht="12" x14ac:dyDescent="0.25">
      <c r="B110" s="36" t="s">
        <v>182</v>
      </c>
      <c r="C110" s="49">
        <v>105</v>
      </c>
      <c r="D110" s="67" t="s">
        <v>183</v>
      </c>
      <c r="E110" s="68">
        <v>306</v>
      </c>
      <c r="F110" s="69">
        <v>0.1</v>
      </c>
      <c r="G110" s="70">
        <f t="shared" si="7"/>
        <v>30.6</v>
      </c>
      <c r="H110" s="41"/>
      <c r="I110" s="41"/>
      <c r="J110" s="41"/>
      <c r="K110" s="53"/>
      <c r="L110" s="30"/>
    </row>
    <row r="111" spans="2:12" ht="12" x14ac:dyDescent="0.25">
      <c r="B111" s="60" t="s">
        <v>184</v>
      </c>
      <c r="C111" s="55">
        <v>106</v>
      </c>
      <c r="D111" s="56" t="s">
        <v>185</v>
      </c>
      <c r="E111" s="57">
        <v>81</v>
      </c>
      <c r="F111" s="58">
        <v>0.5</v>
      </c>
      <c r="G111" s="59">
        <f t="shared" si="7"/>
        <v>40.5</v>
      </c>
      <c r="H111" s="41"/>
      <c r="I111" s="41"/>
      <c r="J111" s="41"/>
      <c r="K111" s="53"/>
    </row>
    <row r="112" spans="2:12" ht="12" x14ac:dyDescent="0.25">
      <c r="B112" s="60" t="s">
        <v>186</v>
      </c>
      <c r="C112" s="55">
        <v>107</v>
      </c>
      <c r="D112" s="56" t="s">
        <v>187</v>
      </c>
      <c r="E112" s="57">
        <v>20</v>
      </c>
      <c r="F112" s="58">
        <v>0.2</v>
      </c>
      <c r="G112" s="59">
        <f t="shared" si="7"/>
        <v>4</v>
      </c>
      <c r="H112" s="41"/>
      <c r="I112" s="41"/>
      <c r="J112" s="41"/>
      <c r="K112" s="53"/>
    </row>
    <row r="113" spans="2:11" ht="12" x14ac:dyDescent="0.25">
      <c r="B113" s="60"/>
      <c r="C113" s="55">
        <v>108</v>
      </c>
      <c r="D113" s="56" t="s">
        <v>188</v>
      </c>
      <c r="E113" s="57">
        <v>6</v>
      </c>
      <c r="F113" s="58">
        <v>2</v>
      </c>
      <c r="G113" s="59">
        <f t="shared" si="7"/>
        <v>12</v>
      </c>
      <c r="H113" s="41"/>
      <c r="I113" s="41"/>
      <c r="J113" s="41"/>
      <c r="K113" s="53"/>
    </row>
    <row r="114" spans="2:11" ht="12" x14ac:dyDescent="0.25">
      <c r="B114" s="60"/>
      <c r="C114" s="55">
        <v>109</v>
      </c>
      <c r="D114" s="56" t="s">
        <v>189</v>
      </c>
      <c r="E114" s="57">
        <v>38</v>
      </c>
      <c r="F114" s="58">
        <v>0.3</v>
      </c>
      <c r="G114" s="59">
        <f t="shared" si="7"/>
        <v>11.4</v>
      </c>
      <c r="H114" s="41"/>
      <c r="I114" s="41"/>
      <c r="J114" s="41"/>
      <c r="K114" s="53"/>
    </row>
    <row r="115" spans="2:11" ht="12" x14ac:dyDescent="0.25">
      <c r="B115" s="60"/>
      <c r="C115" s="55">
        <v>110</v>
      </c>
      <c r="D115" s="56" t="s">
        <v>190</v>
      </c>
      <c r="E115" s="57">
        <v>5</v>
      </c>
      <c r="F115" s="58">
        <v>2</v>
      </c>
      <c r="G115" s="59">
        <f t="shared" si="7"/>
        <v>10</v>
      </c>
      <c r="H115" s="41"/>
      <c r="I115" s="41"/>
      <c r="J115" s="41"/>
      <c r="K115" s="53"/>
    </row>
    <row r="116" spans="2:11" ht="12" x14ac:dyDescent="0.25">
      <c r="B116" s="60"/>
      <c r="C116" s="55">
        <v>111</v>
      </c>
      <c r="D116" s="56" t="s">
        <v>191</v>
      </c>
      <c r="E116" s="57">
        <v>96</v>
      </c>
      <c r="F116" s="58">
        <v>2.5</v>
      </c>
      <c r="G116" s="59">
        <f t="shared" si="7"/>
        <v>240</v>
      </c>
      <c r="H116" s="41"/>
      <c r="I116" s="41"/>
      <c r="J116" s="41"/>
      <c r="K116" s="53"/>
    </row>
    <row r="117" spans="2:11" ht="12" x14ac:dyDescent="0.25">
      <c r="B117" s="60"/>
      <c r="C117" s="55">
        <v>112</v>
      </c>
      <c r="D117" s="56" t="s">
        <v>192</v>
      </c>
      <c r="E117" s="57">
        <v>30</v>
      </c>
      <c r="F117" s="58">
        <v>7.5</v>
      </c>
      <c r="G117" s="59">
        <f t="shared" si="7"/>
        <v>225</v>
      </c>
      <c r="H117" s="41"/>
      <c r="I117" s="41"/>
      <c r="J117" s="41"/>
      <c r="K117" s="53"/>
    </row>
    <row r="118" spans="2:11" ht="12" x14ac:dyDescent="0.25">
      <c r="B118" s="60"/>
      <c r="C118" s="55">
        <v>113</v>
      </c>
      <c r="D118" s="56" t="s">
        <v>193</v>
      </c>
      <c r="E118" s="57">
        <v>33</v>
      </c>
      <c r="F118" s="58">
        <v>12.5</v>
      </c>
      <c r="G118" s="59">
        <f t="shared" si="7"/>
        <v>412.5</v>
      </c>
      <c r="H118" s="41"/>
      <c r="I118" s="41"/>
      <c r="J118" s="41"/>
      <c r="K118" s="53"/>
    </row>
    <row r="119" spans="2:11" ht="12.75" thickBot="1" x14ac:dyDescent="0.3">
      <c r="B119" s="61"/>
      <c r="C119" s="62">
        <v>114</v>
      </c>
      <c r="D119" s="73" t="s">
        <v>194</v>
      </c>
      <c r="E119" s="74">
        <v>4</v>
      </c>
      <c r="F119" s="75">
        <v>30</v>
      </c>
      <c r="G119" s="76">
        <f t="shared" si="7"/>
        <v>120</v>
      </c>
      <c r="K119" s="30"/>
    </row>
    <row r="120" spans="2:11" ht="12.75" thickBot="1" x14ac:dyDescent="0.3">
      <c r="D120" s="78" t="s">
        <v>195</v>
      </c>
      <c r="E120" s="79">
        <f>SUM(E6:E119)</f>
        <v>3619</v>
      </c>
      <c r="G120" s="54"/>
      <c r="K120" s="30"/>
    </row>
    <row r="121" spans="2:11" ht="12.75" thickBot="1" x14ac:dyDescent="0.3">
      <c r="F121" s="30"/>
      <c r="G121" s="60"/>
      <c r="K121" s="30"/>
    </row>
    <row r="122" spans="2:11" ht="12" x14ac:dyDescent="0.25">
      <c r="B122" s="81"/>
      <c r="C122" s="68"/>
      <c r="D122" s="82" t="s">
        <v>196</v>
      </c>
      <c r="E122" s="68" t="s">
        <v>70</v>
      </c>
      <c r="F122" s="83" t="s">
        <v>197</v>
      </c>
      <c r="G122" s="84">
        <f>SUM(G6:G119)/1000</f>
        <v>11.521399999999998</v>
      </c>
      <c r="K122" s="30"/>
    </row>
    <row r="123" spans="2:11" ht="12.75" thickBot="1" x14ac:dyDescent="0.3">
      <c r="B123" s="85"/>
      <c r="C123" s="74"/>
      <c r="D123" s="86"/>
      <c r="E123" s="87" t="s">
        <v>198</v>
      </c>
      <c r="F123" s="88">
        <v>0.25</v>
      </c>
      <c r="G123" s="89">
        <f>G122*(1+F123)</f>
        <v>14.401749999999998</v>
      </c>
      <c r="K123" s="30"/>
    </row>
    <row r="124" spans="2:11" ht="12.75" thickBot="1" x14ac:dyDescent="0.3">
      <c r="B124" s="35"/>
      <c r="C124" s="41"/>
      <c r="D124" s="35"/>
      <c r="E124" s="90"/>
      <c r="F124" s="48"/>
      <c r="K124" s="30"/>
    </row>
    <row r="125" spans="2:11" ht="12" x14ac:dyDescent="0.25">
      <c r="B125" s="91"/>
      <c r="C125" s="92"/>
      <c r="D125" s="92"/>
      <c r="E125" s="93">
        <v>134</v>
      </c>
      <c r="F125" s="93" t="s">
        <v>199</v>
      </c>
      <c r="G125" s="94" t="s">
        <v>200</v>
      </c>
      <c r="K125" s="30"/>
    </row>
    <row r="126" spans="2:11" ht="12" x14ac:dyDescent="0.25">
      <c r="B126" s="95"/>
      <c r="C126" s="96"/>
      <c r="D126" s="97"/>
      <c r="E126" s="98" t="s">
        <v>201</v>
      </c>
      <c r="F126" s="99" t="s">
        <v>202</v>
      </c>
      <c r="G126" s="100">
        <f>G123*E125</f>
        <v>1929.8344999999997</v>
      </c>
      <c r="K126" s="30"/>
    </row>
    <row r="127" spans="2:11" ht="12.75" thickBot="1" x14ac:dyDescent="0.3">
      <c r="B127" s="101"/>
      <c r="C127" s="102"/>
      <c r="D127" s="103"/>
      <c r="E127" s="104"/>
      <c r="F127" s="105" t="s">
        <v>203</v>
      </c>
      <c r="G127" s="106">
        <f>G126/10</f>
        <v>192.98344999999998</v>
      </c>
      <c r="K127" s="30"/>
    </row>
    <row r="128" spans="2:11" ht="12" x14ac:dyDescent="0.25">
      <c r="B128" s="35"/>
      <c r="C128" s="41"/>
      <c r="D128" s="107"/>
      <c r="E128" s="41"/>
      <c r="F128" s="35"/>
      <c r="G128" s="35"/>
      <c r="K128" s="30"/>
    </row>
    <row r="129" spans="2:11" ht="12" x14ac:dyDescent="0.25">
      <c r="B129" s="35"/>
      <c r="C129" s="41"/>
      <c r="D129" s="107"/>
      <c r="E129" s="41"/>
      <c r="F129" s="35"/>
      <c r="G129" s="35"/>
      <c r="K129" s="30"/>
    </row>
    <row r="130" spans="2:11" ht="12.75" thickBot="1" x14ac:dyDescent="0.3">
      <c r="B130" s="35"/>
      <c r="C130" s="41"/>
      <c r="D130" s="107"/>
      <c r="E130" s="41"/>
      <c r="F130" s="35"/>
      <c r="G130" s="90">
        <v>1930</v>
      </c>
      <c r="H130" s="41" t="s">
        <v>204</v>
      </c>
      <c r="K130" s="30"/>
    </row>
    <row r="131" spans="2:11" ht="19.350000000000001" customHeight="1" thickTop="1" thickBot="1" x14ac:dyDescent="0.3">
      <c r="B131" s="108" t="s">
        <v>205</v>
      </c>
      <c r="D131" s="109" t="s">
        <v>206</v>
      </c>
      <c r="E131" s="109">
        <v>3619</v>
      </c>
      <c r="G131" s="30"/>
      <c r="K131" s="30"/>
    </row>
    <row r="132" spans="2:11" ht="19.350000000000001" customHeight="1" thickTop="1" thickBot="1" x14ac:dyDescent="0.3">
      <c r="B132" s="33"/>
      <c r="D132" s="109" t="s">
        <v>207</v>
      </c>
      <c r="E132" s="109">
        <v>128</v>
      </c>
      <c r="F132" s="30"/>
      <c r="G132" s="30"/>
      <c r="K132" s="30"/>
    </row>
    <row r="133" spans="2:11" ht="19.350000000000001" customHeight="1" thickTop="1" thickBot="1" x14ac:dyDescent="0.3">
      <c r="B133" s="33"/>
      <c r="D133" s="110" t="s">
        <v>208</v>
      </c>
      <c r="E133" s="110">
        <f>E131-E132</f>
        <v>3491</v>
      </c>
      <c r="F133" s="32"/>
      <c r="H133" s="32"/>
      <c r="I133" s="32"/>
    </row>
    <row r="134" spans="2:11" ht="12.6" customHeight="1" thickTop="1" thickBot="1" x14ac:dyDescent="0.3">
      <c r="B134" s="33"/>
      <c r="D134" s="32"/>
      <c r="E134" s="111"/>
      <c r="F134" s="32"/>
      <c r="H134" s="32"/>
      <c r="I134" s="32"/>
    </row>
    <row r="135" spans="2:11" ht="18" customHeight="1" thickTop="1" thickBot="1" x14ac:dyDescent="0.3">
      <c r="B135" s="33"/>
      <c r="D135" s="112" t="s">
        <v>209</v>
      </c>
      <c r="E135" s="112" t="s">
        <v>210</v>
      </c>
      <c r="F135" s="112" t="s">
        <v>211</v>
      </c>
      <c r="G135" s="112" t="s">
        <v>212</v>
      </c>
    </row>
    <row r="136" spans="2:11" ht="18" customHeight="1" thickTop="1" thickBot="1" x14ac:dyDescent="0.3">
      <c r="B136" s="33"/>
      <c r="D136" s="109" t="s">
        <v>213</v>
      </c>
      <c r="E136" s="109">
        <v>3490</v>
      </c>
      <c r="F136" s="109">
        <v>1470</v>
      </c>
      <c r="G136" s="110">
        <v>4960</v>
      </c>
    </row>
    <row r="137" spans="2:11" ht="21.2" customHeight="1" thickTop="1" thickBot="1" x14ac:dyDescent="0.3">
      <c r="B137" s="33"/>
      <c r="D137" s="571" t="s">
        <v>214</v>
      </c>
      <c r="E137" s="572"/>
      <c r="F137" s="572"/>
      <c r="G137" s="573"/>
    </row>
    <row r="138" spans="2:11" ht="18.600000000000001" customHeight="1" thickTop="1" x14ac:dyDescent="0.25">
      <c r="B138" s="108" t="s">
        <v>215</v>
      </c>
      <c r="D138" s="574" t="s">
        <v>216</v>
      </c>
      <c r="E138" s="576">
        <v>1840</v>
      </c>
      <c r="F138" s="576">
        <v>590</v>
      </c>
      <c r="G138" s="113">
        <v>2430</v>
      </c>
    </row>
    <row r="139" spans="2:11" ht="15.6" customHeight="1" thickBot="1" x14ac:dyDescent="0.3">
      <c r="B139" s="33"/>
      <c r="D139" s="575"/>
      <c r="E139" s="577"/>
      <c r="F139" s="577"/>
      <c r="G139" s="114" t="s">
        <v>217</v>
      </c>
    </row>
    <row r="140" spans="2:11" ht="16.350000000000001" customHeight="1" thickTop="1" x14ac:dyDescent="0.25">
      <c r="B140" s="33"/>
      <c r="D140" s="578" t="s">
        <v>218</v>
      </c>
      <c r="E140" s="581" t="s">
        <v>219</v>
      </c>
      <c r="F140" s="582"/>
      <c r="G140" s="115">
        <v>177</v>
      </c>
    </row>
    <row r="141" spans="2:11" ht="18" customHeight="1" thickBot="1" x14ac:dyDescent="0.3">
      <c r="B141" s="33"/>
      <c r="D141" s="579"/>
      <c r="E141" s="583"/>
      <c r="F141" s="584"/>
      <c r="G141" s="116" t="s">
        <v>220</v>
      </c>
    </row>
    <row r="142" spans="2:11" ht="27" customHeight="1" thickTop="1" thickBot="1" x14ac:dyDescent="0.3">
      <c r="B142" s="33"/>
      <c r="D142" s="580"/>
      <c r="E142" s="585" t="s">
        <v>221</v>
      </c>
      <c r="F142" s="586"/>
      <c r="G142" s="117">
        <v>7.0000000000000007E-2</v>
      </c>
    </row>
    <row r="143" spans="2:11" ht="18" customHeight="1" thickTop="1" thickBot="1" x14ac:dyDescent="0.3">
      <c r="B143" s="33"/>
    </row>
    <row r="144" spans="2:11" ht="38.450000000000003" customHeight="1" thickTop="1" thickBot="1" x14ac:dyDescent="0.3">
      <c r="B144" s="108" t="s">
        <v>222</v>
      </c>
      <c r="C144" s="30"/>
      <c r="D144" s="565" t="s">
        <v>223</v>
      </c>
      <c r="E144" s="566"/>
      <c r="F144" s="566"/>
      <c r="G144" s="567"/>
    </row>
    <row r="145" spans="2:7" ht="8.85" customHeight="1" thickTop="1" thickBot="1" x14ac:dyDescent="0.3">
      <c r="B145" s="33"/>
      <c r="C145" s="30"/>
    </row>
    <row r="146" spans="2:7" ht="42.95" customHeight="1" thickTop="1" thickBot="1" x14ac:dyDescent="0.3">
      <c r="B146" s="108" t="s">
        <v>224</v>
      </c>
      <c r="C146" s="30"/>
      <c r="D146" s="568" t="s">
        <v>225</v>
      </c>
      <c r="E146" s="569"/>
      <c r="F146" s="569"/>
      <c r="G146" s="570"/>
    </row>
    <row r="147" spans="2:7" ht="6.2" customHeight="1" thickTop="1" thickBot="1" x14ac:dyDescent="0.3">
      <c r="B147" s="33"/>
      <c r="C147" s="30"/>
      <c r="F147" s="30"/>
      <c r="G147" s="30"/>
    </row>
    <row r="148" spans="2:7" ht="18" customHeight="1" thickTop="1" thickBot="1" x14ac:dyDescent="0.3">
      <c r="B148" s="108" t="s">
        <v>226</v>
      </c>
      <c r="D148" s="565" t="s">
        <v>227</v>
      </c>
      <c r="E148" s="566"/>
      <c r="F148" s="566"/>
      <c r="G148" s="567"/>
    </row>
    <row r="149" spans="2:7" ht="18" customHeight="1" thickTop="1" x14ac:dyDescent="0.25"/>
  </sheetData>
  <mergeCells count="10">
    <mergeCell ref="D144:G144"/>
    <mergeCell ref="D146:G146"/>
    <mergeCell ref="D148:G148"/>
    <mergeCell ref="D137:G137"/>
    <mergeCell ref="D138:D139"/>
    <mergeCell ref="E138:E139"/>
    <mergeCell ref="F138:F139"/>
    <mergeCell ref="D140:D142"/>
    <mergeCell ref="E140:F141"/>
    <mergeCell ref="E142:F142"/>
  </mergeCells>
  <pageMargins left="0.7" right="0.7" top="0.75" bottom="0.75" header="0.3" footer="0.3"/>
  <pageSetup paperSize="9" orientation="portrait" verticalDpi="30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5"/>
  <dimension ref="A1:I27"/>
  <sheetViews>
    <sheetView workbookViewId="0">
      <selection activeCell="F1" sqref="F1:F1048576"/>
    </sheetView>
  </sheetViews>
  <sheetFormatPr defaultColWidth="11.42578125" defaultRowHeight="15" x14ac:dyDescent="0.25"/>
  <cols>
    <col min="2" max="2" width="17.42578125" customWidth="1"/>
    <col min="3" max="3" width="4.42578125" customWidth="1"/>
    <col min="4" max="4" width="82.42578125" customWidth="1"/>
    <col min="5" max="5" width="13.85546875" customWidth="1"/>
    <col min="6" max="6" width="13.85546875" style="225" customWidth="1"/>
  </cols>
  <sheetData>
    <row r="1" spans="1:9" ht="15.75" thickBot="1" x14ac:dyDescent="0.3">
      <c r="A1" s="331" t="str">
        <f>HYPERLINK("#"&amp;ADDRESS(1,1,,,"MASTER"),"M &lt;=")</f>
        <v>M &lt;=</v>
      </c>
      <c r="G1" t="s">
        <v>406</v>
      </c>
      <c r="I1" t="s">
        <v>410</v>
      </c>
    </row>
    <row r="2" spans="1:9" ht="30.75" thickBot="1" x14ac:dyDescent="0.3">
      <c r="B2" s="154"/>
      <c r="C2" s="155" t="s">
        <v>234</v>
      </c>
      <c r="D2" s="155" t="s">
        <v>235</v>
      </c>
      <c r="E2" s="156" t="s">
        <v>691</v>
      </c>
      <c r="F2" s="537"/>
      <c r="G2" t="s">
        <v>407</v>
      </c>
      <c r="I2" t="s">
        <v>411</v>
      </c>
    </row>
    <row r="3" spans="1:9" x14ac:dyDescent="0.25">
      <c r="B3" s="157" t="s">
        <v>236</v>
      </c>
      <c r="C3" s="158">
        <v>3</v>
      </c>
      <c r="D3" s="158" t="s">
        <v>237</v>
      </c>
      <c r="E3" s="159">
        <v>150</v>
      </c>
      <c r="F3" s="538"/>
    </row>
    <row r="4" spans="1:9" x14ac:dyDescent="0.25">
      <c r="B4" s="160"/>
      <c r="C4" s="161">
        <v>4</v>
      </c>
      <c r="D4" s="161" t="s">
        <v>238</v>
      </c>
      <c r="E4" s="162">
        <v>200</v>
      </c>
      <c r="F4" s="538"/>
    </row>
    <row r="5" spans="1:9" x14ac:dyDescent="0.25">
      <c r="B5" s="160"/>
      <c r="C5" s="161">
        <v>5</v>
      </c>
      <c r="D5" s="161" t="s">
        <v>239</v>
      </c>
      <c r="E5" s="162">
        <v>300</v>
      </c>
      <c r="F5" s="538"/>
    </row>
    <row r="6" spans="1:9" x14ac:dyDescent="0.25">
      <c r="B6" s="160"/>
      <c r="C6" s="161">
        <v>6</v>
      </c>
      <c r="D6" s="161" t="s">
        <v>240</v>
      </c>
      <c r="E6" s="162">
        <v>400</v>
      </c>
      <c r="F6" s="538"/>
    </row>
    <row r="7" spans="1:9" x14ac:dyDescent="0.25">
      <c r="B7" s="160"/>
      <c r="C7" s="161">
        <v>7</v>
      </c>
      <c r="D7" s="161" t="s">
        <v>241</v>
      </c>
      <c r="E7" s="163" t="s">
        <v>242</v>
      </c>
      <c r="F7" s="539"/>
    </row>
    <row r="8" spans="1:9" ht="15.75" thickBot="1" x14ac:dyDescent="0.3">
      <c r="B8" s="164"/>
      <c r="C8" s="165">
        <v>8</v>
      </c>
      <c r="D8" s="165" t="s">
        <v>243</v>
      </c>
      <c r="E8" s="166">
        <v>100</v>
      </c>
      <c r="F8" s="538"/>
    </row>
    <row r="9" spans="1:9" x14ac:dyDescent="0.25">
      <c r="B9" s="157" t="s">
        <v>244</v>
      </c>
      <c r="C9" s="158">
        <v>1</v>
      </c>
      <c r="D9" s="158" t="s">
        <v>245</v>
      </c>
      <c r="E9" s="159">
        <v>360</v>
      </c>
      <c r="F9" s="538"/>
    </row>
    <row r="10" spans="1:9" x14ac:dyDescent="0.25">
      <c r="B10" s="160"/>
      <c r="C10" s="161">
        <v>2</v>
      </c>
      <c r="D10" s="161" t="s">
        <v>246</v>
      </c>
      <c r="E10" s="162">
        <v>500</v>
      </c>
      <c r="F10" s="538"/>
    </row>
    <row r="11" spans="1:9" x14ac:dyDescent="0.25">
      <c r="B11" s="160"/>
      <c r="C11" s="161">
        <v>18</v>
      </c>
      <c r="D11" s="161" t="s">
        <v>247</v>
      </c>
      <c r="E11" s="162">
        <v>850</v>
      </c>
      <c r="F11" s="538"/>
    </row>
    <row r="12" spans="1:9" ht="15.75" thickBot="1" x14ac:dyDescent="0.3">
      <c r="B12" s="164"/>
      <c r="C12" s="165">
        <v>66</v>
      </c>
      <c r="D12" s="165" t="s">
        <v>248</v>
      </c>
      <c r="E12" s="166">
        <v>500</v>
      </c>
      <c r="F12" s="538"/>
    </row>
    <row r="13" spans="1:9" ht="15.75" thickBot="1" x14ac:dyDescent="0.3">
      <c r="B13" s="154" t="s">
        <v>249</v>
      </c>
      <c r="C13" s="167">
        <v>9</v>
      </c>
      <c r="D13" s="167" t="s">
        <v>250</v>
      </c>
      <c r="E13" s="168">
        <v>200</v>
      </c>
      <c r="F13" s="538"/>
    </row>
    <row r="14" spans="1:9" ht="15.75" thickBot="1" x14ac:dyDescent="0.3">
      <c r="B14" s="169" t="s">
        <v>251</v>
      </c>
      <c r="C14" s="170">
        <v>17</v>
      </c>
      <c r="D14" s="170" t="s">
        <v>251</v>
      </c>
      <c r="E14" s="171">
        <v>2500</v>
      </c>
      <c r="F14" s="540"/>
    </row>
    <row r="15" spans="1:9" x14ac:dyDescent="0.25">
      <c r="B15" s="172" t="s">
        <v>252</v>
      </c>
      <c r="C15" s="173">
        <v>1</v>
      </c>
      <c r="D15" s="173" t="s">
        <v>253</v>
      </c>
      <c r="E15" s="174" t="s">
        <v>254</v>
      </c>
      <c r="F15" s="541"/>
    </row>
    <row r="16" spans="1:9" x14ac:dyDescent="0.25">
      <c r="B16" s="175"/>
      <c r="C16" s="176">
        <v>2</v>
      </c>
      <c r="D16" s="176" t="s">
        <v>255</v>
      </c>
      <c r="E16" s="177">
        <v>50</v>
      </c>
      <c r="F16" s="540"/>
    </row>
    <row r="17" spans="2:6" x14ac:dyDescent="0.25">
      <c r="B17" s="175"/>
      <c r="C17" s="176">
        <v>3</v>
      </c>
      <c r="D17" s="176" t="s">
        <v>256</v>
      </c>
      <c r="E17" s="177">
        <v>290</v>
      </c>
      <c r="F17" s="540"/>
    </row>
    <row r="18" spans="2:6" x14ac:dyDescent="0.25">
      <c r="B18" s="175"/>
      <c r="C18" s="176">
        <v>4</v>
      </c>
      <c r="D18" s="178" t="s">
        <v>257</v>
      </c>
      <c r="E18" s="177">
        <v>70</v>
      </c>
      <c r="F18" s="540"/>
    </row>
    <row r="19" spans="2:6" x14ac:dyDescent="0.25">
      <c r="B19" s="175"/>
      <c r="C19" s="176">
        <v>5</v>
      </c>
      <c r="D19" s="178" t="s">
        <v>258</v>
      </c>
      <c r="E19" s="177">
        <v>30</v>
      </c>
      <c r="F19" s="540"/>
    </row>
    <row r="20" spans="2:6" x14ac:dyDescent="0.25">
      <c r="B20" s="175"/>
      <c r="C20" s="176">
        <v>6</v>
      </c>
      <c r="D20" s="178" t="s">
        <v>259</v>
      </c>
      <c r="E20" s="177">
        <v>30</v>
      </c>
      <c r="F20" s="540"/>
    </row>
    <row r="21" spans="2:6" x14ac:dyDescent="0.25">
      <c r="B21" s="175"/>
      <c r="C21" s="176">
        <v>7</v>
      </c>
      <c r="D21" s="178" t="s">
        <v>260</v>
      </c>
      <c r="E21" s="177">
        <v>30</v>
      </c>
      <c r="F21" s="540"/>
    </row>
    <row r="22" spans="2:6" x14ac:dyDescent="0.25">
      <c r="B22" s="175"/>
      <c r="C22" s="176">
        <v>8</v>
      </c>
      <c r="D22" s="178" t="s">
        <v>261</v>
      </c>
      <c r="E22" s="177">
        <v>50</v>
      </c>
      <c r="F22" s="540"/>
    </row>
    <row r="23" spans="2:6" x14ac:dyDescent="0.25">
      <c r="B23" s="175"/>
      <c r="C23" s="176">
        <v>9</v>
      </c>
      <c r="D23" s="178" t="s">
        <v>262</v>
      </c>
      <c r="E23" s="177">
        <v>100</v>
      </c>
      <c r="F23" s="540"/>
    </row>
    <row r="24" spans="2:6" x14ac:dyDescent="0.25">
      <c r="B24" s="175"/>
      <c r="C24" s="176">
        <v>10</v>
      </c>
      <c r="D24" s="178" t="s">
        <v>263</v>
      </c>
      <c r="E24" s="177">
        <v>50</v>
      </c>
      <c r="F24" s="540"/>
    </row>
    <row r="25" spans="2:6" x14ac:dyDescent="0.25">
      <c r="B25" s="175"/>
      <c r="C25" s="176">
        <v>11</v>
      </c>
      <c r="D25" s="178" t="s">
        <v>264</v>
      </c>
      <c r="E25" s="177">
        <v>180</v>
      </c>
      <c r="F25" s="540"/>
    </row>
    <row r="26" spans="2:6" x14ac:dyDescent="0.25">
      <c r="B26" s="175"/>
      <c r="C26" s="176">
        <v>12</v>
      </c>
      <c r="D26" s="178" t="s">
        <v>265</v>
      </c>
      <c r="E26" s="177">
        <v>35</v>
      </c>
      <c r="F26" s="540"/>
    </row>
    <row r="27" spans="2:6" ht="15.75" thickBot="1" x14ac:dyDescent="0.3">
      <c r="B27" s="179"/>
      <c r="C27" s="180">
        <v>13</v>
      </c>
      <c r="D27" s="181" t="s">
        <v>266</v>
      </c>
      <c r="E27" s="182">
        <v>125</v>
      </c>
      <c r="F27" s="540"/>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6"/>
  <dimension ref="A1:AC78"/>
  <sheetViews>
    <sheetView topLeftCell="C1" zoomScaleNormal="100" workbookViewId="0"/>
  </sheetViews>
  <sheetFormatPr defaultColWidth="8.7109375" defaultRowHeight="15" x14ac:dyDescent="0.25"/>
  <cols>
    <col min="2" max="2" width="40.28515625" customWidth="1"/>
    <col min="3" max="3" width="10.28515625" style="13" customWidth="1"/>
    <col min="4" max="11" width="9.140625" style="13" customWidth="1"/>
    <col min="24" max="24" width="9.140625" style="13"/>
  </cols>
  <sheetData>
    <row r="1" spans="1:29" x14ac:dyDescent="0.25">
      <c r="A1" s="331" t="str">
        <f>HYPERLINK("#"&amp;ADDRESS(1,1,,,"MASTER"),"M &lt;=")</f>
        <v>M &lt;=</v>
      </c>
      <c r="D1" s="587" t="s">
        <v>268</v>
      </c>
      <c r="E1" s="587"/>
      <c r="F1" s="587"/>
      <c r="G1" s="587"/>
      <c r="H1" s="587"/>
      <c r="I1" s="587"/>
      <c r="J1" s="587"/>
      <c r="P1" s="1"/>
      <c r="Q1" s="1"/>
      <c r="R1" s="1"/>
      <c r="S1" s="1"/>
      <c r="T1" s="547" t="s">
        <v>399</v>
      </c>
      <c r="U1" s="547"/>
      <c r="V1" s="547"/>
      <c r="W1" s="11"/>
      <c r="X1" s="547" t="s">
        <v>395</v>
      </c>
      <c r="Y1" s="547"/>
      <c r="AA1" t="s">
        <v>406</v>
      </c>
      <c r="AC1" t="s">
        <v>408</v>
      </c>
    </row>
    <row r="2" spans="1:29" x14ac:dyDescent="0.25">
      <c r="A2" s="10" t="s">
        <v>269</v>
      </c>
      <c r="B2" s="10" t="s">
        <v>228</v>
      </c>
      <c r="C2" s="15" t="s">
        <v>270</v>
      </c>
      <c r="D2" s="13" t="s">
        <v>271</v>
      </c>
      <c r="E2" s="13" t="s">
        <v>272</v>
      </c>
      <c r="F2" s="13" t="s">
        <v>273</v>
      </c>
      <c r="G2" s="13" t="s">
        <v>274</v>
      </c>
      <c r="H2" s="13" t="s">
        <v>275</v>
      </c>
      <c r="I2" s="13" t="s">
        <v>276</v>
      </c>
      <c r="J2" s="13" t="s">
        <v>277</v>
      </c>
      <c r="K2" s="13" t="s">
        <v>278</v>
      </c>
      <c r="L2" s="13" t="s">
        <v>279</v>
      </c>
      <c r="M2" t="s">
        <v>280</v>
      </c>
      <c r="N2" t="s">
        <v>281</v>
      </c>
      <c r="P2" s="1"/>
      <c r="Q2" s="1"/>
      <c r="R2" s="1"/>
      <c r="S2" s="1"/>
      <c r="T2" s="248" t="s">
        <v>6</v>
      </c>
      <c r="U2" s="248" t="s">
        <v>396</v>
      </c>
      <c r="V2" s="248" t="s">
        <v>398</v>
      </c>
      <c r="W2" s="11"/>
      <c r="X2" s="26" t="s">
        <v>396</v>
      </c>
      <c r="Y2" s="11" t="s">
        <v>6</v>
      </c>
      <c r="AA2" t="s">
        <v>407</v>
      </c>
      <c r="AC2" t="s">
        <v>409</v>
      </c>
    </row>
    <row r="3" spans="1:29" x14ac:dyDescent="0.25">
      <c r="A3" t="s">
        <v>282</v>
      </c>
      <c r="B3" t="s">
        <v>283</v>
      </c>
      <c r="C3" s="13" t="s">
        <v>284</v>
      </c>
      <c r="D3" s="13">
        <v>3</v>
      </c>
      <c r="E3" s="13">
        <v>3</v>
      </c>
      <c r="F3" s="13">
        <v>5</v>
      </c>
      <c r="G3" s="13">
        <v>7</v>
      </c>
      <c r="H3" s="13">
        <v>5</v>
      </c>
      <c r="I3" s="13">
        <v>6</v>
      </c>
      <c r="J3" s="13">
        <v>10</v>
      </c>
      <c r="K3" s="13">
        <v>12</v>
      </c>
      <c r="L3">
        <v>10</v>
      </c>
      <c r="M3" s="13">
        <v>10</v>
      </c>
      <c r="P3" s="11">
        <v>1</v>
      </c>
      <c r="Q3" s="11" t="s">
        <v>11</v>
      </c>
      <c r="R3" s="11"/>
      <c r="S3" s="3"/>
      <c r="T3" s="252"/>
      <c r="U3" s="252"/>
      <c r="V3" s="252"/>
      <c r="W3" s="2"/>
      <c r="X3" s="184"/>
      <c r="Y3" s="1"/>
    </row>
    <row r="4" spans="1:29" x14ac:dyDescent="0.25">
      <c r="A4" t="s">
        <v>35</v>
      </c>
      <c r="B4" t="s">
        <v>285</v>
      </c>
      <c r="C4" s="13" t="s">
        <v>284</v>
      </c>
      <c r="D4" s="13">
        <v>2</v>
      </c>
      <c r="E4" s="13">
        <v>5</v>
      </c>
      <c r="F4" s="13">
        <v>5</v>
      </c>
      <c r="G4" s="13">
        <v>10</v>
      </c>
      <c r="H4" s="225">
        <v>5</v>
      </c>
      <c r="I4" s="13">
        <v>10</v>
      </c>
      <c r="J4" s="225">
        <v>10</v>
      </c>
      <c r="K4" s="13">
        <v>15</v>
      </c>
      <c r="L4" s="13">
        <v>10</v>
      </c>
      <c r="M4" s="13">
        <v>10</v>
      </c>
      <c r="P4" s="1"/>
      <c r="Q4" s="1" t="s">
        <v>9</v>
      </c>
      <c r="R4" s="1" t="s">
        <v>16</v>
      </c>
      <c r="S4" s="1" t="s">
        <v>31</v>
      </c>
      <c r="T4" s="249"/>
      <c r="U4" s="249"/>
      <c r="V4" s="249"/>
      <c r="W4" s="1"/>
      <c r="X4" s="185">
        <v>7.5</v>
      </c>
      <c r="Y4" s="186" t="e">
        <f>X4-(T$22*X4)</f>
        <v>#REF!</v>
      </c>
    </row>
    <row r="5" spans="1:29" x14ac:dyDescent="0.25">
      <c r="A5" t="s">
        <v>31</v>
      </c>
      <c r="B5" t="s">
        <v>286</v>
      </c>
      <c r="C5" s="13" t="s">
        <v>284</v>
      </c>
      <c r="L5">
        <v>8</v>
      </c>
      <c r="M5">
        <v>7</v>
      </c>
      <c r="P5" s="1"/>
      <c r="Q5" s="1" t="s">
        <v>10</v>
      </c>
      <c r="R5" s="1" t="s">
        <v>17</v>
      </c>
      <c r="S5" s="1" t="s">
        <v>32</v>
      </c>
      <c r="T5" s="250">
        <v>6</v>
      </c>
      <c r="U5" s="250">
        <v>10</v>
      </c>
      <c r="V5" s="250">
        <f>(U5-T5)/U5</f>
        <v>0.4</v>
      </c>
      <c r="W5" s="1"/>
      <c r="X5" s="185">
        <v>9</v>
      </c>
      <c r="Y5" s="186" t="e">
        <f>X5-(T$22*X5)</f>
        <v>#REF!</v>
      </c>
    </row>
    <row r="6" spans="1:29" x14ac:dyDescent="0.25">
      <c r="A6" t="s">
        <v>287</v>
      </c>
      <c r="B6" t="s">
        <v>100</v>
      </c>
      <c r="C6" s="13" t="s">
        <v>288</v>
      </c>
      <c r="L6">
        <v>10</v>
      </c>
      <c r="M6">
        <v>10</v>
      </c>
      <c r="P6" s="1"/>
      <c r="Q6" s="1" t="s">
        <v>15</v>
      </c>
      <c r="R6" s="1" t="s">
        <v>18</v>
      </c>
      <c r="S6" s="1" t="s">
        <v>33</v>
      </c>
      <c r="T6" s="250">
        <v>6.5</v>
      </c>
      <c r="U6" s="250">
        <v>12</v>
      </c>
      <c r="V6" s="251">
        <f>(U6-T6)/U6</f>
        <v>0.45833333333333331</v>
      </c>
      <c r="W6" s="1"/>
      <c r="X6" s="185">
        <v>10</v>
      </c>
      <c r="Y6" s="186" t="e">
        <f>X6-(T$22*X6)</f>
        <v>#REF!</v>
      </c>
    </row>
    <row r="7" spans="1:29" x14ac:dyDescent="0.25">
      <c r="A7" t="s">
        <v>289</v>
      </c>
      <c r="B7" t="s">
        <v>290</v>
      </c>
      <c r="C7" s="13" t="s">
        <v>288</v>
      </c>
      <c r="L7">
        <v>7</v>
      </c>
      <c r="M7">
        <v>7</v>
      </c>
      <c r="P7" s="11">
        <v>2</v>
      </c>
      <c r="Q7" s="11" t="s">
        <v>43</v>
      </c>
      <c r="R7" s="11"/>
      <c r="S7" s="11"/>
      <c r="T7" s="250"/>
      <c r="U7" s="250"/>
      <c r="V7" s="250"/>
      <c r="W7" s="1"/>
      <c r="X7" s="185"/>
      <c r="Y7" s="187"/>
    </row>
    <row r="8" spans="1:29" x14ac:dyDescent="0.25">
      <c r="A8" t="s">
        <v>291</v>
      </c>
      <c r="B8" t="s">
        <v>119</v>
      </c>
      <c r="C8" s="13" t="s">
        <v>288</v>
      </c>
      <c r="L8">
        <v>8</v>
      </c>
      <c r="M8">
        <v>10</v>
      </c>
      <c r="P8" s="1"/>
      <c r="Q8" s="1" t="s">
        <v>9</v>
      </c>
      <c r="R8" s="1" t="s">
        <v>19</v>
      </c>
      <c r="S8" s="1" t="s">
        <v>34</v>
      </c>
      <c r="T8" s="250">
        <v>6.5</v>
      </c>
      <c r="U8" s="250">
        <v>10.5</v>
      </c>
      <c r="V8" s="251">
        <f>(U8-T8)/U8</f>
        <v>0.38095238095238093</v>
      </c>
      <c r="W8" s="1"/>
      <c r="X8" s="185">
        <v>10</v>
      </c>
      <c r="Y8" s="186" t="e">
        <f>X8-(T$22*X8)</f>
        <v>#REF!</v>
      </c>
    </row>
    <row r="9" spans="1:29" x14ac:dyDescent="0.25">
      <c r="A9" t="s">
        <v>292</v>
      </c>
      <c r="B9" t="s">
        <v>121</v>
      </c>
      <c r="C9" s="13" t="s">
        <v>288</v>
      </c>
      <c r="L9" t="s">
        <v>293</v>
      </c>
      <c r="M9" t="s">
        <v>293</v>
      </c>
      <c r="P9" s="1"/>
      <c r="Q9" s="1" t="s">
        <v>10</v>
      </c>
      <c r="R9" s="1" t="s">
        <v>20</v>
      </c>
      <c r="S9" s="1" t="s">
        <v>34</v>
      </c>
      <c r="T9" s="250"/>
      <c r="U9" s="250"/>
      <c r="V9" s="250"/>
      <c r="W9" s="1"/>
      <c r="X9" s="185">
        <v>11</v>
      </c>
      <c r="Y9" s="186" t="e">
        <f>X9-(T$22*X9)</f>
        <v>#REF!</v>
      </c>
    </row>
    <row r="10" spans="1:29" x14ac:dyDescent="0.25">
      <c r="A10" t="s">
        <v>294</v>
      </c>
      <c r="B10" t="s">
        <v>92</v>
      </c>
      <c r="C10" s="13" t="s">
        <v>288</v>
      </c>
      <c r="L10">
        <v>8</v>
      </c>
      <c r="M10">
        <v>7</v>
      </c>
      <c r="P10" s="11">
        <v>3</v>
      </c>
      <c r="Q10" s="11" t="s">
        <v>42</v>
      </c>
      <c r="R10" s="11"/>
      <c r="S10" s="11"/>
      <c r="T10" s="250"/>
      <c r="U10" s="250"/>
      <c r="V10" s="250"/>
      <c r="W10" s="1"/>
      <c r="X10" s="185"/>
      <c r="Y10" s="187"/>
    </row>
    <row r="11" spans="1:29" x14ac:dyDescent="0.25">
      <c r="A11" t="s">
        <v>295</v>
      </c>
      <c r="B11" t="s">
        <v>101</v>
      </c>
      <c r="C11" s="13" t="s">
        <v>288</v>
      </c>
      <c r="L11">
        <v>8</v>
      </c>
      <c r="M11">
        <v>6</v>
      </c>
      <c r="P11" s="1"/>
      <c r="Q11" s="1" t="s">
        <v>9</v>
      </c>
      <c r="R11" s="1" t="s">
        <v>24</v>
      </c>
      <c r="S11" s="1" t="s">
        <v>35</v>
      </c>
      <c r="T11" s="250">
        <v>5</v>
      </c>
      <c r="U11" s="250">
        <v>10</v>
      </c>
      <c r="V11" s="251">
        <f>(U11-T11)/U11</f>
        <v>0.5</v>
      </c>
      <c r="W11" s="1"/>
      <c r="X11" s="185">
        <v>10</v>
      </c>
      <c r="Y11" s="186" t="e">
        <f>X11-(T$22*X11)</f>
        <v>#REF!</v>
      </c>
    </row>
    <row r="12" spans="1:29" x14ac:dyDescent="0.25">
      <c r="A12" t="s">
        <v>296</v>
      </c>
      <c r="B12" t="s">
        <v>297</v>
      </c>
      <c r="C12" s="13" t="s">
        <v>288</v>
      </c>
      <c r="L12">
        <v>10</v>
      </c>
      <c r="M12" t="s">
        <v>293</v>
      </c>
      <c r="P12" s="1"/>
      <c r="Q12" s="1" t="s">
        <v>10</v>
      </c>
      <c r="R12" s="1" t="s">
        <v>25</v>
      </c>
      <c r="S12" s="1" t="s">
        <v>36</v>
      </c>
      <c r="T12" s="250"/>
      <c r="U12" s="250"/>
      <c r="V12" s="250"/>
      <c r="W12" s="1"/>
      <c r="X12" s="185">
        <v>9</v>
      </c>
      <c r="Y12" s="186" t="e">
        <f t="shared" ref="Y12:Y16" si="0">X12-(T$22*X12)</f>
        <v>#REF!</v>
      </c>
    </row>
    <row r="13" spans="1:29" x14ac:dyDescent="0.25">
      <c r="A13" t="s">
        <v>298</v>
      </c>
      <c r="B13" t="s">
        <v>113</v>
      </c>
      <c r="C13" s="13" t="s">
        <v>288</v>
      </c>
      <c r="L13" t="s">
        <v>293</v>
      </c>
      <c r="M13" t="s">
        <v>293</v>
      </c>
      <c r="P13" s="1"/>
      <c r="Q13" s="1" t="s">
        <v>15</v>
      </c>
      <c r="R13" s="1" t="s">
        <v>26</v>
      </c>
      <c r="S13" s="1" t="s">
        <v>37</v>
      </c>
      <c r="T13" s="250"/>
      <c r="U13" s="250"/>
      <c r="V13" s="250"/>
      <c r="W13" s="1"/>
      <c r="X13" s="185">
        <v>7</v>
      </c>
      <c r="Y13" s="186" t="e">
        <f t="shared" si="0"/>
        <v>#REF!</v>
      </c>
    </row>
    <row r="14" spans="1:29" x14ac:dyDescent="0.25">
      <c r="A14" t="s">
        <v>32</v>
      </c>
      <c r="B14" t="s">
        <v>299</v>
      </c>
      <c r="C14" s="13" t="s">
        <v>284</v>
      </c>
      <c r="D14" s="13">
        <v>3</v>
      </c>
      <c r="E14" s="13">
        <v>4</v>
      </c>
      <c r="F14" s="13">
        <v>7</v>
      </c>
      <c r="G14" s="13">
        <v>8</v>
      </c>
      <c r="H14" s="13">
        <v>6</v>
      </c>
      <c r="I14" s="13">
        <v>9</v>
      </c>
      <c r="J14" s="13">
        <v>10</v>
      </c>
      <c r="K14" s="13">
        <v>12</v>
      </c>
      <c r="L14">
        <v>8</v>
      </c>
      <c r="M14" s="13">
        <v>10</v>
      </c>
      <c r="P14" s="1"/>
      <c r="Q14" s="1" t="s">
        <v>21</v>
      </c>
      <c r="R14" s="1" t="s">
        <v>27</v>
      </c>
      <c r="S14" s="1" t="s">
        <v>38</v>
      </c>
      <c r="T14" s="250"/>
      <c r="U14" s="250"/>
      <c r="V14" s="250"/>
      <c r="W14" s="1"/>
      <c r="X14" s="185">
        <v>8</v>
      </c>
      <c r="Y14" s="186" t="e">
        <f t="shared" si="0"/>
        <v>#REF!</v>
      </c>
    </row>
    <row r="15" spans="1:29" x14ac:dyDescent="0.25">
      <c r="A15" t="s">
        <v>300</v>
      </c>
      <c r="B15" t="s">
        <v>301</v>
      </c>
      <c r="C15" s="13" t="s">
        <v>288</v>
      </c>
      <c r="L15" t="s">
        <v>293</v>
      </c>
      <c r="M15" t="s">
        <v>293</v>
      </c>
      <c r="P15" s="1"/>
      <c r="Q15" s="1" t="s">
        <v>22</v>
      </c>
      <c r="R15" s="1" t="s">
        <v>28</v>
      </c>
      <c r="S15" s="1" t="s">
        <v>39</v>
      </c>
      <c r="T15" s="250">
        <v>6.5</v>
      </c>
      <c r="U15" s="250">
        <v>8.5</v>
      </c>
      <c r="V15" s="251">
        <f>(U15-T15)/U15</f>
        <v>0.23529411764705882</v>
      </c>
      <c r="W15" s="1"/>
      <c r="X15" s="185">
        <v>12</v>
      </c>
      <c r="Y15" s="186" t="e">
        <f t="shared" si="0"/>
        <v>#REF!</v>
      </c>
    </row>
    <row r="16" spans="1:29" x14ac:dyDescent="0.25">
      <c r="A16" t="s">
        <v>302</v>
      </c>
      <c r="B16" t="s">
        <v>118</v>
      </c>
      <c r="C16" s="13" t="s">
        <v>288</v>
      </c>
      <c r="L16">
        <v>5</v>
      </c>
      <c r="M16">
        <v>5</v>
      </c>
      <c r="P16" s="1"/>
      <c r="Q16" s="1" t="s">
        <v>23</v>
      </c>
      <c r="R16" s="1" t="s">
        <v>29</v>
      </c>
      <c r="S16" s="1" t="s">
        <v>40</v>
      </c>
      <c r="T16" s="250"/>
      <c r="U16" s="250"/>
      <c r="V16" s="250"/>
      <c r="W16" s="1"/>
      <c r="X16" s="185">
        <v>15</v>
      </c>
      <c r="Y16" s="186" t="e">
        <f t="shared" si="0"/>
        <v>#REF!</v>
      </c>
    </row>
    <row r="17" spans="1:25" x14ac:dyDescent="0.25">
      <c r="A17" t="s">
        <v>303</v>
      </c>
      <c r="B17" t="s">
        <v>304</v>
      </c>
      <c r="C17" s="13" t="s">
        <v>288</v>
      </c>
      <c r="L17" t="s">
        <v>293</v>
      </c>
      <c r="P17" s="11">
        <v>4</v>
      </c>
      <c r="Q17" s="11" t="s">
        <v>2</v>
      </c>
      <c r="R17" s="11"/>
      <c r="S17" s="11"/>
      <c r="T17" s="250"/>
      <c r="U17" s="250"/>
      <c r="V17" s="250"/>
      <c r="W17" s="1"/>
      <c r="X17" s="185"/>
      <c r="Y17" s="187"/>
    </row>
    <row r="18" spans="1:25" x14ac:dyDescent="0.25">
      <c r="A18" t="s">
        <v>305</v>
      </c>
      <c r="B18" t="s">
        <v>93</v>
      </c>
      <c r="C18" s="13" t="s">
        <v>288</v>
      </c>
      <c r="L18">
        <v>5</v>
      </c>
      <c r="M18">
        <v>5</v>
      </c>
      <c r="P18" s="1"/>
      <c r="Q18" s="1" t="s">
        <v>9</v>
      </c>
      <c r="R18" s="1" t="s">
        <v>8</v>
      </c>
      <c r="S18" s="1" t="s">
        <v>5</v>
      </c>
      <c r="T18" s="249"/>
      <c r="U18" s="249"/>
      <c r="V18" s="249"/>
      <c r="W18" s="1"/>
      <c r="X18" s="185">
        <v>8</v>
      </c>
      <c r="Y18" s="186" t="e">
        <f t="shared" ref="Y18:Y21" si="1">X18-(T$22*X18)</f>
        <v>#REF!</v>
      </c>
    </row>
    <row r="19" spans="1:25" x14ac:dyDescent="0.25">
      <c r="A19" t="s">
        <v>306</v>
      </c>
      <c r="B19" t="s">
        <v>108</v>
      </c>
      <c r="C19" s="13" t="s">
        <v>284</v>
      </c>
      <c r="L19">
        <v>12</v>
      </c>
      <c r="M19" t="s">
        <v>293</v>
      </c>
      <c r="P19" s="1"/>
      <c r="Q19" s="1" t="s">
        <v>10</v>
      </c>
      <c r="R19" s="1" t="s">
        <v>30</v>
      </c>
      <c r="S19" s="1" t="s">
        <v>41</v>
      </c>
      <c r="T19" s="249"/>
      <c r="U19" s="249"/>
      <c r="V19" s="249"/>
      <c r="W19" s="1"/>
      <c r="X19" s="185">
        <v>9</v>
      </c>
      <c r="Y19" s="186" t="e">
        <f t="shared" si="1"/>
        <v>#REF!</v>
      </c>
    </row>
    <row r="20" spans="1:25" x14ac:dyDescent="0.25">
      <c r="A20" t="s">
        <v>307</v>
      </c>
      <c r="B20" t="s">
        <v>308</v>
      </c>
      <c r="C20" s="13" t="s">
        <v>288</v>
      </c>
      <c r="L20">
        <v>7</v>
      </c>
      <c r="M20">
        <v>15</v>
      </c>
      <c r="P20" s="11">
        <v>5</v>
      </c>
      <c r="Q20" s="11" t="s">
        <v>12</v>
      </c>
      <c r="R20" s="11"/>
      <c r="S20" s="14" t="s">
        <v>4</v>
      </c>
      <c r="T20" s="249"/>
      <c r="U20" s="249"/>
      <c r="V20" s="249"/>
      <c r="W20" s="1"/>
      <c r="X20" s="185">
        <v>10</v>
      </c>
      <c r="Y20" s="186" t="e">
        <f t="shared" si="1"/>
        <v>#REF!</v>
      </c>
    </row>
    <row r="21" spans="1:25" x14ac:dyDescent="0.25">
      <c r="A21" t="s">
        <v>309</v>
      </c>
      <c r="B21" t="s">
        <v>310</v>
      </c>
      <c r="C21" s="13" t="s">
        <v>288</v>
      </c>
      <c r="L21">
        <v>15</v>
      </c>
      <c r="M21">
        <v>15</v>
      </c>
      <c r="P21" s="11">
        <v>6</v>
      </c>
      <c r="Q21" s="11" t="s">
        <v>13</v>
      </c>
      <c r="R21" s="11"/>
      <c r="S21" s="14" t="s">
        <v>3</v>
      </c>
      <c r="T21" s="249"/>
      <c r="U21" s="249"/>
      <c r="V21" s="249"/>
      <c r="W21" s="1"/>
      <c r="X21" s="185">
        <v>8</v>
      </c>
      <c r="Y21" s="186" t="e">
        <f t="shared" si="1"/>
        <v>#REF!</v>
      </c>
    </row>
    <row r="22" spans="1:25" x14ac:dyDescent="0.25">
      <c r="A22" t="s">
        <v>311</v>
      </c>
      <c r="B22" t="s">
        <v>312</v>
      </c>
      <c r="C22" s="13" t="s">
        <v>288</v>
      </c>
      <c r="L22" t="s">
        <v>293</v>
      </c>
      <c r="M22" t="s">
        <v>293</v>
      </c>
      <c r="P22" s="1"/>
      <c r="Q22" s="1"/>
      <c r="R22" s="1"/>
      <c r="S22" s="1"/>
      <c r="T22" s="588" t="e">
        <f>Master!#REF!</f>
        <v>#REF!</v>
      </c>
      <c r="U22" s="589"/>
      <c r="V22" s="5" t="s">
        <v>397</v>
      </c>
      <c r="W22" s="1"/>
      <c r="X22" s="184"/>
      <c r="Y22" s="1"/>
    </row>
    <row r="23" spans="1:25" x14ac:dyDescent="0.25">
      <c r="A23" t="s">
        <v>313</v>
      </c>
      <c r="B23" t="s">
        <v>314</v>
      </c>
      <c r="C23" s="13" t="s">
        <v>288</v>
      </c>
      <c r="L23">
        <v>10</v>
      </c>
      <c r="M23">
        <v>7</v>
      </c>
    </row>
    <row r="24" spans="1:25" x14ac:dyDescent="0.25">
      <c r="A24" t="s">
        <v>315</v>
      </c>
      <c r="B24" t="s">
        <v>159</v>
      </c>
      <c r="C24" s="13" t="s">
        <v>288</v>
      </c>
      <c r="L24">
        <v>8</v>
      </c>
      <c r="M24">
        <v>7</v>
      </c>
    </row>
    <row r="25" spans="1:25" x14ac:dyDescent="0.25">
      <c r="A25" t="s">
        <v>316</v>
      </c>
      <c r="B25" t="s">
        <v>136</v>
      </c>
      <c r="C25" s="13" t="s">
        <v>288</v>
      </c>
      <c r="L25">
        <v>10</v>
      </c>
      <c r="M25" t="s">
        <v>293</v>
      </c>
    </row>
    <row r="26" spans="1:25" x14ac:dyDescent="0.25">
      <c r="A26" t="s">
        <v>317</v>
      </c>
      <c r="B26" t="s">
        <v>135</v>
      </c>
      <c r="C26" s="13" t="s">
        <v>288</v>
      </c>
      <c r="L26">
        <v>10</v>
      </c>
      <c r="M26">
        <v>10</v>
      </c>
    </row>
    <row r="27" spans="1:25" x14ac:dyDescent="0.25">
      <c r="A27" t="s">
        <v>318</v>
      </c>
      <c r="B27" t="s">
        <v>144</v>
      </c>
      <c r="C27" s="13" t="s">
        <v>288</v>
      </c>
      <c r="L27">
        <v>8</v>
      </c>
      <c r="M27">
        <v>10</v>
      </c>
      <c r="S27" s="225"/>
    </row>
    <row r="28" spans="1:25" x14ac:dyDescent="0.25">
      <c r="A28" t="s">
        <v>319</v>
      </c>
      <c r="B28" t="s">
        <v>145</v>
      </c>
      <c r="C28" s="13" t="s">
        <v>288</v>
      </c>
      <c r="L28" t="s">
        <v>293</v>
      </c>
      <c r="M28" t="s">
        <v>293</v>
      </c>
    </row>
    <row r="29" spans="1:25" x14ac:dyDescent="0.25">
      <c r="A29" t="s">
        <v>320</v>
      </c>
      <c r="B29" t="s">
        <v>147</v>
      </c>
      <c r="C29" s="13" t="s">
        <v>288</v>
      </c>
      <c r="L29">
        <v>10</v>
      </c>
      <c r="M29">
        <v>15</v>
      </c>
    </row>
    <row r="30" spans="1:25" x14ac:dyDescent="0.25">
      <c r="A30" t="s">
        <v>321</v>
      </c>
      <c r="B30" t="s">
        <v>322</v>
      </c>
      <c r="C30" s="13" t="s">
        <v>288</v>
      </c>
      <c r="L30">
        <v>10</v>
      </c>
      <c r="M30">
        <v>10</v>
      </c>
    </row>
    <row r="31" spans="1:25" x14ac:dyDescent="0.25">
      <c r="A31" t="s">
        <v>323</v>
      </c>
      <c r="B31" t="s">
        <v>148</v>
      </c>
      <c r="C31" s="13" t="s">
        <v>288</v>
      </c>
      <c r="L31" t="s">
        <v>293</v>
      </c>
      <c r="M31">
        <v>15</v>
      </c>
    </row>
    <row r="32" spans="1:25" x14ac:dyDescent="0.25">
      <c r="A32" s="183" t="s">
        <v>5</v>
      </c>
      <c r="B32" t="s">
        <v>324</v>
      </c>
      <c r="C32" s="13" t="s">
        <v>284</v>
      </c>
      <c r="L32">
        <v>8</v>
      </c>
      <c r="M32">
        <v>10</v>
      </c>
    </row>
    <row r="33" spans="1:13" x14ac:dyDescent="0.25">
      <c r="A33" t="s">
        <v>325</v>
      </c>
      <c r="B33" t="s">
        <v>88</v>
      </c>
      <c r="C33" s="13" t="s">
        <v>288</v>
      </c>
      <c r="L33">
        <v>10</v>
      </c>
      <c r="M33">
        <v>10</v>
      </c>
    </row>
    <row r="34" spans="1:13" x14ac:dyDescent="0.25">
      <c r="A34" t="s">
        <v>36</v>
      </c>
      <c r="B34" t="s">
        <v>326</v>
      </c>
      <c r="C34" s="13" t="s">
        <v>284</v>
      </c>
      <c r="L34">
        <v>8</v>
      </c>
      <c r="M34">
        <v>10</v>
      </c>
    </row>
    <row r="35" spans="1:13" x14ac:dyDescent="0.25">
      <c r="A35" t="s">
        <v>327</v>
      </c>
      <c r="B35" t="s">
        <v>117</v>
      </c>
      <c r="C35" s="13" t="s">
        <v>288</v>
      </c>
      <c r="L35" t="s">
        <v>293</v>
      </c>
      <c r="M35" t="s">
        <v>293</v>
      </c>
    </row>
    <row r="36" spans="1:13" x14ac:dyDescent="0.25">
      <c r="A36" t="s">
        <v>328</v>
      </c>
      <c r="B36" t="s">
        <v>91</v>
      </c>
      <c r="C36" s="13" t="s">
        <v>288</v>
      </c>
      <c r="L36">
        <v>10</v>
      </c>
      <c r="M36" t="s">
        <v>293</v>
      </c>
    </row>
    <row r="37" spans="1:13" x14ac:dyDescent="0.25">
      <c r="A37" t="s">
        <v>329</v>
      </c>
      <c r="B37" t="s">
        <v>89</v>
      </c>
      <c r="C37" s="13" t="s">
        <v>288</v>
      </c>
      <c r="L37">
        <v>12</v>
      </c>
      <c r="M37">
        <v>12</v>
      </c>
    </row>
    <row r="38" spans="1:13" x14ac:dyDescent="0.25">
      <c r="A38" t="s">
        <v>330</v>
      </c>
      <c r="B38" t="s">
        <v>331</v>
      </c>
      <c r="C38" s="13" t="s">
        <v>288</v>
      </c>
      <c r="L38" t="s">
        <v>293</v>
      </c>
      <c r="M38" t="s">
        <v>293</v>
      </c>
    </row>
    <row r="39" spans="1:13" x14ac:dyDescent="0.25">
      <c r="A39" t="s">
        <v>332</v>
      </c>
      <c r="B39" t="s">
        <v>333</v>
      </c>
      <c r="C39" s="13" t="s">
        <v>284</v>
      </c>
      <c r="L39">
        <v>11</v>
      </c>
      <c r="M39">
        <v>12</v>
      </c>
    </row>
    <row r="40" spans="1:13" x14ac:dyDescent="0.25">
      <c r="A40" t="s">
        <v>334</v>
      </c>
      <c r="B40" t="s">
        <v>335</v>
      </c>
      <c r="C40" s="13" t="s">
        <v>284</v>
      </c>
      <c r="D40" s="13">
        <v>2</v>
      </c>
      <c r="E40" s="13">
        <v>6</v>
      </c>
      <c r="F40" s="13">
        <v>5</v>
      </c>
      <c r="G40" s="13">
        <v>10</v>
      </c>
      <c r="H40" s="13">
        <v>6</v>
      </c>
      <c r="I40" s="13">
        <v>15</v>
      </c>
      <c r="J40" s="13">
        <v>10</v>
      </c>
      <c r="K40" s="13">
        <v>20</v>
      </c>
      <c r="L40" s="13">
        <v>10</v>
      </c>
      <c r="M40" t="s">
        <v>293</v>
      </c>
    </row>
    <row r="41" spans="1:13" x14ac:dyDescent="0.25">
      <c r="A41" t="s">
        <v>336</v>
      </c>
      <c r="B41" t="s">
        <v>116</v>
      </c>
      <c r="C41" s="13" t="s">
        <v>288</v>
      </c>
      <c r="L41">
        <v>10</v>
      </c>
      <c r="M41">
        <v>10</v>
      </c>
    </row>
    <row r="42" spans="1:13" x14ac:dyDescent="0.25">
      <c r="A42" t="s">
        <v>337</v>
      </c>
      <c r="B42" t="s">
        <v>338</v>
      </c>
      <c r="C42" s="13" t="s">
        <v>284</v>
      </c>
      <c r="L42">
        <v>10</v>
      </c>
      <c r="M42">
        <v>15</v>
      </c>
    </row>
    <row r="43" spans="1:13" x14ac:dyDescent="0.25">
      <c r="A43" t="s">
        <v>339</v>
      </c>
      <c r="B43" t="s">
        <v>340</v>
      </c>
      <c r="C43" s="13" t="s">
        <v>288</v>
      </c>
      <c r="L43">
        <v>10</v>
      </c>
      <c r="M43">
        <v>20</v>
      </c>
    </row>
    <row r="44" spans="1:13" x14ac:dyDescent="0.25">
      <c r="A44" t="s">
        <v>341</v>
      </c>
      <c r="B44" t="s">
        <v>149</v>
      </c>
      <c r="C44" s="13" t="s">
        <v>288</v>
      </c>
      <c r="L44" t="s">
        <v>293</v>
      </c>
      <c r="M44" t="s">
        <v>293</v>
      </c>
    </row>
    <row r="45" spans="1:13" x14ac:dyDescent="0.25">
      <c r="A45" t="s">
        <v>342</v>
      </c>
      <c r="B45" t="s">
        <v>343</v>
      </c>
      <c r="C45" s="13" t="s">
        <v>288</v>
      </c>
      <c r="L45" t="s">
        <v>293</v>
      </c>
      <c r="M45" t="s">
        <v>293</v>
      </c>
    </row>
    <row r="46" spans="1:13" x14ac:dyDescent="0.25">
      <c r="A46" t="s">
        <v>344</v>
      </c>
      <c r="B46" t="s">
        <v>94</v>
      </c>
      <c r="C46" s="13" t="s">
        <v>288</v>
      </c>
      <c r="L46">
        <v>10</v>
      </c>
      <c r="M46">
        <v>10</v>
      </c>
    </row>
    <row r="47" spans="1:13" x14ac:dyDescent="0.25">
      <c r="A47" t="s">
        <v>345</v>
      </c>
      <c r="B47" t="s">
        <v>346</v>
      </c>
      <c r="C47" s="13" t="s">
        <v>288</v>
      </c>
      <c r="L47" t="s">
        <v>293</v>
      </c>
      <c r="M47">
        <v>12</v>
      </c>
    </row>
    <row r="48" spans="1:13" x14ac:dyDescent="0.25">
      <c r="A48" t="s">
        <v>37</v>
      </c>
      <c r="B48" t="s">
        <v>347</v>
      </c>
      <c r="C48" s="13" t="s">
        <v>284</v>
      </c>
      <c r="L48">
        <v>10</v>
      </c>
      <c r="M48">
        <v>7</v>
      </c>
    </row>
    <row r="49" spans="1:17" x14ac:dyDescent="0.25">
      <c r="A49" t="s">
        <v>348</v>
      </c>
      <c r="B49" t="s">
        <v>349</v>
      </c>
      <c r="C49" s="13" t="s">
        <v>288</v>
      </c>
      <c r="L49">
        <v>5</v>
      </c>
      <c r="M49">
        <v>10</v>
      </c>
    </row>
    <row r="50" spans="1:17" x14ac:dyDescent="0.25">
      <c r="A50" t="s">
        <v>33</v>
      </c>
      <c r="B50" t="s">
        <v>350</v>
      </c>
      <c r="C50" s="13" t="s">
        <v>284</v>
      </c>
      <c r="D50" s="13">
        <v>3</v>
      </c>
      <c r="E50" s="13">
        <v>6</v>
      </c>
      <c r="F50" s="13">
        <v>5</v>
      </c>
      <c r="G50" s="13">
        <v>10</v>
      </c>
      <c r="H50" s="13">
        <v>6</v>
      </c>
      <c r="I50" s="13">
        <v>10</v>
      </c>
      <c r="J50" s="13">
        <v>10</v>
      </c>
      <c r="K50" s="13">
        <v>20</v>
      </c>
      <c r="L50" s="13">
        <v>12</v>
      </c>
      <c r="M50" s="13">
        <v>7</v>
      </c>
    </row>
    <row r="51" spans="1:17" x14ac:dyDescent="0.25">
      <c r="A51" t="s">
        <v>351</v>
      </c>
      <c r="B51" t="s">
        <v>352</v>
      </c>
      <c r="C51" s="13" t="s">
        <v>288</v>
      </c>
      <c r="L51">
        <v>10</v>
      </c>
      <c r="M51">
        <v>8</v>
      </c>
    </row>
    <row r="52" spans="1:17" x14ac:dyDescent="0.25">
      <c r="A52" t="s">
        <v>41</v>
      </c>
      <c r="B52" t="s">
        <v>353</v>
      </c>
      <c r="C52" s="13" t="s">
        <v>284</v>
      </c>
      <c r="L52">
        <v>9</v>
      </c>
      <c r="M52" t="s">
        <v>293</v>
      </c>
    </row>
    <row r="53" spans="1:17" x14ac:dyDescent="0.25">
      <c r="A53" t="s">
        <v>354</v>
      </c>
      <c r="B53" t="s">
        <v>355</v>
      </c>
      <c r="C53" s="13" t="s">
        <v>284</v>
      </c>
      <c r="D53" s="13">
        <v>2</v>
      </c>
      <c r="E53" s="13">
        <v>6</v>
      </c>
      <c r="F53" s="13">
        <v>5</v>
      </c>
      <c r="G53" s="13">
        <v>8</v>
      </c>
      <c r="H53" s="13">
        <v>6</v>
      </c>
      <c r="I53" s="13">
        <v>10</v>
      </c>
      <c r="J53" s="13">
        <v>10</v>
      </c>
      <c r="K53" s="13">
        <v>15</v>
      </c>
      <c r="L53" s="13">
        <v>10</v>
      </c>
      <c r="M53" s="13">
        <v>8</v>
      </c>
    </row>
    <row r="54" spans="1:17" x14ac:dyDescent="0.25">
      <c r="A54" t="s">
        <v>356</v>
      </c>
      <c r="B54" t="s">
        <v>357</v>
      </c>
      <c r="C54" s="13" t="s">
        <v>284</v>
      </c>
      <c r="L54">
        <v>10</v>
      </c>
      <c r="M54">
        <v>10</v>
      </c>
    </row>
    <row r="55" spans="1:17" x14ac:dyDescent="0.25">
      <c r="A55" t="s">
        <v>38</v>
      </c>
      <c r="B55" t="s">
        <v>134</v>
      </c>
      <c r="C55" s="13" t="s">
        <v>284</v>
      </c>
      <c r="L55">
        <v>8</v>
      </c>
      <c r="M55">
        <v>10</v>
      </c>
    </row>
    <row r="56" spans="1:17" x14ac:dyDescent="0.25">
      <c r="A56" t="s">
        <v>358</v>
      </c>
      <c r="B56" t="s">
        <v>359</v>
      </c>
      <c r="C56" s="13" t="s">
        <v>288</v>
      </c>
      <c r="L56">
        <v>9</v>
      </c>
      <c r="M56">
        <v>8</v>
      </c>
    </row>
    <row r="57" spans="1:17" x14ac:dyDescent="0.25">
      <c r="A57" t="s">
        <v>360</v>
      </c>
      <c r="B57" t="s">
        <v>361</v>
      </c>
      <c r="C57" s="13" t="s">
        <v>288</v>
      </c>
      <c r="L57">
        <v>10</v>
      </c>
      <c r="M57">
        <v>10</v>
      </c>
    </row>
    <row r="58" spans="1:17" x14ac:dyDescent="0.25">
      <c r="A58" s="183" t="s">
        <v>362</v>
      </c>
      <c r="B58" t="s">
        <v>363</v>
      </c>
      <c r="C58" s="13" t="s">
        <v>288</v>
      </c>
      <c r="L58">
        <v>8</v>
      </c>
      <c r="M58">
        <v>7</v>
      </c>
    </row>
    <row r="59" spans="1:17" x14ac:dyDescent="0.25">
      <c r="A59" t="s">
        <v>364</v>
      </c>
      <c r="B59" t="s">
        <v>103</v>
      </c>
      <c r="C59" s="13" t="s">
        <v>288</v>
      </c>
      <c r="L59">
        <v>10</v>
      </c>
      <c r="M59">
        <v>10</v>
      </c>
    </row>
    <row r="60" spans="1:17" x14ac:dyDescent="0.25">
      <c r="A60" t="s">
        <v>365</v>
      </c>
      <c r="B60" t="s">
        <v>366</v>
      </c>
      <c r="C60" s="13" t="s">
        <v>288</v>
      </c>
      <c r="L60">
        <v>5</v>
      </c>
      <c r="M60">
        <v>10</v>
      </c>
    </row>
    <row r="61" spans="1:17" x14ac:dyDescent="0.25">
      <c r="A61" t="s">
        <v>367</v>
      </c>
      <c r="B61" t="s">
        <v>368</v>
      </c>
      <c r="C61" s="13" t="s">
        <v>284</v>
      </c>
      <c r="D61" s="13">
        <v>3</v>
      </c>
      <c r="E61" s="13">
        <v>5</v>
      </c>
      <c r="F61" s="13">
        <v>4</v>
      </c>
      <c r="G61" s="13">
        <v>8</v>
      </c>
      <c r="H61" s="13">
        <v>2</v>
      </c>
      <c r="I61" s="13">
        <v>10</v>
      </c>
      <c r="J61" s="13">
        <v>10</v>
      </c>
      <c r="K61" s="13">
        <v>17</v>
      </c>
      <c r="L61" s="13">
        <v>12</v>
      </c>
      <c r="M61" s="13">
        <v>10</v>
      </c>
    </row>
    <row r="62" spans="1:17" x14ac:dyDescent="0.25">
      <c r="A62" t="s">
        <v>369</v>
      </c>
      <c r="B62" t="s">
        <v>370</v>
      </c>
      <c r="C62" s="13" t="s">
        <v>288</v>
      </c>
      <c r="L62">
        <v>10</v>
      </c>
      <c r="M62" t="s">
        <v>293</v>
      </c>
    </row>
    <row r="63" spans="1:17" x14ac:dyDescent="0.25">
      <c r="A63" s="183" t="s">
        <v>4</v>
      </c>
      <c r="B63" t="s">
        <v>371</v>
      </c>
      <c r="C63" s="13" t="s">
        <v>284</v>
      </c>
      <c r="L63">
        <v>10</v>
      </c>
      <c r="M63">
        <v>10</v>
      </c>
      <c r="Q63">
        <f>AVERAGE(D66:E66,H66:I66)</f>
        <v>6.25</v>
      </c>
    </row>
    <row r="64" spans="1:17" x14ac:dyDescent="0.25">
      <c r="A64" t="s">
        <v>372</v>
      </c>
      <c r="B64" t="s">
        <v>123</v>
      </c>
      <c r="C64" s="13" t="s">
        <v>284</v>
      </c>
      <c r="L64">
        <v>10</v>
      </c>
      <c r="M64">
        <v>10</v>
      </c>
    </row>
    <row r="65" spans="1:13" x14ac:dyDescent="0.25">
      <c r="A65" t="s">
        <v>373</v>
      </c>
      <c r="B65" t="s">
        <v>374</v>
      </c>
      <c r="C65" s="13" t="s">
        <v>288</v>
      </c>
      <c r="L65" t="s">
        <v>293</v>
      </c>
      <c r="M65" t="s">
        <v>293</v>
      </c>
    </row>
    <row r="66" spans="1:13" x14ac:dyDescent="0.25">
      <c r="A66" t="s">
        <v>39</v>
      </c>
      <c r="B66" t="s">
        <v>375</v>
      </c>
      <c r="C66" s="13" t="s">
        <v>284</v>
      </c>
      <c r="D66" s="13">
        <v>3</v>
      </c>
      <c r="E66" s="13">
        <v>6</v>
      </c>
      <c r="F66" s="13">
        <v>5</v>
      </c>
      <c r="G66" s="13">
        <v>12</v>
      </c>
      <c r="H66" s="13">
        <v>6</v>
      </c>
      <c r="I66" s="13">
        <v>10</v>
      </c>
      <c r="J66" s="13">
        <v>8</v>
      </c>
      <c r="K66" s="13">
        <v>14</v>
      </c>
      <c r="L66" s="13">
        <v>12</v>
      </c>
      <c r="M66" s="13">
        <v>15</v>
      </c>
    </row>
    <row r="67" spans="1:13" x14ac:dyDescent="0.25">
      <c r="A67" t="s">
        <v>376</v>
      </c>
      <c r="B67" t="s">
        <v>377</v>
      </c>
      <c r="C67" s="13" t="s">
        <v>288</v>
      </c>
      <c r="L67">
        <v>10</v>
      </c>
      <c r="M67">
        <v>7</v>
      </c>
    </row>
    <row r="68" spans="1:13" x14ac:dyDescent="0.25">
      <c r="A68" t="s">
        <v>378</v>
      </c>
      <c r="B68" t="s">
        <v>133</v>
      </c>
      <c r="C68" s="13" t="s">
        <v>288</v>
      </c>
      <c r="D68" s="13">
        <v>1</v>
      </c>
      <c r="E68" s="13">
        <v>3</v>
      </c>
      <c r="F68" s="13">
        <v>5</v>
      </c>
      <c r="G68" s="13">
        <v>7</v>
      </c>
      <c r="H68" s="13">
        <v>5</v>
      </c>
      <c r="I68" s="13">
        <v>8</v>
      </c>
      <c r="J68" s="13">
        <v>10</v>
      </c>
      <c r="K68" s="13">
        <v>15</v>
      </c>
      <c r="L68" s="13">
        <v>10</v>
      </c>
      <c r="M68" t="s">
        <v>293</v>
      </c>
    </row>
    <row r="69" spans="1:13" x14ac:dyDescent="0.25">
      <c r="A69" t="s">
        <v>40</v>
      </c>
      <c r="B69" t="s">
        <v>379</v>
      </c>
      <c r="C69" s="13" t="s">
        <v>284</v>
      </c>
      <c r="L69">
        <v>15</v>
      </c>
      <c r="M69">
        <v>15</v>
      </c>
    </row>
    <row r="70" spans="1:13" x14ac:dyDescent="0.25">
      <c r="A70" t="s">
        <v>380</v>
      </c>
      <c r="B70" t="s">
        <v>381</v>
      </c>
      <c r="C70" s="13" t="s">
        <v>288</v>
      </c>
      <c r="L70" s="13">
        <v>7</v>
      </c>
      <c r="M70" t="s">
        <v>293</v>
      </c>
    </row>
    <row r="71" spans="1:13" x14ac:dyDescent="0.25">
      <c r="A71" t="s">
        <v>382</v>
      </c>
      <c r="B71" t="s">
        <v>124</v>
      </c>
      <c r="C71" s="13" t="s">
        <v>288</v>
      </c>
      <c r="L71">
        <v>10</v>
      </c>
      <c r="M71">
        <v>10</v>
      </c>
    </row>
    <row r="72" spans="1:13" x14ac:dyDescent="0.25">
      <c r="A72" t="s">
        <v>383</v>
      </c>
      <c r="B72" t="s">
        <v>384</v>
      </c>
      <c r="C72" s="13" t="s">
        <v>288</v>
      </c>
      <c r="L72" s="13">
        <v>10</v>
      </c>
      <c r="M72">
        <v>10</v>
      </c>
    </row>
    <row r="73" spans="1:13" x14ac:dyDescent="0.25">
      <c r="A73" t="s">
        <v>385</v>
      </c>
      <c r="B73" t="s">
        <v>386</v>
      </c>
      <c r="C73" s="13" t="s">
        <v>288</v>
      </c>
      <c r="L73">
        <v>10</v>
      </c>
      <c r="M73" t="s">
        <v>293</v>
      </c>
    </row>
    <row r="74" spans="1:13" x14ac:dyDescent="0.25">
      <c r="A74" t="s">
        <v>387</v>
      </c>
      <c r="B74" t="s">
        <v>387</v>
      </c>
      <c r="C74" s="13" t="s">
        <v>288</v>
      </c>
      <c r="L74" t="s">
        <v>293</v>
      </c>
      <c r="M74" t="s">
        <v>293</v>
      </c>
    </row>
    <row r="75" spans="1:13" x14ac:dyDescent="0.25">
      <c r="A75" t="s">
        <v>388</v>
      </c>
      <c r="B75" t="s">
        <v>389</v>
      </c>
      <c r="C75" s="13" t="s">
        <v>284</v>
      </c>
      <c r="L75">
        <v>10</v>
      </c>
      <c r="M75">
        <v>7</v>
      </c>
    </row>
    <row r="76" spans="1:13" x14ac:dyDescent="0.25">
      <c r="A76" t="s">
        <v>390</v>
      </c>
      <c r="B76" t="s">
        <v>391</v>
      </c>
      <c r="C76" s="13" t="s">
        <v>288</v>
      </c>
      <c r="L76">
        <v>10</v>
      </c>
      <c r="M76">
        <v>10</v>
      </c>
    </row>
    <row r="77" spans="1:13" x14ac:dyDescent="0.25">
      <c r="A77" t="s">
        <v>392</v>
      </c>
      <c r="B77" t="s">
        <v>393</v>
      </c>
      <c r="C77" s="13" t="s">
        <v>288</v>
      </c>
      <c r="L77">
        <v>10</v>
      </c>
      <c r="M77">
        <v>10</v>
      </c>
    </row>
    <row r="78" spans="1:13" x14ac:dyDescent="0.25">
      <c r="A78" s="183" t="s">
        <v>3</v>
      </c>
      <c r="B78" t="s">
        <v>394</v>
      </c>
      <c r="C78" s="13" t="s">
        <v>284</v>
      </c>
      <c r="L78">
        <v>8</v>
      </c>
      <c r="M78">
        <v>8</v>
      </c>
    </row>
  </sheetData>
  <mergeCells count="4">
    <mergeCell ref="D1:J1"/>
    <mergeCell ref="T22:U22"/>
    <mergeCell ref="T1:V1"/>
    <mergeCell ref="X1:Y1"/>
  </mergeCells>
  <pageMargins left="0.7" right="0.7" top="0.75" bottom="0.75" header="0.3" footer="0.3"/>
  <pageSetup paperSize="9" orientation="portrait" horizontalDpi="0" verticalDpi="0"/>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dimension ref="A1:N19"/>
  <sheetViews>
    <sheetView workbookViewId="0">
      <selection activeCell="J17" sqref="J17"/>
    </sheetView>
  </sheetViews>
  <sheetFormatPr defaultColWidth="8.7109375" defaultRowHeight="15" x14ac:dyDescent="0.25"/>
  <cols>
    <col min="2" max="11" width="10.85546875" customWidth="1"/>
    <col min="13" max="13" width="14.7109375" bestFit="1" customWidth="1"/>
  </cols>
  <sheetData>
    <row r="1" spans="1:14" x14ac:dyDescent="0.25">
      <c r="A1" s="465" t="str">
        <f>HYPERLINK("#"&amp;ADDRESS(1,1,,,"MASTER"),"M &lt;=")</f>
        <v>M &lt;=</v>
      </c>
    </row>
    <row r="2" spans="1:14" s="225" customFormat="1" x14ac:dyDescent="0.25">
      <c r="A2" s="238"/>
    </row>
    <row r="3" spans="1:14" s="225" customFormat="1" x14ac:dyDescent="0.25">
      <c r="A3" s="464" t="s">
        <v>632</v>
      </c>
    </row>
    <row r="4" spans="1:14" x14ac:dyDescent="0.25">
      <c r="A4" s="225"/>
      <c r="B4" s="229">
        <v>2008</v>
      </c>
      <c r="C4" s="229">
        <v>2009</v>
      </c>
      <c r="D4" s="229">
        <v>2010</v>
      </c>
      <c r="E4" s="229">
        <v>2011</v>
      </c>
      <c r="F4" s="229">
        <v>2012</v>
      </c>
      <c r="G4" s="229">
        <v>2013</v>
      </c>
      <c r="H4" s="229">
        <v>2014</v>
      </c>
      <c r="I4" s="229">
        <v>2015</v>
      </c>
      <c r="J4" s="229">
        <v>2016</v>
      </c>
      <c r="K4" s="229">
        <v>2017</v>
      </c>
    </row>
    <row r="5" spans="1:14" ht="17.25" x14ac:dyDescent="0.25">
      <c r="A5" s="3" t="s">
        <v>425</v>
      </c>
      <c r="B5" s="226">
        <v>82.3342842988434</v>
      </c>
      <c r="C5" s="226">
        <v>91.469128018319196</v>
      </c>
      <c r="D5" s="226">
        <v>100</v>
      </c>
      <c r="E5" s="226">
        <v>109.22707546126</v>
      </c>
      <c r="F5" s="226">
        <v>119.559749053898</v>
      </c>
      <c r="G5" s="226">
        <v>130.368145393248</v>
      </c>
      <c r="H5" s="226">
        <v>141.272338749022</v>
      </c>
      <c r="I5" s="226">
        <v>152.38893046506601</v>
      </c>
      <c r="J5" s="226">
        <v>165.784440634692</v>
      </c>
      <c r="K5" s="226">
        <v>171.137501061775</v>
      </c>
      <c r="M5" s="356"/>
    </row>
    <row r="6" spans="1:14" s="225" customFormat="1" x14ac:dyDescent="0.25">
      <c r="A6" s="190" t="s">
        <v>424</v>
      </c>
      <c r="B6" s="457">
        <v>69.761695000000003</v>
      </c>
      <c r="C6" s="457">
        <v>77.573430739015606</v>
      </c>
      <c r="D6" s="457">
        <v>73.262359015804606</v>
      </c>
      <c r="E6" s="457">
        <v>74.02</v>
      </c>
      <c r="F6" s="457">
        <v>85.196666666666701</v>
      </c>
      <c r="G6" s="457">
        <v>92.993333333333297</v>
      </c>
      <c r="H6" s="457">
        <v>97.554166666666703</v>
      </c>
      <c r="I6" s="457">
        <v>102.405134331356</v>
      </c>
      <c r="J6" s="457">
        <v>107.383815174654</v>
      </c>
      <c r="K6" s="457">
        <v>104.511885242863</v>
      </c>
      <c r="M6" s="356"/>
    </row>
    <row r="7" spans="1:14" s="225" customFormat="1" x14ac:dyDescent="0.25">
      <c r="A7" s="192" t="s">
        <v>423</v>
      </c>
      <c r="B7" s="228">
        <v>0.682674711239873</v>
      </c>
      <c r="C7" s="228">
        <v>0.71984335978561498</v>
      </c>
      <c r="D7" s="228">
        <v>0.75504495198983501</v>
      </c>
      <c r="E7" s="228">
        <v>0.71935525360915398</v>
      </c>
      <c r="F7" s="228">
        <v>0.77829360141285198</v>
      </c>
      <c r="G7" s="228">
        <v>0.75315918184727004</v>
      </c>
      <c r="H7" s="228">
        <v>0.75373073671740198</v>
      </c>
      <c r="I7" s="228">
        <v>0.90165896164127801</v>
      </c>
      <c r="J7" s="228">
        <v>0.90403512795035901</v>
      </c>
      <c r="K7" s="458" t="s">
        <v>293</v>
      </c>
      <c r="M7" s="356"/>
    </row>
    <row r="8" spans="1:14" ht="48" customHeight="1" x14ac:dyDescent="0.25">
      <c r="A8" s="590" t="s">
        <v>633</v>
      </c>
      <c r="B8" s="590"/>
      <c r="C8" s="590"/>
      <c r="D8" s="590"/>
      <c r="E8" s="590"/>
      <c r="F8" s="590"/>
      <c r="G8" s="590"/>
      <c r="H8" s="590"/>
      <c r="I8" s="590"/>
      <c r="J8" s="590"/>
      <c r="K8" s="590"/>
    </row>
    <row r="9" spans="1:14" s="225" customFormat="1" x14ac:dyDescent="0.25"/>
    <row r="10" spans="1:14" x14ac:dyDescent="0.25">
      <c r="A10" s="10" t="s">
        <v>636</v>
      </c>
    </row>
    <row r="11" spans="1:14" x14ac:dyDescent="0.25">
      <c r="A11" s="3" t="s">
        <v>528</v>
      </c>
      <c r="B11" s="2"/>
      <c r="C11" s="463">
        <f>(C5-B5)/B5</f>
        <v>0.11094823738698752</v>
      </c>
      <c r="D11" s="463">
        <f t="shared" ref="D11:K11" si="0">(D5-C5)/C5</f>
        <v>9.3265041074538979E-2</v>
      </c>
      <c r="E11" s="463">
        <f t="shared" si="0"/>
        <v>9.2270754612599995E-2</v>
      </c>
      <c r="F11" s="463">
        <f>(F5-E5)/E5</f>
        <v>9.4598098035708483E-2</v>
      </c>
      <c r="G11" s="463">
        <f>(G5-F5)/F5</f>
        <v>9.0401631191761117E-2</v>
      </c>
      <c r="H11" s="463">
        <f>(H5-G5)/G5</f>
        <v>8.3641546965956506E-2</v>
      </c>
      <c r="I11" s="463">
        <f>(I5-H5)/H5</f>
        <v>7.8689089559090847E-2</v>
      </c>
      <c r="J11" s="463">
        <f>(J5-I5)/I5</f>
        <v>8.7903433200463413E-2</v>
      </c>
      <c r="K11" s="463">
        <f t="shared" si="0"/>
        <v>3.2289281229222991E-2</v>
      </c>
    </row>
    <row r="12" spans="1:14" x14ac:dyDescent="0.25">
      <c r="A12" s="192" t="s">
        <v>529</v>
      </c>
      <c r="B12" s="198"/>
      <c r="C12" s="228">
        <f>C11+1</f>
        <v>1.1109482373869874</v>
      </c>
      <c r="D12" s="228">
        <f t="shared" ref="D12:K12" si="1">D11+1</f>
        <v>1.093265041074539</v>
      </c>
      <c r="E12" s="228">
        <f t="shared" si="1"/>
        <v>1.0922707546126</v>
      </c>
      <c r="F12" s="228">
        <f>F11+1</f>
        <v>1.0945980980357084</v>
      </c>
      <c r="G12" s="228">
        <f t="shared" si="1"/>
        <v>1.090401631191761</v>
      </c>
      <c r="H12" s="228">
        <f t="shared" si="1"/>
        <v>1.0836415469659566</v>
      </c>
      <c r="I12" s="228">
        <f t="shared" si="1"/>
        <v>1.0786890895590908</v>
      </c>
      <c r="J12" s="228">
        <f t="shared" si="1"/>
        <v>1.0879034332004633</v>
      </c>
      <c r="K12" s="228">
        <f t="shared" si="1"/>
        <v>1.032289281229223</v>
      </c>
    </row>
    <row r="13" spans="1:14" x14ac:dyDescent="0.25">
      <c r="A13" s="545" t="s">
        <v>637</v>
      </c>
      <c r="B13" s="545"/>
      <c r="C13" s="545"/>
      <c r="D13" s="545"/>
      <c r="E13" s="545"/>
      <c r="F13" s="545"/>
      <c r="G13" s="545"/>
      <c r="H13" s="545"/>
      <c r="I13" s="545"/>
      <c r="J13" s="545"/>
      <c r="K13" s="545"/>
    </row>
    <row r="14" spans="1:14" x14ac:dyDescent="0.25">
      <c r="A14" s="17"/>
    </row>
    <row r="15" spans="1:14" x14ac:dyDescent="0.25">
      <c r="A15" s="464" t="s">
        <v>635</v>
      </c>
      <c r="N15" s="225"/>
    </row>
    <row r="16" spans="1:14" x14ac:dyDescent="0.25">
      <c r="A16" s="268"/>
      <c r="B16" s="268">
        <v>2008</v>
      </c>
      <c r="C16" s="268">
        <v>2009</v>
      </c>
      <c r="D16" s="268">
        <v>2010</v>
      </c>
      <c r="E16" s="268">
        <v>2011</v>
      </c>
      <c r="F16" s="268">
        <v>2012</v>
      </c>
      <c r="G16" s="268">
        <v>2013</v>
      </c>
      <c r="H16" s="268">
        <v>2014</v>
      </c>
      <c r="I16" s="268">
        <v>2015</v>
      </c>
      <c r="J16" s="268">
        <v>2016</v>
      </c>
      <c r="K16" s="268">
        <v>2017</v>
      </c>
    </row>
    <row r="17" spans="1:13" x14ac:dyDescent="0.25">
      <c r="A17" s="11" t="s">
        <v>424</v>
      </c>
      <c r="B17" s="455">
        <v>17.770446574487401</v>
      </c>
      <c r="C17" s="455">
        <v>20.441591425836702</v>
      </c>
      <c r="D17" s="455">
        <v>23.2667495450074</v>
      </c>
      <c r="E17" s="455">
        <v>25.254611968994102</v>
      </c>
      <c r="F17" s="455">
        <v>26.004440307617202</v>
      </c>
      <c r="G17" s="455">
        <v>26.799869537353501</v>
      </c>
      <c r="H17" s="455">
        <v>28.152746200561499</v>
      </c>
      <c r="I17" s="455">
        <v>29.9425354003906</v>
      </c>
      <c r="J17" s="455">
        <v>31.9988098144531</v>
      </c>
      <c r="K17" s="455">
        <v>31.234983444213899</v>
      </c>
      <c r="M17" s="356"/>
    </row>
    <row r="18" spans="1:13" x14ac:dyDescent="0.25">
      <c r="A18" s="192" t="s">
        <v>423</v>
      </c>
      <c r="B18" s="228">
        <v>0.80615199999999998</v>
      </c>
      <c r="C18" s="228">
        <v>0.79441799999999996</v>
      </c>
      <c r="D18" s="228">
        <v>0.79232100000000005</v>
      </c>
      <c r="E18" s="228">
        <v>0.780416</v>
      </c>
      <c r="F18" s="228">
        <v>0.77412099999999995</v>
      </c>
      <c r="G18" s="228">
        <v>0.755494</v>
      </c>
      <c r="H18" s="228">
        <v>0.75199099999999997</v>
      </c>
      <c r="I18" s="228">
        <v>0.75523499999999999</v>
      </c>
      <c r="J18" s="228">
        <v>0.72972199999999998</v>
      </c>
      <c r="K18" s="198" t="s">
        <v>293</v>
      </c>
      <c r="M18" s="356"/>
    </row>
    <row r="19" spans="1:13" ht="50.1" customHeight="1" x14ac:dyDescent="0.25">
      <c r="A19" s="590" t="s">
        <v>634</v>
      </c>
      <c r="B19" s="590"/>
      <c r="C19" s="590"/>
      <c r="D19" s="590"/>
      <c r="E19" s="590"/>
      <c r="F19" s="590"/>
      <c r="G19" s="590"/>
      <c r="H19" s="590"/>
      <c r="I19" s="590"/>
      <c r="J19" s="590"/>
      <c r="K19" s="590"/>
    </row>
  </sheetData>
  <mergeCells count="3">
    <mergeCell ref="A8:K8"/>
    <mergeCell ref="A19:K19"/>
    <mergeCell ref="A13:K1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1"/>
  <dimension ref="A1:T22"/>
  <sheetViews>
    <sheetView zoomScaleNormal="100" zoomScalePageLayoutView="53" workbookViewId="0">
      <pane xSplit="6" ySplit="6" topLeftCell="G7" activePane="bottomRight" state="frozen"/>
      <selection pane="topRight" activeCell="K1" sqref="K1"/>
      <selection pane="bottomLeft" activeCell="A3" sqref="A3"/>
      <selection pane="bottomRight" activeCell="O1" sqref="O1"/>
    </sheetView>
  </sheetViews>
  <sheetFormatPr defaultColWidth="58.42578125" defaultRowHeight="15" x14ac:dyDescent="0.25"/>
  <cols>
    <col min="1" max="1" width="23" style="371" customWidth="1"/>
    <col min="2" max="2" width="4.42578125" style="399" customWidth="1"/>
    <col min="3" max="3" width="35.28515625" style="399" customWidth="1"/>
    <col min="4" max="4" width="7.140625" style="399" customWidth="1"/>
    <col min="5" max="5" width="14.42578125" style="400" customWidth="1"/>
    <col min="6" max="6" width="14.140625" style="401" customWidth="1"/>
    <col min="7" max="7" width="0.140625" style="371" customWidth="1"/>
    <col min="8" max="8" width="20.140625" style="402" hidden="1" customWidth="1"/>
    <col min="9" max="9" width="9.7109375" style="402" hidden="1" customWidth="1"/>
    <col min="10" max="10" width="20.140625" style="402" hidden="1" customWidth="1"/>
    <col min="11" max="11" width="15.140625" style="402" hidden="1" customWidth="1"/>
    <col min="12" max="12" width="16.140625" style="402" hidden="1" customWidth="1"/>
    <col min="13" max="13" width="14.7109375" style="402" customWidth="1"/>
    <col min="14" max="14" width="12" style="402" customWidth="1"/>
    <col min="15" max="15" width="12.85546875" style="402" customWidth="1"/>
    <col min="16" max="16" width="13.85546875" style="402" customWidth="1"/>
    <col min="17" max="17" width="9.140625" style="402" customWidth="1"/>
    <col min="18" max="18" width="9.42578125" style="402" customWidth="1"/>
    <col min="19" max="19" width="14" style="402" customWidth="1"/>
    <col min="20" max="20" width="8.42578125" style="404" customWidth="1"/>
    <col min="21" max="256" width="58.42578125" style="371"/>
    <col min="257" max="257" width="23" style="371" customWidth="1"/>
    <col min="258" max="258" width="4.42578125" style="371" customWidth="1"/>
    <col min="259" max="259" width="35.28515625" style="371" customWidth="1"/>
    <col min="260" max="260" width="7.140625" style="371" customWidth="1"/>
    <col min="261" max="261" width="14.42578125" style="371" customWidth="1"/>
    <col min="262" max="262" width="14.140625" style="371" customWidth="1"/>
    <col min="263" max="263" width="0.140625" style="371" customWidth="1"/>
    <col min="264" max="268" width="0" style="371" hidden="1" customWidth="1"/>
    <col min="269" max="269" width="14.7109375" style="371" customWidth="1"/>
    <col min="270" max="270" width="12" style="371" customWidth="1"/>
    <col min="271" max="271" width="12.85546875" style="371" customWidth="1"/>
    <col min="272" max="272" width="13.85546875" style="371" customWidth="1"/>
    <col min="273" max="273" width="9.140625" style="371" customWidth="1"/>
    <col min="274" max="274" width="0" style="371" hidden="1" customWidth="1"/>
    <col min="275" max="275" width="14" style="371" customWidth="1"/>
    <col min="276" max="276" width="8.42578125" style="371" customWidth="1"/>
    <col min="277" max="512" width="58.42578125" style="371"/>
    <col min="513" max="513" width="23" style="371" customWidth="1"/>
    <col min="514" max="514" width="4.42578125" style="371" customWidth="1"/>
    <col min="515" max="515" width="35.28515625" style="371" customWidth="1"/>
    <col min="516" max="516" width="7.140625" style="371" customWidth="1"/>
    <col min="517" max="517" width="14.42578125" style="371" customWidth="1"/>
    <col min="518" max="518" width="14.140625" style="371" customWidth="1"/>
    <col min="519" max="519" width="0.140625" style="371" customWidth="1"/>
    <col min="520" max="524" width="0" style="371" hidden="1" customWidth="1"/>
    <col min="525" max="525" width="14.7109375" style="371" customWidth="1"/>
    <col min="526" max="526" width="12" style="371" customWidth="1"/>
    <col min="527" max="527" width="12.85546875" style="371" customWidth="1"/>
    <col min="528" max="528" width="13.85546875" style="371" customWidth="1"/>
    <col min="529" max="529" width="9.140625" style="371" customWidth="1"/>
    <col min="530" max="530" width="0" style="371" hidden="1" customWidth="1"/>
    <col min="531" max="531" width="14" style="371" customWidth="1"/>
    <col min="532" max="532" width="8.42578125" style="371" customWidth="1"/>
    <col min="533" max="768" width="58.42578125" style="371"/>
    <col min="769" max="769" width="23" style="371" customWidth="1"/>
    <col min="770" max="770" width="4.42578125" style="371" customWidth="1"/>
    <col min="771" max="771" width="35.28515625" style="371" customWidth="1"/>
    <col min="772" max="772" width="7.140625" style="371" customWidth="1"/>
    <col min="773" max="773" width="14.42578125" style="371" customWidth="1"/>
    <col min="774" max="774" width="14.140625" style="371" customWidth="1"/>
    <col min="775" max="775" width="0.140625" style="371" customWidth="1"/>
    <col min="776" max="780" width="0" style="371" hidden="1" customWidth="1"/>
    <col min="781" max="781" width="14.7109375" style="371" customWidth="1"/>
    <col min="782" max="782" width="12" style="371" customWidth="1"/>
    <col min="783" max="783" width="12.85546875" style="371" customWidth="1"/>
    <col min="784" max="784" width="13.85546875" style="371" customWidth="1"/>
    <col min="785" max="785" width="9.140625" style="371" customWidth="1"/>
    <col min="786" max="786" width="0" style="371" hidden="1" customWidth="1"/>
    <col min="787" max="787" width="14" style="371" customWidth="1"/>
    <col min="788" max="788" width="8.42578125" style="371" customWidth="1"/>
    <col min="789" max="1024" width="58.42578125" style="371"/>
    <col min="1025" max="1025" width="23" style="371" customWidth="1"/>
    <col min="1026" max="1026" width="4.42578125" style="371" customWidth="1"/>
    <col min="1027" max="1027" width="35.28515625" style="371" customWidth="1"/>
    <col min="1028" max="1028" width="7.140625" style="371" customWidth="1"/>
    <col min="1029" max="1029" width="14.42578125" style="371" customWidth="1"/>
    <col min="1030" max="1030" width="14.140625" style="371" customWidth="1"/>
    <col min="1031" max="1031" width="0.140625" style="371" customWidth="1"/>
    <col min="1032" max="1036" width="0" style="371" hidden="1" customWidth="1"/>
    <col min="1037" max="1037" width="14.7109375" style="371" customWidth="1"/>
    <col min="1038" max="1038" width="12" style="371" customWidth="1"/>
    <col min="1039" max="1039" width="12.85546875" style="371" customWidth="1"/>
    <col min="1040" max="1040" width="13.85546875" style="371" customWidth="1"/>
    <col min="1041" max="1041" width="9.140625" style="371" customWidth="1"/>
    <col min="1042" max="1042" width="0" style="371" hidden="1" customWidth="1"/>
    <col min="1043" max="1043" width="14" style="371" customWidth="1"/>
    <col min="1044" max="1044" width="8.42578125" style="371" customWidth="1"/>
    <col min="1045" max="1280" width="58.42578125" style="371"/>
    <col min="1281" max="1281" width="23" style="371" customWidth="1"/>
    <col min="1282" max="1282" width="4.42578125" style="371" customWidth="1"/>
    <col min="1283" max="1283" width="35.28515625" style="371" customWidth="1"/>
    <col min="1284" max="1284" width="7.140625" style="371" customWidth="1"/>
    <col min="1285" max="1285" width="14.42578125" style="371" customWidth="1"/>
    <col min="1286" max="1286" width="14.140625" style="371" customWidth="1"/>
    <col min="1287" max="1287" width="0.140625" style="371" customWidth="1"/>
    <col min="1288" max="1292" width="0" style="371" hidden="1" customWidth="1"/>
    <col min="1293" max="1293" width="14.7109375" style="371" customWidth="1"/>
    <col min="1294" max="1294" width="12" style="371" customWidth="1"/>
    <col min="1295" max="1295" width="12.85546875" style="371" customWidth="1"/>
    <col min="1296" max="1296" width="13.85546875" style="371" customWidth="1"/>
    <col min="1297" max="1297" width="9.140625" style="371" customWidth="1"/>
    <col min="1298" max="1298" width="0" style="371" hidden="1" customWidth="1"/>
    <col min="1299" max="1299" width="14" style="371" customWidth="1"/>
    <col min="1300" max="1300" width="8.42578125" style="371" customWidth="1"/>
    <col min="1301" max="1536" width="58.42578125" style="371"/>
    <col min="1537" max="1537" width="23" style="371" customWidth="1"/>
    <col min="1538" max="1538" width="4.42578125" style="371" customWidth="1"/>
    <col min="1539" max="1539" width="35.28515625" style="371" customWidth="1"/>
    <col min="1540" max="1540" width="7.140625" style="371" customWidth="1"/>
    <col min="1541" max="1541" width="14.42578125" style="371" customWidth="1"/>
    <col min="1542" max="1542" width="14.140625" style="371" customWidth="1"/>
    <col min="1543" max="1543" width="0.140625" style="371" customWidth="1"/>
    <col min="1544" max="1548" width="0" style="371" hidden="1" customWidth="1"/>
    <col min="1549" max="1549" width="14.7109375" style="371" customWidth="1"/>
    <col min="1550" max="1550" width="12" style="371" customWidth="1"/>
    <col min="1551" max="1551" width="12.85546875" style="371" customWidth="1"/>
    <col min="1552" max="1552" width="13.85546875" style="371" customWidth="1"/>
    <col min="1553" max="1553" width="9.140625" style="371" customWidth="1"/>
    <col min="1554" max="1554" width="0" style="371" hidden="1" customWidth="1"/>
    <col min="1555" max="1555" width="14" style="371" customWidth="1"/>
    <col min="1556" max="1556" width="8.42578125" style="371" customWidth="1"/>
    <col min="1557" max="1792" width="58.42578125" style="371"/>
    <col min="1793" max="1793" width="23" style="371" customWidth="1"/>
    <col min="1794" max="1794" width="4.42578125" style="371" customWidth="1"/>
    <col min="1795" max="1795" width="35.28515625" style="371" customWidth="1"/>
    <col min="1796" max="1796" width="7.140625" style="371" customWidth="1"/>
    <col min="1797" max="1797" width="14.42578125" style="371" customWidth="1"/>
    <col min="1798" max="1798" width="14.140625" style="371" customWidth="1"/>
    <col min="1799" max="1799" width="0.140625" style="371" customWidth="1"/>
    <col min="1800" max="1804" width="0" style="371" hidden="1" customWidth="1"/>
    <col min="1805" max="1805" width="14.7109375" style="371" customWidth="1"/>
    <col min="1806" max="1806" width="12" style="371" customWidth="1"/>
    <col min="1807" max="1807" width="12.85546875" style="371" customWidth="1"/>
    <col min="1808" max="1808" width="13.85546875" style="371" customWidth="1"/>
    <col min="1809" max="1809" width="9.140625" style="371" customWidth="1"/>
    <col min="1810" max="1810" width="0" style="371" hidden="1" customWidth="1"/>
    <col min="1811" max="1811" width="14" style="371" customWidth="1"/>
    <col min="1812" max="1812" width="8.42578125" style="371" customWidth="1"/>
    <col min="1813" max="2048" width="58.42578125" style="371"/>
    <col min="2049" max="2049" width="23" style="371" customWidth="1"/>
    <col min="2050" max="2050" width="4.42578125" style="371" customWidth="1"/>
    <col min="2051" max="2051" width="35.28515625" style="371" customWidth="1"/>
    <col min="2052" max="2052" width="7.140625" style="371" customWidth="1"/>
    <col min="2053" max="2053" width="14.42578125" style="371" customWidth="1"/>
    <col min="2054" max="2054" width="14.140625" style="371" customWidth="1"/>
    <col min="2055" max="2055" width="0.140625" style="371" customWidth="1"/>
    <col min="2056" max="2060" width="0" style="371" hidden="1" customWidth="1"/>
    <col min="2061" max="2061" width="14.7109375" style="371" customWidth="1"/>
    <col min="2062" max="2062" width="12" style="371" customWidth="1"/>
    <col min="2063" max="2063" width="12.85546875" style="371" customWidth="1"/>
    <col min="2064" max="2064" width="13.85546875" style="371" customWidth="1"/>
    <col min="2065" max="2065" width="9.140625" style="371" customWidth="1"/>
    <col min="2066" max="2066" width="0" style="371" hidden="1" customWidth="1"/>
    <col min="2067" max="2067" width="14" style="371" customWidth="1"/>
    <col min="2068" max="2068" width="8.42578125" style="371" customWidth="1"/>
    <col min="2069" max="2304" width="58.42578125" style="371"/>
    <col min="2305" max="2305" width="23" style="371" customWidth="1"/>
    <col min="2306" max="2306" width="4.42578125" style="371" customWidth="1"/>
    <col min="2307" max="2307" width="35.28515625" style="371" customWidth="1"/>
    <col min="2308" max="2308" width="7.140625" style="371" customWidth="1"/>
    <col min="2309" max="2309" width="14.42578125" style="371" customWidth="1"/>
    <col min="2310" max="2310" width="14.140625" style="371" customWidth="1"/>
    <col min="2311" max="2311" width="0.140625" style="371" customWidth="1"/>
    <col min="2312" max="2316" width="0" style="371" hidden="1" customWidth="1"/>
    <col min="2317" max="2317" width="14.7109375" style="371" customWidth="1"/>
    <col min="2318" max="2318" width="12" style="371" customWidth="1"/>
    <col min="2319" max="2319" width="12.85546875" style="371" customWidth="1"/>
    <col min="2320" max="2320" width="13.85546875" style="371" customWidth="1"/>
    <col min="2321" max="2321" width="9.140625" style="371" customWidth="1"/>
    <col min="2322" max="2322" width="0" style="371" hidden="1" customWidth="1"/>
    <col min="2323" max="2323" width="14" style="371" customWidth="1"/>
    <col min="2324" max="2324" width="8.42578125" style="371" customWidth="1"/>
    <col min="2325" max="2560" width="58.42578125" style="371"/>
    <col min="2561" max="2561" width="23" style="371" customWidth="1"/>
    <col min="2562" max="2562" width="4.42578125" style="371" customWidth="1"/>
    <col min="2563" max="2563" width="35.28515625" style="371" customWidth="1"/>
    <col min="2564" max="2564" width="7.140625" style="371" customWidth="1"/>
    <col min="2565" max="2565" width="14.42578125" style="371" customWidth="1"/>
    <col min="2566" max="2566" width="14.140625" style="371" customWidth="1"/>
    <col min="2567" max="2567" width="0.140625" style="371" customWidth="1"/>
    <col min="2568" max="2572" width="0" style="371" hidden="1" customWidth="1"/>
    <col min="2573" max="2573" width="14.7109375" style="371" customWidth="1"/>
    <col min="2574" max="2574" width="12" style="371" customWidth="1"/>
    <col min="2575" max="2575" width="12.85546875" style="371" customWidth="1"/>
    <col min="2576" max="2576" width="13.85546875" style="371" customWidth="1"/>
    <col min="2577" max="2577" width="9.140625" style="371" customWidth="1"/>
    <col min="2578" max="2578" width="0" style="371" hidden="1" customWidth="1"/>
    <col min="2579" max="2579" width="14" style="371" customWidth="1"/>
    <col min="2580" max="2580" width="8.42578125" style="371" customWidth="1"/>
    <col min="2581" max="2816" width="58.42578125" style="371"/>
    <col min="2817" max="2817" width="23" style="371" customWidth="1"/>
    <col min="2818" max="2818" width="4.42578125" style="371" customWidth="1"/>
    <col min="2819" max="2819" width="35.28515625" style="371" customWidth="1"/>
    <col min="2820" max="2820" width="7.140625" style="371" customWidth="1"/>
    <col min="2821" max="2821" width="14.42578125" style="371" customWidth="1"/>
    <col min="2822" max="2822" width="14.140625" style="371" customWidth="1"/>
    <col min="2823" max="2823" width="0.140625" style="371" customWidth="1"/>
    <col min="2824" max="2828" width="0" style="371" hidden="1" customWidth="1"/>
    <col min="2829" max="2829" width="14.7109375" style="371" customWidth="1"/>
    <col min="2830" max="2830" width="12" style="371" customWidth="1"/>
    <col min="2831" max="2831" width="12.85546875" style="371" customWidth="1"/>
    <col min="2832" max="2832" width="13.85546875" style="371" customWidth="1"/>
    <col min="2833" max="2833" width="9.140625" style="371" customWidth="1"/>
    <col min="2834" max="2834" width="0" style="371" hidden="1" customWidth="1"/>
    <col min="2835" max="2835" width="14" style="371" customWidth="1"/>
    <col min="2836" max="2836" width="8.42578125" style="371" customWidth="1"/>
    <col min="2837" max="3072" width="58.42578125" style="371"/>
    <col min="3073" max="3073" width="23" style="371" customWidth="1"/>
    <col min="3074" max="3074" width="4.42578125" style="371" customWidth="1"/>
    <col min="3075" max="3075" width="35.28515625" style="371" customWidth="1"/>
    <col min="3076" max="3076" width="7.140625" style="371" customWidth="1"/>
    <col min="3077" max="3077" width="14.42578125" style="371" customWidth="1"/>
    <col min="3078" max="3078" width="14.140625" style="371" customWidth="1"/>
    <col min="3079" max="3079" width="0.140625" style="371" customWidth="1"/>
    <col min="3080" max="3084" width="0" style="371" hidden="1" customWidth="1"/>
    <col min="3085" max="3085" width="14.7109375" style="371" customWidth="1"/>
    <col min="3086" max="3086" width="12" style="371" customWidth="1"/>
    <col min="3087" max="3087" width="12.85546875" style="371" customWidth="1"/>
    <col min="3088" max="3088" width="13.85546875" style="371" customWidth="1"/>
    <col min="3089" max="3089" width="9.140625" style="371" customWidth="1"/>
    <col min="3090" max="3090" width="0" style="371" hidden="1" customWidth="1"/>
    <col min="3091" max="3091" width="14" style="371" customWidth="1"/>
    <col min="3092" max="3092" width="8.42578125" style="371" customWidth="1"/>
    <col min="3093" max="3328" width="58.42578125" style="371"/>
    <col min="3329" max="3329" width="23" style="371" customWidth="1"/>
    <col min="3330" max="3330" width="4.42578125" style="371" customWidth="1"/>
    <col min="3331" max="3331" width="35.28515625" style="371" customWidth="1"/>
    <col min="3332" max="3332" width="7.140625" style="371" customWidth="1"/>
    <col min="3333" max="3333" width="14.42578125" style="371" customWidth="1"/>
    <col min="3334" max="3334" width="14.140625" style="371" customWidth="1"/>
    <col min="3335" max="3335" width="0.140625" style="371" customWidth="1"/>
    <col min="3336" max="3340" width="0" style="371" hidden="1" customWidth="1"/>
    <col min="3341" max="3341" width="14.7109375" style="371" customWidth="1"/>
    <col min="3342" max="3342" width="12" style="371" customWidth="1"/>
    <col min="3343" max="3343" width="12.85546875" style="371" customWidth="1"/>
    <col min="3344" max="3344" width="13.85546875" style="371" customWidth="1"/>
    <col min="3345" max="3345" width="9.140625" style="371" customWidth="1"/>
    <col min="3346" max="3346" width="0" style="371" hidden="1" customWidth="1"/>
    <col min="3347" max="3347" width="14" style="371" customWidth="1"/>
    <col min="3348" max="3348" width="8.42578125" style="371" customWidth="1"/>
    <col min="3349" max="3584" width="58.42578125" style="371"/>
    <col min="3585" max="3585" width="23" style="371" customWidth="1"/>
    <col min="3586" max="3586" width="4.42578125" style="371" customWidth="1"/>
    <col min="3587" max="3587" width="35.28515625" style="371" customWidth="1"/>
    <col min="3588" max="3588" width="7.140625" style="371" customWidth="1"/>
    <col min="3589" max="3589" width="14.42578125" style="371" customWidth="1"/>
    <col min="3590" max="3590" width="14.140625" style="371" customWidth="1"/>
    <col min="3591" max="3591" width="0.140625" style="371" customWidth="1"/>
    <col min="3592" max="3596" width="0" style="371" hidden="1" customWidth="1"/>
    <col min="3597" max="3597" width="14.7109375" style="371" customWidth="1"/>
    <col min="3598" max="3598" width="12" style="371" customWidth="1"/>
    <col min="3599" max="3599" width="12.85546875" style="371" customWidth="1"/>
    <col min="3600" max="3600" width="13.85546875" style="371" customWidth="1"/>
    <col min="3601" max="3601" width="9.140625" style="371" customWidth="1"/>
    <col min="3602" max="3602" width="0" style="371" hidden="1" customWidth="1"/>
    <col min="3603" max="3603" width="14" style="371" customWidth="1"/>
    <col min="3604" max="3604" width="8.42578125" style="371" customWidth="1"/>
    <col min="3605" max="3840" width="58.42578125" style="371"/>
    <col min="3841" max="3841" width="23" style="371" customWidth="1"/>
    <col min="3842" max="3842" width="4.42578125" style="371" customWidth="1"/>
    <col min="3843" max="3843" width="35.28515625" style="371" customWidth="1"/>
    <col min="3844" max="3844" width="7.140625" style="371" customWidth="1"/>
    <col min="3845" max="3845" width="14.42578125" style="371" customWidth="1"/>
    <col min="3846" max="3846" width="14.140625" style="371" customWidth="1"/>
    <col min="3847" max="3847" width="0.140625" style="371" customWidth="1"/>
    <col min="3848" max="3852" width="0" style="371" hidden="1" customWidth="1"/>
    <col min="3853" max="3853" width="14.7109375" style="371" customWidth="1"/>
    <col min="3854" max="3854" width="12" style="371" customWidth="1"/>
    <col min="3855" max="3855" width="12.85546875" style="371" customWidth="1"/>
    <col min="3856" max="3856" width="13.85546875" style="371" customWidth="1"/>
    <col min="3857" max="3857" width="9.140625" style="371" customWidth="1"/>
    <col min="3858" max="3858" width="0" style="371" hidden="1" customWidth="1"/>
    <col min="3859" max="3859" width="14" style="371" customWidth="1"/>
    <col min="3860" max="3860" width="8.42578125" style="371" customWidth="1"/>
    <col min="3861" max="4096" width="58.42578125" style="371"/>
    <col min="4097" max="4097" width="23" style="371" customWidth="1"/>
    <col min="4098" max="4098" width="4.42578125" style="371" customWidth="1"/>
    <col min="4099" max="4099" width="35.28515625" style="371" customWidth="1"/>
    <col min="4100" max="4100" width="7.140625" style="371" customWidth="1"/>
    <col min="4101" max="4101" width="14.42578125" style="371" customWidth="1"/>
    <col min="4102" max="4102" width="14.140625" style="371" customWidth="1"/>
    <col min="4103" max="4103" width="0.140625" style="371" customWidth="1"/>
    <col min="4104" max="4108" width="0" style="371" hidden="1" customWidth="1"/>
    <col min="4109" max="4109" width="14.7109375" style="371" customWidth="1"/>
    <col min="4110" max="4110" width="12" style="371" customWidth="1"/>
    <col min="4111" max="4111" width="12.85546875" style="371" customWidth="1"/>
    <col min="4112" max="4112" width="13.85546875" style="371" customWidth="1"/>
    <col min="4113" max="4113" width="9.140625" style="371" customWidth="1"/>
    <col min="4114" max="4114" width="0" style="371" hidden="1" customWidth="1"/>
    <col min="4115" max="4115" width="14" style="371" customWidth="1"/>
    <col min="4116" max="4116" width="8.42578125" style="371" customWidth="1"/>
    <col min="4117" max="4352" width="58.42578125" style="371"/>
    <col min="4353" max="4353" width="23" style="371" customWidth="1"/>
    <col min="4354" max="4354" width="4.42578125" style="371" customWidth="1"/>
    <col min="4355" max="4355" width="35.28515625" style="371" customWidth="1"/>
    <col min="4356" max="4356" width="7.140625" style="371" customWidth="1"/>
    <col min="4357" max="4357" width="14.42578125" style="371" customWidth="1"/>
    <col min="4358" max="4358" width="14.140625" style="371" customWidth="1"/>
    <col min="4359" max="4359" width="0.140625" style="371" customWidth="1"/>
    <col min="4360" max="4364" width="0" style="371" hidden="1" customWidth="1"/>
    <col min="4365" max="4365" width="14.7109375" style="371" customWidth="1"/>
    <col min="4366" max="4366" width="12" style="371" customWidth="1"/>
    <col min="4367" max="4367" width="12.85546875" style="371" customWidth="1"/>
    <col min="4368" max="4368" width="13.85546875" style="371" customWidth="1"/>
    <col min="4369" max="4369" width="9.140625" style="371" customWidth="1"/>
    <col min="4370" max="4370" width="0" style="371" hidden="1" customWidth="1"/>
    <col min="4371" max="4371" width="14" style="371" customWidth="1"/>
    <col min="4372" max="4372" width="8.42578125" style="371" customWidth="1"/>
    <col min="4373" max="4608" width="58.42578125" style="371"/>
    <col min="4609" max="4609" width="23" style="371" customWidth="1"/>
    <col min="4610" max="4610" width="4.42578125" style="371" customWidth="1"/>
    <col min="4611" max="4611" width="35.28515625" style="371" customWidth="1"/>
    <col min="4612" max="4612" width="7.140625" style="371" customWidth="1"/>
    <col min="4613" max="4613" width="14.42578125" style="371" customWidth="1"/>
    <col min="4614" max="4614" width="14.140625" style="371" customWidth="1"/>
    <col min="4615" max="4615" width="0.140625" style="371" customWidth="1"/>
    <col min="4616" max="4620" width="0" style="371" hidden="1" customWidth="1"/>
    <col min="4621" max="4621" width="14.7109375" style="371" customWidth="1"/>
    <col min="4622" max="4622" width="12" style="371" customWidth="1"/>
    <col min="4623" max="4623" width="12.85546875" style="371" customWidth="1"/>
    <col min="4624" max="4624" width="13.85546875" style="371" customWidth="1"/>
    <col min="4625" max="4625" width="9.140625" style="371" customWidth="1"/>
    <col min="4626" max="4626" width="0" style="371" hidden="1" customWidth="1"/>
    <col min="4627" max="4627" width="14" style="371" customWidth="1"/>
    <col min="4628" max="4628" width="8.42578125" style="371" customWidth="1"/>
    <col min="4629" max="4864" width="58.42578125" style="371"/>
    <col min="4865" max="4865" width="23" style="371" customWidth="1"/>
    <col min="4866" max="4866" width="4.42578125" style="371" customWidth="1"/>
    <col min="4867" max="4867" width="35.28515625" style="371" customWidth="1"/>
    <col min="4868" max="4868" width="7.140625" style="371" customWidth="1"/>
    <col min="4869" max="4869" width="14.42578125" style="371" customWidth="1"/>
    <col min="4870" max="4870" width="14.140625" style="371" customWidth="1"/>
    <col min="4871" max="4871" width="0.140625" style="371" customWidth="1"/>
    <col min="4872" max="4876" width="0" style="371" hidden="1" customWidth="1"/>
    <col min="4877" max="4877" width="14.7109375" style="371" customWidth="1"/>
    <col min="4878" max="4878" width="12" style="371" customWidth="1"/>
    <col min="4879" max="4879" width="12.85546875" style="371" customWidth="1"/>
    <col min="4880" max="4880" width="13.85546875" style="371" customWidth="1"/>
    <col min="4881" max="4881" width="9.140625" style="371" customWidth="1"/>
    <col min="4882" max="4882" width="0" style="371" hidden="1" customWidth="1"/>
    <col min="4883" max="4883" width="14" style="371" customWidth="1"/>
    <col min="4884" max="4884" width="8.42578125" style="371" customWidth="1"/>
    <col min="4885" max="5120" width="58.42578125" style="371"/>
    <col min="5121" max="5121" width="23" style="371" customWidth="1"/>
    <col min="5122" max="5122" width="4.42578125" style="371" customWidth="1"/>
    <col min="5123" max="5123" width="35.28515625" style="371" customWidth="1"/>
    <col min="5124" max="5124" width="7.140625" style="371" customWidth="1"/>
    <col min="5125" max="5125" width="14.42578125" style="371" customWidth="1"/>
    <col min="5126" max="5126" width="14.140625" style="371" customWidth="1"/>
    <col min="5127" max="5127" width="0.140625" style="371" customWidth="1"/>
    <col min="5128" max="5132" width="0" style="371" hidden="1" customWidth="1"/>
    <col min="5133" max="5133" width="14.7109375" style="371" customWidth="1"/>
    <col min="5134" max="5134" width="12" style="371" customWidth="1"/>
    <col min="5135" max="5135" width="12.85546875" style="371" customWidth="1"/>
    <col min="5136" max="5136" width="13.85546875" style="371" customWidth="1"/>
    <col min="5137" max="5137" width="9.140625" style="371" customWidth="1"/>
    <col min="5138" max="5138" width="0" style="371" hidden="1" customWidth="1"/>
    <col min="5139" max="5139" width="14" style="371" customWidth="1"/>
    <col min="5140" max="5140" width="8.42578125" style="371" customWidth="1"/>
    <col min="5141" max="5376" width="58.42578125" style="371"/>
    <col min="5377" max="5377" width="23" style="371" customWidth="1"/>
    <col min="5378" max="5378" width="4.42578125" style="371" customWidth="1"/>
    <col min="5379" max="5379" width="35.28515625" style="371" customWidth="1"/>
    <col min="5380" max="5380" width="7.140625" style="371" customWidth="1"/>
    <col min="5381" max="5381" width="14.42578125" style="371" customWidth="1"/>
    <col min="5382" max="5382" width="14.140625" style="371" customWidth="1"/>
    <col min="5383" max="5383" width="0.140625" style="371" customWidth="1"/>
    <col min="5384" max="5388" width="0" style="371" hidden="1" customWidth="1"/>
    <col min="5389" max="5389" width="14.7109375" style="371" customWidth="1"/>
    <col min="5390" max="5390" width="12" style="371" customWidth="1"/>
    <col min="5391" max="5391" width="12.85546875" style="371" customWidth="1"/>
    <col min="5392" max="5392" width="13.85546875" style="371" customWidth="1"/>
    <col min="5393" max="5393" width="9.140625" style="371" customWidth="1"/>
    <col min="5394" max="5394" width="0" style="371" hidden="1" customWidth="1"/>
    <col min="5395" max="5395" width="14" style="371" customWidth="1"/>
    <col min="5396" max="5396" width="8.42578125" style="371" customWidth="1"/>
    <col min="5397" max="5632" width="58.42578125" style="371"/>
    <col min="5633" max="5633" width="23" style="371" customWidth="1"/>
    <col min="5634" max="5634" width="4.42578125" style="371" customWidth="1"/>
    <col min="5635" max="5635" width="35.28515625" style="371" customWidth="1"/>
    <col min="5636" max="5636" width="7.140625" style="371" customWidth="1"/>
    <col min="5637" max="5637" width="14.42578125" style="371" customWidth="1"/>
    <col min="5638" max="5638" width="14.140625" style="371" customWidth="1"/>
    <col min="5639" max="5639" width="0.140625" style="371" customWidth="1"/>
    <col min="5640" max="5644" width="0" style="371" hidden="1" customWidth="1"/>
    <col min="5645" max="5645" width="14.7109375" style="371" customWidth="1"/>
    <col min="5646" max="5646" width="12" style="371" customWidth="1"/>
    <col min="5647" max="5647" width="12.85546875" style="371" customWidth="1"/>
    <col min="5648" max="5648" width="13.85546875" style="371" customWidth="1"/>
    <col min="5649" max="5649" width="9.140625" style="371" customWidth="1"/>
    <col min="5650" max="5650" width="0" style="371" hidden="1" customWidth="1"/>
    <col min="5651" max="5651" width="14" style="371" customWidth="1"/>
    <col min="5652" max="5652" width="8.42578125" style="371" customWidth="1"/>
    <col min="5653" max="5888" width="58.42578125" style="371"/>
    <col min="5889" max="5889" width="23" style="371" customWidth="1"/>
    <col min="5890" max="5890" width="4.42578125" style="371" customWidth="1"/>
    <col min="5891" max="5891" width="35.28515625" style="371" customWidth="1"/>
    <col min="5892" max="5892" width="7.140625" style="371" customWidth="1"/>
    <col min="5893" max="5893" width="14.42578125" style="371" customWidth="1"/>
    <col min="5894" max="5894" width="14.140625" style="371" customWidth="1"/>
    <col min="5895" max="5895" width="0.140625" style="371" customWidth="1"/>
    <col min="5896" max="5900" width="0" style="371" hidden="1" customWidth="1"/>
    <col min="5901" max="5901" width="14.7109375" style="371" customWidth="1"/>
    <col min="5902" max="5902" width="12" style="371" customWidth="1"/>
    <col min="5903" max="5903" width="12.85546875" style="371" customWidth="1"/>
    <col min="5904" max="5904" width="13.85546875" style="371" customWidth="1"/>
    <col min="5905" max="5905" width="9.140625" style="371" customWidth="1"/>
    <col min="5906" max="5906" width="0" style="371" hidden="1" customWidth="1"/>
    <col min="5907" max="5907" width="14" style="371" customWidth="1"/>
    <col min="5908" max="5908" width="8.42578125" style="371" customWidth="1"/>
    <col min="5909" max="6144" width="58.42578125" style="371"/>
    <col min="6145" max="6145" width="23" style="371" customWidth="1"/>
    <col min="6146" max="6146" width="4.42578125" style="371" customWidth="1"/>
    <col min="6147" max="6147" width="35.28515625" style="371" customWidth="1"/>
    <col min="6148" max="6148" width="7.140625" style="371" customWidth="1"/>
    <col min="6149" max="6149" width="14.42578125" style="371" customWidth="1"/>
    <col min="6150" max="6150" width="14.140625" style="371" customWidth="1"/>
    <col min="6151" max="6151" width="0.140625" style="371" customWidth="1"/>
    <col min="6152" max="6156" width="0" style="371" hidden="1" customWidth="1"/>
    <col min="6157" max="6157" width="14.7109375" style="371" customWidth="1"/>
    <col min="6158" max="6158" width="12" style="371" customWidth="1"/>
    <col min="6159" max="6159" width="12.85546875" style="371" customWidth="1"/>
    <col min="6160" max="6160" width="13.85546875" style="371" customWidth="1"/>
    <col min="6161" max="6161" width="9.140625" style="371" customWidth="1"/>
    <col min="6162" max="6162" width="0" style="371" hidden="1" customWidth="1"/>
    <col min="6163" max="6163" width="14" style="371" customWidth="1"/>
    <col min="6164" max="6164" width="8.42578125" style="371" customWidth="1"/>
    <col min="6165" max="6400" width="58.42578125" style="371"/>
    <col min="6401" max="6401" width="23" style="371" customWidth="1"/>
    <col min="6402" max="6402" width="4.42578125" style="371" customWidth="1"/>
    <col min="6403" max="6403" width="35.28515625" style="371" customWidth="1"/>
    <col min="6404" max="6404" width="7.140625" style="371" customWidth="1"/>
    <col min="6405" max="6405" width="14.42578125" style="371" customWidth="1"/>
    <col min="6406" max="6406" width="14.140625" style="371" customWidth="1"/>
    <col min="6407" max="6407" width="0.140625" style="371" customWidth="1"/>
    <col min="6408" max="6412" width="0" style="371" hidden="1" customWidth="1"/>
    <col min="6413" max="6413" width="14.7109375" style="371" customWidth="1"/>
    <col min="6414" max="6414" width="12" style="371" customWidth="1"/>
    <col min="6415" max="6415" width="12.85546875" style="371" customWidth="1"/>
    <col min="6416" max="6416" width="13.85546875" style="371" customWidth="1"/>
    <col min="6417" max="6417" width="9.140625" style="371" customWidth="1"/>
    <col min="6418" max="6418" width="0" style="371" hidden="1" customWidth="1"/>
    <col min="6419" max="6419" width="14" style="371" customWidth="1"/>
    <col min="6420" max="6420" width="8.42578125" style="371" customWidth="1"/>
    <col min="6421" max="6656" width="58.42578125" style="371"/>
    <col min="6657" max="6657" width="23" style="371" customWidth="1"/>
    <col min="6658" max="6658" width="4.42578125" style="371" customWidth="1"/>
    <col min="6659" max="6659" width="35.28515625" style="371" customWidth="1"/>
    <col min="6660" max="6660" width="7.140625" style="371" customWidth="1"/>
    <col min="6661" max="6661" width="14.42578125" style="371" customWidth="1"/>
    <col min="6662" max="6662" width="14.140625" style="371" customWidth="1"/>
    <col min="6663" max="6663" width="0.140625" style="371" customWidth="1"/>
    <col min="6664" max="6668" width="0" style="371" hidden="1" customWidth="1"/>
    <col min="6669" max="6669" width="14.7109375" style="371" customWidth="1"/>
    <col min="6670" max="6670" width="12" style="371" customWidth="1"/>
    <col min="6671" max="6671" width="12.85546875" style="371" customWidth="1"/>
    <col min="6672" max="6672" width="13.85546875" style="371" customWidth="1"/>
    <col min="6673" max="6673" width="9.140625" style="371" customWidth="1"/>
    <col min="6674" max="6674" width="0" style="371" hidden="1" customWidth="1"/>
    <col min="6675" max="6675" width="14" style="371" customWidth="1"/>
    <col min="6676" max="6676" width="8.42578125" style="371" customWidth="1"/>
    <col min="6677" max="6912" width="58.42578125" style="371"/>
    <col min="6913" max="6913" width="23" style="371" customWidth="1"/>
    <col min="6914" max="6914" width="4.42578125" style="371" customWidth="1"/>
    <col min="6915" max="6915" width="35.28515625" style="371" customWidth="1"/>
    <col min="6916" max="6916" width="7.140625" style="371" customWidth="1"/>
    <col min="6917" max="6917" width="14.42578125" style="371" customWidth="1"/>
    <col min="6918" max="6918" width="14.140625" style="371" customWidth="1"/>
    <col min="6919" max="6919" width="0.140625" style="371" customWidth="1"/>
    <col min="6920" max="6924" width="0" style="371" hidden="1" customWidth="1"/>
    <col min="6925" max="6925" width="14.7109375" style="371" customWidth="1"/>
    <col min="6926" max="6926" width="12" style="371" customWidth="1"/>
    <col min="6927" max="6927" width="12.85546875" style="371" customWidth="1"/>
    <col min="6928" max="6928" width="13.85546875" style="371" customWidth="1"/>
    <col min="6929" max="6929" width="9.140625" style="371" customWidth="1"/>
    <col min="6930" max="6930" width="0" style="371" hidden="1" customWidth="1"/>
    <col min="6931" max="6931" width="14" style="371" customWidth="1"/>
    <col min="6932" max="6932" width="8.42578125" style="371" customWidth="1"/>
    <col min="6933" max="7168" width="58.42578125" style="371"/>
    <col min="7169" max="7169" width="23" style="371" customWidth="1"/>
    <col min="7170" max="7170" width="4.42578125" style="371" customWidth="1"/>
    <col min="7171" max="7171" width="35.28515625" style="371" customWidth="1"/>
    <col min="7172" max="7172" width="7.140625" style="371" customWidth="1"/>
    <col min="7173" max="7173" width="14.42578125" style="371" customWidth="1"/>
    <col min="7174" max="7174" width="14.140625" style="371" customWidth="1"/>
    <col min="7175" max="7175" width="0.140625" style="371" customWidth="1"/>
    <col min="7176" max="7180" width="0" style="371" hidden="1" customWidth="1"/>
    <col min="7181" max="7181" width="14.7109375" style="371" customWidth="1"/>
    <col min="7182" max="7182" width="12" style="371" customWidth="1"/>
    <col min="7183" max="7183" width="12.85546875" style="371" customWidth="1"/>
    <col min="7184" max="7184" width="13.85546875" style="371" customWidth="1"/>
    <col min="7185" max="7185" width="9.140625" style="371" customWidth="1"/>
    <col min="7186" max="7186" width="0" style="371" hidden="1" customWidth="1"/>
    <col min="7187" max="7187" width="14" style="371" customWidth="1"/>
    <col min="7188" max="7188" width="8.42578125" style="371" customWidth="1"/>
    <col min="7189" max="7424" width="58.42578125" style="371"/>
    <col min="7425" max="7425" width="23" style="371" customWidth="1"/>
    <col min="7426" max="7426" width="4.42578125" style="371" customWidth="1"/>
    <col min="7427" max="7427" width="35.28515625" style="371" customWidth="1"/>
    <col min="7428" max="7428" width="7.140625" style="371" customWidth="1"/>
    <col min="7429" max="7429" width="14.42578125" style="371" customWidth="1"/>
    <col min="7430" max="7430" width="14.140625" style="371" customWidth="1"/>
    <col min="7431" max="7431" width="0.140625" style="371" customWidth="1"/>
    <col min="7432" max="7436" width="0" style="371" hidden="1" customWidth="1"/>
    <col min="7437" max="7437" width="14.7109375" style="371" customWidth="1"/>
    <col min="7438" max="7438" width="12" style="371" customWidth="1"/>
    <col min="7439" max="7439" width="12.85546875" style="371" customWidth="1"/>
    <col min="7440" max="7440" width="13.85546875" style="371" customWidth="1"/>
    <col min="7441" max="7441" width="9.140625" style="371" customWidth="1"/>
    <col min="7442" max="7442" width="0" style="371" hidden="1" customWidth="1"/>
    <col min="7443" max="7443" width="14" style="371" customWidth="1"/>
    <col min="7444" max="7444" width="8.42578125" style="371" customWidth="1"/>
    <col min="7445" max="7680" width="58.42578125" style="371"/>
    <col min="7681" max="7681" width="23" style="371" customWidth="1"/>
    <col min="7682" max="7682" width="4.42578125" style="371" customWidth="1"/>
    <col min="7683" max="7683" width="35.28515625" style="371" customWidth="1"/>
    <col min="7684" max="7684" width="7.140625" style="371" customWidth="1"/>
    <col min="7685" max="7685" width="14.42578125" style="371" customWidth="1"/>
    <col min="7686" max="7686" width="14.140625" style="371" customWidth="1"/>
    <col min="7687" max="7687" width="0.140625" style="371" customWidth="1"/>
    <col min="7688" max="7692" width="0" style="371" hidden="1" customWidth="1"/>
    <col min="7693" max="7693" width="14.7109375" style="371" customWidth="1"/>
    <col min="7694" max="7694" width="12" style="371" customWidth="1"/>
    <col min="7695" max="7695" width="12.85546875" style="371" customWidth="1"/>
    <col min="7696" max="7696" width="13.85546875" style="371" customWidth="1"/>
    <col min="7697" max="7697" width="9.140625" style="371" customWidth="1"/>
    <col min="7698" max="7698" width="0" style="371" hidden="1" customWidth="1"/>
    <col min="7699" max="7699" width="14" style="371" customWidth="1"/>
    <col min="7700" max="7700" width="8.42578125" style="371" customWidth="1"/>
    <col min="7701" max="7936" width="58.42578125" style="371"/>
    <col min="7937" max="7937" width="23" style="371" customWidth="1"/>
    <col min="7938" max="7938" width="4.42578125" style="371" customWidth="1"/>
    <col min="7939" max="7939" width="35.28515625" style="371" customWidth="1"/>
    <col min="7940" max="7940" width="7.140625" style="371" customWidth="1"/>
    <col min="7941" max="7941" width="14.42578125" style="371" customWidth="1"/>
    <col min="7942" max="7942" width="14.140625" style="371" customWidth="1"/>
    <col min="7943" max="7943" width="0.140625" style="371" customWidth="1"/>
    <col min="7944" max="7948" width="0" style="371" hidden="1" customWidth="1"/>
    <col min="7949" max="7949" width="14.7109375" style="371" customWidth="1"/>
    <col min="7950" max="7950" width="12" style="371" customWidth="1"/>
    <col min="7951" max="7951" width="12.85546875" style="371" customWidth="1"/>
    <col min="7952" max="7952" width="13.85546875" style="371" customWidth="1"/>
    <col min="7953" max="7953" width="9.140625" style="371" customWidth="1"/>
    <col min="7954" max="7954" width="0" style="371" hidden="1" customWidth="1"/>
    <col min="7955" max="7955" width="14" style="371" customWidth="1"/>
    <col min="7956" max="7956" width="8.42578125" style="371" customWidth="1"/>
    <col min="7957" max="8192" width="58.42578125" style="371"/>
    <col min="8193" max="8193" width="23" style="371" customWidth="1"/>
    <col min="8194" max="8194" width="4.42578125" style="371" customWidth="1"/>
    <col min="8195" max="8195" width="35.28515625" style="371" customWidth="1"/>
    <col min="8196" max="8196" width="7.140625" style="371" customWidth="1"/>
    <col min="8197" max="8197" width="14.42578125" style="371" customWidth="1"/>
    <col min="8198" max="8198" width="14.140625" style="371" customWidth="1"/>
    <col min="8199" max="8199" width="0.140625" style="371" customWidth="1"/>
    <col min="8200" max="8204" width="0" style="371" hidden="1" customWidth="1"/>
    <col min="8205" max="8205" width="14.7109375" style="371" customWidth="1"/>
    <col min="8206" max="8206" width="12" style="371" customWidth="1"/>
    <col min="8207" max="8207" width="12.85546875" style="371" customWidth="1"/>
    <col min="8208" max="8208" width="13.85546875" style="371" customWidth="1"/>
    <col min="8209" max="8209" width="9.140625" style="371" customWidth="1"/>
    <col min="8210" max="8210" width="0" style="371" hidden="1" customWidth="1"/>
    <col min="8211" max="8211" width="14" style="371" customWidth="1"/>
    <col min="8212" max="8212" width="8.42578125" style="371" customWidth="1"/>
    <col min="8213" max="8448" width="58.42578125" style="371"/>
    <col min="8449" max="8449" width="23" style="371" customWidth="1"/>
    <col min="8450" max="8450" width="4.42578125" style="371" customWidth="1"/>
    <col min="8451" max="8451" width="35.28515625" style="371" customWidth="1"/>
    <col min="8452" max="8452" width="7.140625" style="371" customWidth="1"/>
    <col min="8453" max="8453" width="14.42578125" style="371" customWidth="1"/>
    <col min="8454" max="8454" width="14.140625" style="371" customWidth="1"/>
    <col min="8455" max="8455" width="0.140625" style="371" customWidth="1"/>
    <col min="8456" max="8460" width="0" style="371" hidden="1" customWidth="1"/>
    <col min="8461" max="8461" width="14.7109375" style="371" customWidth="1"/>
    <col min="8462" max="8462" width="12" style="371" customWidth="1"/>
    <col min="8463" max="8463" width="12.85546875" style="371" customWidth="1"/>
    <col min="8464" max="8464" width="13.85546875" style="371" customWidth="1"/>
    <col min="8465" max="8465" width="9.140625" style="371" customWidth="1"/>
    <col min="8466" max="8466" width="0" style="371" hidden="1" customWidth="1"/>
    <col min="8467" max="8467" width="14" style="371" customWidth="1"/>
    <col min="8468" max="8468" width="8.42578125" style="371" customWidth="1"/>
    <col min="8469" max="8704" width="58.42578125" style="371"/>
    <col min="8705" max="8705" width="23" style="371" customWidth="1"/>
    <col min="8706" max="8706" width="4.42578125" style="371" customWidth="1"/>
    <col min="8707" max="8707" width="35.28515625" style="371" customWidth="1"/>
    <col min="8708" max="8708" width="7.140625" style="371" customWidth="1"/>
    <col min="8709" max="8709" width="14.42578125" style="371" customWidth="1"/>
    <col min="8710" max="8710" width="14.140625" style="371" customWidth="1"/>
    <col min="8711" max="8711" width="0.140625" style="371" customWidth="1"/>
    <col min="8712" max="8716" width="0" style="371" hidden="1" customWidth="1"/>
    <col min="8717" max="8717" width="14.7109375" style="371" customWidth="1"/>
    <col min="8718" max="8718" width="12" style="371" customWidth="1"/>
    <col min="8719" max="8719" width="12.85546875" style="371" customWidth="1"/>
    <col min="8720" max="8720" width="13.85546875" style="371" customWidth="1"/>
    <col min="8721" max="8721" width="9.140625" style="371" customWidth="1"/>
    <col min="8722" max="8722" width="0" style="371" hidden="1" customWidth="1"/>
    <col min="8723" max="8723" width="14" style="371" customWidth="1"/>
    <col min="8724" max="8724" width="8.42578125" style="371" customWidth="1"/>
    <col min="8725" max="8960" width="58.42578125" style="371"/>
    <col min="8961" max="8961" width="23" style="371" customWidth="1"/>
    <col min="8962" max="8962" width="4.42578125" style="371" customWidth="1"/>
    <col min="8963" max="8963" width="35.28515625" style="371" customWidth="1"/>
    <col min="8964" max="8964" width="7.140625" style="371" customWidth="1"/>
    <col min="8965" max="8965" width="14.42578125" style="371" customWidth="1"/>
    <col min="8966" max="8966" width="14.140625" style="371" customWidth="1"/>
    <col min="8967" max="8967" width="0.140625" style="371" customWidth="1"/>
    <col min="8968" max="8972" width="0" style="371" hidden="1" customWidth="1"/>
    <col min="8973" max="8973" width="14.7109375" style="371" customWidth="1"/>
    <col min="8974" max="8974" width="12" style="371" customWidth="1"/>
    <col min="8975" max="8975" width="12.85546875" style="371" customWidth="1"/>
    <col min="8976" max="8976" width="13.85546875" style="371" customWidth="1"/>
    <col min="8977" max="8977" width="9.140625" style="371" customWidth="1"/>
    <col min="8978" max="8978" width="0" style="371" hidden="1" customWidth="1"/>
    <col min="8979" max="8979" width="14" style="371" customWidth="1"/>
    <col min="8980" max="8980" width="8.42578125" style="371" customWidth="1"/>
    <col min="8981" max="9216" width="58.42578125" style="371"/>
    <col min="9217" max="9217" width="23" style="371" customWidth="1"/>
    <col min="9218" max="9218" width="4.42578125" style="371" customWidth="1"/>
    <col min="9219" max="9219" width="35.28515625" style="371" customWidth="1"/>
    <col min="9220" max="9220" width="7.140625" style="371" customWidth="1"/>
    <col min="9221" max="9221" width="14.42578125" style="371" customWidth="1"/>
    <col min="9222" max="9222" width="14.140625" style="371" customWidth="1"/>
    <col min="9223" max="9223" width="0.140625" style="371" customWidth="1"/>
    <col min="9224" max="9228" width="0" style="371" hidden="1" customWidth="1"/>
    <col min="9229" max="9229" width="14.7109375" style="371" customWidth="1"/>
    <col min="9230" max="9230" width="12" style="371" customWidth="1"/>
    <col min="9231" max="9231" width="12.85546875" style="371" customWidth="1"/>
    <col min="9232" max="9232" width="13.85546875" style="371" customWidth="1"/>
    <col min="9233" max="9233" width="9.140625" style="371" customWidth="1"/>
    <col min="9234" max="9234" width="0" style="371" hidden="1" customWidth="1"/>
    <col min="9235" max="9235" width="14" style="371" customWidth="1"/>
    <col min="9236" max="9236" width="8.42578125" style="371" customWidth="1"/>
    <col min="9237" max="9472" width="58.42578125" style="371"/>
    <col min="9473" max="9473" width="23" style="371" customWidth="1"/>
    <col min="9474" max="9474" width="4.42578125" style="371" customWidth="1"/>
    <col min="9475" max="9475" width="35.28515625" style="371" customWidth="1"/>
    <col min="9476" max="9476" width="7.140625" style="371" customWidth="1"/>
    <col min="9477" max="9477" width="14.42578125" style="371" customWidth="1"/>
    <col min="9478" max="9478" width="14.140625" style="371" customWidth="1"/>
    <col min="9479" max="9479" width="0.140625" style="371" customWidth="1"/>
    <col min="9480" max="9484" width="0" style="371" hidden="1" customWidth="1"/>
    <col min="9485" max="9485" width="14.7109375" style="371" customWidth="1"/>
    <col min="9486" max="9486" width="12" style="371" customWidth="1"/>
    <col min="9487" max="9487" width="12.85546875" style="371" customWidth="1"/>
    <col min="9488" max="9488" width="13.85546875" style="371" customWidth="1"/>
    <col min="9489" max="9489" width="9.140625" style="371" customWidth="1"/>
    <col min="9490" max="9490" width="0" style="371" hidden="1" customWidth="1"/>
    <col min="9491" max="9491" width="14" style="371" customWidth="1"/>
    <col min="9492" max="9492" width="8.42578125" style="371" customWidth="1"/>
    <col min="9493" max="9728" width="58.42578125" style="371"/>
    <col min="9729" max="9729" width="23" style="371" customWidth="1"/>
    <col min="9730" max="9730" width="4.42578125" style="371" customWidth="1"/>
    <col min="9731" max="9731" width="35.28515625" style="371" customWidth="1"/>
    <col min="9732" max="9732" width="7.140625" style="371" customWidth="1"/>
    <col min="9733" max="9733" width="14.42578125" style="371" customWidth="1"/>
    <col min="9734" max="9734" width="14.140625" style="371" customWidth="1"/>
    <col min="9735" max="9735" width="0.140625" style="371" customWidth="1"/>
    <col min="9736" max="9740" width="0" style="371" hidden="1" customWidth="1"/>
    <col min="9741" max="9741" width="14.7109375" style="371" customWidth="1"/>
    <col min="9742" max="9742" width="12" style="371" customWidth="1"/>
    <col min="9743" max="9743" width="12.85546875" style="371" customWidth="1"/>
    <col min="9744" max="9744" width="13.85546875" style="371" customWidth="1"/>
    <col min="9745" max="9745" width="9.140625" style="371" customWidth="1"/>
    <col min="9746" max="9746" width="0" style="371" hidden="1" customWidth="1"/>
    <col min="9747" max="9747" width="14" style="371" customWidth="1"/>
    <col min="9748" max="9748" width="8.42578125" style="371" customWidth="1"/>
    <col min="9749" max="9984" width="58.42578125" style="371"/>
    <col min="9985" max="9985" width="23" style="371" customWidth="1"/>
    <col min="9986" max="9986" width="4.42578125" style="371" customWidth="1"/>
    <col min="9987" max="9987" width="35.28515625" style="371" customWidth="1"/>
    <col min="9988" max="9988" width="7.140625" style="371" customWidth="1"/>
    <col min="9989" max="9989" width="14.42578125" style="371" customWidth="1"/>
    <col min="9990" max="9990" width="14.140625" style="371" customWidth="1"/>
    <col min="9991" max="9991" width="0.140625" style="371" customWidth="1"/>
    <col min="9992" max="9996" width="0" style="371" hidden="1" customWidth="1"/>
    <col min="9997" max="9997" width="14.7109375" style="371" customWidth="1"/>
    <col min="9998" max="9998" width="12" style="371" customWidth="1"/>
    <col min="9999" max="9999" width="12.85546875" style="371" customWidth="1"/>
    <col min="10000" max="10000" width="13.85546875" style="371" customWidth="1"/>
    <col min="10001" max="10001" width="9.140625" style="371" customWidth="1"/>
    <col min="10002" max="10002" width="0" style="371" hidden="1" customWidth="1"/>
    <col min="10003" max="10003" width="14" style="371" customWidth="1"/>
    <col min="10004" max="10004" width="8.42578125" style="371" customWidth="1"/>
    <col min="10005" max="10240" width="58.42578125" style="371"/>
    <col min="10241" max="10241" width="23" style="371" customWidth="1"/>
    <col min="10242" max="10242" width="4.42578125" style="371" customWidth="1"/>
    <col min="10243" max="10243" width="35.28515625" style="371" customWidth="1"/>
    <col min="10244" max="10244" width="7.140625" style="371" customWidth="1"/>
    <col min="10245" max="10245" width="14.42578125" style="371" customWidth="1"/>
    <col min="10246" max="10246" width="14.140625" style="371" customWidth="1"/>
    <col min="10247" max="10247" width="0.140625" style="371" customWidth="1"/>
    <col min="10248" max="10252" width="0" style="371" hidden="1" customWidth="1"/>
    <col min="10253" max="10253" width="14.7109375" style="371" customWidth="1"/>
    <col min="10254" max="10254" width="12" style="371" customWidth="1"/>
    <col min="10255" max="10255" width="12.85546875" style="371" customWidth="1"/>
    <col min="10256" max="10256" width="13.85546875" style="371" customWidth="1"/>
    <col min="10257" max="10257" width="9.140625" style="371" customWidth="1"/>
    <col min="10258" max="10258" width="0" style="371" hidden="1" customWidth="1"/>
    <col min="10259" max="10259" width="14" style="371" customWidth="1"/>
    <col min="10260" max="10260" width="8.42578125" style="371" customWidth="1"/>
    <col min="10261" max="10496" width="58.42578125" style="371"/>
    <col min="10497" max="10497" width="23" style="371" customWidth="1"/>
    <col min="10498" max="10498" width="4.42578125" style="371" customWidth="1"/>
    <col min="10499" max="10499" width="35.28515625" style="371" customWidth="1"/>
    <col min="10500" max="10500" width="7.140625" style="371" customWidth="1"/>
    <col min="10501" max="10501" width="14.42578125" style="371" customWidth="1"/>
    <col min="10502" max="10502" width="14.140625" style="371" customWidth="1"/>
    <col min="10503" max="10503" width="0.140625" style="371" customWidth="1"/>
    <col min="10504" max="10508" width="0" style="371" hidden="1" customWidth="1"/>
    <col min="10509" max="10509" width="14.7109375" style="371" customWidth="1"/>
    <col min="10510" max="10510" width="12" style="371" customWidth="1"/>
    <col min="10511" max="10511" width="12.85546875" style="371" customWidth="1"/>
    <col min="10512" max="10512" width="13.85546875" style="371" customWidth="1"/>
    <col min="10513" max="10513" width="9.140625" style="371" customWidth="1"/>
    <col min="10514" max="10514" width="0" style="371" hidden="1" customWidth="1"/>
    <col min="10515" max="10515" width="14" style="371" customWidth="1"/>
    <col min="10516" max="10516" width="8.42578125" style="371" customWidth="1"/>
    <col min="10517" max="10752" width="58.42578125" style="371"/>
    <col min="10753" max="10753" width="23" style="371" customWidth="1"/>
    <col min="10754" max="10754" width="4.42578125" style="371" customWidth="1"/>
    <col min="10755" max="10755" width="35.28515625" style="371" customWidth="1"/>
    <col min="10756" max="10756" width="7.140625" style="371" customWidth="1"/>
    <col min="10757" max="10757" width="14.42578125" style="371" customWidth="1"/>
    <col min="10758" max="10758" width="14.140625" style="371" customWidth="1"/>
    <col min="10759" max="10759" width="0.140625" style="371" customWidth="1"/>
    <col min="10760" max="10764" width="0" style="371" hidden="1" customWidth="1"/>
    <col min="10765" max="10765" width="14.7109375" style="371" customWidth="1"/>
    <col min="10766" max="10766" width="12" style="371" customWidth="1"/>
    <col min="10767" max="10767" width="12.85546875" style="371" customWidth="1"/>
    <col min="10768" max="10768" width="13.85546875" style="371" customWidth="1"/>
    <col min="10769" max="10769" width="9.140625" style="371" customWidth="1"/>
    <col min="10770" max="10770" width="0" style="371" hidden="1" customWidth="1"/>
    <col min="10771" max="10771" width="14" style="371" customWidth="1"/>
    <col min="10772" max="10772" width="8.42578125" style="371" customWidth="1"/>
    <col min="10773" max="11008" width="58.42578125" style="371"/>
    <col min="11009" max="11009" width="23" style="371" customWidth="1"/>
    <col min="11010" max="11010" width="4.42578125" style="371" customWidth="1"/>
    <col min="11011" max="11011" width="35.28515625" style="371" customWidth="1"/>
    <col min="11012" max="11012" width="7.140625" style="371" customWidth="1"/>
    <col min="11013" max="11013" width="14.42578125" style="371" customWidth="1"/>
    <col min="11014" max="11014" width="14.140625" style="371" customWidth="1"/>
    <col min="11015" max="11015" width="0.140625" style="371" customWidth="1"/>
    <col min="11016" max="11020" width="0" style="371" hidden="1" customWidth="1"/>
    <col min="11021" max="11021" width="14.7109375" style="371" customWidth="1"/>
    <col min="11022" max="11022" width="12" style="371" customWidth="1"/>
    <col min="11023" max="11023" width="12.85546875" style="371" customWidth="1"/>
    <col min="11024" max="11024" width="13.85546875" style="371" customWidth="1"/>
    <col min="11025" max="11025" width="9.140625" style="371" customWidth="1"/>
    <col min="11026" max="11026" width="0" style="371" hidden="1" customWidth="1"/>
    <col min="11027" max="11027" width="14" style="371" customWidth="1"/>
    <col min="11028" max="11028" width="8.42578125" style="371" customWidth="1"/>
    <col min="11029" max="11264" width="58.42578125" style="371"/>
    <col min="11265" max="11265" width="23" style="371" customWidth="1"/>
    <col min="11266" max="11266" width="4.42578125" style="371" customWidth="1"/>
    <col min="11267" max="11267" width="35.28515625" style="371" customWidth="1"/>
    <col min="11268" max="11268" width="7.140625" style="371" customWidth="1"/>
    <col min="11269" max="11269" width="14.42578125" style="371" customWidth="1"/>
    <col min="11270" max="11270" width="14.140625" style="371" customWidth="1"/>
    <col min="11271" max="11271" width="0.140625" style="371" customWidth="1"/>
    <col min="11272" max="11276" width="0" style="371" hidden="1" customWidth="1"/>
    <col min="11277" max="11277" width="14.7109375" style="371" customWidth="1"/>
    <col min="11278" max="11278" width="12" style="371" customWidth="1"/>
    <col min="11279" max="11279" width="12.85546875" style="371" customWidth="1"/>
    <col min="11280" max="11280" width="13.85546875" style="371" customWidth="1"/>
    <col min="11281" max="11281" width="9.140625" style="371" customWidth="1"/>
    <col min="11282" max="11282" width="0" style="371" hidden="1" customWidth="1"/>
    <col min="11283" max="11283" width="14" style="371" customWidth="1"/>
    <col min="11284" max="11284" width="8.42578125" style="371" customWidth="1"/>
    <col min="11285" max="11520" width="58.42578125" style="371"/>
    <col min="11521" max="11521" width="23" style="371" customWidth="1"/>
    <col min="11522" max="11522" width="4.42578125" style="371" customWidth="1"/>
    <col min="11523" max="11523" width="35.28515625" style="371" customWidth="1"/>
    <col min="11524" max="11524" width="7.140625" style="371" customWidth="1"/>
    <col min="11525" max="11525" width="14.42578125" style="371" customWidth="1"/>
    <col min="11526" max="11526" width="14.140625" style="371" customWidth="1"/>
    <col min="11527" max="11527" width="0.140625" style="371" customWidth="1"/>
    <col min="11528" max="11532" width="0" style="371" hidden="1" customWidth="1"/>
    <col min="11533" max="11533" width="14.7109375" style="371" customWidth="1"/>
    <col min="11534" max="11534" width="12" style="371" customWidth="1"/>
    <col min="11535" max="11535" width="12.85546875" style="371" customWidth="1"/>
    <col min="11536" max="11536" width="13.85546875" style="371" customWidth="1"/>
    <col min="11537" max="11537" width="9.140625" style="371" customWidth="1"/>
    <col min="11538" max="11538" width="0" style="371" hidden="1" customWidth="1"/>
    <col min="11539" max="11539" width="14" style="371" customWidth="1"/>
    <col min="11540" max="11540" width="8.42578125" style="371" customWidth="1"/>
    <col min="11541" max="11776" width="58.42578125" style="371"/>
    <col min="11777" max="11777" width="23" style="371" customWidth="1"/>
    <col min="11778" max="11778" width="4.42578125" style="371" customWidth="1"/>
    <col min="11779" max="11779" width="35.28515625" style="371" customWidth="1"/>
    <col min="11780" max="11780" width="7.140625" style="371" customWidth="1"/>
    <col min="11781" max="11781" width="14.42578125" style="371" customWidth="1"/>
    <col min="11782" max="11782" width="14.140625" style="371" customWidth="1"/>
    <col min="11783" max="11783" width="0.140625" style="371" customWidth="1"/>
    <col min="11784" max="11788" width="0" style="371" hidden="1" customWidth="1"/>
    <col min="11789" max="11789" width="14.7109375" style="371" customWidth="1"/>
    <col min="11790" max="11790" width="12" style="371" customWidth="1"/>
    <col min="11791" max="11791" width="12.85546875" style="371" customWidth="1"/>
    <col min="11792" max="11792" width="13.85546875" style="371" customWidth="1"/>
    <col min="11793" max="11793" width="9.140625" style="371" customWidth="1"/>
    <col min="11794" max="11794" width="0" style="371" hidden="1" customWidth="1"/>
    <col min="11795" max="11795" width="14" style="371" customWidth="1"/>
    <col min="11796" max="11796" width="8.42578125" style="371" customWidth="1"/>
    <col min="11797" max="12032" width="58.42578125" style="371"/>
    <col min="12033" max="12033" width="23" style="371" customWidth="1"/>
    <col min="12034" max="12034" width="4.42578125" style="371" customWidth="1"/>
    <col min="12035" max="12035" width="35.28515625" style="371" customWidth="1"/>
    <col min="12036" max="12036" width="7.140625" style="371" customWidth="1"/>
    <col min="12037" max="12037" width="14.42578125" style="371" customWidth="1"/>
    <col min="12038" max="12038" width="14.140625" style="371" customWidth="1"/>
    <col min="12039" max="12039" width="0.140625" style="371" customWidth="1"/>
    <col min="12040" max="12044" width="0" style="371" hidden="1" customWidth="1"/>
    <col min="12045" max="12045" width="14.7109375" style="371" customWidth="1"/>
    <col min="12046" max="12046" width="12" style="371" customWidth="1"/>
    <col min="12047" max="12047" width="12.85546875" style="371" customWidth="1"/>
    <col min="12048" max="12048" width="13.85546875" style="371" customWidth="1"/>
    <col min="12049" max="12049" width="9.140625" style="371" customWidth="1"/>
    <col min="12050" max="12050" width="0" style="371" hidden="1" customWidth="1"/>
    <col min="12051" max="12051" width="14" style="371" customWidth="1"/>
    <col min="12052" max="12052" width="8.42578125" style="371" customWidth="1"/>
    <col min="12053" max="12288" width="58.42578125" style="371"/>
    <col min="12289" max="12289" width="23" style="371" customWidth="1"/>
    <col min="12290" max="12290" width="4.42578125" style="371" customWidth="1"/>
    <col min="12291" max="12291" width="35.28515625" style="371" customWidth="1"/>
    <col min="12292" max="12292" width="7.140625" style="371" customWidth="1"/>
    <col min="12293" max="12293" width="14.42578125" style="371" customWidth="1"/>
    <col min="12294" max="12294" width="14.140625" style="371" customWidth="1"/>
    <col min="12295" max="12295" width="0.140625" style="371" customWidth="1"/>
    <col min="12296" max="12300" width="0" style="371" hidden="1" customWidth="1"/>
    <col min="12301" max="12301" width="14.7109375" style="371" customWidth="1"/>
    <col min="12302" max="12302" width="12" style="371" customWidth="1"/>
    <col min="12303" max="12303" width="12.85546875" style="371" customWidth="1"/>
    <col min="12304" max="12304" width="13.85546875" style="371" customWidth="1"/>
    <col min="12305" max="12305" width="9.140625" style="371" customWidth="1"/>
    <col min="12306" max="12306" width="0" style="371" hidden="1" customWidth="1"/>
    <col min="12307" max="12307" width="14" style="371" customWidth="1"/>
    <col min="12308" max="12308" width="8.42578125" style="371" customWidth="1"/>
    <col min="12309" max="12544" width="58.42578125" style="371"/>
    <col min="12545" max="12545" width="23" style="371" customWidth="1"/>
    <col min="12546" max="12546" width="4.42578125" style="371" customWidth="1"/>
    <col min="12547" max="12547" width="35.28515625" style="371" customWidth="1"/>
    <col min="12548" max="12548" width="7.140625" style="371" customWidth="1"/>
    <col min="12549" max="12549" width="14.42578125" style="371" customWidth="1"/>
    <col min="12550" max="12550" width="14.140625" style="371" customWidth="1"/>
    <col min="12551" max="12551" width="0.140625" style="371" customWidth="1"/>
    <col min="12552" max="12556" width="0" style="371" hidden="1" customWidth="1"/>
    <col min="12557" max="12557" width="14.7109375" style="371" customWidth="1"/>
    <col min="12558" max="12558" width="12" style="371" customWidth="1"/>
    <col min="12559" max="12559" width="12.85546875" style="371" customWidth="1"/>
    <col min="12560" max="12560" width="13.85546875" style="371" customWidth="1"/>
    <col min="12561" max="12561" width="9.140625" style="371" customWidth="1"/>
    <col min="12562" max="12562" width="0" style="371" hidden="1" customWidth="1"/>
    <col min="12563" max="12563" width="14" style="371" customWidth="1"/>
    <col min="12564" max="12564" width="8.42578125" style="371" customWidth="1"/>
    <col min="12565" max="12800" width="58.42578125" style="371"/>
    <col min="12801" max="12801" width="23" style="371" customWidth="1"/>
    <col min="12802" max="12802" width="4.42578125" style="371" customWidth="1"/>
    <col min="12803" max="12803" width="35.28515625" style="371" customWidth="1"/>
    <col min="12804" max="12804" width="7.140625" style="371" customWidth="1"/>
    <col min="12805" max="12805" width="14.42578125" style="371" customWidth="1"/>
    <col min="12806" max="12806" width="14.140625" style="371" customWidth="1"/>
    <col min="12807" max="12807" width="0.140625" style="371" customWidth="1"/>
    <col min="12808" max="12812" width="0" style="371" hidden="1" customWidth="1"/>
    <col min="12813" max="12813" width="14.7109375" style="371" customWidth="1"/>
    <col min="12814" max="12814" width="12" style="371" customWidth="1"/>
    <col min="12815" max="12815" width="12.85546875" style="371" customWidth="1"/>
    <col min="12816" max="12816" width="13.85546875" style="371" customWidth="1"/>
    <col min="12817" max="12817" width="9.140625" style="371" customWidth="1"/>
    <col min="12818" max="12818" width="0" style="371" hidden="1" customWidth="1"/>
    <col min="12819" max="12819" width="14" style="371" customWidth="1"/>
    <col min="12820" max="12820" width="8.42578125" style="371" customWidth="1"/>
    <col min="12821" max="13056" width="58.42578125" style="371"/>
    <col min="13057" max="13057" width="23" style="371" customWidth="1"/>
    <col min="13058" max="13058" width="4.42578125" style="371" customWidth="1"/>
    <col min="13059" max="13059" width="35.28515625" style="371" customWidth="1"/>
    <col min="13060" max="13060" width="7.140625" style="371" customWidth="1"/>
    <col min="13061" max="13061" width="14.42578125" style="371" customWidth="1"/>
    <col min="13062" max="13062" width="14.140625" style="371" customWidth="1"/>
    <col min="13063" max="13063" width="0.140625" style="371" customWidth="1"/>
    <col min="13064" max="13068" width="0" style="371" hidden="1" customWidth="1"/>
    <col min="13069" max="13069" width="14.7109375" style="371" customWidth="1"/>
    <col min="13070" max="13070" width="12" style="371" customWidth="1"/>
    <col min="13071" max="13071" width="12.85546875" style="371" customWidth="1"/>
    <col min="13072" max="13072" width="13.85546875" style="371" customWidth="1"/>
    <col min="13073" max="13073" width="9.140625" style="371" customWidth="1"/>
    <col min="13074" max="13074" width="0" style="371" hidden="1" customWidth="1"/>
    <col min="13075" max="13075" width="14" style="371" customWidth="1"/>
    <col min="13076" max="13076" width="8.42578125" style="371" customWidth="1"/>
    <col min="13077" max="13312" width="58.42578125" style="371"/>
    <col min="13313" max="13313" width="23" style="371" customWidth="1"/>
    <col min="13314" max="13314" width="4.42578125" style="371" customWidth="1"/>
    <col min="13315" max="13315" width="35.28515625" style="371" customWidth="1"/>
    <col min="13316" max="13316" width="7.140625" style="371" customWidth="1"/>
    <col min="13317" max="13317" width="14.42578125" style="371" customWidth="1"/>
    <col min="13318" max="13318" width="14.140625" style="371" customWidth="1"/>
    <col min="13319" max="13319" width="0.140625" style="371" customWidth="1"/>
    <col min="13320" max="13324" width="0" style="371" hidden="1" customWidth="1"/>
    <col min="13325" max="13325" width="14.7109375" style="371" customWidth="1"/>
    <col min="13326" max="13326" width="12" style="371" customWidth="1"/>
    <col min="13327" max="13327" width="12.85546875" style="371" customWidth="1"/>
    <col min="13328" max="13328" width="13.85546875" style="371" customWidth="1"/>
    <col min="13329" max="13329" width="9.140625" style="371" customWidth="1"/>
    <col min="13330" max="13330" width="0" style="371" hidden="1" customWidth="1"/>
    <col min="13331" max="13331" width="14" style="371" customWidth="1"/>
    <col min="13332" max="13332" width="8.42578125" style="371" customWidth="1"/>
    <col min="13333" max="13568" width="58.42578125" style="371"/>
    <col min="13569" max="13569" width="23" style="371" customWidth="1"/>
    <col min="13570" max="13570" width="4.42578125" style="371" customWidth="1"/>
    <col min="13571" max="13571" width="35.28515625" style="371" customWidth="1"/>
    <col min="13572" max="13572" width="7.140625" style="371" customWidth="1"/>
    <col min="13573" max="13573" width="14.42578125" style="371" customWidth="1"/>
    <col min="13574" max="13574" width="14.140625" style="371" customWidth="1"/>
    <col min="13575" max="13575" width="0.140625" style="371" customWidth="1"/>
    <col min="13576" max="13580" width="0" style="371" hidden="1" customWidth="1"/>
    <col min="13581" max="13581" width="14.7109375" style="371" customWidth="1"/>
    <col min="13582" max="13582" width="12" style="371" customWidth="1"/>
    <col min="13583" max="13583" width="12.85546875" style="371" customWidth="1"/>
    <col min="13584" max="13584" width="13.85546875" style="371" customWidth="1"/>
    <col min="13585" max="13585" width="9.140625" style="371" customWidth="1"/>
    <col min="13586" max="13586" width="0" style="371" hidden="1" customWidth="1"/>
    <col min="13587" max="13587" width="14" style="371" customWidth="1"/>
    <col min="13588" max="13588" width="8.42578125" style="371" customWidth="1"/>
    <col min="13589" max="13824" width="58.42578125" style="371"/>
    <col min="13825" max="13825" width="23" style="371" customWidth="1"/>
    <col min="13826" max="13826" width="4.42578125" style="371" customWidth="1"/>
    <col min="13827" max="13827" width="35.28515625" style="371" customWidth="1"/>
    <col min="13828" max="13828" width="7.140625" style="371" customWidth="1"/>
    <col min="13829" max="13829" width="14.42578125" style="371" customWidth="1"/>
    <col min="13830" max="13830" width="14.140625" style="371" customWidth="1"/>
    <col min="13831" max="13831" width="0.140625" style="371" customWidth="1"/>
    <col min="13832" max="13836" width="0" style="371" hidden="1" customWidth="1"/>
    <col min="13837" max="13837" width="14.7109375" style="371" customWidth="1"/>
    <col min="13838" max="13838" width="12" style="371" customWidth="1"/>
    <col min="13839" max="13839" width="12.85546875" style="371" customWidth="1"/>
    <col min="13840" max="13840" width="13.85546875" style="371" customWidth="1"/>
    <col min="13841" max="13841" width="9.140625" style="371" customWidth="1"/>
    <col min="13842" max="13842" width="0" style="371" hidden="1" customWidth="1"/>
    <col min="13843" max="13843" width="14" style="371" customWidth="1"/>
    <col min="13844" max="13844" width="8.42578125" style="371" customWidth="1"/>
    <col min="13845" max="14080" width="58.42578125" style="371"/>
    <col min="14081" max="14081" width="23" style="371" customWidth="1"/>
    <col min="14082" max="14082" width="4.42578125" style="371" customWidth="1"/>
    <col min="14083" max="14083" width="35.28515625" style="371" customWidth="1"/>
    <col min="14084" max="14084" width="7.140625" style="371" customWidth="1"/>
    <col min="14085" max="14085" width="14.42578125" style="371" customWidth="1"/>
    <col min="14086" max="14086" width="14.140625" style="371" customWidth="1"/>
    <col min="14087" max="14087" width="0.140625" style="371" customWidth="1"/>
    <col min="14088" max="14092" width="0" style="371" hidden="1" customWidth="1"/>
    <col min="14093" max="14093" width="14.7109375" style="371" customWidth="1"/>
    <col min="14094" max="14094" width="12" style="371" customWidth="1"/>
    <col min="14095" max="14095" width="12.85546875" style="371" customWidth="1"/>
    <col min="14096" max="14096" width="13.85546875" style="371" customWidth="1"/>
    <col min="14097" max="14097" width="9.140625" style="371" customWidth="1"/>
    <col min="14098" max="14098" width="0" style="371" hidden="1" customWidth="1"/>
    <col min="14099" max="14099" width="14" style="371" customWidth="1"/>
    <col min="14100" max="14100" width="8.42578125" style="371" customWidth="1"/>
    <col min="14101" max="14336" width="58.42578125" style="371"/>
    <col min="14337" max="14337" width="23" style="371" customWidth="1"/>
    <col min="14338" max="14338" width="4.42578125" style="371" customWidth="1"/>
    <col min="14339" max="14339" width="35.28515625" style="371" customWidth="1"/>
    <col min="14340" max="14340" width="7.140625" style="371" customWidth="1"/>
    <col min="14341" max="14341" width="14.42578125" style="371" customWidth="1"/>
    <col min="14342" max="14342" width="14.140625" style="371" customWidth="1"/>
    <col min="14343" max="14343" width="0.140625" style="371" customWidth="1"/>
    <col min="14344" max="14348" width="0" style="371" hidden="1" customWidth="1"/>
    <col min="14349" max="14349" width="14.7109375" style="371" customWidth="1"/>
    <col min="14350" max="14350" width="12" style="371" customWidth="1"/>
    <col min="14351" max="14351" width="12.85546875" style="371" customWidth="1"/>
    <col min="14352" max="14352" width="13.85546875" style="371" customWidth="1"/>
    <col min="14353" max="14353" width="9.140625" style="371" customWidth="1"/>
    <col min="14354" max="14354" width="0" style="371" hidden="1" customWidth="1"/>
    <col min="14355" max="14355" width="14" style="371" customWidth="1"/>
    <col min="14356" max="14356" width="8.42578125" style="371" customWidth="1"/>
    <col min="14357" max="14592" width="58.42578125" style="371"/>
    <col min="14593" max="14593" width="23" style="371" customWidth="1"/>
    <col min="14594" max="14594" width="4.42578125" style="371" customWidth="1"/>
    <col min="14595" max="14595" width="35.28515625" style="371" customWidth="1"/>
    <col min="14596" max="14596" width="7.140625" style="371" customWidth="1"/>
    <col min="14597" max="14597" width="14.42578125" style="371" customWidth="1"/>
    <col min="14598" max="14598" width="14.140625" style="371" customWidth="1"/>
    <col min="14599" max="14599" width="0.140625" style="371" customWidth="1"/>
    <col min="14600" max="14604" width="0" style="371" hidden="1" customWidth="1"/>
    <col min="14605" max="14605" width="14.7109375" style="371" customWidth="1"/>
    <col min="14606" max="14606" width="12" style="371" customWidth="1"/>
    <col min="14607" max="14607" width="12.85546875" style="371" customWidth="1"/>
    <col min="14608" max="14608" width="13.85546875" style="371" customWidth="1"/>
    <col min="14609" max="14609" width="9.140625" style="371" customWidth="1"/>
    <col min="14610" max="14610" width="0" style="371" hidden="1" customWidth="1"/>
    <col min="14611" max="14611" width="14" style="371" customWidth="1"/>
    <col min="14612" max="14612" width="8.42578125" style="371" customWidth="1"/>
    <col min="14613" max="14848" width="58.42578125" style="371"/>
    <col min="14849" max="14849" width="23" style="371" customWidth="1"/>
    <col min="14850" max="14850" width="4.42578125" style="371" customWidth="1"/>
    <col min="14851" max="14851" width="35.28515625" style="371" customWidth="1"/>
    <col min="14852" max="14852" width="7.140625" style="371" customWidth="1"/>
    <col min="14853" max="14853" width="14.42578125" style="371" customWidth="1"/>
    <col min="14854" max="14854" width="14.140625" style="371" customWidth="1"/>
    <col min="14855" max="14855" width="0.140625" style="371" customWidth="1"/>
    <col min="14856" max="14860" width="0" style="371" hidden="1" customWidth="1"/>
    <col min="14861" max="14861" width="14.7109375" style="371" customWidth="1"/>
    <col min="14862" max="14862" width="12" style="371" customWidth="1"/>
    <col min="14863" max="14863" width="12.85546875" style="371" customWidth="1"/>
    <col min="14864" max="14864" width="13.85546875" style="371" customWidth="1"/>
    <col min="14865" max="14865" width="9.140625" style="371" customWidth="1"/>
    <col min="14866" max="14866" width="0" style="371" hidden="1" customWidth="1"/>
    <col min="14867" max="14867" width="14" style="371" customWidth="1"/>
    <col min="14868" max="14868" width="8.42578125" style="371" customWidth="1"/>
    <col min="14869" max="15104" width="58.42578125" style="371"/>
    <col min="15105" max="15105" width="23" style="371" customWidth="1"/>
    <col min="15106" max="15106" width="4.42578125" style="371" customWidth="1"/>
    <col min="15107" max="15107" width="35.28515625" style="371" customWidth="1"/>
    <col min="15108" max="15108" width="7.140625" style="371" customWidth="1"/>
    <col min="15109" max="15109" width="14.42578125" style="371" customWidth="1"/>
    <col min="15110" max="15110" width="14.140625" style="371" customWidth="1"/>
    <col min="15111" max="15111" width="0.140625" style="371" customWidth="1"/>
    <col min="15112" max="15116" width="0" style="371" hidden="1" customWidth="1"/>
    <col min="15117" max="15117" width="14.7109375" style="371" customWidth="1"/>
    <col min="15118" max="15118" width="12" style="371" customWidth="1"/>
    <col min="15119" max="15119" width="12.85546875" style="371" customWidth="1"/>
    <col min="15120" max="15120" width="13.85546875" style="371" customWidth="1"/>
    <col min="15121" max="15121" width="9.140625" style="371" customWidth="1"/>
    <col min="15122" max="15122" width="0" style="371" hidden="1" customWidth="1"/>
    <col min="15123" max="15123" width="14" style="371" customWidth="1"/>
    <col min="15124" max="15124" width="8.42578125" style="371" customWidth="1"/>
    <col min="15125" max="15360" width="58.42578125" style="371"/>
    <col min="15361" max="15361" width="23" style="371" customWidth="1"/>
    <col min="15362" max="15362" width="4.42578125" style="371" customWidth="1"/>
    <col min="15363" max="15363" width="35.28515625" style="371" customWidth="1"/>
    <col min="15364" max="15364" width="7.140625" style="371" customWidth="1"/>
    <col min="15365" max="15365" width="14.42578125" style="371" customWidth="1"/>
    <col min="15366" max="15366" width="14.140625" style="371" customWidth="1"/>
    <col min="15367" max="15367" width="0.140625" style="371" customWidth="1"/>
    <col min="15368" max="15372" width="0" style="371" hidden="1" customWidth="1"/>
    <col min="15373" max="15373" width="14.7109375" style="371" customWidth="1"/>
    <col min="15374" max="15374" width="12" style="371" customWidth="1"/>
    <col min="15375" max="15375" width="12.85546875" style="371" customWidth="1"/>
    <col min="15376" max="15376" width="13.85546875" style="371" customWidth="1"/>
    <col min="15377" max="15377" width="9.140625" style="371" customWidth="1"/>
    <col min="15378" max="15378" width="0" style="371" hidden="1" customWidth="1"/>
    <col min="15379" max="15379" width="14" style="371" customWidth="1"/>
    <col min="15380" max="15380" width="8.42578125" style="371" customWidth="1"/>
    <col min="15381" max="15616" width="58.42578125" style="371"/>
    <col min="15617" max="15617" width="23" style="371" customWidth="1"/>
    <col min="15618" max="15618" width="4.42578125" style="371" customWidth="1"/>
    <col min="15619" max="15619" width="35.28515625" style="371" customWidth="1"/>
    <col min="15620" max="15620" width="7.140625" style="371" customWidth="1"/>
    <col min="15621" max="15621" width="14.42578125" style="371" customWidth="1"/>
    <col min="15622" max="15622" width="14.140625" style="371" customWidth="1"/>
    <col min="15623" max="15623" width="0.140625" style="371" customWidth="1"/>
    <col min="15624" max="15628" width="0" style="371" hidden="1" customWidth="1"/>
    <col min="15629" max="15629" width="14.7109375" style="371" customWidth="1"/>
    <col min="15630" max="15630" width="12" style="371" customWidth="1"/>
    <col min="15631" max="15631" width="12.85546875" style="371" customWidth="1"/>
    <col min="15632" max="15632" width="13.85546875" style="371" customWidth="1"/>
    <col min="15633" max="15633" width="9.140625" style="371" customWidth="1"/>
    <col min="15634" max="15634" width="0" style="371" hidden="1" customWidth="1"/>
    <col min="15635" max="15635" width="14" style="371" customWidth="1"/>
    <col min="15636" max="15636" width="8.42578125" style="371" customWidth="1"/>
    <col min="15637" max="15872" width="58.42578125" style="371"/>
    <col min="15873" max="15873" width="23" style="371" customWidth="1"/>
    <col min="15874" max="15874" width="4.42578125" style="371" customWidth="1"/>
    <col min="15875" max="15875" width="35.28515625" style="371" customWidth="1"/>
    <col min="15876" max="15876" width="7.140625" style="371" customWidth="1"/>
    <col min="15877" max="15877" width="14.42578125" style="371" customWidth="1"/>
    <col min="15878" max="15878" width="14.140625" style="371" customWidth="1"/>
    <col min="15879" max="15879" width="0.140625" style="371" customWidth="1"/>
    <col min="15880" max="15884" width="0" style="371" hidden="1" customWidth="1"/>
    <col min="15885" max="15885" width="14.7109375" style="371" customWidth="1"/>
    <col min="15886" max="15886" width="12" style="371" customWidth="1"/>
    <col min="15887" max="15887" width="12.85546875" style="371" customWidth="1"/>
    <col min="15888" max="15888" width="13.85546875" style="371" customWidth="1"/>
    <col min="15889" max="15889" width="9.140625" style="371" customWidth="1"/>
    <col min="15890" max="15890" width="0" style="371" hidden="1" customWidth="1"/>
    <col min="15891" max="15891" width="14" style="371" customWidth="1"/>
    <col min="15892" max="15892" width="8.42578125" style="371" customWidth="1"/>
    <col min="15893" max="16128" width="58.42578125" style="371"/>
    <col min="16129" max="16129" width="23" style="371" customWidth="1"/>
    <col min="16130" max="16130" width="4.42578125" style="371" customWidth="1"/>
    <col min="16131" max="16131" width="35.28515625" style="371" customWidth="1"/>
    <col min="16132" max="16132" width="7.140625" style="371" customWidth="1"/>
    <col min="16133" max="16133" width="14.42578125" style="371" customWidth="1"/>
    <col min="16134" max="16134" width="14.140625" style="371" customWidth="1"/>
    <col min="16135" max="16135" width="0.140625" style="371" customWidth="1"/>
    <col min="16136" max="16140" width="0" style="371" hidden="1" customWidth="1"/>
    <col min="16141" max="16141" width="14.7109375" style="371" customWidth="1"/>
    <col min="16142" max="16142" width="12" style="371" customWidth="1"/>
    <col min="16143" max="16143" width="12.85546875" style="371" customWidth="1"/>
    <col min="16144" max="16144" width="13.85546875" style="371" customWidth="1"/>
    <col min="16145" max="16145" width="9.140625" style="371" customWidth="1"/>
    <col min="16146" max="16146" width="0" style="371" hidden="1" customWidth="1"/>
    <col min="16147" max="16147" width="14" style="371" customWidth="1"/>
    <col min="16148" max="16148" width="8.42578125" style="371" customWidth="1"/>
    <col min="16149" max="16384" width="58.42578125" style="371"/>
  </cols>
  <sheetData>
    <row r="1" spans="1:20" ht="15.75" customHeight="1" x14ac:dyDescent="0.25">
      <c r="A1" s="591" t="s">
        <v>539</v>
      </c>
      <c r="B1" s="591"/>
      <c r="C1" s="592" t="s">
        <v>540</v>
      </c>
      <c r="D1" s="592"/>
      <c r="E1" s="592"/>
      <c r="F1" s="592"/>
      <c r="H1" s="371"/>
      <c r="I1" s="371"/>
      <c r="J1" s="371"/>
      <c r="K1" s="371"/>
      <c r="L1" s="371"/>
      <c r="M1" s="371"/>
      <c r="N1" s="371"/>
      <c r="O1" s="331" t="str">
        <f>HYPERLINK("#"&amp;ADDRESS(1,1,,,"MASTER"),"M &lt;=")</f>
        <v>M &lt;=</v>
      </c>
      <c r="P1" s="371"/>
      <c r="Q1" s="371"/>
      <c r="R1" s="371"/>
      <c r="S1" s="371"/>
      <c r="T1" s="371"/>
    </row>
    <row r="2" spans="1:20" ht="15.75" customHeight="1" x14ac:dyDescent="0.25">
      <c r="A2" s="591" t="s">
        <v>541</v>
      </c>
      <c r="B2" s="591"/>
      <c r="C2" s="592" t="s">
        <v>542</v>
      </c>
      <c r="D2" s="592"/>
      <c r="E2" s="592"/>
      <c r="F2" s="592"/>
      <c r="H2" s="371"/>
      <c r="I2" s="371"/>
      <c r="J2" s="371"/>
      <c r="K2" s="371"/>
      <c r="L2" s="371"/>
      <c r="M2" s="371"/>
      <c r="N2" s="371"/>
      <c r="O2" s="371"/>
      <c r="P2" s="371"/>
      <c r="Q2" s="371"/>
      <c r="R2" s="371"/>
      <c r="S2" s="371"/>
      <c r="T2" s="371"/>
    </row>
    <row r="3" spans="1:20" ht="15.75" customHeight="1" x14ac:dyDescent="0.25">
      <c r="A3" s="591" t="s">
        <v>543</v>
      </c>
      <c r="B3" s="591"/>
      <c r="C3" s="592" t="s">
        <v>544</v>
      </c>
      <c r="D3" s="592"/>
      <c r="E3" s="592"/>
      <c r="F3" s="592"/>
      <c r="H3" s="371"/>
      <c r="I3" s="371"/>
      <c r="J3" s="371"/>
      <c r="K3" s="371"/>
      <c r="L3" s="371"/>
      <c r="M3" s="371"/>
      <c r="N3" s="371"/>
      <c r="O3" s="371"/>
      <c r="P3" s="408"/>
      <c r="Q3" s="371"/>
      <c r="R3" s="371"/>
      <c r="S3" s="371"/>
      <c r="T3" s="371"/>
    </row>
    <row r="4" spans="1:20" ht="15.75" customHeight="1" x14ac:dyDescent="0.25">
      <c r="A4" s="591" t="s">
        <v>545</v>
      </c>
      <c r="B4" s="591"/>
      <c r="C4" s="592" t="s">
        <v>546</v>
      </c>
      <c r="D4" s="592"/>
      <c r="E4" s="592"/>
      <c r="F4" s="592"/>
      <c r="H4" s="371"/>
      <c r="I4" s="371"/>
      <c r="J4" s="371"/>
      <c r="K4" s="371"/>
      <c r="L4" s="371"/>
      <c r="M4" s="371"/>
      <c r="N4" s="371"/>
      <c r="O4" s="371"/>
      <c r="P4" s="371"/>
      <c r="Q4" s="371"/>
      <c r="R4" s="371"/>
      <c r="S4" s="371"/>
      <c r="T4" s="371"/>
    </row>
    <row r="5" spans="1:20" ht="15.75" thickBot="1" x14ac:dyDescent="0.3">
      <c r="A5" s="593"/>
      <c r="B5" s="593"/>
      <c r="C5" s="594"/>
      <c r="D5" s="594"/>
      <c r="E5" s="594"/>
      <c r="F5" s="595"/>
      <c r="G5" s="596" t="s">
        <v>547</v>
      </c>
      <c r="H5" s="596"/>
      <c r="I5" s="596"/>
      <c r="J5" s="596"/>
      <c r="K5" s="596"/>
      <c r="L5" s="596"/>
      <c r="M5" s="596"/>
      <c r="N5" s="596"/>
      <c r="O5" s="596"/>
      <c r="P5" s="596"/>
      <c r="Q5" s="596"/>
      <c r="R5" s="596"/>
      <c r="S5" s="596"/>
      <c r="T5" s="596"/>
    </row>
    <row r="6" spans="1:20" s="372" customFormat="1" ht="75.75" thickBot="1" x14ac:dyDescent="0.3">
      <c r="B6" s="373" t="s">
        <v>548</v>
      </c>
      <c r="C6" s="374" t="s">
        <v>549</v>
      </c>
      <c r="D6" s="375" t="s">
        <v>550</v>
      </c>
      <c r="E6" s="376" t="s">
        <v>551</v>
      </c>
      <c r="F6" s="377" t="s">
        <v>552</v>
      </c>
      <c r="G6" s="378" t="s">
        <v>553</v>
      </c>
      <c r="H6" s="379" t="s">
        <v>554</v>
      </c>
      <c r="I6" s="379" t="s">
        <v>555</v>
      </c>
      <c r="J6" s="379" t="s">
        <v>554</v>
      </c>
      <c r="K6" s="380" t="s">
        <v>556</v>
      </c>
      <c r="L6" s="380" t="s">
        <v>557</v>
      </c>
      <c r="M6" s="380" t="s">
        <v>558</v>
      </c>
      <c r="N6" s="379" t="s">
        <v>559</v>
      </c>
      <c r="O6" s="379" t="s">
        <v>560</v>
      </c>
      <c r="P6" s="379" t="s">
        <v>561</v>
      </c>
      <c r="Q6" s="379" t="s">
        <v>562</v>
      </c>
      <c r="R6" s="379" t="s">
        <v>563</v>
      </c>
      <c r="S6" s="380" t="s">
        <v>564</v>
      </c>
      <c r="T6" s="381" t="s">
        <v>54</v>
      </c>
    </row>
    <row r="7" spans="1:20" x14ac:dyDescent="0.25">
      <c r="A7" s="371" t="s">
        <v>565</v>
      </c>
      <c r="B7" s="382">
        <v>1</v>
      </c>
      <c r="C7" s="383" t="s">
        <v>566</v>
      </c>
      <c r="D7" s="384" t="s">
        <v>567</v>
      </c>
      <c r="E7" s="385">
        <v>37</v>
      </c>
      <c r="F7" s="386">
        <v>15</v>
      </c>
      <c r="G7" s="387"/>
      <c r="H7" s="388"/>
      <c r="I7" s="388">
        <v>1</v>
      </c>
      <c r="J7" s="388">
        <v>50000</v>
      </c>
      <c r="K7" s="388"/>
      <c r="L7" s="388"/>
      <c r="M7" s="388">
        <f>(G7*H7+I7*J7+K7*L7)*12</f>
        <v>600000</v>
      </c>
      <c r="N7" s="388">
        <v>200000</v>
      </c>
      <c r="O7" s="388">
        <v>350000</v>
      </c>
      <c r="P7" s="388">
        <v>200000</v>
      </c>
      <c r="Q7" s="388">
        <v>12</v>
      </c>
      <c r="R7" s="388">
        <f t="shared" ref="R7:R21" si="0">Q7*10.764</f>
        <v>129.16800000000001</v>
      </c>
      <c r="S7" s="388">
        <f t="shared" ref="S7:S21" si="1">R7*5500</f>
        <v>710424</v>
      </c>
      <c r="T7" s="389">
        <v>1</v>
      </c>
    </row>
    <row r="8" spans="1:20" x14ac:dyDescent="0.25">
      <c r="A8" s="371" t="s">
        <v>565</v>
      </c>
      <c r="B8" s="390">
        <v>3</v>
      </c>
      <c r="C8" s="398" t="s">
        <v>568</v>
      </c>
      <c r="D8" s="392" t="s">
        <v>567</v>
      </c>
      <c r="E8" s="393">
        <v>37</v>
      </c>
      <c r="F8" s="394">
        <v>15</v>
      </c>
      <c r="G8" s="395"/>
      <c r="H8" s="396"/>
      <c r="I8" s="396">
        <v>1</v>
      </c>
      <c r="J8" s="396">
        <v>50000</v>
      </c>
      <c r="K8" s="396"/>
      <c r="L8" s="396"/>
      <c r="M8" s="396">
        <f t="shared" ref="M8:M21" si="2">(G8*H8+I8*J8+K8*L8)*12</f>
        <v>600000</v>
      </c>
      <c r="N8" s="396">
        <v>200000</v>
      </c>
      <c r="O8" s="396">
        <v>350000</v>
      </c>
      <c r="P8" s="396">
        <v>200000</v>
      </c>
      <c r="Q8" s="396">
        <v>12</v>
      </c>
      <c r="R8" s="396">
        <f t="shared" si="0"/>
        <v>129.16800000000001</v>
      </c>
      <c r="S8" s="396">
        <f t="shared" si="1"/>
        <v>710424</v>
      </c>
      <c r="T8" s="397">
        <v>1</v>
      </c>
    </row>
    <row r="9" spans="1:20" x14ac:dyDescent="0.25">
      <c r="A9" s="371" t="s">
        <v>565</v>
      </c>
      <c r="B9" s="390">
        <v>4</v>
      </c>
      <c r="C9" s="391" t="s">
        <v>569</v>
      </c>
      <c r="D9" s="392" t="s">
        <v>567</v>
      </c>
      <c r="E9" s="393">
        <v>36</v>
      </c>
      <c r="F9" s="394">
        <v>15</v>
      </c>
      <c r="G9" s="395"/>
      <c r="H9" s="396"/>
      <c r="I9" s="396">
        <v>1</v>
      </c>
      <c r="J9" s="396">
        <v>50000</v>
      </c>
      <c r="K9" s="396"/>
      <c r="L9" s="396"/>
      <c r="M9" s="396">
        <f t="shared" si="2"/>
        <v>600000</v>
      </c>
      <c r="N9" s="396">
        <v>200000</v>
      </c>
      <c r="O9" s="396">
        <v>350000</v>
      </c>
      <c r="P9" s="396">
        <v>200000</v>
      </c>
      <c r="Q9" s="396">
        <v>12</v>
      </c>
      <c r="R9" s="396">
        <f t="shared" si="0"/>
        <v>129.16800000000001</v>
      </c>
      <c r="S9" s="396">
        <f t="shared" si="1"/>
        <v>710424</v>
      </c>
      <c r="T9" s="397">
        <v>1</v>
      </c>
    </row>
    <row r="10" spans="1:20" x14ac:dyDescent="0.25">
      <c r="A10" s="371" t="s">
        <v>565</v>
      </c>
      <c r="B10" s="390">
        <v>5</v>
      </c>
      <c r="C10" s="398" t="s">
        <v>570</v>
      </c>
      <c r="D10" s="392" t="s">
        <v>567</v>
      </c>
      <c r="E10" s="393">
        <v>58</v>
      </c>
      <c r="F10" s="394">
        <v>15</v>
      </c>
      <c r="G10" s="395"/>
      <c r="H10" s="396"/>
      <c r="I10" s="396">
        <v>1</v>
      </c>
      <c r="J10" s="396">
        <v>50000</v>
      </c>
      <c r="K10" s="396"/>
      <c r="L10" s="396"/>
      <c r="M10" s="396">
        <f t="shared" si="2"/>
        <v>600000</v>
      </c>
      <c r="N10" s="396">
        <v>200000</v>
      </c>
      <c r="O10" s="396">
        <v>350000</v>
      </c>
      <c r="P10" s="396">
        <v>200000</v>
      </c>
      <c r="Q10" s="396">
        <v>12</v>
      </c>
      <c r="R10" s="396">
        <f t="shared" si="0"/>
        <v>129.16800000000001</v>
      </c>
      <c r="S10" s="396">
        <f t="shared" si="1"/>
        <v>710424</v>
      </c>
      <c r="T10" s="397">
        <v>1</v>
      </c>
    </row>
    <row r="11" spans="1:20" x14ac:dyDescent="0.25">
      <c r="A11" s="371" t="s">
        <v>565</v>
      </c>
      <c r="B11" s="390">
        <v>7</v>
      </c>
      <c r="C11" s="391" t="s">
        <v>571</v>
      </c>
      <c r="D11" s="392" t="s">
        <v>567</v>
      </c>
      <c r="E11" s="393">
        <v>64</v>
      </c>
      <c r="F11" s="394">
        <v>15</v>
      </c>
      <c r="G11" s="395"/>
      <c r="H11" s="396"/>
      <c r="I11" s="396">
        <v>1</v>
      </c>
      <c r="J11" s="396">
        <v>50000</v>
      </c>
      <c r="K11" s="396"/>
      <c r="L11" s="396"/>
      <c r="M11" s="396">
        <f t="shared" si="2"/>
        <v>600000</v>
      </c>
      <c r="N11" s="396">
        <v>200000</v>
      </c>
      <c r="O11" s="396">
        <v>350000</v>
      </c>
      <c r="P11" s="396">
        <v>200000</v>
      </c>
      <c r="Q11" s="396">
        <v>12</v>
      </c>
      <c r="R11" s="396">
        <f t="shared" si="0"/>
        <v>129.16800000000001</v>
      </c>
      <c r="S11" s="396">
        <f t="shared" si="1"/>
        <v>710424</v>
      </c>
      <c r="T11" s="397">
        <v>1</v>
      </c>
    </row>
    <row r="12" spans="1:20" x14ac:dyDescent="0.25">
      <c r="A12" s="371" t="s">
        <v>565</v>
      </c>
      <c r="B12" s="390">
        <v>8</v>
      </c>
      <c r="C12" s="391" t="s">
        <v>572</v>
      </c>
      <c r="D12" s="392" t="s">
        <v>567</v>
      </c>
      <c r="E12" s="393">
        <v>58</v>
      </c>
      <c r="F12" s="394">
        <v>15</v>
      </c>
      <c r="G12" s="395"/>
      <c r="H12" s="396"/>
      <c r="I12" s="396">
        <v>1</v>
      </c>
      <c r="J12" s="396">
        <v>50000</v>
      </c>
      <c r="K12" s="396"/>
      <c r="L12" s="396"/>
      <c r="M12" s="396">
        <f t="shared" si="2"/>
        <v>600000</v>
      </c>
      <c r="N12" s="396">
        <v>200000</v>
      </c>
      <c r="O12" s="396">
        <v>350000</v>
      </c>
      <c r="P12" s="396">
        <v>200000</v>
      </c>
      <c r="Q12" s="396">
        <v>12</v>
      </c>
      <c r="R12" s="396">
        <f t="shared" si="0"/>
        <v>129.16800000000001</v>
      </c>
      <c r="S12" s="396">
        <f t="shared" si="1"/>
        <v>710424</v>
      </c>
      <c r="T12" s="397">
        <v>1</v>
      </c>
    </row>
    <row r="13" spans="1:20" x14ac:dyDescent="0.25">
      <c r="A13" s="371" t="s">
        <v>565</v>
      </c>
      <c r="B13" s="390">
        <v>9</v>
      </c>
      <c r="C13" s="391" t="s">
        <v>573</v>
      </c>
      <c r="D13" s="392" t="s">
        <v>567</v>
      </c>
      <c r="E13" s="393">
        <v>30</v>
      </c>
      <c r="F13" s="394">
        <v>15</v>
      </c>
      <c r="G13" s="395"/>
      <c r="H13" s="396"/>
      <c r="I13" s="396">
        <v>1</v>
      </c>
      <c r="J13" s="396">
        <v>50000</v>
      </c>
      <c r="K13" s="396"/>
      <c r="L13" s="396"/>
      <c r="M13" s="396">
        <f t="shared" si="2"/>
        <v>600000</v>
      </c>
      <c r="N13" s="396">
        <v>200000</v>
      </c>
      <c r="O13" s="396">
        <v>350000</v>
      </c>
      <c r="P13" s="396">
        <v>200000</v>
      </c>
      <c r="Q13" s="396">
        <v>12</v>
      </c>
      <c r="R13" s="396">
        <f t="shared" si="0"/>
        <v>129.16800000000001</v>
      </c>
      <c r="S13" s="396">
        <f t="shared" si="1"/>
        <v>710424</v>
      </c>
      <c r="T13" s="397">
        <v>1</v>
      </c>
    </row>
    <row r="14" spans="1:20" x14ac:dyDescent="0.25">
      <c r="A14" s="371" t="s">
        <v>565</v>
      </c>
      <c r="B14" s="390">
        <v>10</v>
      </c>
      <c r="C14" s="391" t="s">
        <v>574</v>
      </c>
      <c r="D14" s="392" t="s">
        <v>567</v>
      </c>
      <c r="E14" s="393">
        <v>39</v>
      </c>
      <c r="F14" s="394">
        <v>15</v>
      </c>
      <c r="G14" s="395"/>
      <c r="H14" s="396"/>
      <c r="I14" s="396">
        <v>1</v>
      </c>
      <c r="J14" s="396">
        <v>50000</v>
      </c>
      <c r="K14" s="396"/>
      <c r="L14" s="396"/>
      <c r="M14" s="396">
        <f t="shared" si="2"/>
        <v>600000</v>
      </c>
      <c r="N14" s="396">
        <v>200000</v>
      </c>
      <c r="O14" s="396">
        <v>350000</v>
      </c>
      <c r="P14" s="396">
        <v>200000</v>
      </c>
      <c r="Q14" s="396">
        <v>12</v>
      </c>
      <c r="R14" s="396">
        <f t="shared" si="0"/>
        <v>129.16800000000001</v>
      </c>
      <c r="S14" s="396">
        <f t="shared" si="1"/>
        <v>710424</v>
      </c>
      <c r="T14" s="397">
        <v>1</v>
      </c>
    </row>
    <row r="15" spans="1:20" x14ac:dyDescent="0.25">
      <c r="A15" s="371" t="s">
        <v>565</v>
      </c>
      <c r="B15" s="390">
        <v>15</v>
      </c>
      <c r="C15" s="391" t="s">
        <v>575</v>
      </c>
      <c r="D15" s="392" t="s">
        <v>567</v>
      </c>
      <c r="E15" s="393">
        <v>43</v>
      </c>
      <c r="F15" s="394">
        <v>15</v>
      </c>
      <c r="G15" s="395"/>
      <c r="H15" s="396"/>
      <c r="I15" s="396">
        <v>1</v>
      </c>
      <c r="J15" s="396">
        <v>50000</v>
      </c>
      <c r="K15" s="396"/>
      <c r="L15" s="396"/>
      <c r="M15" s="396">
        <f t="shared" si="2"/>
        <v>600000</v>
      </c>
      <c r="N15" s="396">
        <v>200000</v>
      </c>
      <c r="O15" s="396">
        <v>350000</v>
      </c>
      <c r="P15" s="396">
        <v>200000</v>
      </c>
      <c r="Q15" s="396">
        <v>12</v>
      </c>
      <c r="R15" s="396">
        <f t="shared" si="0"/>
        <v>129.16800000000001</v>
      </c>
      <c r="S15" s="396">
        <f t="shared" si="1"/>
        <v>710424</v>
      </c>
      <c r="T15" s="397">
        <v>1</v>
      </c>
    </row>
    <row r="16" spans="1:20" x14ac:dyDescent="0.25">
      <c r="A16" s="371" t="s">
        <v>565</v>
      </c>
      <c r="B16" s="390">
        <v>16</v>
      </c>
      <c r="C16" s="391" t="s">
        <v>576</v>
      </c>
      <c r="D16" s="392" t="s">
        <v>567</v>
      </c>
      <c r="E16" s="393">
        <v>42</v>
      </c>
      <c r="F16" s="394">
        <v>15</v>
      </c>
      <c r="G16" s="395"/>
      <c r="H16" s="396"/>
      <c r="I16" s="396">
        <v>1</v>
      </c>
      <c r="J16" s="396">
        <v>50000</v>
      </c>
      <c r="K16" s="396"/>
      <c r="L16" s="396"/>
      <c r="M16" s="396">
        <f t="shared" si="2"/>
        <v>600000</v>
      </c>
      <c r="N16" s="396">
        <v>200000</v>
      </c>
      <c r="O16" s="396">
        <v>350000</v>
      </c>
      <c r="P16" s="396">
        <v>200000</v>
      </c>
      <c r="Q16" s="396">
        <v>12</v>
      </c>
      <c r="R16" s="396">
        <f t="shared" si="0"/>
        <v>129.16800000000001</v>
      </c>
      <c r="S16" s="396">
        <f t="shared" si="1"/>
        <v>710424</v>
      </c>
      <c r="T16" s="397">
        <v>1</v>
      </c>
    </row>
    <row r="17" spans="1:20" x14ac:dyDescent="0.25">
      <c r="A17" s="371" t="s">
        <v>565</v>
      </c>
      <c r="B17" s="390">
        <v>18</v>
      </c>
      <c r="C17" s="391" t="s">
        <v>577</v>
      </c>
      <c r="D17" s="392" t="s">
        <v>567</v>
      </c>
      <c r="E17" s="393">
        <v>34</v>
      </c>
      <c r="F17" s="394">
        <v>15</v>
      </c>
      <c r="G17" s="395"/>
      <c r="H17" s="396"/>
      <c r="I17" s="396">
        <v>1</v>
      </c>
      <c r="J17" s="396">
        <v>50000</v>
      </c>
      <c r="K17" s="396"/>
      <c r="L17" s="396"/>
      <c r="M17" s="396">
        <f t="shared" si="2"/>
        <v>600000</v>
      </c>
      <c r="N17" s="396">
        <v>200000</v>
      </c>
      <c r="O17" s="396">
        <v>350000</v>
      </c>
      <c r="P17" s="396">
        <v>200000</v>
      </c>
      <c r="Q17" s="396">
        <v>12</v>
      </c>
      <c r="R17" s="396">
        <f t="shared" si="0"/>
        <v>129.16800000000001</v>
      </c>
      <c r="S17" s="396">
        <f t="shared" si="1"/>
        <v>710424</v>
      </c>
      <c r="T17" s="397">
        <v>1</v>
      </c>
    </row>
    <row r="18" spans="1:20" x14ac:dyDescent="0.25">
      <c r="A18" s="371" t="s">
        <v>565</v>
      </c>
      <c r="B18" s="390">
        <v>26</v>
      </c>
      <c r="C18" s="391" t="s">
        <v>578</v>
      </c>
      <c r="D18" s="392" t="s">
        <v>567</v>
      </c>
      <c r="E18" s="393">
        <v>38</v>
      </c>
      <c r="F18" s="394">
        <v>15</v>
      </c>
      <c r="G18" s="395"/>
      <c r="H18" s="396"/>
      <c r="I18" s="396">
        <v>1</v>
      </c>
      <c r="J18" s="396">
        <v>50000</v>
      </c>
      <c r="K18" s="396"/>
      <c r="L18" s="396"/>
      <c r="M18" s="396">
        <f t="shared" si="2"/>
        <v>600000</v>
      </c>
      <c r="N18" s="396">
        <v>200000</v>
      </c>
      <c r="O18" s="396">
        <v>350000</v>
      </c>
      <c r="P18" s="396">
        <v>200000</v>
      </c>
      <c r="Q18" s="396">
        <v>12</v>
      </c>
      <c r="R18" s="396">
        <f t="shared" si="0"/>
        <v>129.16800000000001</v>
      </c>
      <c r="S18" s="396">
        <f t="shared" si="1"/>
        <v>710424</v>
      </c>
      <c r="T18" s="397">
        <v>1</v>
      </c>
    </row>
    <row r="19" spans="1:20" x14ac:dyDescent="0.25">
      <c r="A19" s="371" t="s">
        <v>565</v>
      </c>
      <c r="B19" s="390">
        <v>30</v>
      </c>
      <c r="C19" s="391" t="s">
        <v>579</v>
      </c>
      <c r="D19" s="392" t="s">
        <v>567</v>
      </c>
      <c r="E19" s="393">
        <v>52</v>
      </c>
      <c r="F19" s="394">
        <v>15</v>
      </c>
      <c r="G19" s="395"/>
      <c r="H19" s="396"/>
      <c r="I19" s="396">
        <v>1</v>
      </c>
      <c r="J19" s="396">
        <v>50000</v>
      </c>
      <c r="K19" s="396"/>
      <c r="L19" s="396"/>
      <c r="M19" s="396">
        <f t="shared" si="2"/>
        <v>600000</v>
      </c>
      <c r="N19" s="396">
        <v>200000</v>
      </c>
      <c r="O19" s="396">
        <v>350000</v>
      </c>
      <c r="P19" s="396">
        <v>200000</v>
      </c>
      <c r="Q19" s="396">
        <v>12</v>
      </c>
      <c r="R19" s="396">
        <f t="shared" si="0"/>
        <v>129.16800000000001</v>
      </c>
      <c r="S19" s="396">
        <f t="shared" si="1"/>
        <v>710424</v>
      </c>
      <c r="T19" s="397">
        <v>1</v>
      </c>
    </row>
    <row r="20" spans="1:20" x14ac:dyDescent="0.25">
      <c r="A20" s="371" t="s">
        <v>565</v>
      </c>
      <c r="B20" s="390">
        <v>33</v>
      </c>
      <c r="C20" s="391" t="s">
        <v>580</v>
      </c>
      <c r="D20" s="392" t="s">
        <v>567</v>
      </c>
      <c r="E20" s="393">
        <v>45</v>
      </c>
      <c r="F20" s="394">
        <v>15</v>
      </c>
      <c r="G20" s="395"/>
      <c r="H20" s="396"/>
      <c r="I20" s="396">
        <v>1</v>
      </c>
      <c r="J20" s="396">
        <v>50000</v>
      </c>
      <c r="K20" s="396"/>
      <c r="L20" s="396"/>
      <c r="M20" s="396">
        <f t="shared" si="2"/>
        <v>600000</v>
      </c>
      <c r="N20" s="396">
        <v>200000</v>
      </c>
      <c r="O20" s="396">
        <v>350000</v>
      </c>
      <c r="P20" s="396">
        <v>200000</v>
      </c>
      <c r="Q20" s="396">
        <v>12</v>
      </c>
      <c r="R20" s="396">
        <f t="shared" si="0"/>
        <v>129.16800000000001</v>
      </c>
      <c r="S20" s="396">
        <f t="shared" si="1"/>
        <v>710424</v>
      </c>
      <c r="T20" s="397">
        <v>1</v>
      </c>
    </row>
    <row r="21" spans="1:20" x14ac:dyDescent="0.25">
      <c r="A21" s="371" t="s">
        <v>565</v>
      </c>
      <c r="B21" s="390">
        <v>34</v>
      </c>
      <c r="C21" s="391" t="s">
        <v>581</v>
      </c>
      <c r="D21" s="392" t="s">
        <v>567</v>
      </c>
      <c r="E21" s="393">
        <v>35</v>
      </c>
      <c r="F21" s="394">
        <v>15</v>
      </c>
      <c r="G21" s="395"/>
      <c r="H21" s="396"/>
      <c r="I21" s="396">
        <v>1</v>
      </c>
      <c r="J21" s="396">
        <v>50000</v>
      </c>
      <c r="K21" s="396"/>
      <c r="L21" s="396"/>
      <c r="M21" s="396">
        <f t="shared" si="2"/>
        <v>600000</v>
      </c>
      <c r="N21" s="396">
        <v>200000</v>
      </c>
      <c r="O21" s="396">
        <v>350000</v>
      </c>
      <c r="P21" s="396">
        <v>200000</v>
      </c>
      <c r="Q21" s="396">
        <v>12</v>
      </c>
      <c r="R21" s="396">
        <f t="shared" si="0"/>
        <v>129.16800000000001</v>
      </c>
      <c r="S21" s="396">
        <f t="shared" si="1"/>
        <v>710424</v>
      </c>
      <c r="T21" s="397">
        <v>1</v>
      </c>
    </row>
    <row r="22" spans="1:20" x14ac:dyDescent="0.25">
      <c r="M22" s="403">
        <f>SUM(M7:M21)</f>
        <v>9000000</v>
      </c>
      <c r="N22" s="403">
        <f>SUM(N7:N21)</f>
        <v>3000000</v>
      </c>
      <c r="O22" s="403">
        <f>SUM(O7:O21)</f>
        <v>5250000</v>
      </c>
      <c r="P22" s="403">
        <f>SUM(P7:P21)</f>
        <v>3000000</v>
      </c>
      <c r="S22" s="403">
        <f>SUM(S7:S21)</f>
        <v>10656360</v>
      </c>
    </row>
  </sheetData>
  <autoFilter ref="A6:T22" xr:uid="{00000000-0009-0000-0000-000022000000}">
    <sortState xmlns:xlrd2="http://schemas.microsoft.com/office/spreadsheetml/2017/richdata2" ref="A7:T22">
      <sortCondition descending="1" ref="A6:A22"/>
    </sortState>
  </autoFilter>
  <mergeCells count="11">
    <mergeCell ref="A1:B1"/>
    <mergeCell ref="C1:F1"/>
    <mergeCell ref="A2:B2"/>
    <mergeCell ref="C2:F2"/>
    <mergeCell ref="A3:B3"/>
    <mergeCell ref="C3:F3"/>
    <mergeCell ref="A4:B4"/>
    <mergeCell ref="C4:F4"/>
    <mergeCell ref="A5:B5"/>
    <mergeCell ref="C5:F5"/>
    <mergeCell ref="G5:T5"/>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E0D13-1412-4C50-998A-84ED779A017F}">
  <dimension ref="A1"/>
  <sheetViews>
    <sheetView topLeftCell="B10" workbookViewId="0">
      <selection activeCell="M13" sqref="M13"/>
    </sheetView>
  </sheetViews>
  <sheetFormatPr defaultColWidth="11.42578125" defaultRowHeight="15" x14ac:dyDescent="0.25"/>
  <sheetData/>
  <pageMargins left="0" right="0" top="0" bottom="0" header="0" footer="0"/>
  <pageSetup paperSize="9" scale="96"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Master</vt:lpstr>
      <vt:lpstr>C_fullhouse</vt:lpstr>
      <vt:lpstr>C_contracted_PLAMAHS</vt:lpstr>
      <vt:lpstr>C_depreciation_mtn_NPV</vt:lpstr>
      <vt:lpstr>C_device_share</vt:lpstr>
      <vt:lpstr>C_depreciation_yearly</vt:lpstr>
      <vt:lpstr>C_downtime_cost</vt:lpstr>
      <vt:lpstr>C_services_daily</vt:lpstr>
      <vt:lpstr>C_overhead_cost</vt:lpstr>
      <vt:lpstr>D_invoiced_cost</vt:lpstr>
      <vt:lpstr>D_device_values</vt:lpstr>
      <vt:lpstr>D_service_prices</vt:lpstr>
      <vt:lpstr>D_device_lifecycles</vt:lpstr>
      <vt:lpstr>D_currency_conversion</vt:lpstr>
      <vt:lpstr>D_fullhouse</vt:lpstr>
      <vt:lpstr>P_Figure1_to_EPS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Schleicher</dc:creator>
  <cp:lastModifiedBy>Dr. Michael Hillebrecht</cp:lastModifiedBy>
  <cp:lastPrinted>2021-08-05T20:52:34Z</cp:lastPrinted>
  <dcterms:created xsi:type="dcterms:W3CDTF">2018-10-18T15:19:45Z</dcterms:created>
  <dcterms:modified xsi:type="dcterms:W3CDTF">2022-01-16T05:36:54Z</dcterms:modified>
</cp:coreProperties>
</file>