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2a90815145da9a/デスクトップ/St.Lukes/capstone/論文投稿/論文/"/>
    </mc:Choice>
  </mc:AlternateContent>
  <xr:revisionPtr revIDLastSave="62" documentId="8_{0092C927-9E96-452B-919B-3145AC6C8A78}" xr6:coauthVersionLast="47" xr6:coauthVersionMax="47" xr10:uidLastSave="{B0639C65-4575-4F7E-A549-14DA8EA12176}"/>
  <bookViews>
    <workbookView xWindow="-110" yWindow="-110" windowWidth="19420" windowHeight="10300" xr2:uid="{42727DBA-9F51-4E48-AB00-AC09307DF6F7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2" l="1"/>
  <c r="F25" i="2"/>
  <c r="G24" i="2"/>
  <c r="F24" i="2"/>
  <c r="F22" i="2"/>
  <c r="G40" i="2"/>
  <c r="F40" i="2"/>
  <c r="G39" i="2"/>
  <c r="F39" i="2"/>
  <c r="G38" i="2"/>
  <c r="F38" i="2"/>
  <c r="G36" i="2"/>
  <c r="G35" i="2"/>
  <c r="G34" i="2"/>
  <c r="F36" i="2"/>
  <c r="F35" i="2"/>
  <c r="F34" i="2"/>
  <c r="G22" i="2"/>
  <c r="G21" i="2"/>
  <c r="F21" i="2"/>
  <c r="G20" i="2"/>
  <c r="F20" i="2"/>
  <c r="G19" i="2"/>
  <c r="F19" i="2"/>
  <c r="G12" i="2"/>
  <c r="F12" i="2"/>
  <c r="G11" i="2"/>
  <c r="F11" i="2"/>
  <c r="G10" i="2"/>
  <c r="F10" i="2"/>
  <c r="G9" i="2"/>
  <c r="F9" i="2"/>
  <c r="G8" i="2"/>
  <c r="F8" i="2"/>
  <c r="G7" i="2"/>
  <c r="F7" i="2"/>
  <c r="G6" i="2"/>
  <c r="F6" i="2"/>
  <c r="G5" i="2"/>
  <c r="F5" i="2"/>
</calcChain>
</file>

<file path=xl/sharedStrings.xml><?xml version="1.0" encoding="utf-8"?>
<sst xmlns="http://schemas.openxmlformats.org/spreadsheetml/2006/main" count="92" uniqueCount="55">
  <si>
    <t>α</t>
    <phoneticPr fontId="1"/>
  </si>
  <si>
    <t>β</t>
    <phoneticPr fontId="1"/>
  </si>
  <si>
    <t>Beta</t>
    <phoneticPr fontId="1"/>
  </si>
  <si>
    <t>-</t>
    <phoneticPr fontId="1"/>
  </si>
  <si>
    <t>CTZ/TAZ</t>
    <phoneticPr fontId="1"/>
  </si>
  <si>
    <t>Log-normal</t>
    <phoneticPr fontId="1"/>
  </si>
  <si>
    <t>MEPM</t>
    <phoneticPr fontId="1"/>
  </si>
  <si>
    <t>Gamma</t>
    <phoneticPr fontId="1"/>
  </si>
  <si>
    <t>Normal</t>
    <phoneticPr fontId="1"/>
  </si>
  <si>
    <t>Utility</t>
    <phoneticPr fontId="1"/>
  </si>
  <si>
    <t>Inputs</t>
    <phoneticPr fontId="1"/>
  </si>
  <si>
    <t>Clinical cure (1st) of CTZ/TAZ</t>
    <phoneticPr fontId="1"/>
  </si>
  <si>
    <t>Clinical cure (1st) of MEPM</t>
    <phoneticPr fontId="1"/>
  </si>
  <si>
    <t>Mortality (1st) of CTZ/TAZ</t>
    <phoneticPr fontId="1"/>
  </si>
  <si>
    <t>Mortality (1st) of MEPM</t>
    <phoneticPr fontId="1"/>
  </si>
  <si>
    <t>Clinical cure (2nd) of CTZ/TAZ</t>
    <phoneticPr fontId="1"/>
  </si>
  <si>
    <t>Clinical cure (2nd) of MEPM</t>
    <phoneticPr fontId="1"/>
  </si>
  <si>
    <t>Mortality (2nd) of CTZ/TAZ</t>
    <phoneticPr fontId="1"/>
  </si>
  <si>
    <t>Mortality (2nd) of MEPM</t>
    <phoneticPr fontId="1"/>
  </si>
  <si>
    <t>Efficacy (%)</t>
    <phoneticPr fontId="1"/>
  </si>
  <si>
    <t>Administration duration (Day)</t>
    <phoneticPr fontId="1"/>
  </si>
  <si>
    <t>Value</t>
    <phoneticPr fontId="1"/>
  </si>
  <si>
    <t>Lower</t>
    <phoneticPr fontId="1"/>
  </si>
  <si>
    <t>Upper</t>
    <phoneticPr fontId="1"/>
  </si>
  <si>
    <t>Distribution</t>
    <phoneticPr fontId="1"/>
  </si>
  <si>
    <t>Source</t>
    <phoneticPr fontId="1"/>
  </si>
  <si>
    <t>1st-line treatment of CTZ/TAZ</t>
    <phoneticPr fontId="1"/>
  </si>
  <si>
    <t>1st-line treatment of MEPM</t>
    <phoneticPr fontId="1"/>
  </si>
  <si>
    <t>2nd-line treatment of CTZ/TAZ</t>
    <phoneticPr fontId="1"/>
  </si>
  <si>
    <t>2nd-line treatment of MEPM</t>
    <phoneticPr fontId="1"/>
  </si>
  <si>
    <t>ICU LOS (Day)</t>
    <phoneticPr fontId="1"/>
  </si>
  <si>
    <t>Mechanical ventilation duration (Day)</t>
    <phoneticPr fontId="1"/>
  </si>
  <si>
    <t>Adverse Event rate (%)</t>
    <phoneticPr fontId="1"/>
  </si>
  <si>
    <t>Acute renal failure of AMK</t>
    <phoneticPr fontId="1"/>
  </si>
  <si>
    <t>Adverse event treatment cost （Yen）</t>
    <phoneticPr fontId="1"/>
  </si>
  <si>
    <t>AMK</t>
    <phoneticPr fontId="1"/>
  </si>
  <si>
    <t>Hospitalization with ventilator in ICU</t>
    <phoneticPr fontId="1"/>
  </si>
  <si>
    <t>Cured and discharged</t>
    <phoneticPr fontId="1"/>
  </si>
  <si>
    <t>Recovered in general ward</t>
    <phoneticPr fontId="1"/>
  </si>
  <si>
    <t>a, b</t>
    <phoneticPr fontId="1"/>
  </si>
  <si>
    <t>CTZ/TAZ=Ceftolozane/Tazobactam, MEPM=Meropenem, AMK=Amikacin, LOS=length of stay, ICU=Intensive Care Unit</t>
    <phoneticPr fontId="1"/>
  </si>
  <si>
    <t>c</t>
    <phoneticPr fontId="1"/>
  </si>
  <si>
    <t>d</t>
    <phoneticPr fontId="1"/>
  </si>
  <si>
    <t>b</t>
    <phoneticPr fontId="1"/>
  </si>
  <si>
    <t>Additional administration day after the treatment (Day)</t>
    <phoneticPr fontId="1"/>
  </si>
  <si>
    <t>Administration in ICU</t>
    <phoneticPr fontId="1"/>
  </si>
  <si>
    <t>Administration in ward</t>
    <phoneticPr fontId="1"/>
  </si>
  <si>
    <t>b, e</t>
    <phoneticPr fontId="1"/>
  </si>
  <si>
    <t>f, g, h</t>
    <phoneticPr fontId="1"/>
  </si>
  <si>
    <t>i</t>
    <phoneticPr fontId="1"/>
  </si>
  <si>
    <t>j, k, l, m</t>
    <phoneticPr fontId="1"/>
  </si>
  <si>
    <t>n</t>
    <phoneticPr fontId="1"/>
  </si>
  <si>
    <t>o, p</t>
    <phoneticPr fontId="1"/>
  </si>
  <si>
    <r>
      <rPr>
        <vertAlign val="superscript"/>
        <sz val="11"/>
        <color theme="1"/>
        <rFont val="游ゴシック"/>
        <family val="3"/>
        <charset val="128"/>
        <scheme val="minor"/>
      </rPr>
      <t>a</t>
    </r>
    <r>
      <rPr>
        <sz val="11"/>
        <color theme="1"/>
        <rFont val="游ゴシック"/>
        <family val="2"/>
        <charset val="128"/>
        <scheme val="minor"/>
      </rPr>
      <t xml:space="preserve">Kollef MH et al. 2019 (14)
</t>
    </r>
    <r>
      <rPr>
        <vertAlign val="superscript"/>
        <sz val="11"/>
        <color theme="1"/>
        <rFont val="游ゴシック"/>
        <family val="3"/>
        <charset val="128"/>
        <scheme val="minor"/>
      </rPr>
      <t>b</t>
    </r>
    <r>
      <rPr>
        <sz val="11"/>
        <color theme="1"/>
        <rFont val="游ゴシック"/>
        <family val="2"/>
        <charset val="128"/>
        <scheme val="minor"/>
      </rPr>
      <t xml:space="preserve">Lodise T et al. 2020 (21)
</t>
    </r>
    <r>
      <rPr>
        <vertAlign val="superscript"/>
        <sz val="11"/>
        <color theme="1"/>
        <rFont val="游ゴシック"/>
        <family val="3"/>
        <charset val="128"/>
        <scheme val="minor"/>
      </rPr>
      <t>c</t>
    </r>
    <r>
      <rPr>
        <sz val="11"/>
        <color theme="1"/>
        <rFont val="游ゴシック"/>
        <family val="2"/>
        <charset val="128"/>
        <scheme val="minor"/>
      </rPr>
      <t xml:space="preserve">Naik J et al. 2021 (18)
</t>
    </r>
    <r>
      <rPr>
        <vertAlign val="superscript"/>
        <sz val="11"/>
        <color theme="1"/>
        <rFont val="游ゴシック"/>
        <family val="3"/>
        <charset val="128"/>
        <scheme val="minor"/>
      </rPr>
      <t>d</t>
    </r>
    <r>
      <rPr>
        <sz val="11"/>
        <color theme="1"/>
        <rFont val="游ゴシック"/>
        <family val="2"/>
        <charset val="128"/>
        <scheme val="minor"/>
      </rPr>
      <t xml:space="preserve">The JAID/JSC guide 2019 (10)
</t>
    </r>
    <r>
      <rPr>
        <vertAlign val="superscript"/>
        <sz val="11"/>
        <color theme="1"/>
        <rFont val="游ゴシック"/>
        <family val="3"/>
        <charset val="128"/>
        <scheme val="minor"/>
      </rPr>
      <t>e</t>
    </r>
    <r>
      <rPr>
        <sz val="11"/>
        <color theme="1"/>
        <rFont val="游ゴシック"/>
        <family val="2"/>
        <charset val="128"/>
        <scheme val="minor"/>
      </rPr>
      <t xml:space="preserve">ICU Hospitalization costs were calculated from the number of ICU LOS days and distribution was established.
</t>
    </r>
    <r>
      <rPr>
        <vertAlign val="superscript"/>
        <sz val="11"/>
        <color theme="1"/>
        <rFont val="游ゴシック"/>
        <family val="3"/>
        <charset val="128"/>
        <scheme val="minor"/>
      </rPr>
      <t xml:space="preserve">f </t>
    </r>
    <r>
      <rPr>
        <sz val="11"/>
        <color theme="1"/>
        <rFont val="游ゴシック"/>
        <family val="3"/>
        <charset val="128"/>
        <scheme val="minor"/>
      </rPr>
      <t>Gallagher JC et al. 2018 (26)</t>
    </r>
    <r>
      <rPr>
        <vertAlign val="superscript"/>
        <sz val="11"/>
        <color theme="1"/>
        <rFont val="游ゴシック"/>
        <family val="3"/>
        <charset val="128"/>
        <scheme val="minor"/>
      </rPr>
      <t xml:space="preserve">
g</t>
    </r>
    <r>
      <rPr>
        <sz val="11"/>
        <color theme="1"/>
        <rFont val="游ゴシック"/>
        <family val="3"/>
        <charset val="128"/>
        <scheme val="minor"/>
      </rPr>
      <t>Balandin B et al. 2021 (27)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vertAlign val="superscript"/>
        <sz val="11"/>
        <color theme="1"/>
        <rFont val="游ゴシック"/>
        <family val="3"/>
        <charset val="128"/>
        <scheme val="minor"/>
      </rPr>
      <t>h</t>
    </r>
    <r>
      <rPr>
        <sz val="11"/>
        <color theme="1"/>
        <rFont val="游ゴシック"/>
        <family val="2"/>
        <charset val="128"/>
        <scheme val="minor"/>
      </rPr>
      <t xml:space="preserve">Hospitalization costs after the treatment were calcurated from the number of hospitalization days and distribution was established.
</t>
    </r>
    <r>
      <rPr>
        <vertAlign val="superscript"/>
        <sz val="11"/>
        <color theme="1"/>
        <rFont val="游ゴシック"/>
        <family val="3"/>
        <charset val="128"/>
        <scheme val="minor"/>
      </rPr>
      <t>i</t>
    </r>
    <r>
      <rPr>
        <sz val="11"/>
        <color theme="1"/>
        <rFont val="游ゴシック"/>
        <family val="2"/>
        <charset val="128"/>
        <scheme val="minor"/>
      </rPr>
      <t xml:space="preserve">Paul M et al. 2014 (28)
</t>
    </r>
    <r>
      <rPr>
        <vertAlign val="superscript"/>
        <sz val="11"/>
        <color theme="1"/>
        <rFont val="游ゴシック"/>
        <family val="3"/>
        <charset val="128"/>
        <scheme val="minor"/>
      </rPr>
      <t>j</t>
    </r>
    <r>
      <rPr>
        <sz val="11"/>
        <color theme="1"/>
        <rFont val="游ゴシック"/>
        <family val="2"/>
        <charset val="128"/>
        <scheme val="minor"/>
      </rPr>
      <t xml:space="preserve">List of Items Listed in the NHI Drug Price Standards and Information on Generic Drugs 2022 (29)
</t>
    </r>
    <r>
      <rPr>
        <vertAlign val="superscript"/>
        <sz val="11"/>
        <color theme="1"/>
        <rFont val="游ゴシック"/>
        <family val="3"/>
        <charset val="128"/>
        <scheme val="minor"/>
      </rPr>
      <t>k</t>
    </r>
    <r>
      <rPr>
        <sz val="11"/>
        <color theme="1"/>
        <rFont val="游ゴシック"/>
        <family val="2"/>
        <charset val="128"/>
        <scheme val="minor"/>
      </rPr>
      <t xml:space="preserve">The Japanese Guidelines for the Management of Sepsis (30)
</t>
    </r>
    <r>
      <rPr>
        <vertAlign val="superscript"/>
        <sz val="11"/>
        <color theme="1"/>
        <rFont val="游ゴシック"/>
        <family val="3"/>
        <charset val="128"/>
        <scheme val="minor"/>
      </rPr>
      <t>l</t>
    </r>
    <r>
      <rPr>
        <sz val="11"/>
        <color theme="1"/>
        <rFont val="游ゴシック"/>
        <family val="2"/>
        <charset val="128"/>
        <scheme val="minor"/>
      </rPr>
      <t xml:space="preserve">Guidelines for Diagnosis and Treatment of Acute and Chronic Heart Failure 2017 (31)
</t>
    </r>
    <r>
      <rPr>
        <vertAlign val="superscript"/>
        <sz val="11"/>
        <color theme="1"/>
        <rFont val="游ゴシック"/>
        <family val="3"/>
        <charset val="128"/>
        <scheme val="minor"/>
      </rPr>
      <t>m</t>
    </r>
    <r>
      <rPr>
        <sz val="11"/>
        <color theme="1"/>
        <rFont val="游ゴシック"/>
        <family val="2"/>
        <charset val="128"/>
        <scheme val="minor"/>
      </rPr>
      <t xml:space="preserve">Expert opinion
</t>
    </r>
    <r>
      <rPr>
        <vertAlign val="superscript"/>
        <sz val="11"/>
        <color theme="1"/>
        <rFont val="游ゴシック"/>
        <family val="3"/>
        <charset val="128"/>
        <scheme val="minor"/>
      </rPr>
      <t>n</t>
    </r>
    <r>
      <rPr>
        <sz val="11"/>
        <color theme="1"/>
        <rFont val="游ゴシック"/>
        <family val="2"/>
        <charset val="128"/>
        <scheme val="minor"/>
      </rPr>
      <t xml:space="preserve">Saunders R et al. 2018 (34)
</t>
    </r>
    <r>
      <rPr>
        <vertAlign val="superscript"/>
        <sz val="11"/>
        <color theme="1"/>
        <rFont val="游ゴシック"/>
        <family val="3"/>
        <charset val="128"/>
        <scheme val="minor"/>
      </rPr>
      <t>o</t>
    </r>
    <r>
      <rPr>
        <sz val="11"/>
        <color theme="1"/>
        <rFont val="游ゴシック"/>
        <family val="2"/>
        <charset val="128"/>
        <scheme val="minor"/>
      </rPr>
      <t xml:space="preserve">Dick AW et al. 2015 (35)
</t>
    </r>
    <r>
      <rPr>
        <vertAlign val="superscript"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 xml:space="preserve"> Andronis L et al. 2018 (36)
</t>
    </r>
    <phoneticPr fontId="1"/>
  </si>
  <si>
    <t>Appendix 1 Parameters and distributions for PSA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</si>
</sst>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"/>
    <numFmt numFmtId="177" formatCode="0.00000"/>
    <numFmt numFmtId="181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81" fontId="3" fillId="0" borderId="1" xfId="0" applyNumberFormat="1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10/relationships/person" Target="persons/person0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4195F-1D75-4EC9-BE0C-A8419C5B36BC}">
  <dimension ref="A1:H43"/>
  <sheetViews>
    <sheetView tabSelected="1" workbookViewId="0"/>
  </sheetViews>
  <sheetFormatPr defaultRowHeight="18" x14ac:dyDescent="0.55000000000000004"/>
  <cols>
    <col min="1" max="1" width="35.75" customWidth="1"/>
    <col min="5" max="5" width="11.83203125" style="11" customWidth="1"/>
    <col min="8" max="8" width="26.1640625" customWidth="1"/>
  </cols>
  <sheetData>
    <row r="1" spans="1:8" x14ac:dyDescent="0.55000000000000004">
      <c r="A1" s="2" t="s">
        <v>54</v>
      </c>
    </row>
    <row r="2" spans="1:8" x14ac:dyDescent="0.55000000000000004">
      <c r="A2" s="2"/>
    </row>
    <row r="3" spans="1:8" x14ac:dyDescent="0.55000000000000004">
      <c r="A3" s="6" t="s">
        <v>10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0</v>
      </c>
      <c r="G3" s="5" t="s">
        <v>1</v>
      </c>
      <c r="H3" s="5" t="s">
        <v>25</v>
      </c>
    </row>
    <row r="4" spans="1:8" x14ac:dyDescent="0.55000000000000004">
      <c r="A4" s="19" t="s">
        <v>19</v>
      </c>
      <c r="B4" s="20"/>
      <c r="C4" s="20"/>
      <c r="D4" s="20"/>
      <c r="E4" s="20"/>
      <c r="F4" s="20"/>
      <c r="G4" s="20"/>
      <c r="H4" s="21"/>
    </row>
    <row r="5" spans="1:8" x14ac:dyDescent="0.55000000000000004">
      <c r="A5" s="1" t="s">
        <v>11</v>
      </c>
      <c r="B5" s="7">
        <v>60.7</v>
      </c>
      <c r="C5" s="7">
        <v>61</v>
      </c>
      <c r="D5" s="7">
        <v>72</v>
      </c>
      <c r="E5" s="3" t="s">
        <v>2</v>
      </c>
      <c r="F5" s="9">
        <f t="shared" ref="F5:F6" si="0">(((B5/100)^2)*(1-(B5/100))/((B5/100*0.25)^2)-(B5/100))</f>
        <v>5.681</v>
      </c>
      <c r="G5" s="9">
        <f t="shared" ref="G5:G6" si="1">((1-(B5/100))*(((1-(B5/100))*(B5/100))/((B5/100*0.25)^2)-1))</f>
        <v>3.6781433278418456</v>
      </c>
      <c r="H5" s="16" t="s">
        <v>39</v>
      </c>
    </row>
    <row r="6" spans="1:8" x14ac:dyDescent="0.55000000000000004">
      <c r="A6" s="1" t="s">
        <v>12</v>
      </c>
      <c r="B6" s="8">
        <v>57.1</v>
      </c>
      <c r="C6" s="8">
        <v>49</v>
      </c>
      <c r="D6" s="8">
        <v>75</v>
      </c>
      <c r="E6" s="3" t="s">
        <v>2</v>
      </c>
      <c r="F6" s="9">
        <f t="shared" si="0"/>
        <v>6.2929999999999993</v>
      </c>
      <c r="G6" s="9">
        <f t="shared" si="1"/>
        <v>4.7280157618213634</v>
      </c>
      <c r="H6" s="17"/>
    </row>
    <row r="7" spans="1:8" x14ac:dyDescent="0.55000000000000004">
      <c r="A7" s="1" t="s">
        <v>13</v>
      </c>
      <c r="B7" s="8">
        <v>20.100000000000001</v>
      </c>
      <c r="C7" s="8">
        <v>20</v>
      </c>
      <c r="D7" s="8">
        <v>31</v>
      </c>
      <c r="E7" s="3" t="s">
        <v>2</v>
      </c>
      <c r="F7" s="9">
        <f>((((B7*100/(100-B5)/100)^2)*(1-(B7*100/(100-B5)/100))/((B7*100/(100-B5)/100*0.25)^2)-(B7*100/(100-B5)/100)))</f>
        <v>7.3053435114503804</v>
      </c>
      <c r="G7" s="9">
        <f>((1-(B7*100/(100-B5)/100))*(((1-(B7*100/(100-B5)/100))*(B7*100/(100-B5)/100))/((B7*100/(100-B5)/100*0.25)^2)-1))</f>
        <v>6.9782385781018537</v>
      </c>
      <c r="H7" s="17"/>
    </row>
    <row r="8" spans="1:8" x14ac:dyDescent="0.55000000000000004">
      <c r="A8" s="1" t="s">
        <v>14</v>
      </c>
      <c r="B8" s="8">
        <v>25.5</v>
      </c>
      <c r="C8" s="8">
        <v>12</v>
      </c>
      <c r="D8" s="8">
        <v>28</v>
      </c>
      <c r="E8" s="3" t="s">
        <v>2</v>
      </c>
      <c r="F8" s="9">
        <f>(((B8*100/(100-B6)/100)^2)*(1-(B8*100/(100-B6)/100))/((B8*100/(100-B6)/100*0.25)^2)-(B8*100/(100-B6)/100))</f>
        <v>5.8951048951048959</v>
      </c>
      <c r="G8" s="9">
        <f>((1-(B8*100/(100-B6)/100))*(((1-(B8*100/(100-B6)/100))*(B8*100/(100-B6)/100))/((B8*100/(100-B6)/100*0.25)^2)-1))</f>
        <v>4.0225421637186356</v>
      </c>
      <c r="H8" s="17"/>
    </row>
    <row r="9" spans="1:8" x14ac:dyDescent="0.55000000000000004">
      <c r="A9" s="1" t="s">
        <v>15</v>
      </c>
      <c r="B9" s="8">
        <v>56.8</v>
      </c>
      <c r="C9" s="8">
        <v>57.1</v>
      </c>
      <c r="D9" s="8">
        <v>69.2</v>
      </c>
      <c r="E9" s="3" t="s">
        <v>2</v>
      </c>
      <c r="F9" s="9">
        <f t="shared" ref="F9:F10" si="2">(((B9/100)^2)*(1-(B9/100))/((B9/100*0.25)^2)-(B9/100))</f>
        <v>6.3440000000000012</v>
      </c>
      <c r="G9" s="9">
        <f t="shared" ref="G9:G10" si="3">((1-(B9/100))*(((1-(B9/100))*(B9/100))/((B9/100*0.25)^2)-1))</f>
        <v>4.8250140845070435</v>
      </c>
      <c r="H9" s="17"/>
    </row>
    <row r="10" spans="1:8" x14ac:dyDescent="0.55000000000000004">
      <c r="A10" s="1" t="s">
        <v>16</v>
      </c>
      <c r="B10" s="8">
        <v>52.8</v>
      </c>
      <c r="C10" s="8">
        <v>43.9</v>
      </c>
      <c r="D10" s="8">
        <v>72.5</v>
      </c>
      <c r="E10" s="3" t="s">
        <v>2</v>
      </c>
      <c r="F10" s="9">
        <f t="shared" si="2"/>
        <v>7.0239999999999991</v>
      </c>
      <c r="G10" s="9">
        <f t="shared" si="3"/>
        <v>6.2790303030303019</v>
      </c>
      <c r="H10" s="17"/>
    </row>
    <row r="11" spans="1:8" x14ac:dyDescent="0.55000000000000004">
      <c r="A11" s="1" t="s">
        <v>17</v>
      </c>
      <c r="B11" s="8">
        <v>24.1</v>
      </c>
      <c r="C11" s="8">
        <v>24</v>
      </c>
      <c r="D11" s="8">
        <v>37.200000000000003</v>
      </c>
      <c r="E11" s="3" t="s">
        <v>2</v>
      </c>
      <c r="F11" s="10">
        <f>(((B11*100/(100-B9)/100)^2)*(1-(B11*100/(100-B9)/100))/((B11*100/(100-B9)/100*0.25)^2)-(B11*100/(100-B9)/100))</f>
        <v>6.5162037037037042</v>
      </c>
      <c r="G11" s="10">
        <f>((1-(B11*100/(100-B9)/100))*(((1-(B11*100/(100-B9)/100))*(B11*100/(100-B9)/100))/((B11*100/(100-B9)/100*0.25)^2)-1))</f>
        <v>5.1642942216075003</v>
      </c>
      <c r="H11" s="17"/>
    </row>
    <row r="12" spans="1:8" x14ac:dyDescent="0.55000000000000004">
      <c r="A12" s="1" t="s">
        <v>18</v>
      </c>
      <c r="B12" s="8">
        <v>30.6</v>
      </c>
      <c r="C12" s="8">
        <v>14.4</v>
      </c>
      <c r="D12" s="8">
        <v>33.6</v>
      </c>
      <c r="E12" s="3" t="s">
        <v>2</v>
      </c>
      <c r="F12" s="9">
        <f>(((B12*100/(100-B10)/100)^2)*(1-(B12*100/(100-B10)/100))/((B12*100/(100-B10)/100*0.25)^2)-(B12*100/(100-B10)/100))</f>
        <v>4.9788135593220346</v>
      </c>
      <c r="G12" s="9">
        <f>((1-(B12*100/(100-B10)/100))*(((1-(B12*100/(100-B10)/100))*(B12*100/(100-B10)/100))/((B12*100/(100-B10)/100*0.25)^2)-1))</f>
        <v>2.7009250027694707</v>
      </c>
      <c r="H12" s="18"/>
    </row>
    <row r="13" spans="1:8" x14ac:dyDescent="0.55000000000000004">
      <c r="A13" s="19" t="s">
        <v>20</v>
      </c>
      <c r="B13" s="20"/>
      <c r="C13" s="20"/>
      <c r="D13" s="20"/>
      <c r="E13" s="20"/>
      <c r="F13" s="20"/>
      <c r="G13" s="20"/>
      <c r="H13" s="21"/>
    </row>
    <row r="14" spans="1:8" x14ac:dyDescent="0.55000000000000004">
      <c r="A14" s="1" t="s">
        <v>26</v>
      </c>
      <c r="B14" s="3">
        <v>8</v>
      </c>
      <c r="C14" s="3">
        <v>7.64</v>
      </c>
      <c r="D14" s="3">
        <v>8.36</v>
      </c>
      <c r="E14" s="3" t="s">
        <v>5</v>
      </c>
      <c r="F14" s="15">
        <v>2.0794415416798357</v>
      </c>
      <c r="G14" s="15">
        <v>2.2974699979127929E-2</v>
      </c>
      <c r="H14" s="16" t="s">
        <v>41</v>
      </c>
    </row>
    <row r="15" spans="1:8" x14ac:dyDescent="0.55000000000000004">
      <c r="A15" s="1" t="s">
        <v>27</v>
      </c>
      <c r="B15" s="3">
        <v>8.23</v>
      </c>
      <c r="C15" s="3">
        <v>7.86</v>
      </c>
      <c r="D15" s="3">
        <v>8.6</v>
      </c>
      <c r="E15" s="3" t="s">
        <v>5</v>
      </c>
      <c r="F15" s="15">
        <v>2.1077860146889784</v>
      </c>
      <c r="G15" s="15">
        <v>2.295295837202721E-2</v>
      </c>
      <c r="H15" s="18"/>
    </row>
    <row r="16" spans="1:8" x14ac:dyDescent="0.55000000000000004">
      <c r="A16" s="1" t="s">
        <v>28</v>
      </c>
      <c r="B16" s="3">
        <v>7</v>
      </c>
      <c r="C16" s="3">
        <v>4</v>
      </c>
      <c r="D16" s="3">
        <v>10</v>
      </c>
      <c r="E16" s="3" t="s">
        <v>5</v>
      </c>
      <c r="F16" s="15">
        <v>1.9459101490553132</v>
      </c>
      <c r="G16" s="15">
        <v>0.23374763568218249</v>
      </c>
      <c r="H16" s="16" t="s">
        <v>42</v>
      </c>
    </row>
    <row r="17" spans="1:8" x14ac:dyDescent="0.55000000000000004">
      <c r="A17" s="1" t="s">
        <v>29</v>
      </c>
      <c r="B17" s="3">
        <v>7</v>
      </c>
      <c r="C17" s="3">
        <v>4</v>
      </c>
      <c r="D17" s="3">
        <v>10</v>
      </c>
      <c r="E17" s="3" t="s">
        <v>5</v>
      </c>
      <c r="F17" s="15">
        <v>1.9459101490553132</v>
      </c>
      <c r="G17" s="15">
        <v>0.23374763568218249</v>
      </c>
      <c r="H17" s="18"/>
    </row>
    <row r="18" spans="1:8" x14ac:dyDescent="0.55000000000000004">
      <c r="A18" s="19" t="s">
        <v>30</v>
      </c>
      <c r="B18" s="20"/>
      <c r="C18" s="20"/>
      <c r="D18" s="20"/>
      <c r="E18" s="20"/>
      <c r="F18" s="20"/>
      <c r="G18" s="20"/>
      <c r="H18" s="21"/>
    </row>
    <row r="19" spans="1:8" x14ac:dyDescent="0.55000000000000004">
      <c r="A19" s="1" t="s">
        <v>26</v>
      </c>
      <c r="B19" s="3">
        <v>28</v>
      </c>
      <c r="C19" s="3">
        <v>16</v>
      </c>
      <c r="D19" s="3">
        <v>28</v>
      </c>
      <c r="E19" s="3" t="s">
        <v>7</v>
      </c>
      <c r="F19" s="9">
        <f>((2136960)^2)/((2136960*0.1)^2)</f>
        <v>100</v>
      </c>
      <c r="G19" s="12">
        <f>(2136960)/((2136960*0.1)^2)</f>
        <v>4.6795447738843968E-5</v>
      </c>
      <c r="H19" s="16" t="s">
        <v>47</v>
      </c>
    </row>
    <row r="20" spans="1:8" x14ac:dyDescent="0.55000000000000004">
      <c r="A20" s="1" t="s">
        <v>27</v>
      </c>
      <c r="B20" s="3">
        <v>24</v>
      </c>
      <c r="C20" s="3">
        <v>15</v>
      </c>
      <c r="D20" s="3">
        <v>28</v>
      </c>
      <c r="E20" s="3" t="s">
        <v>7</v>
      </c>
      <c r="F20" s="9">
        <f>((2063280)^2)/((2063280*0.1)^2)</f>
        <v>100</v>
      </c>
      <c r="G20" s="12">
        <f>(2063280)/((2063280*0.1)^2)</f>
        <v>4.8466519328447907E-5</v>
      </c>
      <c r="H20" s="17"/>
    </row>
    <row r="21" spans="1:8" x14ac:dyDescent="0.55000000000000004">
      <c r="A21" s="1" t="s">
        <v>28</v>
      </c>
      <c r="B21" s="3">
        <v>21</v>
      </c>
      <c r="C21" s="3">
        <v>20</v>
      </c>
      <c r="D21" s="3">
        <v>23</v>
      </c>
      <c r="E21" s="3" t="s">
        <v>7</v>
      </c>
      <c r="F21" s="13">
        <f>((350340)^2)/((350340*0.1)^2)</f>
        <v>100</v>
      </c>
      <c r="G21" s="12">
        <f>(350340)/((350340*0.1)^2)</f>
        <v>2.8543700405320546E-4</v>
      </c>
      <c r="H21" s="17"/>
    </row>
    <row r="22" spans="1:8" x14ac:dyDescent="0.55000000000000004">
      <c r="A22" s="1" t="s">
        <v>29</v>
      </c>
      <c r="B22" s="3">
        <v>21</v>
      </c>
      <c r="C22" s="3">
        <v>20</v>
      </c>
      <c r="D22" s="3">
        <v>23</v>
      </c>
      <c r="E22" s="3" t="s">
        <v>7</v>
      </c>
      <c r="F22" s="13">
        <f>((350340)^2)/((350340*0.1)^2)</f>
        <v>100</v>
      </c>
      <c r="G22" s="14">
        <f>(358020)/((358020*0.1)^2)</f>
        <v>2.7931400480420089E-4</v>
      </c>
      <c r="H22" s="18"/>
    </row>
    <row r="23" spans="1:8" x14ac:dyDescent="0.55000000000000004">
      <c r="A23" s="19" t="s">
        <v>44</v>
      </c>
      <c r="B23" s="20"/>
      <c r="C23" s="20"/>
      <c r="D23" s="20"/>
      <c r="E23" s="20"/>
      <c r="F23" s="20"/>
      <c r="G23" s="20"/>
      <c r="H23" s="21"/>
    </row>
    <row r="24" spans="1:8" x14ac:dyDescent="0.55000000000000004">
      <c r="A24" s="1" t="s">
        <v>46</v>
      </c>
      <c r="B24" s="3">
        <v>30</v>
      </c>
      <c r="C24" s="3">
        <v>0</v>
      </c>
      <c r="D24" s="3">
        <v>59</v>
      </c>
      <c r="E24" s="3" t="s">
        <v>7</v>
      </c>
      <c r="F24" s="1">
        <f>((495000)^2)/((495000*0.1)^2)</f>
        <v>100</v>
      </c>
      <c r="G24" s="4">
        <f>(495000)/((495000*0.1)^2)</f>
        <v>2.0202020202020202E-4</v>
      </c>
      <c r="H24" s="16" t="s">
        <v>48</v>
      </c>
    </row>
    <row r="25" spans="1:8" x14ac:dyDescent="0.55000000000000004">
      <c r="A25" s="1" t="s">
        <v>45</v>
      </c>
      <c r="B25" s="3">
        <v>30</v>
      </c>
      <c r="C25" s="3">
        <v>0</v>
      </c>
      <c r="D25" s="3">
        <v>59</v>
      </c>
      <c r="E25" s="3" t="s">
        <v>7</v>
      </c>
      <c r="F25" s="1">
        <f>((495000)^2)/((495000*0.1)^2)</f>
        <v>100</v>
      </c>
      <c r="G25" s="4">
        <f>(495000)/((495000*0.1)^2)</f>
        <v>2.0202020202020202E-4</v>
      </c>
      <c r="H25" s="18"/>
    </row>
    <row r="26" spans="1:8" x14ac:dyDescent="0.55000000000000004">
      <c r="A26" s="19" t="s">
        <v>31</v>
      </c>
      <c r="B26" s="20"/>
      <c r="C26" s="20"/>
      <c r="D26" s="20"/>
      <c r="E26" s="20"/>
      <c r="F26" s="20"/>
      <c r="G26" s="20"/>
      <c r="H26" s="21"/>
    </row>
    <row r="27" spans="1:8" x14ac:dyDescent="0.55000000000000004">
      <c r="A27" s="1" t="s">
        <v>26</v>
      </c>
      <c r="B27" s="3">
        <v>12</v>
      </c>
      <c r="C27" s="3">
        <v>5</v>
      </c>
      <c r="D27" s="3">
        <v>28</v>
      </c>
      <c r="E27" s="3" t="s">
        <v>8</v>
      </c>
      <c r="F27" s="3">
        <v>14.3</v>
      </c>
      <c r="G27" s="3">
        <v>10</v>
      </c>
      <c r="H27" s="16" t="s">
        <v>43</v>
      </c>
    </row>
    <row r="28" spans="1:8" x14ac:dyDescent="0.55000000000000004">
      <c r="A28" s="1" t="s">
        <v>27</v>
      </c>
      <c r="B28" s="3">
        <v>13</v>
      </c>
      <c r="C28" s="3">
        <v>6</v>
      </c>
      <c r="D28" s="3">
        <v>28</v>
      </c>
      <c r="E28" s="3" t="s">
        <v>8</v>
      </c>
      <c r="F28" s="3">
        <v>14.8</v>
      </c>
      <c r="G28" s="3">
        <v>10</v>
      </c>
      <c r="H28" s="17"/>
    </row>
    <row r="29" spans="1:8" x14ac:dyDescent="0.55000000000000004">
      <c r="A29" s="1" t="s">
        <v>28</v>
      </c>
      <c r="B29" s="3">
        <v>12</v>
      </c>
      <c r="C29" s="3">
        <v>5</v>
      </c>
      <c r="D29" s="3">
        <v>28</v>
      </c>
      <c r="E29" s="3" t="s">
        <v>8</v>
      </c>
      <c r="F29" s="3">
        <v>14.3</v>
      </c>
      <c r="G29" s="3">
        <v>10</v>
      </c>
      <c r="H29" s="17"/>
    </row>
    <row r="30" spans="1:8" x14ac:dyDescent="0.55000000000000004">
      <c r="A30" s="1" t="s">
        <v>29</v>
      </c>
      <c r="B30" s="3">
        <v>12</v>
      </c>
      <c r="C30" s="3">
        <v>5</v>
      </c>
      <c r="D30" s="3">
        <v>28</v>
      </c>
      <c r="E30" s="3" t="s">
        <v>8</v>
      </c>
      <c r="F30" s="3">
        <v>14.3</v>
      </c>
      <c r="G30" s="3">
        <v>10</v>
      </c>
      <c r="H30" s="18"/>
    </row>
    <row r="31" spans="1:8" x14ac:dyDescent="0.55000000000000004">
      <c r="A31" s="19" t="s">
        <v>32</v>
      </c>
      <c r="B31" s="20"/>
      <c r="C31" s="20"/>
      <c r="D31" s="20"/>
      <c r="E31" s="20"/>
      <c r="F31" s="20"/>
      <c r="G31" s="20"/>
      <c r="H31" s="21"/>
    </row>
    <row r="32" spans="1:8" x14ac:dyDescent="0.55000000000000004">
      <c r="A32" s="1" t="s">
        <v>33</v>
      </c>
      <c r="B32" s="3">
        <v>6</v>
      </c>
      <c r="C32" s="3">
        <v>0</v>
      </c>
      <c r="D32" s="3">
        <v>27.6</v>
      </c>
      <c r="E32" s="3" t="s">
        <v>3</v>
      </c>
      <c r="F32" s="3" t="s">
        <v>3</v>
      </c>
      <c r="G32" s="3" t="s">
        <v>3</v>
      </c>
      <c r="H32" s="3" t="s">
        <v>49</v>
      </c>
    </row>
    <row r="33" spans="1:8" x14ac:dyDescent="0.55000000000000004">
      <c r="A33" s="19" t="s">
        <v>34</v>
      </c>
      <c r="B33" s="20"/>
      <c r="C33" s="20"/>
      <c r="D33" s="20"/>
      <c r="E33" s="20"/>
      <c r="F33" s="20"/>
      <c r="G33" s="20"/>
      <c r="H33" s="21"/>
    </row>
    <row r="34" spans="1:8" x14ac:dyDescent="0.55000000000000004">
      <c r="A34" s="1" t="s">
        <v>4</v>
      </c>
      <c r="B34" s="3">
        <v>42435</v>
      </c>
      <c r="C34" s="3" t="s">
        <v>3</v>
      </c>
      <c r="D34" s="3">
        <v>60303</v>
      </c>
      <c r="E34" s="3" t="s">
        <v>7</v>
      </c>
      <c r="F34" s="3">
        <f>((42435)^2)/((42435*0.1)^2)</f>
        <v>100</v>
      </c>
      <c r="G34" s="3">
        <f>(B34)/((B34*0.1)^2)</f>
        <v>2.3565453045834807E-3</v>
      </c>
      <c r="H34" s="16" t="s">
        <v>50</v>
      </c>
    </row>
    <row r="35" spans="1:8" x14ac:dyDescent="0.55000000000000004">
      <c r="A35" s="1" t="s">
        <v>6</v>
      </c>
      <c r="B35" s="3">
        <v>41887</v>
      </c>
      <c r="C35" s="3" t="s">
        <v>3</v>
      </c>
      <c r="D35" s="3">
        <v>59734</v>
      </c>
      <c r="E35" s="3" t="s">
        <v>7</v>
      </c>
      <c r="F35" s="3">
        <f>((41887)^2)/((41887*0.1)^2)</f>
        <v>100.00000000000001</v>
      </c>
      <c r="G35" s="3">
        <f>(B35)/((B35*0.1)^2)</f>
        <v>2.3873755580490368E-3</v>
      </c>
      <c r="H35" s="17"/>
    </row>
    <row r="36" spans="1:8" x14ac:dyDescent="0.55000000000000004">
      <c r="A36" s="1" t="s">
        <v>35</v>
      </c>
      <c r="B36" s="3">
        <v>5688</v>
      </c>
      <c r="C36" s="3" t="s">
        <v>3</v>
      </c>
      <c r="D36" s="3">
        <v>26165</v>
      </c>
      <c r="E36" s="3" t="s">
        <v>7</v>
      </c>
      <c r="F36" s="3">
        <f>((5688)^2)/((5688*0.1)^2)</f>
        <v>99.999999999999986</v>
      </c>
      <c r="G36" s="3">
        <f>(B36)/((B36*0.1)^2)</f>
        <v>1.7580872011251754E-2</v>
      </c>
      <c r="H36" s="18"/>
    </row>
    <row r="37" spans="1:8" x14ac:dyDescent="0.55000000000000004">
      <c r="A37" s="19" t="s">
        <v>9</v>
      </c>
      <c r="B37" s="20"/>
      <c r="C37" s="20"/>
      <c r="D37" s="20"/>
      <c r="E37" s="20"/>
      <c r="F37" s="20"/>
      <c r="G37" s="20"/>
      <c r="H37" s="21"/>
    </row>
    <row r="38" spans="1:8" x14ac:dyDescent="0.55000000000000004">
      <c r="A38" s="1" t="s">
        <v>36</v>
      </c>
      <c r="B38" s="3">
        <v>-0.39</v>
      </c>
      <c r="C38" s="3">
        <v>-0.40200000000000002</v>
      </c>
      <c r="D38" s="3">
        <v>0.3</v>
      </c>
      <c r="E38" s="3" t="s">
        <v>2</v>
      </c>
      <c r="F38" s="9">
        <f>(((B38/12)^2)*(1-(B38/12))/((0.03)^2)-(B38/12))</f>
        <v>1.2442534722222225</v>
      </c>
      <c r="G38" s="9">
        <f>((1-(B38/12))*(((1-(B38/12))*(B38/12))/((0.03)^2)-1))</f>
        <v>-39.528975694444448</v>
      </c>
      <c r="H38" s="3" t="s">
        <v>51</v>
      </c>
    </row>
    <row r="39" spans="1:8" x14ac:dyDescent="0.55000000000000004">
      <c r="A39" s="1" t="s">
        <v>37</v>
      </c>
      <c r="B39" s="3">
        <v>0.8</v>
      </c>
      <c r="C39" s="3">
        <v>0.66</v>
      </c>
      <c r="D39" s="3">
        <v>1</v>
      </c>
      <c r="E39" s="3" t="s">
        <v>2</v>
      </c>
      <c r="F39" s="9">
        <f>(((B39/12)^2)*(1-(B39/12))/((0.03)^2)-(B39/12))</f>
        <v>4.5423868312757207</v>
      </c>
      <c r="G39" s="9">
        <f>((1-(B39/12))*(((1-(B39/12))*(B39/12))/((0.03)^2)-1))</f>
        <v>63.593415637860076</v>
      </c>
      <c r="H39" s="16" t="s">
        <v>52</v>
      </c>
    </row>
    <row r="40" spans="1:8" x14ac:dyDescent="0.55000000000000004">
      <c r="A40" s="1" t="s">
        <v>38</v>
      </c>
      <c r="B40" s="3">
        <v>0.77</v>
      </c>
      <c r="C40" s="3">
        <v>0.43</v>
      </c>
      <c r="D40" s="3">
        <v>0.82</v>
      </c>
      <c r="E40" s="3" t="s">
        <v>2</v>
      </c>
      <c r="F40" s="9">
        <f>(((B40/12)^2)*(1-(B40/12))/((0.03)^2)-(B40/12))</f>
        <v>4.2171264146090532</v>
      </c>
      <c r="G40" s="9">
        <f>((1-(B40/12))*(((1-(B40/12))*(B40/12))/((0.03)^2)-1))</f>
        <v>61.504324202674894</v>
      </c>
      <c r="H40" s="18"/>
    </row>
    <row r="42" spans="1:8" x14ac:dyDescent="0.55000000000000004">
      <c r="A42" s="22" t="s">
        <v>40</v>
      </c>
      <c r="B42" s="22"/>
      <c r="C42" s="22"/>
      <c r="D42" s="22"/>
      <c r="E42" s="22"/>
      <c r="F42" s="22"/>
      <c r="G42" s="22"/>
      <c r="H42" s="22"/>
    </row>
    <row r="43" spans="1:8" ht="331.5" customHeight="1" x14ac:dyDescent="0.55000000000000004">
      <c r="A43" s="23" t="s">
        <v>53</v>
      </c>
      <c r="B43" s="24"/>
      <c r="C43" s="24"/>
      <c r="D43" s="24"/>
      <c r="E43" s="24"/>
      <c r="F43" s="24"/>
      <c r="G43" s="24"/>
      <c r="H43" s="24"/>
    </row>
  </sheetData>
  <mergeCells count="18">
    <mergeCell ref="A42:H42"/>
    <mergeCell ref="A43:H43"/>
    <mergeCell ref="H5:H12"/>
    <mergeCell ref="H14:H15"/>
    <mergeCell ref="H16:H17"/>
    <mergeCell ref="H19:H22"/>
    <mergeCell ref="H27:H30"/>
    <mergeCell ref="H34:H36"/>
    <mergeCell ref="H24:H25"/>
    <mergeCell ref="H39:H40"/>
    <mergeCell ref="A33:H33"/>
    <mergeCell ref="A37:H37"/>
    <mergeCell ref="A31:H31"/>
    <mergeCell ref="A4:H4"/>
    <mergeCell ref="A13:H13"/>
    <mergeCell ref="A18:H18"/>
    <mergeCell ref="A23:H23"/>
    <mergeCell ref="A26:H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高家 理紗子</cp:lastModifiedBy>
  <dcterms:created xsi:type="dcterms:W3CDTF">2023-07-25T14:02:09Z</dcterms:created>
  <dcterms:modified xsi:type="dcterms:W3CDTF">2023-07-28T07:19:15Z</dcterms:modified>
</cp:coreProperties>
</file>