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Utilization" sheetId="18" r:id="rId1"/>
    <sheet name="Gender" sheetId="1" r:id="rId2"/>
    <sheet name="Age" sheetId="2" r:id="rId3"/>
    <sheet name="Marital status" sheetId="3" r:id="rId4"/>
    <sheet name="Education" sheetId="6" r:id="rId5"/>
    <sheet name="Residence" sheetId="4" r:id="rId6"/>
    <sheet name="Income" sheetId="7" r:id="rId7"/>
    <sheet name="Health insurance" sheetId="8" r:id="rId8"/>
    <sheet name="Need" sheetId="9" r:id="rId9"/>
    <sheet name="Convenience" sheetId="10" r:id="rId10"/>
    <sheet name="Believe" sheetId="11" r:id="rId11"/>
    <sheet name="Health status" sheetId="12" r:id="rId12"/>
    <sheet name="Chronic disease" sheetId="13" r:id="rId13"/>
    <sheet name="Smoking" sheetId="14" r:id="rId14"/>
    <sheet name="Alcohol" sheetId="15" r:id="rId15"/>
    <sheet name="Publicity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<sst xmlns="http://schemas.openxmlformats.org/spreadsheetml/2006/main" count="270" uniqueCount="67">
  <si>
    <t>First author</t>
  </si>
  <si>
    <t>Sample size</t>
  </si>
  <si>
    <t>Utilization of TCM (n)</t>
  </si>
  <si>
    <t>Utilization of TCM (%)</t>
  </si>
  <si>
    <t>Chen HQ</t>
  </si>
  <si>
    <t>Dong XQ</t>
  </si>
  <si>
    <t>Li X</t>
  </si>
  <si>
    <t>Dai MR</t>
  </si>
  <si>
    <t>Dai XY</t>
  </si>
  <si>
    <t>Li CX</t>
  </si>
  <si>
    <t>Wang SY</t>
  </si>
  <si>
    <t>Chen PH</t>
  </si>
  <si>
    <t>Sun LQ</t>
  </si>
  <si>
    <t>Xu Z</t>
  </si>
  <si>
    <t>Aw JYH</t>
  </si>
  <si>
    <t>Wang HX</t>
  </si>
  <si>
    <t>Xin BL</t>
  </si>
  <si>
    <t>Yan CJ</t>
  </si>
  <si>
    <t>Liu Q</t>
  </si>
  <si>
    <t>Lv YX</t>
  </si>
  <si>
    <t>OuYang BF</t>
  </si>
  <si>
    <t>Zeng XQ</t>
  </si>
  <si>
    <t>Chen Y</t>
  </si>
  <si>
    <t>He MY</t>
  </si>
  <si>
    <t>Huang YY</t>
  </si>
  <si>
    <t>Yang L</t>
  </si>
  <si>
    <t>Zhao Y</t>
  </si>
  <si>
    <t>Guo DY</t>
  </si>
  <si>
    <t>Liu Y</t>
  </si>
  <si>
    <t>Shao F</t>
  </si>
  <si>
    <t>Wang BY</t>
  </si>
  <si>
    <t>Xu R</t>
  </si>
  <si>
    <t>Pan L</t>
  </si>
  <si>
    <t>Tian H</t>
  </si>
  <si>
    <t>Wang JW</t>
  </si>
  <si>
    <t>Xu J</t>
  </si>
  <si>
    <t>Zhang H</t>
  </si>
  <si>
    <t>male</t>
  </si>
  <si>
    <t>famale</t>
  </si>
  <si>
    <t>Study</t>
  </si>
  <si>
    <t>CYes</t>
  </si>
  <si>
    <t>CNo</t>
  </si>
  <si>
    <t>TYes</t>
  </si>
  <si>
    <t>TNo</t>
  </si>
  <si>
    <t>Ou YBF</t>
  </si>
  <si>
    <t>≤60</t>
  </si>
  <si>
    <r>
      <rPr>
        <sz val="11"/>
        <color theme="1"/>
        <rFont val="宋体"/>
        <charset val="134"/>
      </rPr>
      <t>＞</t>
    </r>
    <r>
      <rPr>
        <sz val="11"/>
        <color theme="1"/>
        <rFont val="Times New Roman"/>
        <charset val="134"/>
      </rPr>
      <t>60</t>
    </r>
  </si>
  <si>
    <t>unmarried</t>
  </si>
  <si>
    <t>married</t>
  </si>
  <si>
    <t>below high school</t>
  </si>
  <si>
    <t>high school and above</t>
  </si>
  <si>
    <t>rural</t>
  </si>
  <si>
    <t>urban</t>
  </si>
  <si>
    <t>＜5000</t>
  </si>
  <si>
    <t>≥5000</t>
  </si>
  <si>
    <t>without</t>
  </si>
  <si>
    <t>with</t>
  </si>
  <si>
    <t>no need</t>
  </si>
  <si>
    <t>need</t>
  </si>
  <si>
    <t>inconvenient</t>
  </si>
  <si>
    <t>convenient</t>
  </si>
  <si>
    <t>not believe</t>
  </si>
  <si>
    <t>believe</t>
  </si>
  <si>
    <t>good and fair</t>
  </si>
  <si>
    <t>poor</t>
  </si>
  <si>
    <t>non-receipt</t>
  </si>
  <si>
    <t>receipt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</si>
</sst>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 applyAlignment="1"/>
    <xf numFmtId="176" fontId="1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workbookViewId="0">
      <selection activeCell="D2" sqref="D2:D34"/>
    </sheetView>
  </sheetViews>
  <sheetFormatPr defaultColWidth="8.66666666666667" defaultRowHeight="14" outlineLevelCol="3"/>
  <cols>
    <col min="1" max="1" width="9.16666666666667" style="1" customWidth="1"/>
    <col min="2" max="2" width="9.25" style="1" customWidth="1"/>
    <col min="5" max="5" width="12.6666666666667"/>
  </cols>
  <sheetData>
    <row r="1" spans="1:4">
      <c r="A1" s="1" t="s">
        <v>0</v>
      </c>
      <c r="B1" s="1" t="s">
        <v>1</v>
      </c>
      <c r="C1" s="4" t="s">
        <v>2</v>
      </c>
      <c r="D1" s="4" t="s">
        <v>3</v>
      </c>
    </row>
    <row r="2" spans="1:4">
      <c r="A2" s="1" t="s">
        <v>4</v>
      </c>
      <c r="B2" s="1">
        <v>1010</v>
      </c>
      <c r="C2" s="1">
        <v>113</v>
      </c>
      <c r="D2" s="4">
        <v>11.2</v>
      </c>
    </row>
    <row r="3" spans="1:4">
      <c r="A3" s="1" t="s">
        <v>5</v>
      </c>
      <c r="B3" s="1">
        <v>3158</v>
      </c>
      <c r="C3" s="1">
        <v>2400</v>
      </c>
      <c r="D3" s="4">
        <v>76</v>
      </c>
    </row>
    <row r="4" spans="1:4">
      <c r="A4" s="1" t="s">
        <v>6</v>
      </c>
      <c r="B4" s="1">
        <v>665</v>
      </c>
      <c r="C4" s="1">
        <v>93</v>
      </c>
      <c r="D4" s="4">
        <v>14</v>
      </c>
    </row>
    <row r="5" spans="1:4">
      <c r="A5" s="1" t="s">
        <v>7</v>
      </c>
      <c r="B5" s="1">
        <v>340</v>
      </c>
      <c r="C5" s="1">
        <v>65</v>
      </c>
      <c r="D5" s="4">
        <v>19.1</v>
      </c>
    </row>
    <row r="6" spans="1:4">
      <c r="A6" s="1" t="s">
        <v>8</v>
      </c>
      <c r="B6" s="1">
        <v>1311</v>
      </c>
      <c r="C6" s="1">
        <v>1237</v>
      </c>
      <c r="D6" s="4">
        <v>94.4</v>
      </c>
    </row>
    <row r="7" spans="1:4">
      <c r="A7" s="1" t="s">
        <v>9</v>
      </c>
      <c r="B7" s="1">
        <v>527</v>
      </c>
      <c r="C7" s="1">
        <v>256</v>
      </c>
      <c r="D7" s="4">
        <v>48.6</v>
      </c>
    </row>
    <row r="8" spans="1:4">
      <c r="A8" s="1" t="s">
        <v>10</v>
      </c>
      <c r="B8" s="1">
        <v>945</v>
      </c>
      <c r="C8" s="1">
        <v>466</v>
      </c>
      <c r="D8" s="4">
        <v>50.11</v>
      </c>
    </row>
    <row r="9" spans="1:4">
      <c r="A9" s="1" t="s">
        <v>11</v>
      </c>
      <c r="B9" s="1">
        <v>197</v>
      </c>
      <c r="C9" s="1">
        <v>29</v>
      </c>
      <c r="D9" s="4">
        <v>14.7</v>
      </c>
    </row>
    <row r="10" spans="1:4">
      <c r="A10" s="1" t="s">
        <v>12</v>
      </c>
      <c r="B10" s="1">
        <v>330</v>
      </c>
      <c r="C10" s="1">
        <v>134</v>
      </c>
      <c r="D10" s="4">
        <v>40.6</v>
      </c>
    </row>
    <row r="11" spans="1:4">
      <c r="A11" s="1" t="s">
        <v>13</v>
      </c>
      <c r="B11" s="1">
        <v>5430</v>
      </c>
      <c r="C11" s="1">
        <v>4668</v>
      </c>
      <c r="D11" s="4">
        <v>86</v>
      </c>
    </row>
    <row r="12" spans="1:4">
      <c r="A12" s="1" t="s">
        <v>14</v>
      </c>
      <c r="B12" s="1">
        <v>5981</v>
      </c>
      <c r="C12" s="1">
        <v>559</v>
      </c>
      <c r="D12" s="4">
        <v>14</v>
      </c>
    </row>
    <row r="13" spans="1:4">
      <c r="A13" s="1" t="s">
        <v>15</v>
      </c>
      <c r="B13" s="1">
        <v>809</v>
      </c>
      <c r="C13" s="1">
        <v>391</v>
      </c>
      <c r="D13" s="4">
        <v>48.3</v>
      </c>
    </row>
    <row r="14" spans="1:4">
      <c r="A14" s="1" t="s">
        <v>16</v>
      </c>
      <c r="B14" s="1">
        <v>3418</v>
      </c>
      <c r="C14" s="1">
        <v>1569</v>
      </c>
      <c r="D14" s="4">
        <v>45.9</v>
      </c>
    </row>
    <row r="15" spans="1:4">
      <c r="A15" s="1" t="s">
        <v>17</v>
      </c>
      <c r="B15" s="1">
        <v>422</v>
      </c>
      <c r="C15" s="1">
        <v>246</v>
      </c>
      <c r="D15" s="4">
        <v>58.29</v>
      </c>
    </row>
    <row r="16" spans="1:4">
      <c r="A16" s="1" t="s">
        <v>18</v>
      </c>
      <c r="B16" s="1">
        <v>605</v>
      </c>
      <c r="C16" s="1">
        <v>280</v>
      </c>
      <c r="D16" s="4">
        <v>46.3</v>
      </c>
    </row>
    <row r="17" spans="1:4">
      <c r="A17" s="1" t="s">
        <v>19</v>
      </c>
      <c r="B17" s="1">
        <v>1167</v>
      </c>
      <c r="C17" s="1">
        <v>145</v>
      </c>
      <c r="D17" s="4">
        <v>9</v>
      </c>
    </row>
    <row r="18" spans="1:4">
      <c r="A18" s="1" t="s">
        <v>20</v>
      </c>
      <c r="B18" s="1">
        <v>1152</v>
      </c>
      <c r="C18" s="1">
        <v>272</v>
      </c>
      <c r="D18" s="4">
        <v>23.61</v>
      </c>
    </row>
    <row r="19" spans="1:4">
      <c r="A19" s="1" t="s">
        <v>21</v>
      </c>
      <c r="B19" s="1">
        <v>478</v>
      </c>
      <c r="C19" s="1">
        <v>315</v>
      </c>
      <c r="D19" s="4">
        <v>65.9</v>
      </c>
    </row>
    <row r="20" spans="1:4">
      <c r="A20" s="1" t="s">
        <v>22</v>
      </c>
      <c r="B20" s="1">
        <v>322</v>
      </c>
      <c r="C20" s="1">
        <v>134</v>
      </c>
      <c r="D20" s="4">
        <v>40.36</v>
      </c>
    </row>
    <row r="21" spans="1:4">
      <c r="A21" s="1" t="s">
        <v>23</v>
      </c>
      <c r="B21" s="1">
        <v>591</v>
      </c>
      <c r="C21" s="1">
        <v>145</v>
      </c>
      <c r="D21" s="4">
        <v>24.53</v>
      </c>
    </row>
    <row r="22" spans="1:4">
      <c r="A22" s="1" t="s">
        <v>24</v>
      </c>
      <c r="B22" s="1">
        <v>258</v>
      </c>
      <c r="C22" s="1">
        <v>119</v>
      </c>
      <c r="D22" s="4">
        <v>46.1</v>
      </c>
    </row>
    <row r="23" spans="1:4">
      <c r="A23" s="1" t="s">
        <v>25</v>
      </c>
      <c r="B23" s="1">
        <v>3788</v>
      </c>
      <c r="C23" s="1">
        <v>651</v>
      </c>
      <c r="D23" s="4">
        <v>17.2</v>
      </c>
    </row>
    <row r="24" spans="1:4">
      <c r="A24" s="1" t="s">
        <v>26</v>
      </c>
      <c r="B24" s="1">
        <v>197</v>
      </c>
      <c r="C24" s="1">
        <v>146</v>
      </c>
      <c r="D24" s="4">
        <v>74.11</v>
      </c>
    </row>
    <row r="25" spans="1:4">
      <c r="A25" s="1" t="s">
        <v>27</v>
      </c>
      <c r="B25" s="1">
        <v>806</v>
      </c>
      <c r="C25" s="1">
        <v>289</v>
      </c>
      <c r="D25" s="4">
        <v>35.9</v>
      </c>
    </row>
    <row r="26" spans="1:4">
      <c r="A26" s="1" t="s">
        <v>28</v>
      </c>
      <c r="B26" s="1">
        <v>588</v>
      </c>
      <c r="C26" s="1">
        <v>255</v>
      </c>
      <c r="D26" s="4">
        <v>43.37</v>
      </c>
    </row>
    <row r="27" spans="1:4">
      <c r="A27" s="1" t="s">
        <v>29</v>
      </c>
      <c r="B27" s="1">
        <v>320</v>
      </c>
      <c r="C27" s="1">
        <v>173</v>
      </c>
      <c r="D27" s="4">
        <v>54.1</v>
      </c>
    </row>
    <row r="28" spans="1:4">
      <c r="A28" s="1" t="s">
        <v>30</v>
      </c>
      <c r="B28" s="1">
        <v>1038</v>
      </c>
      <c r="C28" s="1">
        <v>305</v>
      </c>
      <c r="D28" s="4">
        <v>29.38</v>
      </c>
    </row>
    <row r="29" spans="1:4">
      <c r="A29" s="1" t="s">
        <v>31</v>
      </c>
      <c r="B29" s="1">
        <v>307</v>
      </c>
      <c r="C29" s="1">
        <v>190</v>
      </c>
      <c r="D29" s="4">
        <v>61.9</v>
      </c>
    </row>
    <row r="30" spans="1:4">
      <c r="A30" s="1" t="s">
        <v>32</v>
      </c>
      <c r="B30" s="1">
        <v>200</v>
      </c>
      <c r="C30" s="1">
        <v>90</v>
      </c>
      <c r="D30" s="4">
        <v>45</v>
      </c>
    </row>
    <row r="31" spans="1:4">
      <c r="A31" s="1" t="s">
        <v>33</v>
      </c>
      <c r="B31" s="1">
        <v>2784</v>
      </c>
      <c r="C31" s="1">
        <v>624</v>
      </c>
      <c r="D31" s="4">
        <v>22.4</v>
      </c>
    </row>
    <row r="32" spans="1:4">
      <c r="A32" s="1" t="s">
        <v>34</v>
      </c>
      <c r="B32" s="1">
        <v>195</v>
      </c>
      <c r="C32" s="1">
        <v>95</v>
      </c>
      <c r="D32" s="4">
        <v>48.72</v>
      </c>
    </row>
    <row r="33" spans="1:4">
      <c r="A33" s="1" t="s">
        <v>35</v>
      </c>
      <c r="B33" s="1">
        <v>100</v>
      </c>
      <c r="C33" s="1">
        <v>42</v>
      </c>
      <c r="D33" s="4">
        <v>42</v>
      </c>
    </row>
    <row r="34" spans="1:4">
      <c r="A34" s="1" t="s">
        <v>36</v>
      </c>
      <c r="B34" s="1">
        <v>1664</v>
      </c>
      <c r="C34" s="1">
        <v>837</v>
      </c>
      <c r="D34" s="4">
        <v>50.3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2" sqref="A2:E4"/>
    </sheetView>
  </sheetViews>
  <sheetFormatPr defaultColWidth="8.625" defaultRowHeight="14" outlineLevelRow="4" outlineLevelCol="4"/>
  <sheetData>
    <row r="1" s="1" customFormat="1" spans="2:4">
      <c r="B1" s="1" t="s">
        <v>59</v>
      </c>
      <c r="D1" s="1" t="s">
        <v>60</v>
      </c>
    </row>
    <row r="2" s="1" customFormat="1" spans="1:5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</row>
    <row r="3" s="1" customFormat="1" spans="1:5">
      <c r="A3" s="1" t="s">
        <v>32</v>
      </c>
      <c r="B3" s="1">
        <v>42</v>
      </c>
      <c r="C3" s="1">
        <v>92</v>
      </c>
      <c r="D3" s="1">
        <v>63</v>
      </c>
      <c r="E3" s="1">
        <v>18</v>
      </c>
    </row>
    <row r="4" s="1" customFormat="1" spans="1:5">
      <c r="A4" s="1" t="s">
        <v>22</v>
      </c>
      <c r="B4" s="1">
        <v>14</v>
      </c>
      <c r="C4" s="1">
        <v>72</v>
      </c>
      <c r="D4" s="1">
        <v>120</v>
      </c>
      <c r="E4" s="1">
        <v>126</v>
      </c>
    </row>
    <row r="5" s="1" customFormat="1"/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2" sqref="A2:E7"/>
    </sheetView>
  </sheetViews>
  <sheetFormatPr defaultColWidth="8.625" defaultRowHeight="14" outlineLevelRow="7" outlineLevelCol="4"/>
  <sheetData>
    <row r="1" s="1" customFormat="1" spans="2:4">
      <c r="B1" s="1" t="s">
        <v>61</v>
      </c>
      <c r="D1" s="1" t="s">
        <v>62</v>
      </c>
    </row>
    <row r="2" s="1" customFormat="1" spans="1:5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</row>
    <row r="3" s="1" customFormat="1" spans="1:5">
      <c r="A3" s="1" t="s">
        <v>8</v>
      </c>
      <c r="B3" s="1">
        <v>31</v>
      </c>
      <c r="C3" s="1">
        <f>94+27+11</f>
        <v>132</v>
      </c>
      <c r="D3" s="1">
        <f>111+147</f>
        <v>258</v>
      </c>
      <c r="E3" s="1">
        <f>390+76</f>
        <v>466</v>
      </c>
    </row>
    <row r="4" s="1" customFormat="1" spans="1:5">
      <c r="A4" s="1" t="s">
        <v>29</v>
      </c>
      <c r="B4" s="1">
        <v>27</v>
      </c>
      <c r="C4" s="1">
        <v>98</v>
      </c>
      <c r="D4" s="1">
        <v>201</v>
      </c>
      <c r="E4" s="1">
        <v>41</v>
      </c>
    </row>
    <row r="5" s="1" customFormat="1" spans="1:5">
      <c r="A5" s="1" t="s">
        <v>10</v>
      </c>
      <c r="B5" s="1">
        <v>49</v>
      </c>
      <c r="C5" s="1">
        <v>146</v>
      </c>
      <c r="D5" s="1">
        <v>404</v>
      </c>
      <c r="E5" s="1">
        <v>305</v>
      </c>
    </row>
    <row r="6" s="1" customFormat="1" spans="1:5">
      <c r="A6" s="1" t="s">
        <v>28</v>
      </c>
      <c r="B6" s="1">
        <v>84</v>
      </c>
      <c r="C6" s="1">
        <v>258</v>
      </c>
      <c r="D6" s="1">
        <v>141</v>
      </c>
      <c r="E6" s="1">
        <v>105</v>
      </c>
    </row>
    <row r="7" s="1" customFormat="1" spans="1:5">
      <c r="A7" s="1" t="s">
        <v>12</v>
      </c>
      <c r="B7" s="1">
        <v>29</v>
      </c>
      <c r="C7" s="1">
        <v>123</v>
      </c>
      <c r="D7" s="1">
        <v>105</v>
      </c>
      <c r="E7" s="1">
        <v>73</v>
      </c>
    </row>
    <row r="8" s="1" customFormat="1"/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G14" sqref="G14"/>
    </sheetView>
  </sheetViews>
  <sheetFormatPr defaultColWidth="8.625" defaultRowHeight="14"/>
  <cols>
    <col min="20" max="20" width="10.6666666666667" customWidth="1"/>
  </cols>
  <sheetData>
    <row r="1" s="1" customFormat="1" spans="2:4">
      <c r="B1" s="1" t="s">
        <v>63</v>
      </c>
      <c r="D1" s="1" t="s">
        <v>64</v>
      </c>
    </row>
    <row r="2" s="1" customFormat="1" spans="1:5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</row>
    <row r="3" s="1" customFormat="1" spans="1:5">
      <c r="A3" s="1" t="s">
        <v>8</v>
      </c>
      <c r="B3" s="1">
        <v>983</v>
      </c>
      <c r="C3" s="1">
        <v>49</v>
      </c>
      <c r="D3" s="1">
        <v>262</v>
      </c>
      <c r="E3" s="1">
        <v>17</v>
      </c>
    </row>
    <row r="4" s="1" customFormat="1" spans="1:5">
      <c r="A4" s="1" t="s">
        <v>10</v>
      </c>
      <c r="B4" s="1">
        <v>341</v>
      </c>
      <c r="C4" s="1">
        <v>371</v>
      </c>
      <c r="D4" s="1">
        <f>96+13</f>
        <v>109</v>
      </c>
      <c r="E4" s="1">
        <f>76+6</f>
        <v>82</v>
      </c>
    </row>
    <row r="5" s="1" customFormat="1" spans="1:5">
      <c r="A5" s="1" t="s">
        <v>21</v>
      </c>
      <c r="B5" s="1">
        <v>276</v>
      </c>
      <c r="C5" s="1">
        <v>158</v>
      </c>
      <c r="D5" s="1">
        <v>39</v>
      </c>
      <c r="E5" s="1">
        <v>5</v>
      </c>
    </row>
    <row r="6" s="1" customFormat="1" spans="1:5">
      <c r="A6" s="1" t="s">
        <v>36</v>
      </c>
      <c r="B6" s="1">
        <v>725</v>
      </c>
      <c r="C6" s="1">
        <v>748</v>
      </c>
      <c r="D6" s="1">
        <v>65</v>
      </c>
      <c r="E6" s="1">
        <v>51</v>
      </c>
    </row>
    <row r="7" s="1" customFormat="1" spans="1:5">
      <c r="A7" s="1" t="s">
        <v>18</v>
      </c>
      <c r="B7" s="1">
        <v>113</v>
      </c>
      <c r="C7" s="1">
        <v>386</v>
      </c>
      <c r="D7" s="1">
        <v>35</v>
      </c>
      <c r="E7" s="1">
        <v>71</v>
      </c>
    </row>
    <row r="8" s="1" customFormat="1" spans="1:5">
      <c r="A8" s="1" t="s">
        <v>23</v>
      </c>
      <c r="B8" s="1">
        <v>95</v>
      </c>
      <c r="C8" s="1">
        <v>167</v>
      </c>
      <c r="D8" s="1">
        <v>28</v>
      </c>
      <c r="E8" s="1">
        <v>58</v>
      </c>
    </row>
    <row r="9" s="1" customFormat="1" spans="1:5">
      <c r="A9" s="1" t="s">
        <v>5</v>
      </c>
      <c r="B9" s="1">
        <v>2279</v>
      </c>
      <c r="C9" s="1">
        <v>689</v>
      </c>
      <c r="D9" s="1">
        <v>74</v>
      </c>
      <c r="E9" s="1">
        <v>27</v>
      </c>
    </row>
    <row r="10" s="1" customFormat="1" spans="1:5">
      <c r="A10" s="1" t="s">
        <v>33</v>
      </c>
      <c r="B10" s="1">
        <v>264</v>
      </c>
      <c r="C10" s="1">
        <v>1172</v>
      </c>
      <c r="D10" s="1">
        <v>324</v>
      </c>
      <c r="E10" s="1">
        <v>843</v>
      </c>
    </row>
    <row r="16" spans="1:14">
      <c r="A16" s="1"/>
      <c r="B16" s="1"/>
      <c r="C16" s="1"/>
      <c r="D16" s="1"/>
      <c r="E16" s="1"/>
      <c r="F16" s="1"/>
      <c r="G16" s="1"/>
      <c r="J16" s="1"/>
      <c r="K16" s="1"/>
      <c r="L16" s="1"/>
      <c r="M16" s="1"/>
      <c r="N16" s="1"/>
    </row>
    <row r="17" spans="1:14">
      <c r="A17" s="1"/>
      <c r="B17" s="1"/>
      <c r="C17" s="1"/>
      <c r="D17" s="1"/>
      <c r="E17" s="1"/>
      <c r="F17" s="1"/>
      <c r="G17" s="1"/>
      <c r="J17" s="1"/>
      <c r="K17" s="1"/>
      <c r="L17" s="1"/>
      <c r="M17" s="1"/>
      <c r="N17" s="1"/>
    </row>
    <row r="18" spans="1:14">
      <c r="A18" s="1"/>
      <c r="B18" s="1"/>
      <c r="C18" s="1"/>
      <c r="D18" s="1"/>
      <c r="E18" s="1"/>
      <c r="F18" s="1"/>
      <c r="G18" s="1"/>
      <c r="J18" s="1"/>
      <c r="K18" s="1"/>
      <c r="L18" s="1"/>
      <c r="M18" s="1"/>
      <c r="N18" s="1"/>
    </row>
    <row r="19" spans="1:14">
      <c r="A19" s="1"/>
      <c r="B19" s="1"/>
      <c r="C19" s="1"/>
      <c r="D19" s="1"/>
      <c r="E19" s="1"/>
      <c r="F19" s="1"/>
      <c r="G19" s="1"/>
      <c r="J19" s="1"/>
      <c r="K19" s="1"/>
      <c r="L19" s="1"/>
      <c r="M19" s="1"/>
      <c r="N19" s="1"/>
    </row>
    <row r="20" spans="1:14">
      <c r="A20" s="1"/>
      <c r="B20" s="1"/>
      <c r="C20" s="1"/>
      <c r="D20" s="1"/>
      <c r="E20" s="1"/>
      <c r="F20" s="1"/>
      <c r="G20" s="1"/>
      <c r="J20" s="1"/>
      <c r="K20" s="1"/>
      <c r="L20" s="1"/>
      <c r="M20" s="1"/>
      <c r="N20" s="1"/>
    </row>
    <row r="21" spans="1:14">
      <c r="A21" s="1"/>
      <c r="B21" s="1"/>
      <c r="C21" s="1"/>
      <c r="D21" s="1"/>
      <c r="E21" s="1"/>
      <c r="F21" s="1"/>
      <c r="G21" s="1"/>
      <c r="J21" s="1"/>
      <c r="K21" s="1"/>
      <c r="L21" s="1"/>
      <c r="M21" s="1"/>
      <c r="N21" s="1"/>
    </row>
    <row r="22" spans="1:14">
      <c r="A22" s="1"/>
      <c r="B22" s="1"/>
      <c r="C22" s="1"/>
      <c r="D22" s="1"/>
      <c r="E22" s="1"/>
      <c r="F22" s="1"/>
      <c r="G22" s="1"/>
      <c r="J22" s="1"/>
      <c r="K22" s="1"/>
      <c r="L22" s="1"/>
      <c r="M22" s="1"/>
      <c r="N22" s="1"/>
    </row>
    <row r="23" spans="1:14">
      <c r="A23" s="1"/>
      <c r="B23" s="1"/>
      <c r="C23" s="1"/>
      <c r="D23" s="1"/>
      <c r="E23" s="1"/>
      <c r="F23" s="1"/>
      <c r="G23" s="1"/>
      <c r="J23" s="1"/>
      <c r="K23" s="1"/>
      <c r="L23" s="1"/>
      <c r="M23" s="1"/>
      <c r="N23" s="1"/>
    </row>
    <row r="24" spans="1:14">
      <c r="A24" s="1"/>
      <c r="B24" s="1"/>
      <c r="C24" s="1"/>
      <c r="D24" s="1"/>
      <c r="E24" s="1"/>
      <c r="F24" s="1"/>
      <c r="G24" s="1"/>
      <c r="J24" s="1"/>
      <c r="K24" s="1"/>
      <c r="L24" s="1"/>
      <c r="M24" s="1"/>
      <c r="N24" s="1"/>
    </row>
    <row r="25" spans="1:14">
      <c r="A25" s="1"/>
      <c r="B25" s="1"/>
      <c r="C25" s="1"/>
      <c r="D25" s="1"/>
      <c r="E25" s="1"/>
      <c r="F25" s="1"/>
      <c r="G25" s="1"/>
      <c r="J25" s="1"/>
      <c r="K25" s="1"/>
      <c r="L25" s="1"/>
      <c r="M25" s="1"/>
      <c r="N25" s="1"/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2" sqref="A2:E8"/>
    </sheetView>
  </sheetViews>
  <sheetFormatPr defaultColWidth="8.625" defaultRowHeight="14" outlineLevelCol="4"/>
  <sheetData>
    <row r="1" s="1" customFormat="1" spans="2:4">
      <c r="B1" s="1" t="s">
        <v>55</v>
      </c>
      <c r="D1" s="1" t="s">
        <v>56</v>
      </c>
    </row>
    <row r="2" s="1" customFormat="1" spans="1:5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</row>
    <row r="3" s="1" customFormat="1" spans="1:5">
      <c r="A3" s="1" t="s">
        <v>8</v>
      </c>
      <c r="B3" s="1">
        <v>756</v>
      </c>
      <c r="C3" s="1">
        <v>56</v>
      </c>
      <c r="D3" s="1">
        <v>480</v>
      </c>
      <c r="E3" s="1">
        <v>11</v>
      </c>
    </row>
    <row r="4" s="1" customFormat="1" spans="1:5">
      <c r="A4" s="1" t="s">
        <v>36</v>
      </c>
      <c r="B4" s="1">
        <v>556</v>
      </c>
      <c r="C4" s="1">
        <v>693</v>
      </c>
      <c r="D4" s="1">
        <v>215</v>
      </c>
      <c r="E4" s="1">
        <v>86</v>
      </c>
    </row>
    <row r="5" s="1" customFormat="1" spans="1:5">
      <c r="A5" s="1" t="s">
        <v>18</v>
      </c>
      <c r="B5" s="1">
        <v>75</v>
      </c>
      <c r="C5" s="1">
        <v>172</v>
      </c>
      <c r="D5" s="1">
        <v>73</v>
      </c>
      <c r="E5" s="1">
        <v>275</v>
      </c>
    </row>
    <row r="6" s="1" customFormat="1" spans="1:5">
      <c r="A6" s="1" t="s">
        <v>23</v>
      </c>
      <c r="B6" s="1">
        <v>37</v>
      </c>
      <c r="C6" s="1">
        <v>75</v>
      </c>
      <c r="D6" s="1">
        <v>94</v>
      </c>
      <c r="E6" s="1">
        <v>167</v>
      </c>
    </row>
    <row r="7" s="1" customFormat="1" spans="1:5">
      <c r="A7" s="1" t="s">
        <v>12</v>
      </c>
      <c r="B7" s="1">
        <v>37</v>
      </c>
      <c r="C7" s="1">
        <v>29</v>
      </c>
      <c r="D7" s="1">
        <v>97</v>
      </c>
      <c r="E7" s="1">
        <v>167</v>
      </c>
    </row>
    <row r="8" s="1" customFormat="1" spans="1:5">
      <c r="A8" s="1" t="s">
        <v>6</v>
      </c>
      <c r="B8" s="1">
        <v>34</v>
      </c>
      <c r="C8" s="1">
        <v>250</v>
      </c>
      <c r="D8" s="1">
        <v>59</v>
      </c>
      <c r="E8" s="1">
        <v>322</v>
      </c>
    </row>
    <row r="9" s="1" customFormat="1"/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F6" sqref="F6"/>
    </sheetView>
  </sheetViews>
  <sheetFormatPr defaultColWidth="8.625" defaultRowHeight="14" outlineLevelCol="4"/>
  <cols>
    <col min="1" max="1" width="9.5" customWidth="1"/>
  </cols>
  <sheetData>
    <row r="1" s="1" customFormat="1" spans="2:4">
      <c r="B1" s="1" t="s">
        <v>56</v>
      </c>
      <c r="D1" s="1" t="s">
        <v>55</v>
      </c>
    </row>
    <row r="2" s="1" customFormat="1" spans="1:5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</row>
    <row r="3" s="1" customFormat="1" spans="1:5">
      <c r="A3" s="1" t="s">
        <v>44</v>
      </c>
      <c r="B3" s="1">
        <v>32</v>
      </c>
      <c r="C3" s="1">
        <v>132</v>
      </c>
      <c r="D3" s="1">
        <v>240</v>
      </c>
      <c r="E3" s="1">
        <v>748</v>
      </c>
    </row>
    <row r="4" s="1" customFormat="1" spans="1:5">
      <c r="A4" s="1" t="s">
        <v>34</v>
      </c>
      <c r="B4" s="1">
        <v>43</v>
      </c>
      <c r="C4" s="1">
        <v>47</v>
      </c>
      <c r="D4" s="1">
        <v>52</v>
      </c>
      <c r="E4" s="1">
        <v>41</v>
      </c>
    </row>
    <row r="5" s="1" customFormat="1" spans="1:5">
      <c r="A5" s="1" t="s">
        <v>14</v>
      </c>
      <c r="B5" s="1">
        <v>218</v>
      </c>
      <c r="C5" s="1">
        <v>1754</v>
      </c>
      <c r="D5" s="1">
        <v>340</v>
      </c>
      <c r="E5" s="1">
        <v>3668</v>
      </c>
    </row>
    <row r="6" s="1" customFormat="1" spans="1:5">
      <c r="A6" s="1" t="s">
        <v>33</v>
      </c>
      <c r="B6" s="1">
        <f>137+154</f>
        <v>291</v>
      </c>
      <c r="C6" s="1">
        <f>496+636</f>
        <v>1132</v>
      </c>
      <c r="D6" s="1">
        <v>333</v>
      </c>
      <c r="E6" s="1">
        <v>1025</v>
      </c>
    </row>
    <row r="7" s="1" customFormat="1" spans="1:5">
      <c r="A7" s="1" t="s">
        <v>25</v>
      </c>
      <c r="B7" s="1">
        <v>65</v>
      </c>
      <c r="C7" s="1">
        <v>325</v>
      </c>
      <c r="D7" s="1">
        <v>586</v>
      </c>
      <c r="E7" s="1">
        <v>2812</v>
      </c>
    </row>
    <row r="8" s="1" customFormat="1" spans="1:5">
      <c r="A8" s="1" t="s">
        <v>4</v>
      </c>
      <c r="B8" s="1">
        <v>3</v>
      </c>
      <c r="C8" s="1">
        <v>20</v>
      </c>
      <c r="D8" s="1">
        <v>108</v>
      </c>
      <c r="E8" s="1">
        <v>871</v>
      </c>
    </row>
    <row r="9" s="1" customFormat="1"/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G14" sqref="G14"/>
    </sheetView>
  </sheetViews>
  <sheetFormatPr defaultColWidth="8.625" defaultRowHeight="14" outlineLevelCol="4"/>
  <cols>
    <col min="1" max="1" width="16.3333333333333" customWidth="1"/>
  </cols>
  <sheetData>
    <row r="1" s="1" customFormat="1" spans="2:4">
      <c r="B1" s="1" t="s">
        <v>56</v>
      </c>
      <c r="D1" s="1" t="s">
        <v>55</v>
      </c>
    </row>
    <row r="2" s="1" customFormat="1" spans="1:5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</row>
    <row r="3" s="1" customFormat="1" spans="1:5">
      <c r="A3" s="1" t="s">
        <v>44</v>
      </c>
      <c r="B3" s="1">
        <v>36</v>
      </c>
      <c r="C3" s="1">
        <v>164</v>
      </c>
      <c r="D3" s="1">
        <v>236</v>
      </c>
      <c r="E3" s="1">
        <v>716</v>
      </c>
    </row>
    <row r="4" s="1" customFormat="1" spans="1:5">
      <c r="A4" s="1" t="s">
        <v>34</v>
      </c>
      <c r="B4" s="1">
        <v>56</v>
      </c>
      <c r="C4" s="1">
        <v>46</v>
      </c>
      <c r="D4" s="1">
        <v>39</v>
      </c>
      <c r="E4" s="1">
        <v>42</v>
      </c>
    </row>
    <row r="5" s="1" customFormat="1" spans="1:5">
      <c r="A5" s="1" t="s">
        <v>14</v>
      </c>
      <c r="B5" s="1">
        <v>197</v>
      </c>
      <c r="C5" s="1">
        <v>1709</v>
      </c>
      <c r="D5" s="1">
        <v>361</v>
      </c>
      <c r="E5" s="1">
        <v>3706</v>
      </c>
    </row>
    <row r="6" s="1" customFormat="1" spans="1:5">
      <c r="A6" s="1" t="s">
        <v>33</v>
      </c>
      <c r="B6" s="1">
        <f>31+164</f>
        <v>195</v>
      </c>
      <c r="C6" s="1">
        <f>125+713</f>
        <v>838</v>
      </c>
      <c r="D6" s="1">
        <v>429</v>
      </c>
      <c r="E6" s="1">
        <v>1319</v>
      </c>
    </row>
    <row r="7" s="1" customFormat="1" spans="1:5">
      <c r="A7" s="1" t="s">
        <v>25</v>
      </c>
      <c r="B7" s="1">
        <f>41+65</f>
        <v>106</v>
      </c>
      <c r="C7" s="1">
        <f>215+262</f>
        <v>477</v>
      </c>
      <c r="D7" s="1">
        <v>545</v>
      </c>
      <c r="E7" s="1">
        <v>2656</v>
      </c>
    </row>
    <row r="8" s="1" customFormat="1" spans="1:5">
      <c r="A8" s="1" t="s">
        <v>4</v>
      </c>
      <c r="B8" s="1">
        <v>5</v>
      </c>
      <c r="C8" s="1">
        <v>26</v>
      </c>
      <c r="D8" s="1">
        <v>108</v>
      </c>
      <c r="E8" s="1">
        <v>871</v>
      </c>
    </row>
    <row r="9" s="1" customFormat="1"/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opLeftCell="B1" workbookViewId="0">
      <selection activeCell="H11" sqref="H11"/>
    </sheetView>
  </sheetViews>
  <sheetFormatPr defaultColWidth="8.625" defaultRowHeight="14" outlineLevelCol="4"/>
  <sheetData>
    <row r="1" s="1" customFormat="1" spans="2:4">
      <c r="B1" s="1" t="s">
        <v>65</v>
      </c>
      <c r="D1" s="1" t="s">
        <v>66</v>
      </c>
    </row>
    <row r="2" s="1" customFormat="1" spans="1:5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</row>
    <row r="3" s="1" customFormat="1" spans="1:5">
      <c r="A3" s="1" t="s">
        <v>32</v>
      </c>
      <c r="B3" s="1">
        <v>42</v>
      </c>
      <c r="C3" s="1">
        <v>92</v>
      </c>
      <c r="D3" s="1">
        <v>48</v>
      </c>
      <c r="E3" s="1">
        <v>18</v>
      </c>
    </row>
    <row r="4" s="1" customFormat="1" spans="1:5">
      <c r="A4" s="1" t="s">
        <v>22</v>
      </c>
      <c r="B4" s="1">
        <v>68</v>
      </c>
      <c r="C4" s="1">
        <v>184</v>
      </c>
      <c r="D4" s="1">
        <v>66</v>
      </c>
      <c r="E4" s="1">
        <v>14</v>
      </c>
    </row>
    <row r="5" s="1" customFormat="1" spans="1:5">
      <c r="A5" s="1" t="s">
        <v>18</v>
      </c>
      <c r="B5" s="1">
        <f>78+36</f>
        <v>114</v>
      </c>
      <c r="C5" s="1">
        <f>188+170</f>
        <v>358</v>
      </c>
      <c r="D5" s="1">
        <v>36</v>
      </c>
      <c r="E5" s="1">
        <v>99</v>
      </c>
    </row>
    <row r="6" s="1" customFormat="1"/>
    <row r="7" s="1" customFormat="1"/>
    <row r="9" spans="1:5">
      <c r="A9" s="1"/>
      <c r="B9" s="1"/>
      <c r="C9" s="1"/>
      <c r="D9" s="1"/>
      <c r="E9" s="1"/>
    </row>
    <row r="10" spans="1:5">
      <c r="A10" s="1"/>
      <c r="B10" s="1"/>
      <c r="C10" s="1"/>
      <c r="D10" s="1"/>
      <c r="E10" s="1"/>
    </row>
    <row r="11" spans="1:5">
      <c r="A11" s="1"/>
      <c r="B11" s="1"/>
      <c r="C11" s="1"/>
      <c r="D11" s="1"/>
      <c r="E11" s="1"/>
    </row>
    <row r="12" spans="1:5">
      <c r="A12" s="1"/>
      <c r="B12" s="1"/>
      <c r="C12" s="1"/>
      <c r="D12" s="1"/>
      <c r="E12" s="1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D13" sqref="D13"/>
    </sheetView>
  </sheetViews>
  <sheetFormatPr defaultColWidth="9" defaultRowHeight="14" outlineLevelCol="4"/>
  <sheetData>
    <row r="1" s="1" customFormat="1" spans="2:4">
      <c r="B1" s="1" t="s">
        <v>37</v>
      </c>
      <c r="D1" s="1" t="s">
        <v>38</v>
      </c>
    </row>
    <row r="2" s="1" customFormat="1" spans="1:5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</row>
    <row r="3" s="1" customFormat="1" spans="1:5">
      <c r="A3" s="1" t="s">
        <v>8</v>
      </c>
      <c r="B3" s="1">
        <v>466</v>
      </c>
      <c r="C3" s="1">
        <v>37</v>
      </c>
      <c r="D3" s="1">
        <v>711</v>
      </c>
      <c r="E3" s="1">
        <v>37</v>
      </c>
    </row>
    <row r="4" s="1" customFormat="1" spans="1:5">
      <c r="A4" s="1" t="s">
        <v>29</v>
      </c>
      <c r="B4" s="1">
        <v>93</v>
      </c>
      <c r="C4" s="1">
        <v>76</v>
      </c>
      <c r="D4" s="1">
        <v>81</v>
      </c>
      <c r="E4" s="1">
        <v>71</v>
      </c>
    </row>
    <row r="5" s="1" customFormat="1" spans="1:5">
      <c r="A5" s="1" t="s">
        <v>32</v>
      </c>
      <c r="B5" s="1">
        <v>59</v>
      </c>
      <c r="C5" s="1">
        <v>45</v>
      </c>
      <c r="D5" s="1">
        <v>37</v>
      </c>
      <c r="E5" s="1">
        <v>59</v>
      </c>
    </row>
    <row r="6" s="1" customFormat="1" spans="1:5">
      <c r="A6" s="1" t="s">
        <v>22</v>
      </c>
      <c r="B6" s="1">
        <v>68</v>
      </c>
      <c r="C6" s="1">
        <v>128</v>
      </c>
      <c r="D6" s="1">
        <v>66</v>
      </c>
      <c r="E6" s="1">
        <v>72</v>
      </c>
    </row>
    <row r="7" s="1" customFormat="1" spans="1:5">
      <c r="A7" s="1" t="s">
        <v>10</v>
      </c>
      <c r="B7" s="1">
        <v>243</v>
      </c>
      <c r="C7" s="1">
        <v>231</v>
      </c>
      <c r="D7" s="1">
        <v>222</v>
      </c>
      <c r="E7" s="1">
        <v>230</v>
      </c>
    </row>
    <row r="8" s="1" customFormat="1" spans="1:5">
      <c r="A8" s="1" t="s">
        <v>44</v>
      </c>
      <c r="B8" s="1">
        <v>147</v>
      </c>
      <c r="C8" s="1">
        <v>531</v>
      </c>
      <c r="D8" s="1">
        <v>125</v>
      </c>
      <c r="E8" s="1">
        <v>349</v>
      </c>
    </row>
    <row r="9" s="1" customFormat="1" spans="1:5">
      <c r="A9" s="1" t="s">
        <v>15</v>
      </c>
      <c r="B9" s="1">
        <v>164</v>
      </c>
      <c r="C9" s="1">
        <v>174</v>
      </c>
      <c r="D9" s="1">
        <v>227</v>
      </c>
      <c r="E9" s="1">
        <v>244</v>
      </c>
    </row>
    <row r="10" s="1" customFormat="1" spans="1:5">
      <c r="A10" s="1" t="s">
        <v>21</v>
      </c>
      <c r="B10" s="1">
        <v>129</v>
      </c>
      <c r="C10" s="1">
        <v>73</v>
      </c>
      <c r="D10" s="1">
        <v>186</v>
      </c>
      <c r="E10" s="1">
        <v>90</v>
      </c>
    </row>
    <row r="11" s="1" customFormat="1" spans="1:5">
      <c r="A11" s="1" t="s">
        <v>9</v>
      </c>
      <c r="B11" s="1">
        <v>119</v>
      </c>
      <c r="C11" s="1">
        <v>102</v>
      </c>
      <c r="D11" s="1">
        <v>137</v>
      </c>
      <c r="E11" s="1">
        <v>169</v>
      </c>
    </row>
    <row r="12" s="1" customFormat="1" spans="1:5">
      <c r="A12" s="1" t="s">
        <v>28</v>
      </c>
      <c r="B12" s="1">
        <v>110</v>
      </c>
      <c r="C12" s="1">
        <v>178</v>
      </c>
      <c r="D12" s="1">
        <v>115</v>
      </c>
      <c r="E12" s="1">
        <v>185</v>
      </c>
    </row>
    <row r="13" s="1" customFormat="1" spans="1:5">
      <c r="A13" s="1" t="s">
        <v>36</v>
      </c>
      <c r="B13" s="1">
        <v>375</v>
      </c>
      <c r="C13" s="1">
        <v>405</v>
      </c>
      <c r="D13" s="1">
        <v>427</v>
      </c>
      <c r="E13" s="1">
        <v>402</v>
      </c>
    </row>
    <row r="14" s="1" customFormat="1" spans="1:5">
      <c r="A14" s="1" t="s">
        <v>31</v>
      </c>
      <c r="B14" s="1">
        <v>83</v>
      </c>
      <c r="C14" s="1">
        <v>39</v>
      </c>
      <c r="D14" s="1">
        <v>111</v>
      </c>
      <c r="E14" s="1">
        <v>174</v>
      </c>
    </row>
    <row r="15" s="1" customFormat="1" spans="1:5">
      <c r="A15" s="1" t="s">
        <v>26</v>
      </c>
      <c r="B15" s="1">
        <v>85</v>
      </c>
      <c r="C15" s="1">
        <v>31</v>
      </c>
      <c r="D15" s="1">
        <v>61</v>
      </c>
      <c r="E15" s="1">
        <v>20</v>
      </c>
    </row>
    <row r="16" s="1" customFormat="1" spans="1:5">
      <c r="A16" s="1" t="s">
        <v>18</v>
      </c>
      <c r="B16" s="1">
        <v>63</v>
      </c>
      <c r="C16" s="1">
        <v>253</v>
      </c>
      <c r="D16" s="1">
        <v>85</v>
      </c>
      <c r="E16" s="1">
        <v>204</v>
      </c>
    </row>
    <row r="17" s="1" customFormat="1" spans="1:5">
      <c r="A17" s="1" t="s">
        <v>23</v>
      </c>
      <c r="B17" s="1">
        <v>118</v>
      </c>
      <c r="C17" s="1">
        <v>43</v>
      </c>
      <c r="D17" s="1">
        <v>89</v>
      </c>
      <c r="E17" s="1">
        <v>123</v>
      </c>
    </row>
    <row r="18" s="1" customFormat="1" spans="1:5">
      <c r="A18" s="1" t="s">
        <v>13</v>
      </c>
      <c r="B18" s="1">
        <v>1510</v>
      </c>
      <c r="C18" s="1">
        <v>614</v>
      </c>
      <c r="D18" s="1">
        <v>2383</v>
      </c>
      <c r="E18" s="1">
        <v>923</v>
      </c>
    </row>
    <row r="19" s="1" customFormat="1" spans="1:5">
      <c r="A19" s="1" t="s">
        <v>14</v>
      </c>
      <c r="B19" s="1">
        <v>258</v>
      </c>
      <c r="C19" s="1">
        <v>2393</v>
      </c>
      <c r="D19" s="1">
        <v>301</v>
      </c>
      <c r="E19" s="1">
        <v>3029</v>
      </c>
    </row>
    <row r="20" s="1" customFormat="1" spans="1:5">
      <c r="A20" s="1" t="s">
        <v>5</v>
      </c>
      <c r="B20" s="1">
        <v>954</v>
      </c>
      <c r="C20" s="1">
        <v>373</v>
      </c>
      <c r="D20" s="1">
        <v>1454</v>
      </c>
      <c r="E20" s="1">
        <v>377</v>
      </c>
    </row>
    <row r="21" s="1" customFormat="1" spans="1:5">
      <c r="A21" s="1" t="s">
        <v>33</v>
      </c>
      <c r="B21" s="1">
        <v>300</v>
      </c>
      <c r="C21" s="1">
        <v>1213</v>
      </c>
      <c r="D21" s="1">
        <v>324</v>
      </c>
      <c r="E21" s="1">
        <v>947</v>
      </c>
    </row>
    <row r="22" s="1" customFormat="1" spans="1:5">
      <c r="A22" s="3" t="s">
        <v>24</v>
      </c>
      <c r="B22" s="1">
        <v>18</v>
      </c>
      <c r="C22" s="1">
        <v>24</v>
      </c>
      <c r="D22" s="1">
        <v>101</v>
      </c>
      <c r="E22" s="1">
        <v>115</v>
      </c>
    </row>
    <row r="23" spans="1:5">
      <c r="A23" s="3" t="s">
        <v>6</v>
      </c>
      <c r="B23" s="1">
        <v>36</v>
      </c>
      <c r="C23" s="1">
        <v>228</v>
      </c>
      <c r="D23" s="1">
        <v>57</v>
      </c>
      <c r="E23" s="1">
        <v>344</v>
      </c>
    </row>
    <row r="24" spans="1:5">
      <c r="A24" s="3" t="s">
        <v>16</v>
      </c>
      <c r="B24" s="1">
        <v>687</v>
      </c>
      <c r="C24" s="1">
        <v>940</v>
      </c>
      <c r="D24" s="1">
        <v>881</v>
      </c>
      <c r="E24" s="1">
        <v>910</v>
      </c>
    </row>
    <row r="25" spans="1:5">
      <c r="A25" s="1"/>
      <c r="B25" s="1"/>
      <c r="C25" s="1"/>
      <c r="D25" s="1"/>
      <c r="E25" s="1"/>
    </row>
    <row r="26" spans="1:5">
      <c r="A26" s="1"/>
      <c r="B26" s="1"/>
      <c r="C26" s="1"/>
      <c r="D26" s="1"/>
      <c r="E26" s="1"/>
    </row>
    <row r="27" spans="1:5">
      <c r="A27" s="1"/>
      <c r="B27" s="1"/>
      <c r="C27" s="1"/>
      <c r="D27" s="1"/>
      <c r="E27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2" sqref="A2:E9"/>
    </sheetView>
  </sheetViews>
  <sheetFormatPr defaultColWidth="8.625" defaultRowHeight="14" outlineLevelCol="4"/>
  <sheetData>
    <row r="1" s="1" customFormat="1" spans="2:4">
      <c r="B1" s="1" t="s">
        <v>45</v>
      </c>
      <c r="D1" s="2" t="s">
        <v>46</v>
      </c>
    </row>
    <row r="2" s="1" customFormat="1" spans="1:5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</row>
    <row r="3" s="1" customFormat="1" spans="1:5">
      <c r="A3" s="1" t="s">
        <v>27</v>
      </c>
      <c r="B3" s="1">
        <f>30+41+73</f>
        <v>144</v>
      </c>
      <c r="C3" s="1">
        <f>99+74+147</f>
        <v>320</v>
      </c>
      <c r="D3" s="1">
        <v>145</v>
      </c>
      <c r="E3" s="1">
        <v>197</v>
      </c>
    </row>
    <row r="4" s="1" customFormat="1" spans="1:5">
      <c r="A4" s="1" t="s">
        <v>8</v>
      </c>
      <c r="B4" s="1">
        <f>215+566</f>
        <v>781</v>
      </c>
      <c r="C4" s="1">
        <f>12+40</f>
        <v>52</v>
      </c>
      <c r="D4" s="1">
        <v>456</v>
      </c>
      <c r="E4" s="1">
        <v>22</v>
      </c>
    </row>
    <row r="5" s="1" customFormat="1" spans="1:5">
      <c r="A5" s="1" t="s">
        <v>21</v>
      </c>
      <c r="B5" s="1">
        <f>103+155</f>
        <v>258</v>
      </c>
      <c r="C5" s="1">
        <f>90+64</f>
        <v>154</v>
      </c>
      <c r="D5" s="1">
        <v>57</v>
      </c>
      <c r="E5" s="1">
        <v>9</v>
      </c>
    </row>
    <row r="6" s="1" customFormat="1" spans="1:5">
      <c r="A6" s="1" t="s">
        <v>9</v>
      </c>
      <c r="B6" s="1">
        <f>28+102</f>
        <v>130</v>
      </c>
      <c r="C6" s="1">
        <f>69+99</f>
        <v>168</v>
      </c>
      <c r="D6" s="1">
        <v>126</v>
      </c>
      <c r="E6" s="1">
        <v>103</v>
      </c>
    </row>
    <row r="7" s="1" customFormat="1" spans="1:5">
      <c r="A7" s="1" t="s">
        <v>28</v>
      </c>
      <c r="B7" s="1">
        <f>44+77</f>
        <v>121</v>
      </c>
      <c r="C7" s="1">
        <f>114+160</f>
        <v>274</v>
      </c>
      <c r="D7" s="1">
        <v>104</v>
      </c>
      <c r="E7" s="1">
        <v>89</v>
      </c>
    </row>
    <row r="8" s="1" customFormat="1" spans="1:5">
      <c r="A8" s="1" t="s">
        <v>23</v>
      </c>
      <c r="B8" s="1">
        <v>39</v>
      </c>
      <c r="C8" s="1">
        <v>61</v>
      </c>
      <c r="D8" s="1">
        <v>93</v>
      </c>
      <c r="E8" s="1">
        <v>179</v>
      </c>
    </row>
    <row r="9" s="1" customFormat="1" spans="1:5">
      <c r="A9" s="1" t="s">
        <v>13</v>
      </c>
      <c r="B9" s="1">
        <f>1107+1697</f>
        <v>2804</v>
      </c>
      <c r="C9" s="1">
        <f>792+594</f>
        <v>1386</v>
      </c>
      <c r="D9" s="1">
        <v>1089</v>
      </c>
      <c r="E9" s="1">
        <v>151</v>
      </c>
    </row>
    <row r="10" s="1" customFormat="1"/>
  </sheetData>
  <pageMargins left="0.75" right="0.75" top="1" bottom="1" header="0.5" footer="0.5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zoomScale="102" zoomScaleNormal="102" workbookViewId="0">
      <selection activeCell="A2" sqref="A2:E15"/>
    </sheetView>
  </sheetViews>
  <sheetFormatPr defaultColWidth="8.625" defaultRowHeight="14" outlineLevelCol="4"/>
  <cols>
    <col min="1" max="1" width="8.25" customWidth="1"/>
  </cols>
  <sheetData>
    <row r="1" s="3" customFormat="1" spans="2:4">
      <c r="B1" s="3" t="s">
        <v>47</v>
      </c>
      <c r="D1" s="3" t="s">
        <v>48</v>
      </c>
    </row>
    <row r="2" s="1" customFormat="1" spans="1:5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</row>
    <row r="3" s="3" customFormat="1" spans="1:5">
      <c r="A3" s="1" t="s">
        <v>27</v>
      </c>
      <c r="B3" s="3">
        <f>17+13+31</f>
        <v>61</v>
      </c>
      <c r="C3" s="3">
        <f>72+7+45</f>
        <v>124</v>
      </c>
      <c r="D3" s="3">
        <v>228</v>
      </c>
      <c r="E3" s="3">
        <v>393</v>
      </c>
    </row>
    <row r="4" s="3" customFormat="1" spans="1:5">
      <c r="A4" s="1" t="s">
        <v>44</v>
      </c>
      <c r="B4" s="3">
        <v>18</v>
      </c>
      <c r="C4" s="3">
        <v>44</v>
      </c>
      <c r="D4" s="3">
        <v>254</v>
      </c>
      <c r="E4" s="3">
        <v>836</v>
      </c>
    </row>
    <row r="5" s="3" customFormat="1" spans="1:5">
      <c r="A5" s="1" t="s">
        <v>36</v>
      </c>
      <c r="B5" s="3">
        <f>116+76</f>
        <v>192</v>
      </c>
      <c r="C5" s="3">
        <f>136+60</f>
        <v>196</v>
      </c>
      <c r="D5" s="3">
        <v>590</v>
      </c>
      <c r="E5" s="3">
        <v>609</v>
      </c>
    </row>
    <row r="6" s="3" customFormat="1" spans="1:5">
      <c r="A6" s="1" t="s">
        <v>18</v>
      </c>
      <c r="B6" s="3">
        <v>48</v>
      </c>
      <c r="C6" s="3">
        <v>141</v>
      </c>
      <c r="D6" s="3">
        <v>100</v>
      </c>
      <c r="E6" s="3">
        <v>312</v>
      </c>
    </row>
    <row r="7" s="3" customFormat="1" spans="1:5">
      <c r="A7" s="1" t="s">
        <v>34</v>
      </c>
      <c r="B7" s="3">
        <v>42</v>
      </c>
      <c r="C7" s="3">
        <v>31</v>
      </c>
      <c r="D7" s="3">
        <v>53</v>
      </c>
      <c r="E7" s="3">
        <v>57</v>
      </c>
    </row>
    <row r="8" s="3" customFormat="1" spans="1:5">
      <c r="A8" s="1" t="s">
        <v>14</v>
      </c>
      <c r="B8" s="3">
        <f>13+4+77</f>
        <v>94</v>
      </c>
      <c r="C8" s="3">
        <f>42+103+822</f>
        <v>967</v>
      </c>
      <c r="D8" s="3">
        <v>465</v>
      </c>
      <c r="E8" s="3">
        <v>4454</v>
      </c>
    </row>
    <row r="9" s="3" customFormat="1" spans="1:5">
      <c r="A9" s="1" t="s">
        <v>5</v>
      </c>
      <c r="B9" s="3">
        <v>700</v>
      </c>
      <c r="C9" s="3">
        <v>216</v>
      </c>
      <c r="D9" s="3">
        <v>1705</v>
      </c>
      <c r="E9" s="3">
        <v>531</v>
      </c>
    </row>
    <row r="10" s="3" customFormat="1" spans="1:5">
      <c r="A10" s="1" t="s">
        <v>33</v>
      </c>
      <c r="B10" s="3">
        <v>160</v>
      </c>
      <c r="C10" s="3">
        <v>531</v>
      </c>
      <c r="D10" s="3">
        <v>464</v>
      </c>
      <c r="E10" s="3">
        <v>1629</v>
      </c>
    </row>
    <row r="11" s="3" customFormat="1" spans="1:5">
      <c r="A11" s="1" t="s">
        <v>22</v>
      </c>
      <c r="B11" s="3">
        <v>9</v>
      </c>
      <c r="C11" s="3">
        <f>34+19</f>
        <v>53</v>
      </c>
      <c r="D11" s="3">
        <v>20</v>
      </c>
      <c r="E11" s="3">
        <v>115</v>
      </c>
    </row>
    <row r="12" s="3" customFormat="1" spans="1:5">
      <c r="A12" s="1" t="s">
        <v>25</v>
      </c>
      <c r="B12" s="3">
        <v>150</v>
      </c>
      <c r="C12" s="3">
        <v>638</v>
      </c>
      <c r="D12" s="3">
        <v>501</v>
      </c>
      <c r="E12" s="3">
        <v>2499</v>
      </c>
    </row>
    <row r="13" s="3" customFormat="1" spans="1:5">
      <c r="A13" s="1" t="s">
        <v>6</v>
      </c>
      <c r="B13" s="3">
        <v>9</v>
      </c>
      <c r="C13" s="3">
        <v>86</v>
      </c>
      <c r="D13" s="3">
        <v>84</v>
      </c>
      <c r="E13" s="3">
        <v>486</v>
      </c>
    </row>
    <row r="14" s="3" customFormat="1" spans="1:5">
      <c r="A14" s="1" t="s">
        <v>16</v>
      </c>
      <c r="B14" s="3">
        <v>343</v>
      </c>
      <c r="C14" s="3">
        <v>416</v>
      </c>
      <c r="D14" s="3">
        <v>1225</v>
      </c>
      <c r="E14" s="3">
        <v>1434</v>
      </c>
    </row>
    <row r="15" s="3" customFormat="1" spans="1:5">
      <c r="A15" s="1" t="s">
        <v>4</v>
      </c>
      <c r="B15" s="3">
        <v>3</v>
      </c>
      <c r="C15" s="3">
        <v>16</v>
      </c>
      <c r="D15" s="3">
        <v>110</v>
      </c>
      <c r="E15" s="3">
        <v>881</v>
      </c>
    </row>
    <row r="16" s="3" customFormat="1"/>
    <row r="17" s="3" customFormat="1"/>
    <row r="18" s="3" customFormat="1"/>
    <row r="19" s="3" customFormat="1"/>
    <row r="20" s="3" customFormat="1"/>
    <row r="21" s="3" customFormat="1"/>
    <row r="22" s="3" customFormat="1"/>
    <row r="23" s="3" customFormat="1"/>
    <row r="24" s="3" customFormat="1"/>
    <row r="25" s="3" customFormat="1"/>
    <row r="26" s="3" customFormat="1"/>
    <row r="27" s="3" customFormat="1"/>
    <row r="28" s="3" customFormat="1"/>
    <row r="29" s="3" customFormat="1"/>
    <row r="30" s="3" customFormat="1"/>
    <row r="31" s="3" customFormat="1"/>
    <row r="32" s="3" customFormat="1"/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2" sqref="A2:E22"/>
    </sheetView>
  </sheetViews>
  <sheetFormatPr defaultColWidth="8.625" defaultRowHeight="14" outlineLevelCol="4"/>
  <cols>
    <col min="1" max="1" width="19.9166666666667" customWidth="1"/>
  </cols>
  <sheetData>
    <row r="1" s="1" customFormat="1" spans="2:4">
      <c r="B1" s="1" t="s">
        <v>49</v>
      </c>
      <c r="D1" s="1" t="s">
        <v>50</v>
      </c>
    </row>
    <row r="2" s="1" customFormat="1" spans="1:5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</row>
    <row r="3" s="1" customFormat="1" spans="1:5">
      <c r="A3" s="1" t="s">
        <v>8</v>
      </c>
      <c r="B3" s="1">
        <f>628+360</f>
        <v>988</v>
      </c>
      <c r="C3" s="1">
        <f>37+28</f>
        <v>65</v>
      </c>
      <c r="D3" s="1">
        <v>249</v>
      </c>
      <c r="E3" s="1">
        <v>9</v>
      </c>
    </row>
    <row r="4" s="1" customFormat="1" spans="1:5">
      <c r="A4" s="1" t="s">
        <v>29</v>
      </c>
      <c r="B4" s="1">
        <v>117</v>
      </c>
      <c r="C4" s="1">
        <v>86</v>
      </c>
      <c r="D4" s="1">
        <f>78+23</f>
        <v>101</v>
      </c>
      <c r="E4" s="1">
        <v>16</v>
      </c>
    </row>
    <row r="5" s="1" customFormat="1" spans="1:5">
      <c r="A5" s="1" t="s">
        <v>32</v>
      </c>
      <c r="B5" s="1">
        <f>15+10+23</f>
        <v>48</v>
      </c>
      <c r="C5" s="1">
        <f>27+34+42</f>
        <v>103</v>
      </c>
      <c r="D5" s="1">
        <f>25+17</f>
        <v>42</v>
      </c>
      <c r="E5" s="1">
        <v>7</v>
      </c>
    </row>
    <row r="6" s="1" customFormat="1" spans="1:5">
      <c r="A6" s="1" t="s">
        <v>22</v>
      </c>
      <c r="B6" s="1">
        <f>44+71</f>
        <v>115</v>
      </c>
      <c r="C6" s="1">
        <f>113+76</f>
        <v>189</v>
      </c>
      <c r="D6" s="1">
        <v>19</v>
      </c>
      <c r="E6" s="1">
        <v>9</v>
      </c>
    </row>
    <row r="7" s="1" customFormat="1" spans="1:5">
      <c r="A7" s="1" t="s">
        <v>10</v>
      </c>
      <c r="B7" s="1">
        <f>185+217</f>
        <v>402</v>
      </c>
      <c r="C7" s="1">
        <f>211+210</f>
        <v>421</v>
      </c>
      <c r="D7" s="1">
        <v>57</v>
      </c>
      <c r="E7" s="1">
        <v>39</v>
      </c>
    </row>
    <row r="8" s="1" customFormat="1" spans="1:5">
      <c r="A8" s="1" t="s">
        <v>17</v>
      </c>
      <c r="B8" s="1">
        <v>0</v>
      </c>
      <c r="C8" s="1">
        <v>1</v>
      </c>
      <c r="D8" s="1">
        <f>3+87+124+32</f>
        <v>246</v>
      </c>
      <c r="E8" s="1">
        <f>11+46+101+17</f>
        <v>175</v>
      </c>
    </row>
    <row r="9" s="1" customFormat="1" spans="1:5">
      <c r="A9" s="1" t="s">
        <v>44</v>
      </c>
      <c r="B9" s="1">
        <v>97</v>
      </c>
      <c r="C9" s="1">
        <v>380</v>
      </c>
      <c r="D9" s="1">
        <f>87+88</f>
        <v>175</v>
      </c>
      <c r="E9" s="1">
        <f>282+218</f>
        <v>500</v>
      </c>
    </row>
    <row r="10" s="1" customFormat="1" spans="1:5">
      <c r="A10" s="1" t="s">
        <v>15</v>
      </c>
      <c r="B10" s="1">
        <f>62+83</f>
        <v>145</v>
      </c>
      <c r="C10" s="1">
        <f>45+76</f>
        <v>121</v>
      </c>
      <c r="D10" s="1">
        <f>101+76+56+13</f>
        <v>246</v>
      </c>
      <c r="E10" s="1">
        <f>107+79+75+36</f>
        <v>297</v>
      </c>
    </row>
    <row r="11" s="1" customFormat="1" spans="1:5">
      <c r="A11" s="1" t="s">
        <v>21</v>
      </c>
      <c r="B11" s="1">
        <v>110</v>
      </c>
      <c r="C11" s="1">
        <v>35</v>
      </c>
      <c r="D11" s="1">
        <f>114+91</f>
        <v>205</v>
      </c>
      <c r="E11" s="1">
        <f>39+89</f>
        <v>128</v>
      </c>
    </row>
    <row r="12" s="1" customFormat="1" spans="1:5">
      <c r="A12" s="1" t="s">
        <v>9</v>
      </c>
      <c r="B12" s="1">
        <f>99+68</f>
        <v>167</v>
      </c>
      <c r="C12" s="1">
        <f>43+114</f>
        <v>157</v>
      </c>
      <c r="D12" s="1">
        <f>41+48</f>
        <v>89</v>
      </c>
      <c r="E12" s="1">
        <f>48+66</f>
        <v>114</v>
      </c>
    </row>
    <row r="13" s="1" customFormat="1" spans="1:5">
      <c r="A13" s="1" t="s">
        <v>28</v>
      </c>
      <c r="B13" s="1">
        <v>85</v>
      </c>
      <c r="C13" s="1">
        <v>136</v>
      </c>
      <c r="D13" s="1">
        <f>76+64</f>
        <v>140</v>
      </c>
      <c r="E13" s="1">
        <v>227</v>
      </c>
    </row>
    <row r="14" s="1" customFormat="1" spans="1:5">
      <c r="A14" s="1" t="s">
        <v>36</v>
      </c>
      <c r="B14" s="1">
        <v>343</v>
      </c>
      <c r="C14" s="1">
        <v>466</v>
      </c>
      <c r="D14" s="1">
        <f>215*2</f>
        <v>430</v>
      </c>
      <c r="E14" s="1">
        <f>162+153</f>
        <v>315</v>
      </c>
    </row>
    <row r="15" s="1" customFormat="1" spans="1:5">
      <c r="A15" s="1" t="s">
        <v>26</v>
      </c>
      <c r="B15" s="1">
        <v>63</v>
      </c>
      <c r="C15" s="1">
        <v>35</v>
      </c>
      <c r="D15" s="1">
        <f>55+28</f>
        <v>83</v>
      </c>
      <c r="E15" s="1">
        <v>16</v>
      </c>
    </row>
    <row r="16" s="1" customFormat="1" spans="1:5">
      <c r="A16" s="1" t="s">
        <v>19</v>
      </c>
      <c r="B16" s="1">
        <f>14+32+54</f>
        <v>100</v>
      </c>
      <c r="C16" s="1">
        <f>355+392+430</f>
        <v>1177</v>
      </c>
      <c r="D16" s="1">
        <v>45</v>
      </c>
      <c r="E16" s="1">
        <v>295</v>
      </c>
    </row>
    <row r="17" s="1" customFormat="1" spans="1:5">
      <c r="A17" s="1" t="s">
        <v>35</v>
      </c>
      <c r="B17" s="1">
        <v>5</v>
      </c>
      <c r="C17" s="1">
        <v>30</v>
      </c>
      <c r="D17" s="1">
        <v>27</v>
      </c>
      <c r="E17" s="1">
        <v>38</v>
      </c>
    </row>
    <row r="18" s="1" customFormat="1" spans="1:5">
      <c r="A18" s="1" t="s">
        <v>23</v>
      </c>
      <c r="B18" s="1">
        <v>88</v>
      </c>
      <c r="C18" s="1">
        <v>155</v>
      </c>
      <c r="D18" s="1">
        <v>44</v>
      </c>
      <c r="E18" s="1">
        <v>85</v>
      </c>
    </row>
    <row r="19" s="1" customFormat="1" spans="1:5">
      <c r="A19" s="1" t="s">
        <v>13</v>
      </c>
      <c r="B19" s="1">
        <f>432+789</f>
        <v>1221</v>
      </c>
      <c r="C19" s="1">
        <f>462+321</f>
        <v>783</v>
      </c>
      <c r="D19" s="1">
        <v>2672</v>
      </c>
      <c r="E19" s="1">
        <v>1054</v>
      </c>
    </row>
    <row r="20" s="1" customFormat="1" spans="1:5">
      <c r="A20" s="1" t="s">
        <v>11</v>
      </c>
      <c r="B20" s="1">
        <v>1</v>
      </c>
      <c r="C20" s="1">
        <v>17</v>
      </c>
      <c r="D20" s="1">
        <v>28</v>
      </c>
      <c r="E20" s="1">
        <v>157</v>
      </c>
    </row>
    <row r="21" s="1" customFormat="1" spans="1:5">
      <c r="A21" s="1" t="s">
        <v>16</v>
      </c>
      <c r="B21" s="1">
        <f>434+478</f>
        <v>912</v>
      </c>
      <c r="C21" s="1">
        <f>524+644</f>
        <v>1168</v>
      </c>
      <c r="D21" s="1">
        <f>405+252</f>
        <v>657</v>
      </c>
      <c r="E21" s="1">
        <f>475+207</f>
        <v>682</v>
      </c>
    </row>
    <row r="22" s="1" customFormat="1" spans="1:5">
      <c r="A22" s="1" t="s">
        <v>4</v>
      </c>
      <c r="B22" s="1">
        <v>1</v>
      </c>
      <c r="C22" s="1">
        <v>3</v>
      </c>
      <c r="D22" s="1">
        <f>28+84</f>
        <v>112</v>
      </c>
      <c r="E22" s="1">
        <f>179+715</f>
        <v>894</v>
      </c>
    </row>
    <row r="23" s="1" customFormat="1"/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2" sqref="A2:E12"/>
    </sheetView>
  </sheetViews>
  <sheetFormatPr defaultColWidth="8.625" defaultRowHeight="14" outlineLevelCol="4"/>
  <sheetData>
    <row r="1" s="1" customFormat="1" spans="2:4">
      <c r="B1" s="1" t="s">
        <v>51</v>
      </c>
      <c r="D1" s="1" t="s">
        <v>52</v>
      </c>
    </row>
    <row r="2" s="1" customFormat="1" spans="1:5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</row>
    <row r="3" s="1" customFormat="1" spans="1:5">
      <c r="A3" s="1" t="s">
        <v>8</v>
      </c>
      <c r="B3" s="1">
        <v>778</v>
      </c>
      <c r="C3" s="1">
        <v>59</v>
      </c>
      <c r="D3" s="1">
        <v>459</v>
      </c>
      <c r="E3" s="1">
        <v>15</v>
      </c>
    </row>
    <row r="4" s="1" customFormat="1" spans="1:5">
      <c r="A4" s="1" t="s">
        <v>28</v>
      </c>
      <c r="B4" s="1">
        <v>80</v>
      </c>
      <c r="C4" s="1">
        <v>222</v>
      </c>
      <c r="D4" s="1">
        <v>145</v>
      </c>
      <c r="E4" s="1">
        <v>114</v>
      </c>
    </row>
    <row r="5" s="1" customFormat="1" spans="1:5">
      <c r="A5" s="1" t="s">
        <v>36</v>
      </c>
      <c r="B5" s="1">
        <v>102</v>
      </c>
      <c r="C5" s="1">
        <v>314</v>
      </c>
      <c r="D5" s="1">
        <v>700</v>
      </c>
      <c r="E5" s="1">
        <v>499</v>
      </c>
    </row>
    <row r="6" s="1" customFormat="1" spans="1:5">
      <c r="A6" s="1" t="s">
        <v>31</v>
      </c>
      <c r="B6" s="1">
        <v>66</v>
      </c>
      <c r="C6" s="1">
        <v>51</v>
      </c>
      <c r="D6" s="1">
        <v>125</v>
      </c>
      <c r="E6" s="1">
        <v>63</v>
      </c>
    </row>
    <row r="7" s="1" customFormat="1" spans="1:5">
      <c r="A7" s="1" t="s">
        <v>30</v>
      </c>
      <c r="B7" s="1">
        <v>51</v>
      </c>
      <c r="C7" s="1">
        <v>75</v>
      </c>
      <c r="D7" s="1">
        <v>254</v>
      </c>
      <c r="E7" s="1">
        <v>157</v>
      </c>
    </row>
    <row r="8" s="1" customFormat="1" spans="1:5">
      <c r="A8" s="1" t="s">
        <v>13</v>
      </c>
      <c r="B8" s="1">
        <v>756</v>
      </c>
      <c r="C8" s="1">
        <v>666</v>
      </c>
      <c r="D8" s="1">
        <v>3137</v>
      </c>
      <c r="E8" s="1">
        <v>871</v>
      </c>
    </row>
    <row r="9" s="1" customFormat="1" spans="1:5">
      <c r="A9" s="1" t="s">
        <v>14</v>
      </c>
      <c r="B9" s="1">
        <v>476</v>
      </c>
      <c r="C9" s="1">
        <v>2653</v>
      </c>
      <c r="D9" s="1">
        <v>83</v>
      </c>
      <c r="E9" s="1">
        <v>2769</v>
      </c>
    </row>
    <row r="10" s="1" customFormat="1" spans="1:5">
      <c r="A10" s="1" t="s">
        <v>33</v>
      </c>
      <c r="B10" s="1">
        <v>507</v>
      </c>
      <c r="C10" s="1">
        <v>1798</v>
      </c>
      <c r="D10" s="1">
        <v>117</v>
      </c>
      <c r="E10" s="1">
        <v>362</v>
      </c>
    </row>
    <row r="11" s="1" customFormat="1" spans="1:5">
      <c r="A11" s="1" t="s">
        <v>25</v>
      </c>
      <c r="B11" s="1">
        <v>533</v>
      </c>
      <c r="C11" s="1">
        <v>2446</v>
      </c>
      <c r="D11" s="1">
        <v>103</v>
      </c>
      <c r="E11" s="1">
        <v>630</v>
      </c>
    </row>
    <row r="12" s="1" customFormat="1" spans="1:5">
      <c r="A12" s="1" t="s">
        <v>16</v>
      </c>
      <c r="B12" s="1">
        <v>229</v>
      </c>
      <c r="C12" s="1">
        <v>205</v>
      </c>
      <c r="D12" s="1">
        <v>1339</v>
      </c>
      <c r="E12" s="1">
        <v>1645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opLeftCell="F1" workbookViewId="0">
      <selection activeCell="G1" sqref="G1:U22"/>
    </sheetView>
  </sheetViews>
  <sheetFormatPr defaultColWidth="8.625" defaultRowHeight="14"/>
  <cols>
    <col min="1" max="1" width="8.5" customWidth="1"/>
    <col min="8" max="8" width="16.1666666666667" customWidth="1"/>
  </cols>
  <sheetData>
    <row r="1" s="1" customFormat="1" spans="2:4">
      <c r="B1" s="1" t="s">
        <v>53</v>
      </c>
      <c r="D1" s="1" t="s">
        <v>54</v>
      </c>
    </row>
    <row r="2" s="1" customFormat="1" spans="1:14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  <c r="H2" s="2"/>
      <c r="N2"/>
    </row>
    <row r="3" s="1" customFormat="1" spans="1:14">
      <c r="A3" s="1" t="s">
        <v>27</v>
      </c>
      <c r="B3" s="1">
        <v>166</v>
      </c>
      <c r="C3" s="1">
        <v>289</v>
      </c>
      <c r="D3" s="1">
        <f>102+10+11</f>
        <v>123</v>
      </c>
      <c r="E3" s="1">
        <f>159+41+29</f>
        <v>229</v>
      </c>
      <c r="H3"/>
      <c r="I3"/>
      <c r="J3"/>
      <c r="N3"/>
    </row>
    <row r="4" s="1" customFormat="1" spans="1:14">
      <c r="A4" s="1" t="s">
        <v>21</v>
      </c>
      <c r="B4" s="1">
        <f>143+110</f>
        <v>253</v>
      </c>
      <c r="C4" s="1">
        <f>75+58</f>
        <v>133</v>
      </c>
      <c r="D4" s="1">
        <v>62</v>
      </c>
      <c r="E4" s="1">
        <v>30</v>
      </c>
      <c r="H4"/>
      <c r="I4"/>
      <c r="J4"/>
      <c r="N4"/>
    </row>
    <row r="5" s="1" customFormat="1" spans="1:14">
      <c r="A5" s="1" t="s">
        <v>26</v>
      </c>
      <c r="B5" s="1">
        <f>32+73</f>
        <v>105</v>
      </c>
      <c r="C5" s="1">
        <v>44</v>
      </c>
      <c r="D5" s="1">
        <v>41</v>
      </c>
      <c r="E5" s="1">
        <v>7</v>
      </c>
      <c r="H5"/>
      <c r="I5"/>
      <c r="J5"/>
      <c r="N5"/>
    </row>
    <row r="6" s="1" customFormat="1" spans="1:10">
      <c r="A6" s="1" t="s">
        <v>35</v>
      </c>
      <c r="B6" s="1">
        <v>24</v>
      </c>
      <c r="C6" s="1">
        <f>27+19</f>
        <v>46</v>
      </c>
      <c r="D6" s="1">
        <v>18</v>
      </c>
      <c r="E6" s="1">
        <v>12</v>
      </c>
      <c r="H6"/>
      <c r="I6"/>
      <c r="J6"/>
    </row>
    <row r="7" s="1" customFormat="1" spans="1:5">
      <c r="A7" s="1" t="s">
        <v>4</v>
      </c>
      <c r="B7" s="1">
        <v>13</v>
      </c>
      <c r="C7" s="1">
        <v>33</v>
      </c>
      <c r="D7" s="1">
        <f>33+67</f>
        <v>100</v>
      </c>
      <c r="E7" s="1">
        <f>332+532</f>
        <v>864</v>
      </c>
    </row>
    <row r="8" s="1" customFormat="1" spans="8:8">
      <c r="H8" s="2"/>
    </row>
    <row r="9" spans="15:18">
      <c r="O9" s="1"/>
      <c r="P9" s="1"/>
      <c r="Q9" s="1"/>
      <c r="R9" s="1"/>
    </row>
    <row r="10" spans="17:18">
      <c r="Q10" s="1"/>
      <c r="R10" s="1"/>
    </row>
    <row r="11" spans="17:18">
      <c r="Q11" s="1"/>
      <c r="R11" s="1"/>
    </row>
    <row r="12" spans="17:18">
      <c r="Q12" s="1"/>
      <c r="R12" s="1"/>
    </row>
    <row r="15" spans="15:16">
      <c r="O15" s="1"/>
      <c r="P15" s="1"/>
    </row>
    <row r="16" spans="15:18">
      <c r="O16" s="1"/>
      <c r="P16" s="1"/>
      <c r="Q16" s="1"/>
      <c r="R16" s="1"/>
    </row>
    <row r="17" spans="15:16">
      <c r="O17" s="1"/>
      <c r="P17" s="1"/>
    </row>
    <row r="18" spans="15:16">
      <c r="O18" s="1"/>
      <c r="P18" s="1"/>
    </row>
    <row r="19" spans="15:16">
      <c r="O19" s="1"/>
      <c r="P19" s="1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A2" sqref="A2:E12"/>
    </sheetView>
  </sheetViews>
  <sheetFormatPr defaultColWidth="8.625" defaultRowHeight="14" outlineLevelCol="4"/>
  <sheetData>
    <row r="1" s="1" customFormat="1" spans="2:4">
      <c r="B1" s="1" t="s">
        <v>55</v>
      </c>
      <c r="D1" s="1" t="s">
        <v>56</v>
      </c>
    </row>
    <row r="2" s="1" customFormat="1" spans="1:5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</row>
    <row r="3" s="1" customFormat="1" spans="1:5">
      <c r="A3" s="1" t="s">
        <v>27</v>
      </c>
      <c r="B3" s="1">
        <v>34</v>
      </c>
      <c r="C3" s="1">
        <v>47</v>
      </c>
      <c r="D3" s="1">
        <f>73+36+71+72+2+1</f>
        <v>255</v>
      </c>
      <c r="E3" s="1">
        <f>122+95+79+165+4+5</f>
        <v>470</v>
      </c>
    </row>
    <row r="4" s="1" customFormat="1" spans="1:5">
      <c r="A4" s="1" t="s">
        <v>9</v>
      </c>
      <c r="B4" s="1">
        <v>2</v>
      </c>
      <c r="C4" s="1">
        <v>6</v>
      </c>
      <c r="D4" s="1">
        <v>254</v>
      </c>
      <c r="E4" s="1">
        <f>223+27+15</f>
        <v>265</v>
      </c>
    </row>
    <row r="5" s="1" customFormat="1" spans="1:5">
      <c r="A5" s="1" t="s">
        <v>36</v>
      </c>
      <c r="B5" s="1">
        <v>58</v>
      </c>
      <c r="C5" s="1">
        <v>42</v>
      </c>
      <c r="D5" s="1">
        <v>734</v>
      </c>
      <c r="E5" s="1">
        <v>770</v>
      </c>
    </row>
    <row r="6" s="1" customFormat="1" spans="1:5">
      <c r="A6" s="1" t="s">
        <v>31</v>
      </c>
      <c r="B6" s="1">
        <v>1</v>
      </c>
      <c r="C6" s="1">
        <v>3</v>
      </c>
      <c r="D6" s="1">
        <f>82+107</f>
        <v>189</v>
      </c>
      <c r="E6" s="1">
        <f>38+76</f>
        <v>114</v>
      </c>
    </row>
    <row r="7" s="1" customFormat="1" spans="1:5">
      <c r="A7" s="1" t="s">
        <v>18</v>
      </c>
      <c r="B7" s="1">
        <v>129</v>
      </c>
      <c r="C7" s="1">
        <v>415</v>
      </c>
      <c r="D7" s="1">
        <v>19</v>
      </c>
      <c r="E7" s="1">
        <v>42</v>
      </c>
    </row>
    <row r="8" s="1" customFormat="1" spans="1:5">
      <c r="A8" s="1" t="s">
        <v>19</v>
      </c>
      <c r="B8" s="1">
        <v>7</v>
      </c>
      <c r="C8" s="1">
        <v>35</v>
      </c>
      <c r="D8" s="1">
        <f>70+68</f>
        <v>138</v>
      </c>
      <c r="E8" s="1">
        <f>541+896</f>
        <v>1437</v>
      </c>
    </row>
    <row r="9" s="1" customFormat="1" spans="1:5">
      <c r="A9" s="1" t="s">
        <v>34</v>
      </c>
      <c r="B9" s="1">
        <v>15</v>
      </c>
      <c r="C9" s="1">
        <v>13</v>
      </c>
      <c r="D9" s="1">
        <v>80</v>
      </c>
      <c r="E9" s="1">
        <v>75</v>
      </c>
    </row>
    <row r="10" s="1" customFormat="1" spans="1:5">
      <c r="A10" s="1" t="s">
        <v>23</v>
      </c>
      <c r="B10" s="1">
        <f>68+70</f>
        <v>138</v>
      </c>
      <c r="C10" s="1">
        <f>134+108</f>
        <v>242</v>
      </c>
      <c r="D10" s="1">
        <v>126</v>
      </c>
      <c r="E10" s="1">
        <f>108+134</f>
        <v>242</v>
      </c>
    </row>
    <row r="11" s="1" customFormat="1" spans="1:5">
      <c r="A11" s="1" t="s">
        <v>33</v>
      </c>
      <c r="B11" s="1">
        <v>9</v>
      </c>
      <c r="C11" s="1">
        <v>68</v>
      </c>
      <c r="D11" s="1">
        <v>615</v>
      </c>
      <c r="E11" s="1">
        <v>2089</v>
      </c>
    </row>
    <row r="12" s="1" customFormat="1" spans="1:5">
      <c r="A12" s="1" t="s">
        <v>25</v>
      </c>
      <c r="B12" s="1">
        <v>75</v>
      </c>
      <c r="C12" s="1">
        <v>293</v>
      </c>
      <c r="D12" s="1">
        <v>576</v>
      </c>
      <c r="E12" s="1">
        <v>625</v>
      </c>
    </row>
    <row r="13" s="1" customFormat="1"/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2" sqref="A2:E7"/>
    </sheetView>
  </sheetViews>
  <sheetFormatPr defaultColWidth="8.625" defaultRowHeight="14" outlineLevelRow="7" outlineLevelCol="4"/>
  <sheetData>
    <row r="1" s="1" customFormat="1" spans="2:4">
      <c r="B1" s="1" t="s">
        <v>57</v>
      </c>
      <c r="D1" s="1" t="s">
        <v>58</v>
      </c>
    </row>
    <row r="2" s="1" customFormat="1" spans="1:5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</row>
    <row r="3" s="1" customFormat="1" spans="1:5">
      <c r="A3" s="1" t="s">
        <v>27</v>
      </c>
      <c r="B3" s="1">
        <f>29+24</f>
        <v>53</v>
      </c>
      <c r="C3" s="1">
        <f>234+60</f>
        <v>294</v>
      </c>
      <c r="D3" s="1">
        <v>236</v>
      </c>
      <c r="E3" s="1">
        <v>223</v>
      </c>
    </row>
    <row r="4" s="1" customFormat="1" spans="1:5">
      <c r="A4" s="1" t="s">
        <v>32</v>
      </c>
      <c r="B4" s="1">
        <f>47+8</f>
        <v>55</v>
      </c>
      <c r="C4" s="1">
        <f>48+54</f>
        <v>102</v>
      </c>
      <c r="D4" s="1">
        <v>35</v>
      </c>
      <c r="E4" s="1">
        <v>8</v>
      </c>
    </row>
    <row r="5" s="1" customFormat="1" spans="1:5">
      <c r="A5" s="1" t="s">
        <v>22</v>
      </c>
      <c r="B5" s="1">
        <v>29</v>
      </c>
      <c r="C5" s="1">
        <v>149</v>
      </c>
      <c r="D5" s="1">
        <v>105</v>
      </c>
      <c r="E5" s="1">
        <v>49</v>
      </c>
    </row>
    <row r="6" s="1" customFormat="1" spans="1:5">
      <c r="A6" s="1" t="s">
        <v>44</v>
      </c>
      <c r="B6" s="1">
        <v>40</v>
      </c>
      <c r="C6" s="1">
        <v>635</v>
      </c>
      <c r="D6" s="1">
        <v>232</v>
      </c>
      <c r="E6" s="1">
        <v>245</v>
      </c>
    </row>
    <row r="7" s="1" customFormat="1" spans="1:5">
      <c r="A7" s="1" t="s">
        <v>28</v>
      </c>
      <c r="B7" s="1">
        <v>94</v>
      </c>
      <c r="C7" s="1">
        <v>196</v>
      </c>
      <c r="D7" s="1">
        <v>131</v>
      </c>
      <c r="E7" s="1">
        <v>167</v>
      </c>
    </row>
    <row r="8" s="1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Utilization</vt:lpstr>
      <vt:lpstr>Gender</vt:lpstr>
      <vt:lpstr>Age</vt:lpstr>
      <vt:lpstr>Marital status</vt:lpstr>
      <vt:lpstr>Education</vt:lpstr>
      <vt:lpstr>Residence</vt:lpstr>
      <vt:lpstr>Income</vt:lpstr>
      <vt:lpstr>Health insurance</vt:lpstr>
      <vt:lpstr>Need</vt:lpstr>
      <vt:lpstr>Convenience</vt:lpstr>
      <vt:lpstr>Believe</vt:lpstr>
      <vt:lpstr>Health status</vt:lpstr>
      <vt:lpstr>Chronic disease</vt:lpstr>
      <vt:lpstr>Smoking</vt:lpstr>
      <vt:lpstr>Alcohol</vt:lpstr>
      <vt:lpstr>Publicity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啦啦啦啦啦</dc:creator>
  <cp:lastModifiedBy>任东浩</cp:lastModifiedBy>
  <dcterms:created xsi:type="dcterms:W3CDTF">2015-06-05T18:19:00Z</dcterms:created>
  <dcterms:modified xsi:type="dcterms:W3CDTF">2025-11-12T11:26:25Z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4841DE94C5B34C0DACF7900667008040_12</vt:lpwstr>
  </property>
  <property fmtid="{D5CDD505-2E9C-101B-9397-08002B2CF9AE}" pid="3" name="KSOProductBuildVer">
    <vt:lpwstr>2052-12.1.0.22175</vt:lpwstr>
  </property>
</Properties>
</file>