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avita\Desktop\"/>
    </mc:Choice>
  </mc:AlternateContent>
  <bookViews>
    <workbookView xWindow="0" yWindow="0" windowWidth="21480" windowHeight="10260" activeTab="3"/>
  </bookViews>
  <sheets>
    <sheet name="Figure 6D" sheetId="1" r:id="rId1"/>
    <sheet name="Figure 6E" sheetId="4" r:id="rId2"/>
    <sheet name="Figure 6H" sheetId="5" r:id="rId3"/>
    <sheet name="Figure 6K" sheetId="6" r:id="rId4"/>
  </sheets>
  <calcPr calcId="15251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6" l="1"/>
  <c r="G18" i="6"/>
  <c r="F18" i="6"/>
  <c r="H17" i="6"/>
  <c r="G17" i="6"/>
  <c r="F17" i="6"/>
  <c r="H16" i="6"/>
  <c r="G16" i="6"/>
  <c r="F16" i="6"/>
  <c r="H14" i="6"/>
  <c r="G14" i="6"/>
  <c r="F14" i="6"/>
  <c r="H13" i="6"/>
  <c r="G13" i="6"/>
  <c r="F13" i="6"/>
  <c r="Q12" i="6"/>
  <c r="H12" i="6"/>
  <c r="G12" i="6"/>
  <c r="F12" i="6"/>
  <c r="H9" i="6"/>
  <c r="M15" i="6" s="1"/>
  <c r="G9" i="6"/>
  <c r="L15" i="6" s="1"/>
  <c r="F9" i="6"/>
  <c r="K15" i="6" s="1"/>
  <c r="H8" i="6"/>
  <c r="G8" i="6"/>
  <c r="L14" i="6" s="1"/>
  <c r="F8" i="6"/>
  <c r="K14" i="6" s="1"/>
  <c r="H7" i="6"/>
  <c r="M13" i="6" s="1"/>
  <c r="G7" i="6"/>
  <c r="F7" i="6"/>
  <c r="K13" i="6" s="1"/>
  <c r="H5" i="6"/>
  <c r="M11" i="6" s="1"/>
  <c r="G5" i="6"/>
  <c r="L11" i="6" s="1"/>
  <c r="F5" i="6"/>
  <c r="H4" i="6"/>
  <c r="M10" i="6" s="1"/>
  <c r="G4" i="6"/>
  <c r="L10" i="6" s="1"/>
  <c r="F4" i="6"/>
  <c r="K10" i="6" s="1"/>
  <c r="H3" i="6"/>
  <c r="M9" i="6" s="1"/>
  <c r="G3" i="6"/>
  <c r="L9" i="6" s="1"/>
  <c r="F3" i="6"/>
  <c r="K9" i="6" s="1"/>
  <c r="K11" i="6" l="1"/>
  <c r="L13" i="6"/>
  <c r="M14" i="6"/>
  <c r="P9" i="6"/>
  <c r="Q9" i="6" s="1"/>
  <c r="O9" i="6"/>
  <c r="P10" i="6"/>
  <c r="Q10" i="6" s="1"/>
  <c r="O10" i="6"/>
  <c r="O13" i="6"/>
  <c r="P13" i="6"/>
  <c r="Q13" i="6" s="1"/>
  <c r="P15" i="6"/>
  <c r="Q15" i="6" s="1"/>
  <c r="O15" i="6"/>
  <c r="P11" i="6"/>
  <c r="Q11" i="6" s="1"/>
  <c r="O11" i="6"/>
  <c r="P14" i="6"/>
  <c r="Q14" i="6" s="1"/>
  <c r="O14" i="6"/>
  <c r="G16" i="5"/>
  <c r="F16" i="5"/>
  <c r="E16" i="5"/>
  <c r="G15" i="5"/>
  <c r="F15" i="5"/>
  <c r="E15" i="5"/>
  <c r="G13" i="5"/>
  <c r="F13" i="5"/>
  <c r="E13" i="5"/>
  <c r="G12" i="5"/>
  <c r="F12" i="5"/>
  <c r="E12" i="5"/>
  <c r="G7" i="5"/>
  <c r="E7" i="5"/>
  <c r="K11" i="5" s="1"/>
  <c r="D7" i="5"/>
  <c r="C7" i="5"/>
  <c r="F7" i="5" s="1"/>
  <c r="L11" i="5" s="1"/>
  <c r="G6" i="5"/>
  <c r="M10" i="5" s="1"/>
  <c r="F6" i="5"/>
  <c r="L10" i="5" s="1"/>
  <c r="E6" i="5"/>
  <c r="G4" i="5"/>
  <c r="M8" i="5" s="1"/>
  <c r="F4" i="5"/>
  <c r="L8" i="5" s="1"/>
  <c r="E4" i="5"/>
  <c r="K8" i="5" s="1"/>
  <c r="G3" i="5"/>
  <c r="F3" i="5"/>
  <c r="L7" i="5" s="1"/>
  <c r="E3" i="5"/>
  <c r="K7" i="5" s="1"/>
  <c r="M7" i="5" l="1"/>
  <c r="K10" i="5"/>
  <c r="M11" i="5"/>
  <c r="P8" i="5"/>
  <c r="Q8" i="5"/>
  <c r="R8" i="5" s="1"/>
  <c r="Q7" i="5"/>
  <c r="R7" i="5" s="1"/>
  <c r="P7" i="5"/>
  <c r="P10" i="5"/>
  <c r="Q10" i="5"/>
  <c r="R10" i="5" s="1"/>
  <c r="P11" i="5"/>
  <c r="Q11" i="5"/>
  <c r="R11" i="5" s="1"/>
  <c r="H17" i="4" l="1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L8" i="4" s="1"/>
  <c r="F12" i="4"/>
  <c r="M9" i="4"/>
  <c r="H9" i="4"/>
  <c r="M13" i="4" s="1"/>
  <c r="G9" i="4"/>
  <c r="F9" i="4"/>
  <c r="K13" i="4" s="1"/>
  <c r="H8" i="4"/>
  <c r="G8" i="4"/>
  <c r="L12" i="4" s="1"/>
  <c r="F8" i="4"/>
  <c r="K12" i="4" s="1"/>
  <c r="H7" i="4"/>
  <c r="M11" i="4" s="1"/>
  <c r="G7" i="4"/>
  <c r="F7" i="4"/>
  <c r="K11" i="4" s="1"/>
  <c r="H6" i="4"/>
  <c r="M10" i="4" s="1"/>
  <c r="G6" i="4"/>
  <c r="L10" i="4" s="1"/>
  <c r="F6" i="4"/>
  <c r="H5" i="4"/>
  <c r="G5" i="4"/>
  <c r="F5" i="4"/>
  <c r="K9" i="4" s="1"/>
  <c r="H4" i="4"/>
  <c r="G4" i="4"/>
  <c r="F4" i="4"/>
  <c r="Q13" i="4" l="1"/>
  <c r="L9" i="4"/>
  <c r="Q9" i="4" s="1"/>
  <c r="M8" i="4"/>
  <c r="K10" i="4"/>
  <c r="L11" i="4"/>
  <c r="Q11" i="4" s="1"/>
  <c r="M12" i="4"/>
  <c r="R12" i="4" s="1"/>
  <c r="S12" i="4" s="1"/>
  <c r="L13" i="4"/>
  <c r="K8" i="4"/>
  <c r="Q10" i="4"/>
  <c r="R10" i="4"/>
  <c r="S10" i="4" s="1"/>
  <c r="R8" i="4"/>
  <c r="S8" i="4" s="1"/>
  <c r="Q8" i="4"/>
  <c r="R13" i="4"/>
  <c r="S13" i="4" s="1"/>
  <c r="R11" i="4"/>
  <c r="S11" i="4" s="1"/>
  <c r="R9" i="4" l="1"/>
  <c r="S9" i="4" s="1"/>
  <c r="Q12" i="4"/>
  <c r="F22" i="1"/>
  <c r="K22" i="1" s="1"/>
  <c r="L22" i="1" s="1"/>
  <c r="G22" i="1"/>
  <c r="H22" i="1"/>
  <c r="F21" i="1"/>
  <c r="K21" i="1" s="1"/>
  <c r="L21" i="1" s="1"/>
  <c r="G21" i="1"/>
  <c r="H21" i="1"/>
  <c r="F20" i="1"/>
  <c r="K20" i="1" s="1"/>
  <c r="L20" i="1" s="1"/>
  <c r="G20" i="1"/>
  <c r="H20" i="1"/>
  <c r="F19" i="1"/>
  <c r="K19" i="1" s="1"/>
  <c r="L19" i="1" s="1"/>
  <c r="G19" i="1"/>
  <c r="H19" i="1"/>
  <c r="F18" i="1"/>
  <c r="K18" i="1" s="1"/>
  <c r="L18" i="1" s="1"/>
  <c r="G18" i="1"/>
  <c r="H18" i="1"/>
  <c r="F17" i="1"/>
  <c r="K17" i="1" s="1"/>
  <c r="L17" i="1" s="1"/>
  <c r="G17" i="1"/>
  <c r="H17" i="1"/>
  <c r="J17" i="1"/>
  <c r="J18" i="1"/>
  <c r="J19" i="1"/>
  <c r="F8" i="1"/>
  <c r="G8" i="1"/>
  <c r="H8" i="1"/>
  <c r="K8" i="1"/>
  <c r="L8" i="1" s="1"/>
  <c r="F9" i="1"/>
  <c r="K9" i="1" s="1"/>
  <c r="L9" i="1" s="1"/>
  <c r="G9" i="1"/>
  <c r="H9" i="1"/>
  <c r="F10" i="1"/>
  <c r="G10" i="1"/>
  <c r="K10" i="1" s="1"/>
  <c r="L10" i="1" s="1"/>
  <c r="H10" i="1"/>
  <c r="F11" i="1"/>
  <c r="G11" i="1"/>
  <c r="H11" i="1"/>
  <c r="K11" i="1"/>
  <c r="L11" i="1" s="1"/>
  <c r="F12" i="1"/>
  <c r="G12" i="1"/>
  <c r="H12" i="1"/>
  <c r="K12" i="1"/>
  <c r="L12" i="1" s="1"/>
  <c r="F7" i="1"/>
  <c r="K7" i="1" s="1"/>
  <c r="L7" i="1" s="1"/>
  <c r="G7" i="1"/>
  <c r="H7" i="1"/>
  <c r="J8" i="1"/>
  <c r="J9" i="1"/>
  <c r="J10" i="1"/>
  <c r="J11" i="1"/>
  <c r="J12" i="1"/>
  <c r="J7" i="1"/>
  <c r="J21" i="1"/>
  <c r="J22" i="1"/>
  <c r="J20" i="1"/>
</calcChain>
</file>

<file path=xl/sharedStrings.xml><?xml version="1.0" encoding="utf-8"?>
<sst xmlns="http://schemas.openxmlformats.org/spreadsheetml/2006/main" count="101" uniqueCount="41">
  <si>
    <t>Activity</t>
  </si>
  <si>
    <t>set 1</t>
  </si>
  <si>
    <t>set 2</t>
  </si>
  <si>
    <t>tetramer</t>
  </si>
  <si>
    <t>monomer</t>
  </si>
  <si>
    <t>Standard Deviation</t>
  </si>
  <si>
    <t>Standard Error of Mean</t>
  </si>
  <si>
    <t>NORMALIZED TETRAMER</t>
  </si>
  <si>
    <t>NORMALIZED MONOMER</t>
  </si>
  <si>
    <t>Set 1</t>
  </si>
  <si>
    <t>Set 2</t>
  </si>
  <si>
    <t>Set 3</t>
  </si>
  <si>
    <t>time (min)</t>
  </si>
  <si>
    <t>time(min)</t>
  </si>
  <si>
    <t>AVERAGE NORMALIZED TETRAMER</t>
  </si>
  <si>
    <t>Average (Sets 1-3)</t>
  </si>
  <si>
    <t>TETRAMER (RAW)</t>
  </si>
  <si>
    <t>MONOMER (RAW)</t>
  </si>
  <si>
    <t>AVERAGE NORMALIZED MONOMER</t>
  </si>
  <si>
    <t>TETRAMER NORMALIZED AGAINST TETRAMER at TIME 0</t>
  </si>
  <si>
    <t>NORMALIZED MONOMER/NORMALIZED TETRAMER</t>
  </si>
  <si>
    <t>AVERAGE</t>
  </si>
  <si>
    <t>STANDARD DEVIATION</t>
  </si>
  <si>
    <t>STANDRAD ERROR of the MEAN</t>
  </si>
  <si>
    <t>MONOMER NORMALIZED AGAINST TETRAMER at TIME 0</t>
  </si>
  <si>
    <t>COOMASSIE (RAW)</t>
  </si>
  <si>
    <t>COOMASSIE NORMALIZED AGAINST TETRAMER at TIME 0</t>
  </si>
  <si>
    <t>TETRAMER</t>
  </si>
  <si>
    <t xml:space="preserve">0 min </t>
  </si>
  <si>
    <t>30 min</t>
  </si>
  <si>
    <t>MONOMER</t>
  </si>
  <si>
    <t>NORMALIZED ACTIVITY/COOMASSIE</t>
  </si>
  <si>
    <t>STANDARD ERROR OF THE MEAN</t>
  </si>
  <si>
    <t>0 min</t>
  </si>
  <si>
    <t>ACTIVITY (RAW)</t>
  </si>
  <si>
    <t>ACTIVITY NORMALIZED AGAINST TETRAMER at TIME 0</t>
  </si>
  <si>
    <t>COOMASSIE</t>
  </si>
  <si>
    <t>NORMALIZED PHOS-TAG/COOMASSIE</t>
  </si>
  <si>
    <t>STANDARD ERROR of the MEAN</t>
  </si>
  <si>
    <t>PHOS-TAG</t>
  </si>
  <si>
    <t>PHOS-TAG NORMALIZED AGAINST TETRAMER at TIME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</si>
</sst>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1" xfId="0" applyNumberFormat="1" applyFont="1" applyBorder="1"/>
    <xf numFmtId="2" fontId="0" fillId="0" borderId="2" xfId="0" applyNumberFormat="1" applyFont="1" applyBorder="1"/>
    <xf numFmtId="2" fontId="0" fillId="0" borderId="3" xfId="0" applyNumberFormat="1" applyFont="1" applyBorder="1"/>
    <xf numFmtId="2" fontId="0" fillId="0" borderId="1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4" xfId="0" applyNumberFormat="1" applyFont="1" applyBorder="1"/>
    <xf numFmtId="2" fontId="0" fillId="0" borderId="0" xfId="0" applyNumberFormat="1" applyFont="1" applyBorder="1"/>
    <xf numFmtId="2" fontId="0" fillId="0" borderId="5" xfId="0" applyNumberFormat="1" applyFont="1" applyBorder="1"/>
    <xf numFmtId="2" fontId="0" fillId="0" borderId="4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6" xfId="0" applyNumberFormat="1" applyFont="1" applyBorder="1"/>
    <xf numFmtId="2" fontId="0" fillId="0" borderId="7" xfId="0" applyNumberFormat="1" applyFont="1" applyBorder="1"/>
    <xf numFmtId="2" fontId="0" fillId="0" borderId="8" xfId="0" applyNumberFormat="1" applyFont="1" applyBorder="1"/>
    <xf numFmtId="2" fontId="0" fillId="0" borderId="6" xfId="0" applyNumberFormat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0000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tetramer</c:v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6D'!$L$7:$L$12</c:f>
                <c:numCache>
                  <c:formatCode>General</c:formatCode>
                  <c:ptCount val="6"/>
                  <c:pt idx="0">
                    <c:v>5.2441216017793716E-8</c:v>
                  </c:pt>
                  <c:pt idx="1">
                    <c:v>4.3877216986817014E-2</c:v>
                  </c:pt>
                  <c:pt idx="2">
                    <c:v>8.7812293092336347E-2</c:v>
                  </c:pt>
                  <c:pt idx="3">
                    <c:v>0.1296702393027957</c:v>
                  </c:pt>
                  <c:pt idx="4">
                    <c:v>7.7683147350284198E-2</c:v>
                  </c:pt>
                  <c:pt idx="5">
                    <c:v>0.12044631394616297</c:v>
                  </c:pt>
                </c:numCache>
              </c:numRef>
            </c:plus>
            <c:minus>
              <c:numRef>
                <c:f>'Figure 6D'!$L$7:$L$12</c:f>
                <c:numCache>
                  <c:formatCode>General</c:formatCode>
                  <c:ptCount val="6"/>
                  <c:pt idx="0">
                    <c:v>5.2441216017793716E-8</c:v>
                  </c:pt>
                  <c:pt idx="1">
                    <c:v>4.3877216986817014E-2</c:v>
                  </c:pt>
                  <c:pt idx="2">
                    <c:v>8.7812293092336347E-2</c:v>
                  </c:pt>
                  <c:pt idx="3">
                    <c:v>0.1296702393027957</c:v>
                  </c:pt>
                  <c:pt idx="4">
                    <c:v>7.7683147350284198E-2</c:v>
                  </c:pt>
                  <c:pt idx="5">
                    <c:v>0.12044631394616297</c:v>
                  </c:pt>
                </c:numCache>
              </c:numRef>
            </c:minus>
          </c:errBars>
          <c:cat>
            <c:numRef>
              <c:f>'Figure 6D'!$I$7:$I$12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</c:numCache>
            </c:numRef>
          </c:cat>
          <c:val>
            <c:numRef>
              <c:f>'Figure 6D'!$J$7:$J$12</c:f>
              <c:numCache>
                <c:formatCode>General</c:formatCode>
                <c:ptCount val="6"/>
                <c:pt idx="0">
                  <c:v>0.99999987509090482</c:v>
                </c:pt>
                <c:pt idx="1">
                  <c:v>1.0727430040213957</c:v>
                </c:pt>
                <c:pt idx="2">
                  <c:v>1.0442184536247769</c:v>
                </c:pt>
                <c:pt idx="3">
                  <c:v>0.91999973543529556</c:v>
                </c:pt>
                <c:pt idx="4">
                  <c:v>0.84441133974223914</c:v>
                </c:pt>
                <c:pt idx="5">
                  <c:v>0.57278030663252</c:v>
                </c:pt>
              </c:numCache>
            </c:numRef>
          </c:val>
        </c:ser>
        <c:ser>
          <c:idx val="1"/>
          <c:order val="1"/>
          <c:tx>
            <c:v>monomer</c:v>
          </c:tx>
          <c:spPr>
            <a:solidFill>
              <a:srgbClr val="8A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6D'!$L$17:$L$22</c:f>
                <c:numCache>
                  <c:formatCode>General</c:formatCode>
                  <c:ptCount val="6"/>
                  <c:pt idx="0">
                    <c:v>6.2879039947567843E-8</c:v>
                  </c:pt>
                  <c:pt idx="1">
                    <c:v>0.27557363833158538</c:v>
                  </c:pt>
                  <c:pt idx="2">
                    <c:v>0.24287125107499188</c:v>
                  </c:pt>
                  <c:pt idx="3">
                    <c:v>0.29197918643488674</c:v>
                  </c:pt>
                  <c:pt idx="4">
                    <c:v>0.36002814184583182</c:v>
                  </c:pt>
                  <c:pt idx="5">
                    <c:v>0.21487085368318512</c:v>
                  </c:pt>
                </c:numCache>
              </c:numRef>
            </c:plus>
            <c:minus>
              <c:numRef>
                <c:f>'Figure 6D'!$L$17:$L$22</c:f>
                <c:numCache>
                  <c:formatCode>General</c:formatCode>
                  <c:ptCount val="6"/>
                  <c:pt idx="0">
                    <c:v>6.2879039947567843E-8</c:v>
                  </c:pt>
                  <c:pt idx="1">
                    <c:v>0.27557363833158538</c:v>
                  </c:pt>
                  <c:pt idx="2">
                    <c:v>0.24287125107499188</c:v>
                  </c:pt>
                  <c:pt idx="3">
                    <c:v>0.29197918643488674</c:v>
                  </c:pt>
                  <c:pt idx="4">
                    <c:v>0.36002814184583182</c:v>
                  </c:pt>
                  <c:pt idx="5">
                    <c:v>0.21487085368318512</c:v>
                  </c:pt>
                </c:numCache>
              </c:numRef>
            </c:minus>
          </c:errBars>
          <c:val>
            <c:numRef>
              <c:f>'Figure 6D'!$J$17:$J$22</c:f>
              <c:numCache>
                <c:formatCode>General</c:formatCode>
                <c:ptCount val="6"/>
                <c:pt idx="0">
                  <c:v>1.0000001093683191</c:v>
                </c:pt>
                <c:pt idx="1">
                  <c:v>1.191421409886672</c:v>
                </c:pt>
                <c:pt idx="2">
                  <c:v>1.1569524418306492</c:v>
                </c:pt>
                <c:pt idx="3">
                  <c:v>1.6072855656073501</c:v>
                </c:pt>
                <c:pt idx="4">
                  <c:v>1.8602839222068503</c:v>
                </c:pt>
                <c:pt idx="5">
                  <c:v>2.3099706013376231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4727232"/>
        <c:axId val="-1584723424"/>
      </c:barChart>
      <c:catAx>
        <c:axId val="-158472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1584723424"/>
        <c:crosses val="autoZero"/>
        <c:auto val="1"/>
        <c:lblAlgn val="ctr"/>
        <c:lblOffset val="100"/>
        <c:noMultiLvlLbl val="0"/>
      </c:catAx>
      <c:valAx>
        <c:axId val="-1584723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abundance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crossAx val="-1584727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9A0000"/>
                </a:gs>
                <a:gs pos="84000">
                  <a:schemeClr val="tx1"/>
                </a:gs>
              </a:gsLst>
              <a:lin ang="0" scaled="1"/>
              <a:tileRect/>
            </a:gradFill>
          </c:spPr>
          <c:invertIfNegative val="0"/>
          <c:errBars>
            <c:errBarType val="plus"/>
            <c:errValType val="cust"/>
            <c:noEndCap val="0"/>
            <c:plus>
              <c:numRef>
                <c:f>'Figure 6E'!$S$8:$S$13</c:f>
                <c:numCache>
                  <c:formatCode>General</c:formatCode>
                  <c:ptCount val="6"/>
                  <c:pt idx="0">
                    <c:v>6.1544020836731016E-2</c:v>
                  </c:pt>
                  <c:pt idx="1">
                    <c:v>0.17629266767398752</c:v>
                  </c:pt>
                  <c:pt idx="2">
                    <c:v>0.21425391087881351</c:v>
                  </c:pt>
                  <c:pt idx="3">
                    <c:v>0.46663658805125136</c:v>
                  </c:pt>
                  <c:pt idx="4">
                    <c:v>0.19582183462086447</c:v>
                  </c:pt>
                  <c:pt idx="5">
                    <c:v>0.89274620597222965</c:v>
                  </c:pt>
                </c:numCache>
              </c:numRef>
            </c:plus>
            <c:minus>
              <c:numRef>
                <c:f>'Figure 6E'!$S$8:$S$13</c:f>
                <c:numCache>
                  <c:formatCode>General</c:formatCode>
                  <c:ptCount val="6"/>
                  <c:pt idx="0">
                    <c:v>6.1544020836731016E-2</c:v>
                  </c:pt>
                  <c:pt idx="1">
                    <c:v>0.17629266767398752</c:v>
                  </c:pt>
                  <c:pt idx="2">
                    <c:v>0.21425391087881351</c:v>
                  </c:pt>
                  <c:pt idx="3">
                    <c:v>0.46663658805125136</c:v>
                  </c:pt>
                  <c:pt idx="4">
                    <c:v>0.19582183462086447</c:v>
                  </c:pt>
                  <c:pt idx="5">
                    <c:v>0.89274620597222965</c:v>
                  </c:pt>
                </c:numCache>
              </c:numRef>
            </c:minus>
          </c:errBars>
          <c:cat>
            <c:numRef>
              <c:f>'Figure 6E'!$A$12:$A$17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</c:numCache>
            </c:numRef>
          </c:cat>
          <c:val>
            <c:numRef>
              <c:f>'Figure 6E'!$Q$8:$Q$13</c:f>
              <c:numCache>
                <c:formatCode>0.00</c:formatCode>
                <c:ptCount val="6"/>
                <c:pt idx="0">
                  <c:v>0.73163346887764902</c:v>
                </c:pt>
                <c:pt idx="1">
                  <c:v>0.93356183322637432</c:v>
                </c:pt>
                <c:pt idx="2">
                  <c:v>1.0062500376555479</c:v>
                </c:pt>
                <c:pt idx="3">
                  <c:v>1.5351247899309926</c:v>
                </c:pt>
                <c:pt idx="4">
                  <c:v>1.747360032974826</c:v>
                </c:pt>
                <c:pt idx="5">
                  <c:v>4.3313103107686199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4742464"/>
        <c:axId val="-1584741920"/>
      </c:barChart>
      <c:catAx>
        <c:axId val="-158474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1584741920"/>
        <c:crosses val="autoZero"/>
        <c:auto val="1"/>
        <c:lblAlgn val="ctr"/>
        <c:lblOffset val="100"/>
        <c:noMultiLvlLbl val="0"/>
      </c:catAx>
      <c:valAx>
        <c:axId val="-158474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Normalized</a:t>
                </a:r>
                <a:r>
                  <a:rPr lang="en-US" baseline="0"/>
                  <a:t> Monomer/Tetramer abundance</a:t>
                </a:r>
                <a:endParaRPr lang="en-US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-1584742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tetramer</c:v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6H'!$R$7:$R$8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5.4513856948679246E-2</c:v>
                  </c:pt>
                </c:numCache>
              </c:numRef>
            </c:plus>
            <c:minus>
              <c:numRef>
                <c:f>'Figure 6H'!$R$7:$R$8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5.4513856948679246E-2</c:v>
                  </c:pt>
                </c:numCache>
              </c:numRef>
            </c:minus>
          </c:errBars>
          <c:cat>
            <c:numLit>
              <c:formatCode>General</c:formatCode>
              <c:ptCount val="2"/>
              <c:pt idx="0">
                <c:v>0</c:v>
              </c:pt>
              <c:pt idx="1">
                <c:v>30</c:v>
              </c:pt>
            </c:numLit>
          </c:cat>
          <c:val>
            <c:numRef>
              <c:f>'Figure 6H'!$P$7:$P$8</c:f>
              <c:numCache>
                <c:formatCode>0.00</c:formatCode>
                <c:ptCount val="2"/>
                <c:pt idx="0">
                  <c:v>1</c:v>
                </c:pt>
                <c:pt idx="1">
                  <c:v>1.0664649193793736</c:v>
                </c:pt>
              </c:numCache>
            </c:numRef>
          </c:val>
        </c:ser>
        <c:ser>
          <c:idx val="1"/>
          <c:order val="1"/>
          <c:tx>
            <c:v>monomer</c:v>
          </c:tx>
          <c:spPr>
            <a:solidFill>
              <a:srgbClr val="8E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6H'!$R$10:$R$11</c:f>
                <c:numCache>
                  <c:formatCode>General</c:formatCode>
                  <c:ptCount val="2"/>
                  <c:pt idx="0">
                    <c:v>0.17884005639490855</c:v>
                  </c:pt>
                  <c:pt idx="1">
                    <c:v>0.58749537461044388</c:v>
                  </c:pt>
                </c:numCache>
              </c:numRef>
            </c:plus>
            <c:minus>
              <c:numRef>
                <c:f>'Figure 6H'!$R$10:$R$11</c:f>
                <c:numCache>
                  <c:formatCode>General</c:formatCode>
                  <c:ptCount val="2"/>
                  <c:pt idx="0">
                    <c:v>0.17884005639490855</c:v>
                  </c:pt>
                  <c:pt idx="1">
                    <c:v>0.58749537461044388</c:v>
                  </c:pt>
                </c:numCache>
              </c:numRef>
            </c:minus>
          </c:errBars>
          <c:cat>
            <c:numLit>
              <c:formatCode>General</c:formatCode>
              <c:ptCount val="2"/>
              <c:pt idx="0">
                <c:v>0</c:v>
              </c:pt>
              <c:pt idx="1">
                <c:v>30</c:v>
              </c:pt>
            </c:numLit>
          </c:cat>
          <c:val>
            <c:numRef>
              <c:f>'Figure 6H'!$P$10:$P$11</c:f>
              <c:numCache>
                <c:formatCode>0.00</c:formatCode>
                <c:ptCount val="2"/>
                <c:pt idx="0">
                  <c:v>1.997902082008822</c:v>
                </c:pt>
                <c:pt idx="1">
                  <c:v>15.880225473596047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4737024"/>
        <c:axId val="-1584720704"/>
      </c:barChart>
      <c:catAx>
        <c:axId val="-158473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1584720704"/>
        <c:crosses val="autoZero"/>
        <c:auto val="1"/>
        <c:lblAlgn val="ctr"/>
        <c:lblOffset val="100"/>
        <c:noMultiLvlLbl val="0"/>
      </c:catAx>
      <c:valAx>
        <c:axId val="-15847207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</a:t>
                </a:r>
                <a:r>
                  <a:rPr lang="en-US" baseline="0"/>
                  <a:t> Activity Normalized to Coomassie Stain</a:t>
                </a:r>
                <a:endParaRPr lang="en-US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-158473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217487801684287"/>
          <c:y val="5.5171697287839022E-2"/>
          <c:w val="0.24033459560053805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tetramer</c:v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6K'!$Q$9:$Q$11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1.717707731978876E-2</c:v>
                  </c:pt>
                  <c:pt idx="2">
                    <c:v>4.3403907502308929E-2</c:v>
                  </c:pt>
                </c:numCache>
              </c:numRef>
            </c:plus>
            <c:minus>
              <c:numRef>
                <c:f>'Figure 6K'!$Q$9:$Q$11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1.717707731978876E-2</c:v>
                  </c:pt>
                  <c:pt idx="2">
                    <c:v>4.3403907502308929E-2</c:v>
                  </c:pt>
                </c:numCache>
              </c:numRef>
            </c:minus>
          </c:errBars>
          <c:cat>
            <c:numRef>
              <c:f>'Figure 6K'!$E$16:$E$18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30</c:v>
                </c:pt>
              </c:numCache>
            </c:numRef>
          </c:cat>
          <c:val>
            <c:numRef>
              <c:f>'Figure 6K'!$O$9:$O$11</c:f>
              <c:numCache>
                <c:formatCode>General</c:formatCode>
                <c:ptCount val="3"/>
                <c:pt idx="0">
                  <c:v>1</c:v>
                </c:pt>
                <c:pt idx="1">
                  <c:v>0.97131451380865741</c:v>
                </c:pt>
                <c:pt idx="2">
                  <c:v>0.86972533958316267</c:v>
                </c:pt>
              </c:numCache>
            </c:numRef>
          </c:val>
        </c:ser>
        <c:ser>
          <c:idx val="1"/>
          <c:order val="1"/>
          <c:tx>
            <c:v>monomer</c:v>
          </c:tx>
          <c:spPr>
            <a:solidFill>
              <a:srgbClr val="99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'Figure 6K'!$Q$13:$Q$15</c:f>
                <c:numCache>
                  <c:formatCode>General</c:formatCode>
                  <c:ptCount val="3"/>
                  <c:pt idx="0">
                    <c:v>2.6682123972575447</c:v>
                  </c:pt>
                  <c:pt idx="1">
                    <c:v>3.3167558317454406</c:v>
                  </c:pt>
                  <c:pt idx="2">
                    <c:v>0.77271205788831554</c:v>
                  </c:pt>
                </c:numCache>
              </c:numRef>
            </c:plus>
            <c:minus>
              <c:numRef>
                <c:f>'Figure 6K'!$Q$13:$Q$15</c:f>
                <c:numCache>
                  <c:formatCode>General</c:formatCode>
                  <c:ptCount val="3"/>
                  <c:pt idx="0">
                    <c:v>2.6682123972575447</c:v>
                  </c:pt>
                  <c:pt idx="1">
                    <c:v>3.3167558317454406</c:v>
                  </c:pt>
                  <c:pt idx="2">
                    <c:v>0.77271205788831554</c:v>
                  </c:pt>
                </c:numCache>
              </c:numRef>
            </c:minus>
          </c:errBars>
          <c:val>
            <c:numRef>
              <c:f>'Figure 6K'!$O$13:$O$15</c:f>
              <c:numCache>
                <c:formatCode>General</c:formatCode>
                <c:ptCount val="3"/>
                <c:pt idx="0">
                  <c:v>22.611758432688656</c:v>
                </c:pt>
                <c:pt idx="1">
                  <c:v>40.17526863428666</c:v>
                </c:pt>
                <c:pt idx="2">
                  <c:v>5.8443111200722129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4731584"/>
        <c:axId val="-1521376816"/>
      </c:barChart>
      <c:catAx>
        <c:axId val="-158473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1521376816"/>
        <c:crosses val="autoZero"/>
        <c:auto val="1"/>
        <c:lblAlgn val="ctr"/>
        <c:lblOffset val="100"/>
        <c:noMultiLvlLbl val="0"/>
      </c:catAx>
      <c:valAx>
        <c:axId val="-15213768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Phosphorylation Normalized to Coomassie Stain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1584731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9936198600174984"/>
          <c:y val="0.19631743948673086"/>
          <c:w val="0.21344401542587368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24</xdr:row>
      <xdr:rowOff>133350</xdr:rowOff>
    </xdr:from>
    <xdr:to>
      <xdr:col>10</xdr:col>
      <xdr:colOff>295275</xdr:colOff>
      <xdr:row>45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0.81287</cdr:x>
      <cdr:y>0.09466</cdr:y>
    </cdr:from>
    <cdr:to>
      <cdr:x>0.92729</cdr:x>
      <cdr:y>0.32767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96050" y="3714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/>
            <a:t>**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18</xdr:row>
      <xdr:rowOff>185736</xdr:rowOff>
    </xdr:from>
    <xdr:to>
      <xdr:col>7</xdr:col>
      <xdr:colOff>428625</xdr:colOff>
      <xdr:row>33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0.85625</cdr:x>
      <cdr:y>0.06914</cdr:y>
    </cdr:from>
    <cdr:to>
      <cdr:x>0.94792</cdr:x>
      <cdr:y>0.1602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14775" y="195264"/>
          <a:ext cx="4191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***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300037</xdr:colOff>
      <xdr:row>18</xdr:row>
      <xdr:rowOff>100012</xdr:rowOff>
    </xdr:from>
    <xdr:to>
      <xdr:col>4</xdr:col>
      <xdr:colOff>571500</xdr:colOff>
      <xdr:row>32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633412</xdr:colOff>
      <xdr:row>19</xdr:row>
      <xdr:rowOff>176212</xdr:rowOff>
    </xdr:from>
    <xdr:to>
      <xdr:col>5</xdr:col>
      <xdr:colOff>504825</xdr:colOff>
      <xdr:row>34</xdr:row>
      <xdr:rowOff>61912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114300</xdr:colOff>
      <xdr:row>20</xdr:row>
      <xdr:rowOff>171450</xdr:rowOff>
    </xdr:from>
    <xdr:ext cx="395493" cy="264560"/>
    <xdr:sp macro="" textlink="">
      <xdr:nvSpPr>
        <xdr:cNvPr id="3" name="TextBox 2"/>
        <xdr:cNvSpPr txBox="1"/>
      </xdr:nvSpPr>
      <xdr:spPr>
        <a:xfrm>
          <a:off x="2124075" y="3981450"/>
          <a:ext cx="395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***</a:t>
          </a:r>
        </a:p>
      </xdr:txBody>
    </xdr:sp>
    <xdr:clientData/>
  </xdr:oneCellAnchor>
  <xdr:oneCellAnchor>
    <xdr:from>
      <xdr:col>4</xdr:col>
      <xdr:colOff>57150</xdr:colOff>
      <xdr:row>28</xdr:row>
      <xdr:rowOff>76200</xdr:rowOff>
    </xdr:from>
    <xdr:ext cx="395493" cy="264560"/>
    <xdr:sp macro="" textlink="">
      <xdr:nvSpPr>
        <xdr:cNvPr id="4" name="TextBox 3"/>
        <xdr:cNvSpPr txBox="1"/>
      </xdr:nvSpPr>
      <xdr:spPr>
        <a:xfrm>
          <a:off x="2676525" y="5410200"/>
          <a:ext cx="3954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***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88"/>
  <sheetViews>
    <sheetView topLeftCell="A7" workbookViewId="0">
      <selection activeCell="K26" sqref="K26"/>
    </sheetView>
  </sheetViews>
  <sheetFormatPr defaultColWidth="8.85546875" defaultRowHeight="15" x14ac:dyDescent="0.25"/>
  <cols>
    <col min="1" max="1" width="20.28515625" customWidth="1"/>
    <col min="9" max="9" width="14.140625" customWidth="1"/>
    <col min="10" max="10" width="23.28515625" customWidth="1"/>
    <col min="11" max="11" width="21" customWidth="1"/>
    <col min="13" max="14" width="12" bestFit="1" customWidth="1"/>
  </cols>
  <sheetData>
    <row r="4" spans="1:13" x14ac:dyDescent="0.25">
      <c r="E4" s="2"/>
    </row>
    <row r="5" spans="1:13" x14ac:dyDescent="0.25">
      <c r="A5" s="2" t="s">
        <v>16</v>
      </c>
      <c r="E5" s="2" t="s">
        <v>7</v>
      </c>
      <c r="I5" s="2" t="s">
        <v>14</v>
      </c>
    </row>
    <row r="6" spans="1:13" x14ac:dyDescent="0.25">
      <c r="A6" s="4" t="s">
        <v>12</v>
      </c>
      <c r="B6" s="5" t="s">
        <v>9</v>
      </c>
      <c r="C6" s="5" t="s">
        <v>10</v>
      </c>
      <c r="D6" s="6" t="s">
        <v>11</v>
      </c>
      <c r="E6" s="13" t="s">
        <v>13</v>
      </c>
      <c r="F6" s="14" t="s">
        <v>9</v>
      </c>
      <c r="G6" s="14" t="s">
        <v>10</v>
      </c>
      <c r="H6" s="15" t="s">
        <v>11</v>
      </c>
      <c r="I6" s="13" t="s">
        <v>13</v>
      </c>
      <c r="J6" s="5" t="s">
        <v>15</v>
      </c>
      <c r="K6" s="5" t="s">
        <v>5</v>
      </c>
      <c r="L6" s="5" t="s">
        <v>6</v>
      </c>
      <c r="M6" s="6"/>
    </row>
    <row r="7" spans="1:13" x14ac:dyDescent="0.25">
      <c r="A7" s="7">
        <v>0</v>
      </c>
      <c r="B7" s="8">
        <v>46258.538</v>
      </c>
      <c r="C7" s="8">
        <v>36777.856</v>
      </c>
      <c r="D7" s="9">
        <v>22448.605</v>
      </c>
      <c r="E7" s="16"/>
      <c r="F7" s="17">
        <f t="shared" ref="F7:F12" si="0">B7/46258.54</f>
        <v>0.99999995676474007</v>
      </c>
      <c r="G7" s="17">
        <f t="shared" ref="G7:G12" si="1">C7/36777.86</f>
        <v>0.99999989123891386</v>
      </c>
      <c r="H7" s="18">
        <f t="shared" ref="H7:H12" si="2">D7/22448.61</f>
        <v>0.99999977726906031</v>
      </c>
      <c r="I7" s="7">
        <v>0</v>
      </c>
      <c r="J7" s="8">
        <f t="shared" ref="J7:J12" si="3">AVERAGE(F7, G7, H7)</f>
        <v>0.99999987509090482</v>
      </c>
      <c r="K7" s="8">
        <f t="shared" ref="K7:K12" si="4">STDEV(F7:H7)</f>
        <v>9.0830850553513545E-8</v>
      </c>
      <c r="L7" s="8">
        <f>K7/SQRT(3)</f>
        <v>5.2441216017793716E-8</v>
      </c>
      <c r="M7" s="9"/>
    </row>
    <row r="8" spans="1:13" x14ac:dyDescent="0.25">
      <c r="A8" s="7">
        <v>5</v>
      </c>
      <c r="B8" s="8">
        <v>48117.73</v>
      </c>
      <c r="C8" s="8">
        <v>42647.404000000002</v>
      </c>
      <c r="D8" s="9">
        <v>22862.634999999998</v>
      </c>
      <c r="E8" s="16"/>
      <c r="F8" s="17">
        <f t="shared" si="0"/>
        <v>1.0401912814368979</v>
      </c>
      <c r="G8" s="17">
        <f t="shared" si="1"/>
        <v>1.1595944951663855</v>
      </c>
      <c r="H8" s="18">
        <f t="shared" si="2"/>
        <v>1.0184432354609037</v>
      </c>
      <c r="I8" s="7">
        <v>5</v>
      </c>
      <c r="J8" s="8">
        <f t="shared" si="3"/>
        <v>1.0727430040213957</v>
      </c>
      <c r="K8" s="8">
        <f t="shared" si="4"/>
        <v>7.599756911589127E-2</v>
      </c>
      <c r="L8" s="8">
        <f t="shared" ref="L8:L12" si="5">K8/SQRT(3)</f>
        <v>4.3877216986817014E-2</v>
      </c>
      <c r="M8" s="9"/>
    </row>
    <row r="9" spans="1:13" x14ac:dyDescent="0.25">
      <c r="A9" s="7">
        <v>10</v>
      </c>
      <c r="B9" s="8">
        <v>44598.294999999998</v>
      </c>
      <c r="C9" s="8">
        <v>44855.161</v>
      </c>
      <c r="D9" s="9">
        <v>21301.977999999999</v>
      </c>
      <c r="E9" s="16"/>
      <c r="F9" s="17">
        <f t="shared" si="0"/>
        <v>0.9641094379545917</v>
      </c>
      <c r="G9" s="17">
        <f t="shared" si="1"/>
        <v>1.2196240074871132</v>
      </c>
      <c r="H9" s="18">
        <f t="shared" si="2"/>
        <v>0.94892191543262583</v>
      </c>
      <c r="I9" s="7">
        <v>10</v>
      </c>
      <c r="J9" s="8">
        <f t="shared" si="3"/>
        <v>1.0442184536247769</v>
      </c>
      <c r="K9" s="8">
        <f t="shared" si="4"/>
        <v>0.1520953531650561</v>
      </c>
      <c r="L9" s="8">
        <f t="shared" si="5"/>
        <v>8.7812293092336347E-2</v>
      </c>
      <c r="M9" s="9"/>
    </row>
    <row r="10" spans="1:13" x14ac:dyDescent="0.25">
      <c r="A10" s="7">
        <v>15</v>
      </c>
      <c r="B10" s="8">
        <v>32249.332999999999</v>
      </c>
      <c r="C10" s="8">
        <v>42158.646999999997</v>
      </c>
      <c r="D10" s="9">
        <v>20575.048999999999</v>
      </c>
      <c r="E10" s="16"/>
      <c r="F10" s="17">
        <f t="shared" si="0"/>
        <v>0.69715414710451296</v>
      </c>
      <c r="G10" s="17">
        <f t="shared" si="1"/>
        <v>1.1463050596201083</v>
      </c>
      <c r="H10" s="18">
        <f t="shared" si="2"/>
        <v>0.91653999958126575</v>
      </c>
      <c r="I10" s="7">
        <v>15</v>
      </c>
      <c r="J10" s="8">
        <f t="shared" si="3"/>
        <v>0.91999973543529556</v>
      </c>
      <c r="K10" s="8">
        <f t="shared" si="4"/>
        <v>0.22459544270205684</v>
      </c>
      <c r="L10" s="8">
        <f t="shared" si="5"/>
        <v>0.1296702393027957</v>
      </c>
      <c r="M10" s="9"/>
    </row>
    <row r="11" spans="1:13" x14ac:dyDescent="0.25">
      <c r="A11" s="7">
        <v>20</v>
      </c>
      <c r="B11" s="8">
        <v>31936.253000000001</v>
      </c>
      <c r="C11" s="8">
        <v>34536.777000000002</v>
      </c>
      <c r="D11" s="9">
        <v>20288.685000000001</v>
      </c>
      <c r="E11" s="16"/>
      <c r="F11" s="17">
        <f t="shared" si="0"/>
        <v>0.69038609951805652</v>
      </c>
      <c r="G11" s="17">
        <f t="shared" si="1"/>
        <v>0.93906434468998468</v>
      </c>
      <c r="H11" s="18">
        <f t="shared" si="2"/>
        <v>0.90378357501867601</v>
      </c>
      <c r="I11" s="7">
        <v>20</v>
      </c>
      <c r="J11" s="8">
        <f t="shared" si="3"/>
        <v>0.84441133974223914</v>
      </c>
      <c r="K11" s="8">
        <f t="shared" si="4"/>
        <v>0.13455115810255183</v>
      </c>
      <c r="L11" s="8">
        <f t="shared" si="5"/>
        <v>7.7683147350284198E-2</v>
      </c>
      <c r="M11" s="9"/>
    </row>
    <row r="12" spans="1:13" x14ac:dyDescent="0.25">
      <c r="A12" s="10">
        <v>30</v>
      </c>
      <c r="B12" s="11">
        <v>16381.999</v>
      </c>
      <c r="C12" s="11">
        <v>21865.401000000002</v>
      </c>
      <c r="D12" s="12">
        <v>17278.128000000001</v>
      </c>
      <c r="E12" s="19"/>
      <c r="F12" s="20">
        <f t="shared" si="0"/>
        <v>0.35413999231277077</v>
      </c>
      <c r="G12" s="20">
        <f t="shared" si="1"/>
        <v>0.5945261904852539</v>
      </c>
      <c r="H12" s="21">
        <f t="shared" si="2"/>
        <v>0.76967473709953538</v>
      </c>
      <c r="I12" s="10">
        <v>30</v>
      </c>
      <c r="J12" s="11">
        <f t="shared" si="3"/>
        <v>0.57278030663252</v>
      </c>
      <c r="K12" s="11">
        <f t="shared" si="4"/>
        <v>0.20861913533914608</v>
      </c>
      <c r="L12" s="11">
        <f t="shared" si="5"/>
        <v>0.12044631394616297</v>
      </c>
      <c r="M12" s="12"/>
    </row>
    <row r="14" spans="1:13" x14ac:dyDescent="0.25">
      <c r="A14" s="2"/>
      <c r="E14" s="2"/>
    </row>
    <row r="15" spans="1:13" x14ac:dyDescent="0.25">
      <c r="A15" s="2" t="s">
        <v>17</v>
      </c>
      <c r="E15" s="2" t="s">
        <v>8</v>
      </c>
      <c r="F15" s="1"/>
      <c r="G15" s="1"/>
      <c r="H15" s="1"/>
      <c r="I15" s="2" t="s">
        <v>18</v>
      </c>
      <c r="J15" s="1"/>
      <c r="K15" s="1"/>
      <c r="L15" s="1"/>
      <c r="M15" s="1"/>
    </row>
    <row r="16" spans="1:13" x14ac:dyDescent="0.25">
      <c r="A16" s="4"/>
      <c r="B16" s="5" t="s">
        <v>9</v>
      </c>
      <c r="C16" s="5" t="s">
        <v>10</v>
      </c>
      <c r="D16" s="6" t="s">
        <v>11</v>
      </c>
      <c r="E16" s="13" t="s">
        <v>13</v>
      </c>
      <c r="F16" s="14" t="s">
        <v>9</v>
      </c>
      <c r="G16" s="14" t="s">
        <v>10</v>
      </c>
      <c r="H16" s="15" t="s">
        <v>11</v>
      </c>
      <c r="I16" s="13" t="s">
        <v>13</v>
      </c>
      <c r="J16" s="5" t="s">
        <v>15</v>
      </c>
      <c r="K16" s="5" t="s">
        <v>5</v>
      </c>
      <c r="L16" s="6" t="s">
        <v>6</v>
      </c>
      <c r="M16" s="6"/>
    </row>
    <row r="17" spans="1:13" x14ac:dyDescent="0.25">
      <c r="A17" s="7">
        <v>0</v>
      </c>
      <c r="B17" s="8">
        <v>27200.663</v>
      </c>
      <c r="C17" s="8">
        <v>6948.7939999999999</v>
      </c>
      <c r="D17" s="9">
        <v>13773.253000000001</v>
      </c>
      <c r="E17" s="16">
        <v>0</v>
      </c>
      <c r="F17" s="17">
        <f t="shared" ref="F17:F22" si="6">B17/27200.66</f>
        <v>1.0000001102914415</v>
      </c>
      <c r="G17" s="17">
        <f t="shared" ref="G17:G22" si="7">C17/6948.794</f>
        <v>1</v>
      </c>
      <c r="H17" s="18">
        <f t="shared" ref="H17:H22" si="8">D17/13773.25</f>
        <v>1.0000002178135154</v>
      </c>
      <c r="I17" s="7">
        <v>0</v>
      </c>
      <c r="J17" s="8">
        <f t="shared" ref="J17:J22" si="9">(F17+G17+H17)/3</f>
        <v>1.0000001093683191</v>
      </c>
      <c r="K17" s="8">
        <f>STDEV(F17:H17)</f>
        <v>1.0890969192034057E-7</v>
      </c>
      <c r="L17" s="8">
        <f>K17/SQRT(3)</f>
        <v>6.2879039947567843E-8</v>
      </c>
      <c r="M17" s="9"/>
    </row>
    <row r="18" spans="1:13" x14ac:dyDescent="0.25">
      <c r="A18" s="7">
        <v>5</v>
      </c>
      <c r="B18" s="8">
        <v>43752.188999999998</v>
      </c>
      <c r="C18" s="8">
        <v>8998.0370000000003</v>
      </c>
      <c r="D18" s="9">
        <v>9239.9310000000005</v>
      </c>
      <c r="E18" s="16">
        <v>5</v>
      </c>
      <c r="F18" s="17">
        <f t="shared" si="6"/>
        <v>1.6084973305794785</v>
      </c>
      <c r="G18" s="17">
        <f t="shared" si="7"/>
        <v>1.2949062815792209</v>
      </c>
      <c r="H18" s="18">
        <f t="shared" si="8"/>
        <v>0.67086061750131598</v>
      </c>
      <c r="I18" s="7">
        <v>5</v>
      </c>
      <c r="J18" s="8">
        <f t="shared" si="9"/>
        <v>1.191421409886672</v>
      </c>
      <c r="K18" s="8">
        <f t="shared" ref="K18:K22" si="10">STDEV(F18:H18)</f>
        <v>0.47730754281691612</v>
      </c>
      <c r="L18" s="8">
        <f t="shared" ref="L18:L22" si="11">K18/SQRT(3)</f>
        <v>0.27557363833158538</v>
      </c>
      <c r="M18" s="9"/>
    </row>
    <row r="19" spans="1:13" x14ac:dyDescent="0.25">
      <c r="A19" s="7">
        <v>10</v>
      </c>
      <c r="B19" s="8">
        <v>41692.277999999998</v>
      </c>
      <c r="C19" s="8">
        <v>8585.6730000000007</v>
      </c>
      <c r="D19" s="9">
        <v>9676.0820000000003</v>
      </c>
      <c r="E19" s="16">
        <v>10</v>
      </c>
      <c r="F19" s="17">
        <f t="shared" si="6"/>
        <v>1.5327671460913079</v>
      </c>
      <c r="G19" s="17">
        <f t="shared" si="7"/>
        <v>1.2355630343912916</v>
      </c>
      <c r="H19" s="18">
        <f t="shared" si="8"/>
        <v>0.70252714500934788</v>
      </c>
      <c r="I19" s="7">
        <v>10</v>
      </c>
      <c r="J19" s="8">
        <f t="shared" si="9"/>
        <v>1.1569524418306492</v>
      </c>
      <c r="K19" s="8">
        <f t="shared" si="10"/>
        <v>0.42066534655970322</v>
      </c>
      <c r="L19" s="8">
        <f t="shared" si="11"/>
        <v>0.24287125107499188</v>
      </c>
      <c r="M19" s="9"/>
    </row>
    <row r="20" spans="1:13" x14ac:dyDescent="0.25">
      <c r="A20" s="7">
        <v>15</v>
      </c>
      <c r="B20" s="8">
        <v>57621.008999999998</v>
      </c>
      <c r="C20" s="8">
        <v>11092.986000000001</v>
      </c>
      <c r="D20" s="9">
        <v>15248.344999999999</v>
      </c>
      <c r="E20" s="16">
        <v>15</v>
      </c>
      <c r="F20" s="17">
        <f t="shared" si="6"/>
        <v>2.1183680469518018</v>
      </c>
      <c r="G20" s="17">
        <f t="shared" si="7"/>
        <v>1.5963901074056881</v>
      </c>
      <c r="H20" s="18">
        <f t="shared" si="8"/>
        <v>1.1070985424645599</v>
      </c>
      <c r="I20" s="7">
        <v>15</v>
      </c>
      <c r="J20" s="8">
        <f t="shared" si="9"/>
        <v>1.6072855656073501</v>
      </c>
      <c r="K20" s="8">
        <f t="shared" si="10"/>
        <v>0.50572278565784934</v>
      </c>
      <c r="L20" s="8">
        <f t="shared" si="11"/>
        <v>0.29197918643488674</v>
      </c>
      <c r="M20" s="9"/>
    </row>
    <row r="21" spans="1:13" x14ac:dyDescent="0.25">
      <c r="A21" s="7">
        <v>20</v>
      </c>
      <c r="B21" s="8">
        <v>54268.987999999998</v>
      </c>
      <c r="C21" s="8">
        <v>16714.714</v>
      </c>
      <c r="D21" s="9">
        <v>16256.63</v>
      </c>
      <c r="E21" s="16">
        <v>20</v>
      </c>
      <c r="F21" s="17">
        <f t="shared" si="6"/>
        <v>1.9951349709896744</v>
      </c>
      <c r="G21" s="17">
        <f t="shared" si="7"/>
        <v>2.4054122197319421</v>
      </c>
      <c r="H21" s="18">
        <f t="shared" si="8"/>
        <v>1.1803045758989346</v>
      </c>
      <c r="I21" s="7">
        <v>20</v>
      </c>
      <c r="J21" s="8">
        <f t="shared" si="9"/>
        <v>1.8602839222068503</v>
      </c>
      <c r="K21" s="8">
        <f t="shared" si="10"/>
        <v>0.62358703383159531</v>
      </c>
      <c r="L21" s="8">
        <f t="shared" si="11"/>
        <v>0.36002814184583182</v>
      </c>
      <c r="M21" s="9"/>
    </row>
    <row r="22" spans="1:13" x14ac:dyDescent="0.25">
      <c r="A22" s="10">
        <v>30</v>
      </c>
      <c r="B22" s="11">
        <v>70336.180999999997</v>
      </c>
      <c r="C22" s="11">
        <v>17076.057000000001</v>
      </c>
      <c r="D22" s="12">
        <v>25985.612000000001</v>
      </c>
      <c r="E22" s="19">
        <v>30</v>
      </c>
      <c r="F22" s="20">
        <f t="shared" si="6"/>
        <v>2.5858262630392055</v>
      </c>
      <c r="G22" s="20">
        <f t="shared" si="7"/>
        <v>2.4574130417450859</v>
      </c>
      <c r="H22" s="21">
        <f t="shared" si="8"/>
        <v>1.8866724992285773</v>
      </c>
      <c r="I22" s="10">
        <v>30</v>
      </c>
      <c r="J22" s="11">
        <f t="shared" si="9"/>
        <v>2.3099706013376231</v>
      </c>
      <c r="K22" s="11">
        <f t="shared" si="10"/>
        <v>0.37216723564497484</v>
      </c>
      <c r="L22" s="11">
        <f t="shared" si="11"/>
        <v>0.21487085368318512</v>
      </c>
      <c r="M22" s="12"/>
    </row>
    <row r="37" spans="1:10" x14ac:dyDescent="0.25">
      <c r="A37" s="2"/>
      <c r="E37" s="2"/>
      <c r="F37" s="2"/>
    </row>
    <row r="38" spans="1:10" x14ac:dyDescent="0.25">
      <c r="A38" s="2"/>
      <c r="E38" s="2"/>
      <c r="F38" s="2"/>
      <c r="I38" s="1"/>
      <c r="J38" s="1"/>
    </row>
    <row r="39" spans="1:10" x14ac:dyDescent="0.25">
      <c r="A39" s="2"/>
      <c r="E39" s="2"/>
      <c r="F39" s="2"/>
      <c r="G39" s="1"/>
    </row>
    <row r="40" spans="1:10" x14ac:dyDescent="0.25">
      <c r="A40" s="2"/>
      <c r="E40" s="2"/>
      <c r="F40" s="2"/>
      <c r="G40" s="1"/>
    </row>
    <row r="41" spans="1:10" x14ac:dyDescent="0.25">
      <c r="A41" s="2"/>
      <c r="E41" s="2"/>
      <c r="F41" s="2"/>
      <c r="G41" s="1"/>
    </row>
    <row r="42" spans="1:10" x14ac:dyDescent="0.25">
      <c r="A42" s="2"/>
      <c r="E42" s="2"/>
      <c r="F42" s="2"/>
      <c r="G42" s="1"/>
    </row>
    <row r="43" spans="1:10" x14ac:dyDescent="0.25">
      <c r="A43" s="2"/>
      <c r="B43" s="2"/>
      <c r="C43" s="2"/>
      <c r="D43" s="2"/>
      <c r="E43" s="2"/>
      <c r="F43" s="2"/>
      <c r="G43" s="1"/>
    </row>
    <row r="44" spans="1:10" x14ac:dyDescent="0.25">
      <c r="A44" s="2"/>
      <c r="B44" s="2"/>
      <c r="C44" s="2"/>
      <c r="D44" s="2"/>
      <c r="E44" s="2"/>
      <c r="F44" s="2"/>
      <c r="G44" s="1"/>
    </row>
    <row r="45" spans="1:10" x14ac:dyDescent="0.25">
      <c r="A45" s="2"/>
      <c r="B45" s="2"/>
      <c r="C45" s="2"/>
      <c r="D45" s="2"/>
      <c r="E45" s="2"/>
      <c r="F45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 t="s">
        <v>0</v>
      </c>
      <c r="B76" s="2"/>
      <c r="C76" s="2" t="s">
        <v>1</v>
      </c>
      <c r="D76" s="2" t="s">
        <v>2</v>
      </c>
      <c r="E76" s="2"/>
    </row>
    <row r="77" spans="1:5" x14ac:dyDescent="0.25">
      <c r="A77" s="2" t="s">
        <v>3</v>
      </c>
      <c r="B77" s="2">
        <v>0</v>
      </c>
      <c r="C77" s="3">
        <v>1.000000037</v>
      </c>
      <c r="D77" s="3">
        <v>1</v>
      </c>
      <c r="E77" s="2"/>
    </row>
    <row r="78" spans="1:5" x14ac:dyDescent="0.25">
      <c r="A78" s="2"/>
      <c r="B78" s="2">
        <v>30</v>
      </c>
      <c r="C78" s="3">
        <v>1.165794105</v>
      </c>
      <c r="D78" s="3">
        <v>0.97758975299999995</v>
      </c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 t="s">
        <v>4</v>
      </c>
      <c r="B80" s="2">
        <v>0</v>
      </c>
      <c r="C80" s="2">
        <v>2.2830170000000001</v>
      </c>
      <c r="D80" s="2">
        <v>1.644835</v>
      </c>
      <c r="E80" s="2"/>
    </row>
    <row r="81" spans="1:5" x14ac:dyDescent="0.25">
      <c r="A81" s="2"/>
      <c r="B81" s="2">
        <v>30</v>
      </c>
      <c r="C81" s="2">
        <v>14.757110000000001</v>
      </c>
      <c r="D81" s="2">
        <v>16.115580000000001</v>
      </c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"/>
  <sheetViews>
    <sheetView workbookViewId="0">
      <selection activeCell="J28" sqref="J28"/>
    </sheetView>
  </sheetViews>
  <sheetFormatPr defaultRowHeight="15" x14ac:dyDescent="0.25"/>
  <cols>
    <col min="1" max="7" width="9.140625" style="1"/>
    <col min="8" max="8" width="11.7109375" style="1" customWidth="1"/>
    <col min="9" max="16" width="9.140625" style="1"/>
    <col min="17" max="17" width="11.140625" style="1" customWidth="1"/>
    <col min="18" max="18" width="21.5703125" style="1" customWidth="1"/>
    <col min="19" max="19" width="28.42578125" style="1" customWidth="1"/>
    <col min="20" max="16384" width="9.140625" style="1"/>
  </cols>
  <sheetData>
    <row r="2" spans="1:22" x14ac:dyDescent="0.25">
      <c r="A2" s="2" t="s">
        <v>16</v>
      </c>
      <c r="E2" s="2" t="s">
        <v>19</v>
      </c>
      <c r="I2" s="2"/>
    </row>
    <row r="3" spans="1:22" x14ac:dyDescent="0.25">
      <c r="A3" s="4" t="s">
        <v>12</v>
      </c>
      <c r="B3" s="5" t="s">
        <v>9</v>
      </c>
      <c r="C3" s="5" t="s">
        <v>10</v>
      </c>
      <c r="D3" s="6" t="s">
        <v>11</v>
      </c>
      <c r="E3" s="13" t="s">
        <v>13</v>
      </c>
      <c r="F3" s="14" t="s">
        <v>9</v>
      </c>
      <c r="G3" s="14" t="s">
        <v>10</v>
      </c>
      <c r="H3" s="15" t="s">
        <v>11</v>
      </c>
      <c r="I3" s="17"/>
      <c r="J3" s="8"/>
      <c r="K3" s="8"/>
      <c r="L3" s="8"/>
      <c r="M3" s="8"/>
    </row>
    <row r="4" spans="1:22" x14ac:dyDescent="0.25">
      <c r="A4" s="7">
        <v>0</v>
      </c>
      <c r="B4" s="8">
        <v>21809</v>
      </c>
      <c r="C4" s="8">
        <v>22665</v>
      </c>
      <c r="D4" s="9">
        <v>22387</v>
      </c>
      <c r="E4" s="7">
        <v>0</v>
      </c>
      <c r="F4" s="22">
        <f t="shared" ref="F4:F9" si="0">B4/21809</f>
        <v>1</v>
      </c>
      <c r="G4" s="22">
        <f t="shared" ref="G4:G9" si="1">C4/22665</f>
        <v>1</v>
      </c>
      <c r="H4" s="23">
        <f t="shared" ref="H4:H9" si="2">D4/22387</f>
        <v>1</v>
      </c>
      <c r="I4" s="24"/>
    </row>
    <row r="5" spans="1:22" x14ac:dyDescent="0.25">
      <c r="A5" s="7">
        <v>5</v>
      </c>
      <c r="B5" s="8">
        <v>22860</v>
      </c>
      <c r="C5" s="8">
        <v>29390</v>
      </c>
      <c r="D5" s="9">
        <v>26428</v>
      </c>
      <c r="E5" s="7">
        <v>5</v>
      </c>
      <c r="F5" s="22">
        <f t="shared" si="0"/>
        <v>1.0481911137603741</v>
      </c>
      <c r="G5" s="22">
        <f t="shared" si="1"/>
        <v>1.2967129936024708</v>
      </c>
      <c r="H5" s="23">
        <f t="shared" si="2"/>
        <v>1.1805065439764149</v>
      </c>
      <c r="I5" s="24"/>
    </row>
    <row r="6" spans="1:22" x14ac:dyDescent="0.25">
      <c r="A6" s="7">
        <v>10</v>
      </c>
      <c r="B6" s="8">
        <v>20421</v>
      </c>
      <c r="C6" s="8">
        <v>30601</v>
      </c>
      <c r="D6" s="9">
        <v>25913</v>
      </c>
      <c r="E6" s="7">
        <v>10</v>
      </c>
      <c r="F6" s="22">
        <f t="shared" si="0"/>
        <v>0.93635655004814522</v>
      </c>
      <c r="G6" s="22">
        <f t="shared" si="1"/>
        <v>1.3501433928965365</v>
      </c>
      <c r="H6" s="23">
        <f t="shared" si="2"/>
        <v>1.1575021217670969</v>
      </c>
      <c r="I6" s="24"/>
      <c r="L6" s="2"/>
      <c r="M6" s="2"/>
      <c r="N6" s="2"/>
      <c r="O6" s="2"/>
      <c r="V6" s="2"/>
    </row>
    <row r="7" spans="1:22" x14ac:dyDescent="0.25">
      <c r="A7" s="7">
        <v>15</v>
      </c>
      <c r="B7" s="8">
        <v>15680</v>
      </c>
      <c r="C7" s="8">
        <v>31050</v>
      </c>
      <c r="D7" s="9">
        <v>23415</v>
      </c>
      <c r="E7" s="7">
        <v>15</v>
      </c>
      <c r="F7" s="22">
        <f t="shared" si="0"/>
        <v>0.71896923288550596</v>
      </c>
      <c r="G7" s="22">
        <f t="shared" si="1"/>
        <v>1.3699536730641959</v>
      </c>
      <c r="H7" s="23">
        <f t="shared" si="2"/>
        <v>1.0459195068566578</v>
      </c>
      <c r="I7" s="24"/>
      <c r="K7" s="2" t="s">
        <v>20</v>
      </c>
      <c r="L7" s="2"/>
      <c r="M7" s="2"/>
      <c r="Q7" s="2" t="s">
        <v>21</v>
      </c>
      <c r="R7" s="2" t="s">
        <v>22</v>
      </c>
      <c r="S7" s="2" t="s">
        <v>23</v>
      </c>
      <c r="T7" s="2"/>
      <c r="U7" s="2"/>
    </row>
    <row r="8" spans="1:22" x14ac:dyDescent="0.25">
      <c r="A8" s="7">
        <v>20</v>
      </c>
      <c r="B8" s="8">
        <v>16427</v>
      </c>
      <c r="C8" s="8">
        <v>25043</v>
      </c>
      <c r="D8" s="9">
        <v>21625</v>
      </c>
      <c r="E8" s="7">
        <v>20</v>
      </c>
      <c r="F8" s="22">
        <f t="shared" si="0"/>
        <v>0.75322114723279376</v>
      </c>
      <c r="G8" s="22">
        <f t="shared" si="1"/>
        <v>1.1049194793734833</v>
      </c>
      <c r="H8" s="23">
        <f t="shared" si="2"/>
        <v>0.96596238888640729</v>
      </c>
      <c r="I8" s="24"/>
      <c r="K8" s="25">
        <f t="shared" ref="K8:M13" si="3">F12/F4</f>
        <v>0.8399743225273969</v>
      </c>
      <c r="L8" s="26">
        <f t="shared" si="3"/>
        <v>0.62686962276637992</v>
      </c>
      <c r="M8" s="27">
        <f t="shared" si="3"/>
        <v>0.72805646133917001</v>
      </c>
      <c r="N8" s="24"/>
      <c r="Q8" s="28">
        <f t="shared" ref="Q8:Q13" si="4">AVERAGE(K8:M8)</f>
        <v>0.73163346887764902</v>
      </c>
      <c r="R8" s="5">
        <f>STDEV(K8:M8)</f>
        <v>0.10659737099129576</v>
      </c>
      <c r="S8" s="6">
        <f>R8/SQRT(3)</f>
        <v>6.1544020836731016E-2</v>
      </c>
    </row>
    <row r="9" spans="1:22" x14ac:dyDescent="0.25">
      <c r="A9" s="10">
        <v>30</v>
      </c>
      <c r="B9" s="11">
        <v>10002</v>
      </c>
      <c r="C9" s="11">
        <v>15223</v>
      </c>
      <c r="D9" s="12">
        <v>12455</v>
      </c>
      <c r="E9" s="10">
        <v>30</v>
      </c>
      <c r="F9" s="29">
        <f t="shared" si="0"/>
        <v>0.45861800174239992</v>
      </c>
      <c r="G9" s="29">
        <f t="shared" si="1"/>
        <v>0.67165232737701297</v>
      </c>
      <c r="H9" s="30">
        <f t="shared" si="2"/>
        <v>0.55634966721758161</v>
      </c>
      <c r="I9" s="24"/>
      <c r="K9" s="31">
        <f t="shared" si="3"/>
        <v>1.2482064741907262</v>
      </c>
      <c r="L9" s="32">
        <f t="shared" si="3"/>
        <v>0.63844845185437216</v>
      </c>
      <c r="M9" s="33">
        <f t="shared" si="3"/>
        <v>0.91403057363402451</v>
      </c>
      <c r="N9" s="24"/>
      <c r="Q9" s="34">
        <f t="shared" si="4"/>
        <v>0.93356183322637432</v>
      </c>
      <c r="R9" s="8">
        <f t="shared" ref="R9:R13" si="5">STDEV(K9:M9)</f>
        <v>0.30534785741320175</v>
      </c>
      <c r="S9" s="9">
        <f t="shared" ref="S9:S13" si="6">R9/SQRT(3)</f>
        <v>0.17629266767398752</v>
      </c>
    </row>
    <row r="10" spans="1:22" x14ac:dyDescent="0.25">
      <c r="F10" s="24"/>
      <c r="G10" s="24"/>
      <c r="H10" s="24"/>
      <c r="I10" s="24"/>
      <c r="J10" s="24"/>
      <c r="K10" s="31">
        <f t="shared" si="3"/>
        <v>1.3941041085157435</v>
      </c>
      <c r="L10" s="32">
        <f t="shared" si="3"/>
        <v>0.65455377275252447</v>
      </c>
      <c r="M10" s="33">
        <f t="shared" si="3"/>
        <v>0.97009223169837533</v>
      </c>
      <c r="N10" s="24"/>
      <c r="Q10" s="34">
        <f t="shared" si="4"/>
        <v>1.0062500376555479</v>
      </c>
      <c r="R10" s="8">
        <f t="shared" si="5"/>
        <v>0.37109865936243919</v>
      </c>
      <c r="S10" s="9">
        <f t="shared" si="6"/>
        <v>0.21425391087881351</v>
      </c>
    </row>
    <row r="11" spans="1:22" x14ac:dyDescent="0.25">
      <c r="A11" s="2" t="s">
        <v>17</v>
      </c>
      <c r="E11" s="2" t="s">
        <v>24</v>
      </c>
      <c r="F11" s="24"/>
      <c r="G11" s="24"/>
      <c r="H11" s="24"/>
      <c r="I11" s="24"/>
      <c r="J11" s="24"/>
      <c r="K11" s="31">
        <f t="shared" si="3"/>
        <v>2.4159438775510207</v>
      </c>
      <c r="L11" s="32">
        <f t="shared" si="3"/>
        <v>0.82756843800322066</v>
      </c>
      <c r="M11" s="33">
        <f t="shared" si="3"/>
        <v>1.3618620542387361</v>
      </c>
      <c r="N11" s="24"/>
      <c r="Q11" s="34">
        <f t="shared" si="4"/>
        <v>1.5351247899309926</v>
      </c>
      <c r="R11" s="8">
        <f t="shared" si="5"/>
        <v>0.8082382791753554</v>
      </c>
      <c r="S11" s="9">
        <f t="shared" si="6"/>
        <v>0.46663658805125136</v>
      </c>
    </row>
    <row r="12" spans="1:22" x14ac:dyDescent="0.25">
      <c r="A12" s="13">
        <v>0</v>
      </c>
      <c r="B12" s="14">
        <v>18319</v>
      </c>
      <c r="C12" s="14">
        <v>14208</v>
      </c>
      <c r="D12" s="15">
        <v>16299</v>
      </c>
      <c r="E12" s="4">
        <v>0</v>
      </c>
      <c r="F12" s="35">
        <f t="shared" ref="F12:F17" si="7">B12/21809</f>
        <v>0.8399743225273969</v>
      </c>
      <c r="G12" s="35">
        <f t="shared" ref="G12:G17" si="8">C12/22665</f>
        <v>0.62686962276637992</v>
      </c>
      <c r="H12" s="36">
        <f t="shared" ref="H12:H17" si="9">D12/22387</f>
        <v>0.72805646133917001</v>
      </c>
      <c r="I12" s="24"/>
      <c r="J12" s="24"/>
      <c r="K12" s="31">
        <f t="shared" si="3"/>
        <v>2.1360564923601388</v>
      </c>
      <c r="L12" s="32">
        <f t="shared" si="3"/>
        <v>1.5114802539631833</v>
      </c>
      <c r="M12" s="33">
        <f t="shared" si="3"/>
        <v>1.5945433526011561</v>
      </c>
      <c r="N12" s="24"/>
      <c r="Q12" s="34">
        <f t="shared" si="4"/>
        <v>1.747360032974826</v>
      </c>
      <c r="R12" s="8">
        <f t="shared" si="5"/>
        <v>0.3391733667946874</v>
      </c>
      <c r="S12" s="9">
        <f t="shared" si="6"/>
        <v>0.19582183462086447</v>
      </c>
    </row>
    <row r="13" spans="1:22" x14ac:dyDescent="0.25">
      <c r="A13" s="16">
        <v>5</v>
      </c>
      <c r="B13" s="17">
        <v>28534</v>
      </c>
      <c r="C13" s="17">
        <v>18764</v>
      </c>
      <c r="D13" s="18">
        <v>24156</v>
      </c>
      <c r="E13" s="7">
        <v>5</v>
      </c>
      <c r="F13" s="22">
        <f t="shared" si="7"/>
        <v>1.3083589343848869</v>
      </c>
      <c r="G13" s="22">
        <f t="shared" si="8"/>
        <v>0.82788440326494595</v>
      </c>
      <c r="H13" s="23">
        <f t="shared" si="9"/>
        <v>1.0790190735694822</v>
      </c>
      <c r="I13" s="24"/>
      <c r="J13" s="24"/>
      <c r="K13" s="37">
        <f t="shared" si="3"/>
        <v>5.9569086182763442</v>
      </c>
      <c r="L13" s="38">
        <f t="shared" si="3"/>
        <v>2.8789331931945084</v>
      </c>
      <c r="M13" s="39">
        <f t="shared" si="3"/>
        <v>4.1580891208350064</v>
      </c>
      <c r="N13" s="24"/>
      <c r="Q13" s="40">
        <f t="shared" si="4"/>
        <v>4.3313103107686199</v>
      </c>
      <c r="R13" s="11">
        <f t="shared" si="5"/>
        <v>1.5462817870082515</v>
      </c>
      <c r="S13" s="12">
        <f t="shared" si="6"/>
        <v>0.89274620597222965</v>
      </c>
    </row>
    <row r="14" spans="1:22" x14ac:dyDescent="0.25">
      <c r="A14" s="16">
        <v>10</v>
      </c>
      <c r="B14" s="17">
        <v>28469</v>
      </c>
      <c r="C14" s="17">
        <v>20030</v>
      </c>
      <c r="D14" s="18">
        <v>25138</v>
      </c>
      <c r="E14" s="7">
        <v>10</v>
      </c>
      <c r="F14" s="22">
        <f t="shared" si="7"/>
        <v>1.3053785134577467</v>
      </c>
      <c r="G14" s="22">
        <f t="shared" si="8"/>
        <v>0.88374145157732187</v>
      </c>
      <c r="H14" s="23">
        <f t="shared" si="9"/>
        <v>1.1228838165006476</v>
      </c>
      <c r="I14" s="24"/>
      <c r="J14" s="24"/>
      <c r="K14" s="24"/>
      <c r="L14" s="24"/>
      <c r="M14" s="24"/>
      <c r="N14" s="24"/>
    </row>
    <row r="15" spans="1:22" x14ac:dyDescent="0.25">
      <c r="A15" s="16">
        <v>15</v>
      </c>
      <c r="B15" s="17">
        <v>37882</v>
      </c>
      <c r="C15" s="17">
        <v>25696</v>
      </c>
      <c r="D15" s="18">
        <v>31888</v>
      </c>
      <c r="E15" s="7">
        <v>15</v>
      </c>
      <c r="F15" s="22">
        <f t="shared" si="7"/>
        <v>1.736989316337292</v>
      </c>
      <c r="G15" s="22">
        <f t="shared" si="8"/>
        <v>1.1337304213545114</v>
      </c>
      <c r="H15" s="23">
        <f t="shared" si="9"/>
        <v>1.4243980881761737</v>
      </c>
      <c r="I15" s="24"/>
      <c r="J15" s="24"/>
      <c r="K15" s="24"/>
      <c r="L15" s="24"/>
      <c r="M15" s="24"/>
      <c r="N15" s="24"/>
    </row>
    <row r="16" spans="1:22" x14ac:dyDescent="0.25">
      <c r="A16" s="16">
        <v>20</v>
      </c>
      <c r="B16" s="17">
        <v>35089</v>
      </c>
      <c r="C16" s="17">
        <v>37852</v>
      </c>
      <c r="D16" s="18">
        <v>34482</v>
      </c>
      <c r="E16" s="7">
        <v>20</v>
      </c>
      <c r="F16" s="22">
        <f t="shared" si="7"/>
        <v>1.6089229217295611</v>
      </c>
      <c r="G16" s="22">
        <f t="shared" si="8"/>
        <v>1.670063975292301</v>
      </c>
      <c r="H16" s="23">
        <f t="shared" si="9"/>
        <v>1.5402689060615535</v>
      </c>
      <c r="I16" s="24"/>
      <c r="J16" s="24"/>
      <c r="K16" s="24"/>
      <c r="L16" s="24"/>
      <c r="M16" s="24"/>
      <c r="N16" s="24"/>
    </row>
    <row r="17" spans="1:14" x14ac:dyDescent="0.25">
      <c r="A17" s="19">
        <v>30</v>
      </c>
      <c r="B17" s="20">
        <v>59581</v>
      </c>
      <c r="C17" s="20">
        <v>43826</v>
      </c>
      <c r="D17" s="21">
        <v>51789</v>
      </c>
      <c r="E17" s="10">
        <v>30</v>
      </c>
      <c r="F17" s="29">
        <f t="shared" si="7"/>
        <v>2.7319455270759776</v>
      </c>
      <c r="G17" s="29">
        <f t="shared" si="8"/>
        <v>1.9336421795720273</v>
      </c>
      <c r="H17" s="30">
        <f t="shared" si="9"/>
        <v>2.3133514986376023</v>
      </c>
      <c r="I17" s="24"/>
      <c r="J17" s="24"/>
      <c r="K17" s="24"/>
      <c r="L17" s="24"/>
      <c r="M17" s="24"/>
      <c r="N17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I26" sqref="I26"/>
    </sheetView>
  </sheetViews>
  <sheetFormatPr defaultRowHeight="15" x14ac:dyDescent="0.25"/>
  <cols>
    <col min="1" max="1" width="13.85546875" style="1" customWidth="1"/>
    <col min="2" max="8" width="9.140625" style="1"/>
    <col min="9" max="9" width="15.42578125" style="1" customWidth="1"/>
    <col min="10" max="10" width="9.85546875" style="1" customWidth="1"/>
    <col min="11" max="14" width="9.140625" style="1"/>
    <col min="15" max="15" width="11.140625" style="1" customWidth="1"/>
    <col min="16" max="17" width="23" style="1" customWidth="1"/>
    <col min="18" max="16384" width="9.140625" style="1"/>
  </cols>
  <sheetData>
    <row r="1" spans="1:20" x14ac:dyDescent="0.25">
      <c r="A1" s="2" t="s">
        <v>25</v>
      </c>
      <c r="E1" s="2" t="s">
        <v>26</v>
      </c>
    </row>
    <row r="2" spans="1:20" x14ac:dyDescent="0.25">
      <c r="A2" s="4" t="s">
        <v>27</v>
      </c>
      <c r="B2" s="5"/>
      <c r="C2" s="5"/>
      <c r="D2" s="6"/>
      <c r="E2" s="4" t="s">
        <v>27</v>
      </c>
      <c r="F2" s="5"/>
      <c r="G2" s="6"/>
    </row>
    <row r="3" spans="1:20" x14ac:dyDescent="0.25">
      <c r="A3" s="7" t="s">
        <v>28</v>
      </c>
      <c r="B3" s="8">
        <v>29413</v>
      </c>
      <c r="C3" s="8">
        <v>26862</v>
      </c>
      <c r="D3" s="9">
        <v>31556</v>
      </c>
      <c r="E3" s="34">
        <f>B3/29413</f>
        <v>1</v>
      </c>
      <c r="F3" s="22">
        <f>C3/26862</f>
        <v>1</v>
      </c>
      <c r="G3" s="23">
        <f>D3/31556</f>
        <v>1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0" x14ac:dyDescent="0.25">
      <c r="A4" s="7" t="s">
        <v>29</v>
      </c>
      <c r="B4" s="8">
        <v>31129</v>
      </c>
      <c r="C4" s="8">
        <v>30999</v>
      </c>
      <c r="D4" s="9">
        <v>32028</v>
      </c>
      <c r="E4" s="34">
        <f t="shared" ref="E4:E7" si="0">B4/29413</f>
        <v>1.0583415496549144</v>
      </c>
      <c r="F4" s="22">
        <f t="shared" ref="F4:F7" si="1">C4/26862</f>
        <v>1.1540093812821086</v>
      </c>
      <c r="G4" s="23">
        <f t="shared" ref="G4:G7" si="2">D4/31556</f>
        <v>1.0149575358093548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20" x14ac:dyDescent="0.25">
      <c r="A5" s="7" t="s">
        <v>30</v>
      </c>
      <c r="B5" s="8"/>
      <c r="C5" s="8"/>
      <c r="D5" s="9"/>
      <c r="E5" s="34"/>
      <c r="F5" s="22"/>
      <c r="G5" s="23"/>
      <c r="H5" s="24"/>
      <c r="I5" s="24"/>
      <c r="J5" s="41" t="s">
        <v>31</v>
      </c>
      <c r="K5" s="24"/>
      <c r="L5" s="24"/>
      <c r="M5" s="24"/>
      <c r="N5" s="24"/>
      <c r="O5" s="24"/>
      <c r="P5" s="41" t="s">
        <v>21</v>
      </c>
      <c r="Q5" s="41" t="s">
        <v>22</v>
      </c>
      <c r="R5" s="41" t="s">
        <v>32</v>
      </c>
      <c r="S5" s="2"/>
      <c r="T5" s="2"/>
    </row>
    <row r="6" spans="1:20" x14ac:dyDescent="0.25">
      <c r="A6" s="7" t="s">
        <v>33</v>
      </c>
      <c r="B6" s="8">
        <v>222</v>
      </c>
      <c r="C6" s="8">
        <v>237</v>
      </c>
      <c r="D6" s="9">
        <v>202</v>
      </c>
      <c r="E6" s="34">
        <f t="shared" si="0"/>
        <v>7.5476829973141132E-3</v>
      </c>
      <c r="F6" s="22">
        <f t="shared" si="1"/>
        <v>8.822872459236096E-3</v>
      </c>
      <c r="G6" s="23">
        <f t="shared" si="2"/>
        <v>6.4013182912916718E-3</v>
      </c>
      <c r="H6" s="24"/>
      <c r="I6" s="24"/>
      <c r="J6" s="28" t="s">
        <v>12</v>
      </c>
      <c r="K6" s="35" t="s">
        <v>27</v>
      </c>
      <c r="L6" s="35"/>
      <c r="M6" s="36"/>
      <c r="N6" s="24"/>
      <c r="O6" s="28" t="s">
        <v>12</v>
      </c>
      <c r="P6" s="35" t="s">
        <v>27</v>
      </c>
      <c r="Q6" s="35"/>
      <c r="R6" s="36"/>
    </row>
    <row r="7" spans="1:20" x14ac:dyDescent="0.25">
      <c r="A7" s="10" t="s">
        <v>29</v>
      </c>
      <c r="B7" s="11">
        <v>11493</v>
      </c>
      <c r="C7" s="11">
        <f>11945</f>
        <v>11945</v>
      </c>
      <c r="D7" s="12">
        <f>11262</f>
        <v>11262</v>
      </c>
      <c r="E7" s="40">
        <f t="shared" si="0"/>
        <v>0.3907455886852752</v>
      </c>
      <c r="F7" s="29">
        <f t="shared" si="1"/>
        <v>0.44468021740749014</v>
      </c>
      <c r="G7" s="30">
        <f t="shared" si="2"/>
        <v>0.35688933958676639</v>
      </c>
      <c r="H7" s="24"/>
      <c r="I7" s="24"/>
      <c r="J7" s="34">
        <v>0</v>
      </c>
      <c r="K7" s="22">
        <f>E12/E3</f>
        <v>1</v>
      </c>
      <c r="L7" s="22">
        <f t="shared" ref="L7:M11" si="3">F12/F3</f>
        <v>1</v>
      </c>
      <c r="M7" s="23">
        <f t="shared" si="3"/>
        <v>1</v>
      </c>
      <c r="N7" s="24"/>
      <c r="O7" s="34">
        <v>0</v>
      </c>
      <c r="P7" s="22">
        <f>AVERAGE(K7:M7)</f>
        <v>1</v>
      </c>
      <c r="Q7" s="22">
        <f>STDEV(K7:M7)</f>
        <v>0</v>
      </c>
      <c r="R7" s="23">
        <f>Q7/SQRT(3)</f>
        <v>0</v>
      </c>
    </row>
    <row r="8" spans="1:20" x14ac:dyDescent="0.25">
      <c r="E8" s="24"/>
      <c r="F8" s="24"/>
      <c r="G8" s="24"/>
      <c r="H8" s="24"/>
      <c r="I8" s="24"/>
      <c r="J8" s="34">
        <v>30</v>
      </c>
      <c r="K8" s="22">
        <f t="shared" ref="K8:K11" si="4">E13/E4</f>
        <v>1.055484869159417</v>
      </c>
      <c r="L8" s="22">
        <f t="shared" si="3"/>
        <v>1.1658956740540016</v>
      </c>
      <c r="M8" s="23">
        <f t="shared" si="3"/>
        <v>0.97801421492470264</v>
      </c>
      <c r="N8" s="24"/>
      <c r="O8" s="34">
        <v>30</v>
      </c>
      <c r="P8" s="22">
        <f>AVERAGE(K8:M8)</f>
        <v>1.0664649193793736</v>
      </c>
      <c r="Q8" s="22">
        <f>STDEV(K8:M8)</f>
        <v>9.4420769951654132E-2</v>
      </c>
      <c r="R8" s="23">
        <f t="shared" ref="R8:R11" si="5">Q8/SQRT(3)</f>
        <v>5.4513856948679246E-2</v>
      </c>
    </row>
    <row r="9" spans="1:20" x14ac:dyDescent="0.25">
      <c r="E9" s="24"/>
      <c r="F9" s="24"/>
      <c r="G9" s="24"/>
      <c r="H9" s="24"/>
      <c r="I9" s="24"/>
      <c r="J9" s="34" t="s">
        <v>12</v>
      </c>
      <c r="K9" s="22" t="s">
        <v>30</v>
      </c>
      <c r="L9" s="22"/>
      <c r="M9" s="23"/>
      <c r="N9" s="24"/>
      <c r="O9" s="34" t="s">
        <v>12</v>
      </c>
      <c r="P9" s="22" t="s">
        <v>30</v>
      </c>
      <c r="Q9" s="22"/>
      <c r="R9" s="23"/>
    </row>
    <row r="10" spans="1:20" x14ac:dyDescent="0.25">
      <c r="A10" s="2" t="s">
        <v>34</v>
      </c>
      <c r="E10" s="41" t="s">
        <v>35</v>
      </c>
      <c r="F10" s="24"/>
      <c r="G10" s="24"/>
      <c r="H10" s="24"/>
      <c r="I10" s="24"/>
      <c r="J10" s="34">
        <v>0</v>
      </c>
      <c r="K10" s="22">
        <f t="shared" si="4"/>
        <v>2.0154052862386194</v>
      </c>
      <c r="L10" s="22">
        <f t="shared" si="3"/>
        <v>2.298539435248296</v>
      </c>
      <c r="M10" s="23">
        <f t="shared" si="3"/>
        <v>1.679761524539551</v>
      </c>
      <c r="N10" s="24"/>
      <c r="O10" s="34">
        <v>0</v>
      </c>
      <c r="P10" s="22">
        <f>AVERAGE(K10:M10)</f>
        <v>1.997902082008822</v>
      </c>
      <c r="Q10" s="22">
        <f>STDEV(K10:M10)</f>
        <v>0.30976006410446488</v>
      </c>
      <c r="R10" s="23">
        <f t="shared" si="5"/>
        <v>0.17884005639490855</v>
      </c>
    </row>
    <row r="11" spans="1:20" x14ac:dyDescent="0.25">
      <c r="A11" s="4" t="s">
        <v>27</v>
      </c>
      <c r="B11" s="5"/>
      <c r="C11" s="5"/>
      <c r="D11" s="6"/>
      <c r="E11" s="28" t="s">
        <v>27</v>
      </c>
      <c r="F11" s="35"/>
      <c r="G11" s="36"/>
      <c r="H11" s="24"/>
      <c r="I11" s="24"/>
      <c r="J11" s="40">
        <v>30</v>
      </c>
      <c r="K11" s="29">
        <f t="shared" si="4"/>
        <v>16.755039241737666</v>
      </c>
      <c r="L11" s="29">
        <f t="shared" si="3"/>
        <v>14.763496796213413</v>
      </c>
      <c r="M11" s="30">
        <f t="shared" si="3"/>
        <v>16.122140382837063</v>
      </c>
      <c r="N11" s="24"/>
      <c r="O11" s="40">
        <v>30</v>
      </c>
      <c r="P11" s="29">
        <f>AVERAGE(K11:M11)</f>
        <v>15.880225473596047</v>
      </c>
      <c r="Q11" s="29">
        <f>STDEV(K11:M11)</f>
        <v>1.0175718380369994</v>
      </c>
      <c r="R11" s="30">
        <f t="shared" si="5"/>
        <v>0.58749537461044388</v>
      </c>
    </row>
    <row r="12" spans="1:20" x14ac:dyDescent="0.25">
      <c r="A12" s="7" t="s">
        <v>33</v>
      </c>
      <c r="B12" s="8">
        <v>1512</v>
      </c>
      <c r="C12" s="8">
        <v>1430</v>
      </c>
      <c r="D12" s="9">
        <v>1767</v>
      </c>
      <c r="E12" s="34">
        <f>B12/1512</f>
        <v>1</v>
      </c>
      <c r="F12" s="22">
        <f>C12/1430</f>
        <v>1</v>
      </c>
      <c r="G12" s="23">
        <f>D12/1767</f>
        <v>1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0" x14ac:dyDescent="0.25">
      <c r="A13" s="7" t="s">
        <v>29</v>
      </c>
      <c r="B13" s="8">
        <v>1689</v>
      </c>
      <c r="C13" s="8">
        <v>1924</v>
      </c>
      <c r="D13" s="9">
        <v>1754</v>
      </c>
      <c r="E13" s="34">
        <f t="shared" ref="E13:E16" si="6">B13/1512</f>
        <v>1.1170634920634921</v>
      </c>
      <c r="F13" s="22">
        <f t="shared" ref="F13:F16" si="7">C13/1430</f>
        <v>1.3454545454545455</v>
      </c>
      <c r="G13" s="23">
        <f t="shared" ref="G13:G16" si="8">D13/1767</f>
        <v>0.99264289756649693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7" t="s">
        <v>30</v>
      </c>
      <c r="B14" s="8"/>
      <c r="C14" s="8"/>
      <c r="D14" s="9"/>
      <c r="E14" s="34" t="s">
        <v>30</v>
      </c>
      <c r="F14" s="22"/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20" x14ac:dyDescent="0.25">
      <c r="A15" s="7" t="s">
        <v>33</v>
      </c>
      <c r="B15" s="8">
        <v>23</v>
      </c>
      <c r="C15" s="8">
        <v>29</v>
      </c>
      <c r="D15" s="9">
        <v>19</v>
      </c>
      <c r="E15" s="34">
        <f t="shared" si="6"/>
        <v>1.5211640211640211E-2</v>
      </c>
      <c r="F15" s="22">
        <f t="shared" si="7"/>
        <v>2.0279720279720279E-2</v>
      </c>
      <c r="G15" s="23">
        <f t="shared" si="8"/>
        <v>1.0752688172043012E-2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20" x14ac:dyDescent="0.25">
      <c r="A16" s="10" t="s">
        <v>29</v>
      </c>
      <c r="B16" s="11">
        <v>9899</v>
      </c>
      <c r="C16" s="11">
        <v>9388</v>
      </c>
      <c r="D16" s="12">
        <v>10167</v>
      </c>
      <c r="E16" s="40">
        <f t="shared" si="6"/>
        <v>6.5469576719576716</v>
      </c>
      <c r="F16" s="29">
        <f t="shared" si="7"/>
        <v>6.5650349650349646</v>
      </c>
      <c r="G16" s="30">
        <f t="shared" si="8"/>
        <v>5.7538200339558569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5:18" x14ac:dyDescent="0.25"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5:18" x14ac:dyDescent="0.25"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showWhiteSpace="0" zoomScaleNormal="100" workbookViewId="0">
      <selection activeCell="J28" sqref="J28"/>
    </sheetView>
  </sheetViews>
  <sheetFormatPr defaultRowHeight="15" x14ac:dyDescent="0.25"/>
  <cols>
    <col min="1" max="1" width="11.85546875" style="1" customWidth="1"/>
    <col min="2" max="4" width="9.140625" style="1"/>
    <col min="5" max="5" width="13.7109375" style="1" customWidth="1"/>
    <col min="6" max="9" width="9.140625" style="1"/>
    <col min="10" max="10" width="11.140625" style="1" customWidth="1"/>
    <col min="11" max="13" width="9.140625" style="1"/>
    <col min="14" max="14" width="11.5703125" style="1" customWidth="1"/>
    <col min="15" max="15" width="9.140625" style="1"/>
    <col min="16" max="16" width="22.42578125" style="1" customWidth="1"/>
    <col min="17" max="16384" width="9.140625" style="1"/>
  </cols>
  <sheetData>
    <row r="1" spans="1:17" x14ac:dyDescent="0.25">
      <c r="A1" s="2" t="s">
        <v>36</v>
      </c>
      <c r="E1" s="2" t="s">
        <v>26</v>
      </c>
    </row>
    <row r="2" spans="1:17" x14ac:dyDescent="0.25">
      <c r="A2" s="4" t="s">
        <v>27</v>
      </c>
      <c r="B2" s="5"/>
      <c r="C2" s="5"/>
      <c r="D2" s="5"/>
      <c r="E2" s="4" t="s">
        <v>27</v>
      </c>
      <c r="F2" s="5"/>
      <c r="G2" s="5"/>
      <c r="H2" s="6"/>
    </row>
    <row r="3" spans="1:17" x14ac:dyDescent="0.25">
      <c r="A3" s="7">
        <v>0</v>
      </c>
      <c r="B3" s="8">
        <v>31462</v>
      </c>
      <c r="C3" s="8">
        <v>31642</v>
      </c>
      <c r="D3" s="8">
        <v>30815</v>
      </c>
      <c r="E3" s="7">
        <v>0</v>
      </c>
      <c r="F3" s="8">
        <f>B3/31462</f>
        <v>1</v>
      </c>
      <c r="G3" s="8">
        <f>C3/31642</f>
        <v>1</v>
      </c>
      <c r="H3" s="9">
        <f>D3/30815</f>
        <v>1</v>
      </c>
    </row>
    <row r="4" spans="1:17" x14ac:dyDescent="0.25">
      <c r="A4" s="7">
        <v>15</v>
      </c>
      <c r="B4" s="8">
        <v>31272</v>
      </c>
      <c r="C4" s="8">
        <v>32683</v>
      </c>
      <c r="D4" s="8">
        <v>27606</v>
      </c>
      <c r="E4" s="7">
        <v>15</v>
      </c>
      <c r="F4" s="8">
        <f t="shared" ref="F4:F9" si="0">B4/31462</f>
        <v>0.99396096878774398</v>
      </c>
      <c r="G4" s="8">
        <f t="shared" ref="G4:G9" si="1">C4/31642</f>
        <v>1.0328993110422855</v>
      </c>
      <c r="H4" s="9">
        <f t="shared" ref="H4:H9" si="2">D4/30815</f>
        <v>0.89586240467304878</v>
      </c>
    </row>
    <row r="5" spans="1:17" x14ac:dyDescent="0.25">
      <c r="A5" s="7">
        <v>30</v>
      </c>
      <c r="B5" s="8">
        <v>23879</v>
      </c>
      <c r="C5" s="8">
        <v>24222</v>
      </c>
      <c r="D5" s="8">
        <v>23212</v>
      </c>
      <c r="E5" s="7">
        <v>30</v>
      </c>
      <c r="F5" s="8">
        <f t="shared" si="0"/>
        <v>0.75897908588138074</v>
      </c>
      <c r="G5" s="8">
        <f t="shared" si="1"/>
        <v>0.76550154857467922</v>
      </c>
      <c r="H5" s="9">
        <f t="shared" si="2"/>
        <v>0.7532695116014928</v>
      </c>
    </row>
    <row r="6" spans="1:17" x14ac:dyDescent="0.25">
      <c r="A6" s="7" t="s">
        <v>30</v>
      </c>
      <c r="B6" s="8"/>
      <c r="C6" s="8"/>
      <c r="D6" s="8"/>
      <c r="E6" s="7" t="s">
        <v>30</v>
      </c>
      <c r="F6" s="8"/>
      <c r="G6" s="8"/>
      <c r="H6" s="9"/>
    </row>
    <row r="7" spans="1:17" x14ac:dyDescent="0.25">
      <c r="A7" s="7">
        <v>0</v>
      </c>
      <c r="B7" s="8">
        <v>204</v>
      </c>
      <c r="C7" s="8">
        <v>218</v>
      </c>
      <c r="D7" s="8">
        <v>191</v>
      </c>
      <c r="E7" s="7">
        <v>0</v>
      </c>
      <c r="F7" s="8">
        <f t="shared" si="0"/>
        <v>6.4840124594749225E-3</v>
      </c>
      <c r="G7" s="8">
        <f t="shared" si="1"/>
        <v>6.8895771443018769E-3</v>
      </c>
      <c r="H7" s="9">
        <f t="shared" si="2"/>
        <v>6.1982800584131107E-3</v>
      </c>
      <c r="J7" s="2" t="s">
        <v>37</v>
      </c>
      <c r="O7" s="2" t="s">
        <v>21</v>
      </c>
      <c r="P7" s="2" t="s">
        <v>22</v>
      </c>
      <c r="Q7" s="2" t="s">
        <v>38</v>
      </c>
    </row>
    <row r="8" spans="1:17" x14ac:dyDescent="0.25">
      <c r="A8" s="7">
        <v>15</v>
      </c>
      <c r="B8" s="8">
        <v>252</v>
      </c>
      <c r="C8" s="8">
        <v>251</v>
      </c>
      <c r="D8" s="8">
        <v>248</v>
      </c>
      <c r="E8" s="7">
        <v>15</v>
      </c>
      <c r="F8" s="8">
        <f t="shared" si="0"/>
        <v>8.0096624499396089E-3</v>
      </c>
      <c r="G8" s="8">
        <f t="shared" si="1"/>
        <v>7.9324947854117946E-3</v>
      </c>
      <c r="H8" s="9">
        <f t="shared" si="2"/>
        <v>8.0480285575206881E-3</v>
      </c>
      <c r="J8" s="4" t="s">
        <v>27</v>
      </c>
      <c r="K8" s="5"/>
      <c r="L8" s="5"/>
      <c r="M8" s="6"/>
      <c r="N8" s="4" t="s">
        <v>27</v>
      </c>
      <c r="O8" s="5"/>
      <c r="P8" s="5"/>
      <c r="Q8" s="6"/>
    </row>
    <row r="9" spans="1:17" x14ac:dyDescent="0.25">
      <c r="A9" s="7">
        <v>30</v>
      </c>
      <c r="B9" s="11">
        <v>16293</v>
      </c>
      <c r="C9" s="11">
        <v>17765</v>
      </c>
      <c r="D9" s="11">
        <v>14033</v>
      </c>
      <c r="E9" s="7">
        <v>30</v>
      </c>
      <c r="F9" s="11">
        <f t="shared" si="0"/>
        <v>0.51786281863835737</v>
      </c>
      <c r="G9" s="11">
        <f t="shared" si="1"/>
        <v>0.56143733013083874</v>
      </c>
      <c r="H9" s="12">
        <f t="shared" si="2"/>
        <v>0.45539509978906378</v>
      </c>
      <c r="J9" s="7"/>
      <c r="K9" s="8">
        <f t="shared" ref="K9:M11" si="3">F12/F3</f>
        <v>1</v>
      </c>
      <c r="L9" s="8">
        <f t="shared" si="3"/>
        <v>1</v>
      </c>
      <c r="M9" s="9">
        <f t="shared" si="3"/>
        <v>1</v>
      </c>
      <c r="N9" s="7"/>
      <c r="O9" s="8">
        <f>AVERAGE(K9:M9)</f>
        <v>1</v>
      </c>
      <c r="P9" s="8">
        <f>STDEV(K9:M9)</f>
        <v>0</v>
      </c>
      <c r="Q9" s="9">
        <f>P9/SQRT(3)</f>
        <v>0</v>
      </c>
    </row>
    <row r="10" spans="1:17" x14ac:dyDescent="0.25">
      <c r="A10" s="2" t="s">
        <v>39</v>
      </c>
      <c r="E10" s="2" t="s">
        <v>40</v>
      </c>
      <c r="J10" s="7"/>
      <c r="K10" s="8">
        <f t="shared" si="3"/>
        <v>0.96119059853331756</v>
      </c>
      <c r="L10" s="8">
        <f t="shared" si="3"/>
        <v>0.94794610545548386</v>
      </c>
      <c r="M10" s="9">
        <f t="shared" si="3"/>
        <v>1.0048068374371708</v>
      </c>
      <c r="N10" s="7"/>
      <c r="O10" s="8">
        <f t="shared" ref="O10:O15" si="4">AVERAGE(K10:M10)</f>
        <v>0.97131451380865741</v>
      </c>
      <c r="P10" s="8">
        <f t="shared" ref="P10:P15" si="5">STDEV(K10:M10)</f>
        <v>2.9751570643413165E-2</v>
      </c>
      <c r="Q10" s="9">
        <f t="shared" ref="Q10:Q15" si="6">P10/SQRT(3)</f>
        <v>1.717707731978876E-2</v>
      </c>
    </row>
    <row r="11" spans="1:17" x14ac:dyDescent="0.25">
      <c r="A11" s="13" t="s">
        <v>27</v>
      </c>
      <c r="B11" s="14"/>
      <c r="C11" s="14"/>
      <c r="D11" s="15"/>
      <c r="E11" s="4" t="s">
        <v>27</v>
      </c>
      <c r="F11" s="5"/>
      <c r="G11" s="5"/>
      <c r="H11" s="6"/>
      <c r="J11" s="7"/>
      <c r="K11" s="8">
        <f t="shared" si="3"/>
        <v>0.8803086899029362</v>
      </c>
      <c r="L11" s="8">
        <f t="shared" si="3"/>
        <v>0.78981669529819221</v>
      </c>
      <c r="M11" s="9">
        <f t="shared" si="3"/>
        <v>0.93905063354835938</v>
      </c>
      <c r="N11" s="7"/>
      <c r="O11" s="8">
        <f t="shared" si="4"/>
        <v>0.86972533958316267</v>
      </c>
      <c r="P11" s="8">
        <f t="shared" si="5"/>
        <v>7.5177773041019025E-2</v>
      </c>
      <c r="Q11" s="9">
        <f t="shared" si="6"/>
        <v>4.3403907502308929E-2</v>
      </c>
    </row>
    <row r="12" spans="1:17" x14ac:dyDescent="0.25">
      <c r="A12" s="7">
        <v>0</v>
      </c>
      <c r="B12" s="17">
        <v>9302</v>
      </c>
      <c r="C12" s="17">
        <v>9249</v>
      </c>
      <c r="D12" s="18">
        <v>9486</v>
      </c>
      <c r="E12" s="7">
        <v>0</v>
      </c>
      <c r="F12" s="8">
        <f>B12/9302</f>
        <v>1</v>
      </c>
      <c r="G12" s="8">
        <f>C12/9249</f>
        <v>1</v>
      </c>
      <c r="H12" s="9">
        <f>D12/9486</f>
        <v>1</v>
      </c>
      <c r="J12" s="7" t="s">
        <v>30</v>
      </c>
      <c r="K12" s="8"/>
      <c r="L12" s="8"/>
      <c r="M12" s="9"/>
      <c r="N12" s="7" t="s">
        <v>30</v>
      </c>
      <c r="O12" s="8"/>
      <c r="P12" s="8"/>
      <c r="Q12" s="9">
        <f t="shared" si="6"/>
        <v>0</v>
      </c>
    </row>
    <row r="13" spans="1:17" x14ac:dyDescent="0.25">
      <c r="A13" s="7">
        <v>15</v>
      </c>
      <c r="B13" s="17">
        <v>8887</v>
      </c>
      <c r="C13" s="17">
        <v>9056</v>
      </c>
      <c r="D13" s="18">
        <v>8539</v>
      </c>
      <c r="E13" s="7">
        <v>15</v>
      </c>
      <c r="F13" s="8">
        <f t="shared" ref="F13:F18" si="7">B13/9302</f>
        <v>0.95538593850784781</v>
      </c>
      <c r="G13" s="8">
        <f t="shared" ref="G13:G18" si="8">C13/9249</f>
        <v>0.97913287923018699</v>
      </c>
      <c r="H13" s="9">
        <f t="shared" ref="H13:H18" si="9">D13/9486</f>
        <v>0.90016866961838504</v>
      </c>
      <c r="J13" s="7"/>
      <c r="K13" s="8">
        <f t="shared" ref="K13:M15" si="10">F16/F7</f>
        <v>22.100900712897499</v>
      </c>
      <c r="L13" s="8">
        <f t="shared" si="10"/>
        <v>18.266932899267069</v>
      </c>
      <c r="M13" s="9">
        <f t="shared" si="10"/>
        <v>27.467441685901402</v>
      </c>
      <c r="N13" s="7"/>
      <c r="O13" s="8">
        <f t="shared" si="4"/>
        <v>22.611758432688656</v>
      </c>
      <c r="P13" s="8">
        <f t="shared" si="5"/>
        <v>4.6214794374352204</v>
      </c>
      <c r="Q13" s="9">
        <f t="shared" si="6"/>
        <v>2.6682123972575447</v>
      </c>
    </row>
    <row r="14" spans="1:17" x14ac:dyDescent="0.25">
      <c r="A14" s="7">
        <v>30</v>
      </c>
      <c r="B14" s="17">
        <v>6215</v>
      </c>
      <c r="C14" s="17">
        <v>5592</v>
      </c>
      <c r="D14" s="18">
        <v>6710</v>
      </c>
      <c r="E14" s="7">
        <v>30</v>
      </c>
      <c r="F14" s="8">
        <f t="shared" si="7"/>
        <v>0.66813588475596641</v>
      </c>
      <c r="G14" s="8">
        <f t="shared" si="8"/>
        <v>0.6046059033409017</v>
      </c>
      <c r="H14" s="9">
        <f t="shared" si="9"/>
        <v>0.70735821210204508</v>
      </c>
      <c r="J14" s="7"/>
      <c r="K14" s="8">
        <f t="shared" si="10"/>
        <v>38.211749137410287</v>
      </c>
      <c r="L14" s="8">
        <f t="shared" si="10"/>
        <v>35.669674636947938</v>
      </c>
      <c r="M14" s="9">
        <f t="shared" si="10"/>
        <v>46.644382128501761</v>
      </c>
      <c r="N14" s="7"/>
      <c r="O14" s="8">
        <f t="shared" si="4"/>
        <v>40.17526863428666</v>
      </c>
      <c r="P14" s="8">
        <f t="shared" si="5"/>
        <v>5.7447896168834731</v>
      </c>
      <c r="Q14" s="9">
        <f t="shared" si="6"/>
        <v>3.3167558317454406</v>
      </c>
    </row>
    <row r="15" spans="1:17" x14ac:dyDescent="0.25">
      <c r="A15" s="16" t="s">
        <v>30</v>
      </c>
      <c r="B15" s="17"/>
      <c r="C15" s="17"/>
      <c r="D15" s="18"/>
      <c r="E15" s="7" t="s">
        <v>30</v>
      </c>
      <c r="F15" s="8"/>
      <c r="G15" s="8"/>
      <c r="H15" s="9"/>
      <c r="J15" s="10"/>
      <c r="K15" s="11">
        <f t="shared" si="10"/>
        <v>6.0188991786258583</v>
      </c>
      <c r="L15" s="11">
        <f t="shared" si="10"/>
        <v>7.0868257351408239</v>
      </c>
      <c r="M15" s="12">
        <f t="shared" si="10"/>
        <v>4.4272084464499573</v>
      </c>
      <c r="N15" s="10"/>
      <c r="O15" s="11">
        <f t="shared" si="4"/>
        <v>5.8443111200722129</v>
      </c>
      <c r="P15" s="11">
        <f t="shared" si="5"/>
        <v>1.3383765438836659</v>
      </c>
      <c r="Q15" s="12">
        <f t="shared" si="6"/>
        <v>0.77271205788831554</v>
      </c>
    </row>
    <row r="16" spans="1:17" x14ac:dyDescent="0.25">
      <c r="A16" s="7">
        <v>0</v>
      </c>
      <c r="B16" s="17">
        <v>1333</v>
      </c>
      <c r="C16" s="17">
        <v>1164</v>
      </c>
      <c r="D16" s="18">
        <v>1615</v>
      </c>
      <c r="E16" s="7">
        <v>0</v>
      </c>
      <c r="F16" s="8">
        <f t="shared" si="7"/>
        <v>0.14330251558804558</v>
      </c>
      <c r="G16" s="8">
        <f t="shared" si="8"/>
        <v>0.12585144339928642</v>
      </c>
      <c r="H16" s="9">
        <f t="shared" si="9"/>
        <v>0.17025089605734767</v>
      </c>
    </row>
    <row r="17" spans="1:8" x14ac:dyDescent="0.25">
      <c r="A17" s="7">
        <v>15</v>
      </c>
      <c r="B17" s="17">
        <v>2847</v>
      </c>
      <c r="C17" s="17">
        <v>2617</v>
      </c>
      <c r="D17" s="18">
        <v>3561</v>
      </c>
      <c r="E17" s="7">
        <v>15</v>
      </c>
      <c r="F17" s="8">
        <f t="shared" si="7"/>
        <v>0.30606321221242744</v>
      </c>
      <c r="G17" s="8">
        <f t="shared" si="8"/>
        <v>0.28294950805492486</v>
      </c>
      <c r="H17" s="9">
        <f t="shared" si="9"/>
        <v>0.37539531941808979</v>
      </c>
    </row>
    <row r="18" spans="1:8" x14ac:dyDescent="0.25">
      <c r="A18" s="10">
        <v>30</v>
      </c>
      <c r="B18" s="20">
        <v>28994</v>
      </c>
      <c r="C18" s="20">
        <v>36800</v>
      </c>
      <c r="D18" s="21">
        <v>19125</v>
      </c>
      <c r="E18" s="10">
        <v>30</v>
      </c>
      <c r="F18" s="11">
        <f t="shared" si="7"/>
        <v>3.116964093743281</v>
      </c>
      <c r="G18" s="11">
        <f t="shared" si="8"/>
        <v>3.9788085198399825</v>
      </c>
      <c r="H18" s="12">
        <f t="shared" si="9"/>
        <v>2.0161290322580645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6D</vt:lpstr>
      <vt:lpstr>Figure 6E</vt:lpstr>
      <vt:lpstr>Figure 6H</vt:lpstr>
      <vt:lpstr>Figure 6K</vt:lpstr>
    </vt:vector>
  </TitlesOfParts>
  <Company>Purdue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Chemistry</dc:creator>
  <cp:lastModifiedBy>kavita</cp:lastModifiedBy>
  <dcterms:created xsi:type="dcterms:W3CDTF">2016-05-03T19:50:46Z</dcterms:created>
  <dcterms:modified xsi:type="dcterms:W3CDTF">2016-11-19T15:47:46Z</dcterms:modified>
</cp:coreProperties>
</file>