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piaolafson/Dropbox/Olafson_Stomoxys Genome Paper/Stomoxys REVISED Manuscript/Additional Files 2 - 11/"/>
    </mc:Choice>
  </mc:AlternateContent>
  <xr:revisionPtr revIDLastSave="0" documentId="13_ncr:1_{E272C7F7-6FD1-4A4E-B617-33AB32321437}" xr6:coauthVersionLast="45" xr6:coauthVersionMax="45" xr10:uidLastSave="{00000000-0000-0000-0000-000000000000}"/>
  <bookViews>
    <workbookView xWindow="3180" yWindow="2060" windowWidth="27640" windowHeight="16940" activeTab="1" xr2:uid="{EC528F8D-038F-BB48-AFE4-DEEC5ACE8465}"/>
  </bookViews>
  <sheets>
    <sheet name="Salivary Gland RNA-seq Summary" sheetId="1" r:id="rId1"/>
    <sheet name="100-fold, non-redunda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G181" i="2" l="1"/>
  <c r="GV181" i="2"/>
  <c r="GP181" i="2"/>
  <c r="FZ181" i="2"/>
  <c r="FT181" i="2"/>
  <c r="GH181" i="2" s="1"/>
  <c r="FN181" i="2"/>
  <c r="GG181" i="2" s="1"/>
  <c r="FH181" i="2"/>
  <c r="GF181" i="2" s="1"/>
  <c r="EE181" i="2"/>
  <c r="ED181" i="2"/>
  <c r="EC181" i="2"/>
  <c r="EB181" i="2"/>
  <c r="DO181" i="2"/>
  <c r="DN181" i="2"/>
  <c r="DM181" i="2"/>
  <c r="DL181" i="2"/>
  <c r="DK181" i="2"/>
  <c r="DI181" i="2"/>
  <c r="DH181" i="2"/>
  <c r="DF181" i="2"/>
  <c r="DE181" i="2"/>
  <c r="CI181" i="2"/>
  <c r="CH181" i="2"/>
  <c r="CG181" i="2"/>
  <c r="CB181" i="2"/>
  <c r="CA181" i="2"/>
  <c r="BZ181" i="2"/>
  <c r="BU181" i="2"/>
  <c r="BT181" i="2"/>
  <c r="BS181" i="2"/>
  <c r="BN181" i="2"/>
  <c r="BM181" i="2"/>
  <c r="BL181" i="2"/>
  <c r="AN181" i="2"/>
  <c r="AE181" i="2"/>
  <c r="R181" i="2"/>
  <c r="G181" i="2"/>
  <c r="A181" i="2"/>
  <c r="IG180" i="2"/>
  <c r="GV180" i="2"/>
  <c r="GP180" i="2"/>
  <c r="GI180" i="2"/>
  <c r="GH180" i="2"/>
  <c r="GG180" i="2"/>
  <c r="FT180" i="2"/>
  <c r="FN180" i="2"/>
  <c r="FH180" i="2"/>
  <c r="GF180" i="2" s="1"/>
  <c r="GJ180" i="2" s="1"/>
  <c r="DO180" i="2"/>
  <c r="DN180" i="2"/>
  <c r="DM180" i="2"/>
  <c r="DL180" i="2"/>
  <c r="DK180" i="2"/>
  <c r="DI180" i="2"/>
  <c r="DH180" i="2"/>
  <c r="DF180" i="2"/>
  <c r="DE180" i="2"/>
  <c r="CI180" i="2"/>
  <c r="CH180" i="2"/>
  <c r="CG180" i="2"/>
  <c r="CB180" i="2"/>
  <c r="CA180" i="2"/>
  <c r="BZ180" i="2"/>
  <c r="BU180" i="2"/>
  <c r="BT180" i="2"/>
  <c r="BS180" i="2"/>
  <c r="BN180" i="2"/>
  <c r="BM180" i="2"/>
  <c r="BL180" i="2"/>
  <c r="AN180" i="2"/>
  <c r="Y180" i="2"/>
  <c r="R180" i="2"/>
  <c r="G180" i="2"/>
  <c r="A180" i="2"/>
  <c r="IG179" i="2"/>
  <c r="GV179" i="2"/>
  <c r="GP179" i="2"/>
  <c r="GI179" i="2"/>
  <c r="FT179" i="2"/>
  <c r="GH179" i="2" s="1"/>
  <c r="FN179" i="2"/>
  <c r="GG179" i="2" s="1"/>
  <c r="FH179" i="2"/>
  <c r="GF179" i="2" s="1"/>
  <c r="GJ179" i="2" s="1"/>
  <c r="DO179" i="2"/>
  <c r="DN179" i="2"/>
  <c r="DM179" i="2"/>
  <c r="DL179" i="2"/>
  <c r="DK179" i="2"/>
  <c r="DI179" i="2"/>
  <c r="DH179" i="2"/>
  <c r="DF179" i="2"/>
  <c r="DE179" i="2"/>
  <c r="CI179" i="2"/>
  <c r="CH179" i="2"/>
  <c r="CG179" i="2"/>
  <c r="CB179" i="2"/>
  <c r="CA179" i="2"/>
  <c r="BZ179" i="2"/>
  <c r="BU179" i="2"/>
  <c r="BT179" i="2"/>
  <c r="BS179" i="2"/>
  <c r="BN179" i="2"/>
  <c r="BM179" i="2"/>
  <c r="BL179" i="2"/>
  <c r="AN179" i="2"/>
  <c r="Y179" i="2"/>
  <c r="R179" i="2"/>
  <c r="G179" i="2"/>
  <c r="A179" i="2"/>
  <c r="IG178" i="2"/>
  <c r="GV178" i="2"/>
  <c r="GP178" i="2"/>
  <c r="FZ178" i="2"/>
  <c r="GI178" i="2" s="1"/>
  <c r="FT178" i="2"/>
  <c r="GH178" i="2" s="1"/>
  <c r="FN178" i="2"/>
  <c r="GG178" i="2" s="1"/>
  <c r="FH178" i="2"/>
  <c r="GF178" i="2" s="1"/>
  <c r="GJ178" i="2" s="1"/>
  <c r="DO178" i="2"/>
  <c r="DN178" i="2"/>
  <c r="DM178" i="2"/>
  <c r="DL178" i="2"/>
  <c r="DK178" i="2"/>
  <c r="DI178" i="2"/>
  <c r="DH178" i="2"/>
  <c r="DF178" i="2"/>
  <c r="DE178" i="2"/>
  <c r="CI178" i="2"/>
  <c r="CH178" i="2"/>
  <c r="CG178" i="2"/>
  <c r="CB178" i="2"/>
  <c r="CA178" i="2"/>
  <c r="BZ178" i="2"/>
  <c r="BU178" i="2"/>
  <c r="BT178" i="2"/>
  <c r="BS178" i="2"/>
  <c r="BN178" i="2"/>
  <c r="BM178" i="2"/>
  <c r="BL178" i="2"/>
  <c r="AN178" i="2"/>
  <c r="AE178" i="2"/>
  <c r="R178" i="2"/>
  <c r="G178" i="2"/>
  <c r="A178" i="2"/>
  <c r="IG177" i="2"/>
  <c r="GV177" i="2"/>
  <c r="GP177" i="2"/>
  <c r="GI177" i="2"/>
  <c r="GG177" i="2"/>
  <c r="FT177" i="2"/>
  <c r="GH177" i="2" s="1"/>
  <c r="FN177" i="2"/>
  <c r="FH177" i="2"/>
  <c r="GF177" i="2" s="1"/>
  <c r="GJ177" i="2" s="1"/>
  <c r="EM177" i="2"/>
  <c r="EL177" i="2"/>
  <c r="EK177" i="2"/>
  <c r="EJ177" i="2"/>
  <c r="EI177" i="2"/>
  <c r="EH177" i="2"/>
  <c r="EG177" i="2"/>
  <c r="EF177" i="2"/>
  <c r="EE177" i="2"/>
  <c r="ED177" i="2"/>
  <c r="EC177" i="2"/>
  <c r="EB177" i="2"/>
  <c r="DO177" i="2"/>
  <c r="DN177" i="2"/>
  <c r="DM177" i="2"/>
  <c r="DL177" i="2"/>
  <c r="DK177" i="2"/>
  <c r="DI177" i="2"/>
  <c r="DH177" i="2"/>
  <c r="DF177" i="2"/>
  <c r="DE177" i="2"/>
  <c r="CW177" i="2"/>
  <c r="CV177" i="2"/>
  <c r="CI177" i="2"/>
  <c r="CH177" i="2"/>
  <c r="CG177" i="2"/>
  <c r="CB177" i="2"/>
  <c r="CA177" i="2"/>
  <c r="BZ177" i="2"/>
  <c r="BU177" i="2"/>
  <c r="BT177" i="2"/>
  <c r="BS177" i="2"/>
  <c r="BN177" i="2"/>
  <c r="BM177" i="2"/>
  <c r="BL177" i="2"/>
  <c r="AN177" i="2"/>
  <c r="R177" i="2"/>
  <c r="G177" i="2"/>
  <c r="A177" i="2"/>
  <c r="IG176" i="2"/>
  <c r="GV176" i="2"/>
  <c r="GP176" i="2"/>
  <c r="GI176" i="2"/>
  <c r="GH176" i="2"/>
  <c r="FN176" i="2"/>
  <c r="GG176" i="2" s="1"/>
  <c r="FH176" i="2"/>
  <c r="GF176" i="2" s="1"/>
  <c r="DO176" i="2"/>
  <c r="DN176" i="2"/>
  <c r="DM176" i="2"/>
  <c r="DL176" i="2"/>
  <c r="DK176" i="2"/>
  <c r="DI176" i="2"/>
  <c r="DH176" i="2"/>
  <c r="DF176" i="2"/>
  <c r="DE176" i="2"/>
  <c r="CW176" i="2"/>
  <c r="CV176" i="2"/>
  <c r="CI176" i="2"/>
  <c r="CH176" i="2"/>
  <c r="CG176" i="2"/>
  <c r="CB176" i="2"/>
  <c r="CA176" i="2"/>
  <c r="BZ176" i="2"/>
  <c r="BU176" i="2"/>
  <c r="BT176" i="2"/>
  <c r="BS176" i="2"/>
  <c r="BN176" i="2"/>
  <c r="BM176" i="2"/>
  <c r="BL176" i="2"/>
  <c r="AN176" i="2"/>
  <c r="R176" i="2"/>
  <c r="G176" i="2"/>
  <c r="A176" i="2"/>
  <c r="IG175" i="2"/>
  <c r="GV175" i="2"/>
  <c r="GP175" i="2"/>
  <c r="GH175" i="2"/>
  <c r="GF175" i="2"/>
  <c r="FZ175" i="2"/>
  <c r="GI175" i="2" s="1"/>
  <c r="FT175" i="2"/>
  <c r="FN175" i="2"/>
  <c r="GG175" i="2" s="1"/>
  <c r="FH175" i="2"/>
  <c r="DO175" i="2"/>
  <c r="DN175" i="2"/>
  <c r="DM175" i="2"/>
  <c r="DL175" i="2"/>
  <c r="DK175" i="2"/>
  <c r="DI175" i="2"/>
  <c r="DH175" i="2"/>
  <c r="DF175" i="2"/>
  <c r="DE175" i="2"/>
  <c r="CW175" i="2"/>
  <c r="CV175" i="2"/>
  <c r="CI175" i="2"/>
  <c r="CH175" i="2"/>
  <c r="CG175" i="2"/>
  <c r="CB175" i="2"/>
  <c r="CA175" i="2"/>
  <c r="BZ175" i="2"/>
  <c r="BU175" i="2"/>
  <c r="BT175" i="2"/>
  <c r="BS175" i="2"/>
  <c r="BN175" i="2"/>
  <c r="BM175" i="2"/>
  <c r="BL175" i="2"/>
  <c r="AN175" i="2"/>
  <c r="AE175" i="2"/>
  <c r="R175" i="2"/>
  <c r="G175" i="2"/>
  <c r="A175" i="2"/>
  <c r="IG174" i="2"/>
  <c r="GV174" i="2"/>
  <c r="GP174" i="2"/>
  <c r="GI174" i="2"/>
  <c r="GG174" i="2"/>
  <c r="FZ174" i="2"/>
  <c r="FT174" i="2"/>
  <c r="GH174" i="2" s="1"/>
  <c r="FN174" i="2"/>
  <c r="FH174" i="2"/>
  <c r="GF174" i="2" s="1"/>
  <c r="DO174" i="2"/>
  <c r="DN174" i="2"/>
  <c r="DM174" i="2"/>
  <c r="DL174" i="2"/>
  <c r="DK174" i="2"/>
  <c r="DI174" i="2"/>
  <c r="DH174" i="2"/>
  <c r="DF174" i="2"/>
  <c r="DE174" i="2"/>
  <c r="CI174" i="2"/>
  <c r="CH174" i="2"/>
  <c r="CG174" i="2"/>
  <c r="CB174" i="2"/>
  <c r="CA174" i="2"/>
  <c r="BZ174" i="2"/>
  <c r="BU174" i="2"/>
  <c r="BT174" i="2"/>
  <c r="BS174" i="2"/>
  <c r="BN174" i="2"/>
  <c r="BM174" i="2"/>
  <c r="BL174" i="2"/>
  <c r="AN174" i="2"/>
  <c r="AE174" i="2"/>
  <c r="Y174" i="2"/>
  <c r="R174" i="2"/>
  <c r="G174" i="2"/>
  <c r="A174" i="2"/>
  <c r="IG173" i="2"/>
  <c r="GV173" i="2"/>
  <c r="GP173" i="2"/>
  <c r="GI173" i="2"/>
  <c r="FT173" i="2"/>
  <c r="GH173" i="2" s="1"/>
  <c r="FN173" i="2"/>
  <c r="GG173" i="2" s="1"/>
  <c r="FH173" i="2"/>
  <c r="GF173" i="2" s="1"/>
  <c r="GJ173" i="2" s="1"/>
  <c r="DO173" i="2"/>
  <c r="DN173" i="2"/>
  <c r="DM173" i="2"/>
  <c r="DL173" i="2"/>
  <c r="DK173" i="2"/>
  <c r="DI173" i="2"/>
  <c r="DH173" i="2"/>
  <c r="DF173" i="2"/>
  <c r="DE173" i="2"/>
  <c r="CW173" i="2"/>
  <c r="CV173" i="2"/>
  <c r="CI173" i="2"/>
  <c r="CH173" i="2"/>
  <c r="CG173" i="2"/>
  <c r="CB173" i="2"/>
  <c r="CA173" i="2"/>
  <c r="BZ173" i="2"/>
  <c r="BU173" i="2"/>
  <c r="BT173" i="2"/>
  <c r="BS173" i="2"/>
  <c r="BN173" i="2"/>
  <c r="BM173" i="2"/>
  <c r="BL173" i="2"/>
  <c r="AN173" i="2"/>
  <c r="AE173" i="2"/>
  <c r="R173" i="2"/>
  <c r="G173" i="2"/>
  <c r="A173" i="2"/>
  <c r="IG172" i="2"/>
  <c r="GV172" i="2"/>
  <c r="GP172" i="2"/>
  <c r="GH172" i="2"/>
  <c r="GF172" i="2"/>
  <c r="FZ172" i="2"/>
  <c r="FT172" i="2"/>
  <c r="FN172" i="2"/>
  <c r="GG172" i="2" s="1"/>
  <c r="FH172" i="2"/>
  <c r="ES172" i="2"/>
  <c r="ER172" i="2"/>
  <c r="EQ172" i="2"/>
  <c r="EP172" i="2"/>
  <c r="EO172" i="2"/>
  <c r="EN172" i="2"/>
  <c r="EM172" i="2"/>
  <c r="EL172" i="2"/>
  <c r="EK172" i="2"/>
  <c r="EJ172" i="2"/>
  <c r="EI172" i="2"/>
  <c r="EH172" i="2"/>
  <c r="EG172" i="2"/>
  <c r="EF172" i="2"/>
  <c r="EE172" i="2"/>
  <c r="ED172" i="2"/>
  <c r="EC172" i="2"/>
  <c r="EB172" i="2"/>
  <c r="DO172" i="2"/>
  <c r="DN172" i="2"/>
  <c r="DM172" i="2"/>
  <c r="DL172" i="2"/>
  <c r="DK172" i="2"/>
  <c r="DI172" i="2"/>
  <c r="DH172" i="2"/>
  <c r="DF172" i="2"/>
  <c r="DE172" i="2"/>
  <c r="CW172" i="2"/>
  <c r="CV172" i="2"/>
  <c r="CI172" i="2"/>
  <c r="CH172" i="2"/>
  <c r="CG172" i="2"/>
  <c r="CB172" i="2"/>
  <c r="CA172" i="2"/>
  <c r="BZ172" i="2"/>
  <c r="BU172" i="2"/>
  <c r="BT172" i="2"/>
  <c r="BS172" i="2"/>
  <c r="BN172" i="2"/>
  <c r="BM172" i="2"/>
  <c r="BL172" i="2"/>
  <c r="AN172" i="2"/>
  <c r="AE172" i="2"/>
  <c r="Y172" i="2"/>
  <c r="R172" i="2"/>
  <c r="G172" i="2"/>
  <c r="A172" i="2"/>
  <c r="IG171" i="2"/>
  <c r="GV171" i="2"/>
  <c r="GP171" i="2"/>
  <c r="FZ171" i="2"/>
  <c r="FT171" i="2"/>
  <c r="GH171" i="2" s="1"/>
  <c r="FN171" i="2"/>
  <c r="GG171" i="2" s="1"/>
  <c r="FH171" i="2"/>
  <c r="GF171" i="2" s="1"/>
  <c r="FE171" i="2"/>
  <c r="FD171" i="2"/>
  <c r="FC171" i="2"/>
  <c r="FB171" i="2"/>
  <c r="FA171" i="2"/>
  <c r="EZ171" i="2"/>
  <c r="EY171" i="2"/>
  <c r="EX171" i="2"/>
  <c r="EW171" i="2"/>
  <c r="EV171" i="2"/>
  <c r="EU171" i="2"/>
  <c r="ET171" i="2"/>
  <c r="ES171" i="2"/>
  <c r="ER171" i="2"/>
  <c r="EQ171" i="2"/>
  <c r="EP171" i="2"/>
  <c r="EO171" i="2"/>
  <c r="EN171" i="2"/>
  <c r="EM171" i="2"/>
  <c r="EL171" i="2"/>
  <c r="EK171" i="2"/>
  <c r="EJ171" i="2"/>
  <c r="EI171" i="2"/>
  <c r="EH171" i="2"/>
  <c r="EG171" i="2"/>
  <c r="EF171" i="2"/>
  <c r="EE171" i="2"/>
  <c r="ED171" i="2"/>
  <c r="EC171" i="2"/>
  <c r="EB171" i="2"/>
  <c r="DO171" i="2"/>
  <c r="DN171" i="2"/>
  <c r="DK171" i="2"/>
  <c r="DI171" i="2"/>
  <c r="DH171" i="2"/>
  <c r="CW171" i="2"/>
  <c r="CV171" i="2"/>
  <c r="CI171" i="2"/>
  <c r="CH171" i="2"/>
  <c r="CG171" i="2"/>
  <c r="CB171" i="2"/>
  <c r="CA171" i="2"/>
  <c r="BZ171" i="2"/>
  <c r="BU171" i="2"/>
  <c r="BT171" i="2"/>
  <c r="BS171" i="2"/>
  <c r="BN171" i="2"/>
  <c r="BM171" i="2"/>
  <c r="BL171" i="2"/>
  <c r="AN171" i="2"/>
  <c r="AM171" i="2"/>
  <c r="AL171" i="2"/>
  <c r="AE171" i="2"/>
  <c r="Y171" i="2"/>
  <c r="R171" i="2"/>
  <c r="G171" i="2"/>
  <c r="A171" i="2"/>
  <c r="IG170" i="2"/>
  <c r="GV170" i="2"/>
  <c r="GP170" i="2"/>
  <c r="FZ170" i="2"/>
  <c r="GI170" i="2" s="1"/>
  <c r="FT170" i="2"/>
  <c r="GH170" i="2" s="1"/>
  <c r="FN170" i="2"/>
  <c r="GG170" i="2" s="1"/>
  <c r="FH170" i="2"/>
  <c r="GF170" i="2" s="1"/>
  <c r="FE170" i="2"/>
  <c r="FD170" i="2"/>
  <c r="FC170" i="2"/>
  <c r="FB170" i="2"/>
  <c r="FA170" i="2"/>
  <c r="EZ170" i="2"/>
  <c r="EY170" i="2"/>
  <c r="EX170" i="2"/>
  <c r="EW170" i="2"/>
  <c r="EV170" i="2"/>
  <c r="EU170" i="2"/>
  <c r="ET170" i="2"/>
  <c r="ES170" i="2"/>
  <c r="ER170" i="2"/>
  <c r="EQ170" i="2"/>
  <c r="EP170" i="2"/>
  <c r="EO170" i="2"/>
  <c r="EN170" i="2"/>
  <c r="EM170" i="2"/>
  <c r="EL170" i="2"/>
  <c r="EK170" i="2"/>
  <c r="EJ170" i="2"/>
  <c r="EI170" i="2"/>
  <c r="EH170" i="2"/>
  <c r="EG170" i="2"/>
  <c r="EF170" i="2"/>
  <c r="EE170" i="2"/>
  <c r="ED170" i="2"/>
  <c r="EC170" i="2"/>
  <c r="EB170" i="2"/>
  <c r="DO170" i="2"/>
  <c r="DN170" i="2"/>
  <c r="DK170" i="2"/>
  <c r="DI170" i="2"/>
  <c r="DH170" i="2"/>
  <c r="CW170" i="2"/>
  <c r="CV170" i="2"/>
  <c r="CI170" i="2"/>
  <c r="CH170" i="2"/>
  <c r="CG170" i="2"/>
  <c r="CB170" i="2"/>
  <c r="CA170" i="2"/>
  <c r="BZ170" i="2"/>
  <c r="BU170" i="2"/>
  <c r="BT170" i="2"/>
  <c r="BS170" i="2"/>
  <c r="BN170" i="2"/>
  <c r="BM170" i="2"/>
  <c r="BL170" i="2"/>
  <c r="AN170" i="2"/>
  <c r="AM170" i="2"/>
  <c r="AL170" i="2"/>
  <c r="AE170" i="2"/>
  <c r="Y170" i="2"/>
  <c r="R170" i="2"/>
  <c r="G170" i="2"/>
  <c r="A170" i="2"/>
  <c r="IG169" i="2"/>
  <c r="GJ169" i="2"/>
  <c r="AN169" i="2"/>
  <c r="IG168" i="2"/>
  <c r="GV168" i="2"/>
  <c r="GP168" i="2"/>
  <c r="GI168" i="2"/>
  <c r="GH168" i="2"/>
  <c r="FZ168" i="2"/>
  <c r="FN168" i="2"/>
  <c r="GG168" i="2" s="1"/>
  <c r="FH168" i="2"/>
  <c r="GF168" i="2" s="1"/>
  <c r="DO168" i="2"/>
  <c r="DN168" i="2"/>
  <c r="DM168" i="2"/>
  <c r="DL168" i="2"/>
  <c r="DK168" i="2"/>
  <c r="DI168" i="2"/>
  <c r="DH168" i="2"/>
  <c r="DF168" i="2"/>
  <c r="DE168" i="2"/>
  <c r="CW168" i="2"/>
  <c r="CV168" i="2"/>
  <c r="CI168" i="2"/>
  <c r="CH168" i="2"/>
  <c r="CG168" i="2"/>
  <c r="CB168" i="2"/>
  <c r="CA168" i="2"/>
  <c r="BZ168" i="2"/>
  <c r="BU168" i="2"/>
  <c r="BT168" i="2"/>
  <c r="BS168" i="2"/>
  <c r="BN168" i="2"/>
  <c r="BM168" i="2"/>
  <c r="BL168" i="2"/>
  <c r="AV168" i="2"/>
  <c r="AN168" i="2"/>
  <c r="AE168" i="2"/>
  <c r="Y168" i="2"/>
  <c r="R168" i="2"/>
  <c r="G168" i="2"/>
  <c r="A168" i="2"/>
  <c r="IG167" i="2"/>
  <c r="GV167" i="2"/>
  <c r="GP167" i="2"/>
  <c r="GG167" i="2"/>
  <c r="FZ167" i="2"/>
  <c r="GI167" i="2" s="1"/>
  <c r="FT167" i="2"/>
  <c r="GH167" i="2" s="1"/>
  <c r="FN167" i="2"/>
  <c r="FH167" i="2"/>
  <c r="GF167" i="2" s="1"/>
  <c r="DO167" i="2"/>
  <c r="DN167" i="2"/>
  <c r="DM167" i="2"/>
  <c r="DL167" i="2"/>
  <c r="DK167" i="2"/>
  <c r="DI167" i="2"/>
  <c r="DH167" i="2"/>
  <c r="DF167" i="2"/>
  <c r="DE167" i="2"/>
  <c r="CI167" i="2"/>
  <c r="CH167" i="2"/>
  <c r="CG167" i="2"/>
  <c r="CB167" i="2"/>
  <c r="CA167" i="2"/>
  <c r="BZ167" i="2"/>
  <c r="BU167" i="2"/>
  <c r="BT167" i="2"/>
  <c r="BS167" i="2"/>
  <c r="BN167" i="2"/>
  <c r="BM167" i="2"/>
  <c r="BL167" i="2"/>
  <c r="AY167" i="2"/>
  <c r="AV167" i="2"/>
  <c r="AN167" i="2"/>
  <c r="Y167" i="2"/>
  <c r="R167" i="2"/>
  <c r="G167" i="2"/>
  <c r="A167" i="2"/>
  <c r="IG166" i="2"/>
  <c r="GV166" i="2"/>
  <c r="GP166" i="2"/>
  <c r="GI166" i="2"/>
  <c r="GF166" i="2"/>
  <c r="FZ166" i="2"/>
  <c r="FT166" i="2"/>
  <c r="GH166" i="2" s="1"/>
  <c r="FN166" i="2"/>
  <c r="GG166" i="2" s="1"/>
  <c r="FH166" i="2"/>
  <c r="DO166" i="2"/>
  <c r="DN166" i="2"/>
  <c r="DM166" i="2"/>
  <c r="DL166" i="2"/>
  <c r="DK166" i="2"/>
  <c r="DI166" i="2"/>
  <c r="DH166" i="2"/>
  <c r="DF166" i="2"/>
  <c r="DE166" i="2"/>
  <c r="CW166" i="2"/>
  <c r="CV166" i="2"/>
  <c r="CI166" i="2"/>
  <c r="CH166" i="2"/>
  <c r="CG166" i="2"/>
  <c r="CB166" i="2"/>
  <c r="CA166" i="2"/>
  <c r="BZ166" i="2"/>
  <c r="BU166" i="2"/>
  <c r="BT166" i="2"/>
  <c r="BS166" i="2"/>
  <c r="BN166" i="2"/>
  <c r="BM166" i="2"/>
  <c r="BL166" i="2"/>
  <c r="AV166" i="2"/>
  <c r="AN166" i="2"/>
  <c r="Y166" i="2"/>
  <c r="R166" i="2"/>
  <c r="G166" i="2"/>
  <c r="A166" i="2"/>
  <c r="IG165" i="2"/>
  <c r="GV165" i="2"/>
  <c r="GP165" i="2"/>
  <c r="GI165" i="2"/>
  <c r="GF165" i="2"/>
  <c r="GJ165" i="2" s="1"/>
  <c r="FT165" i="2"/>
  <c r="GH165" i="2" s="1"/>
  <c r="FN165" i="2"/>
  <c r="GG165" i="2" s="1"/>
  <c r="FH165" i="2"/>
  <c r="DO165" i="2"/>
  <c r="DN165" i="2"/>
  <c r="DM165" i="2"/>
  <c r="DL165" i="2"/>
  <c r="DK165" i="2"/>
  <c r="DI165" i="2"/>
  <c r="DH165" i="2"/>
  <c r="DF165" i="2"/>
  <c r="DE165" i="2"/>
  <c r="CW165" i="2"/>
  <c r="CV165" i="2"/>
  <c r="CI165" i="2"/>
  <c r="CH165" i="2"/>
  <c r="CG165" i="2"/>
  <c r="CB165" i="2"/>
  <c r="CA165" i="2"/>
  <c r="BZ165" i="2"/>
  <c r="BU165" i="2"/>
  <c r="BT165" i="2"/>
  <c r="BS165" i="2"/>
  <c r="BN165" i="2"/>
  <c r="BM165" i="2"/>
  <c r="BL165" i="2"/>
  <c r="AV165" i="2"/>
  <c r="AN165" i="2"/>
  <c r="AE165" i="2"/>
  <c r="Y165" i="2"/>
  <c r="R165" i="2"/>
  <c r="G165" i="2"/>
  <c r="A165" i="2"/>
  <c r="IG164" i="2"/>
  <c r="GV164" i="2"/>
  <c r="GP164" i="2"/>
  <c r="GI164" i="2"/>
  <c r="GF164" i="2"/>
  <c r="FZ164" i="2"/>
  <c r="FT164" i="2"/>
  <c r="GH164" i="2" s="1"/>
  <c r="FN164" i="2"/>
  <c r="GG164" i="2" s="1"/>
  <c r="FH164" i="2"/>
  <c r="DO164" i="2"/>
  <c r="DN164" i="2"/>
  <c r="DM164" i="2"/>
  <c r="DL164" i="2"/>
  <c r="DK164" i="2"/>
  <c r="DI164" i="2"/>
  <c r="DH164" i="2"/>
  <c r="DF164" i="2"/>
  <c r="DE164" i="2"/>
  <c r="CW164" i="2"/>
  <c r="CV164" i="2"/>
  <c r="CI164" i="2"/>
  <c r="CH164" i="2"/>
  <c r="CG164" i="2"/>
  <c r="CB164" i="2"/>
  <c r="CA164" i="2"/>
  <c r="BZ164" i="2"/>
  <c r="BU164" i="2"/>
  <c r="BT164" i="2"/>
  <c r="BS164" i="2"/>
  <c r="BN164" i="2"/>
  <c r="BM164" i="2"/>
  <c r="BL164" i="2"/>
  <c r="AV164" i="2"/>
  <c r="AN164" i="2"/>
  <c r="AE164" i="2"/>
  <c r="Y164" i="2"/>
  <c r="R164" i="2"/>
  <c r="G164" i="2"/>
  <c r="A164" i="2"/>
  <c r="IG163" i="2"/>
  <c r="GJ163" i="2"/>
  <c r="AN163" i="2"/>
  <c r="IG162" i="2"/>
  <c r="GV162" i="2"/>
  <c r="GP162" i="2"/>
  <c r="GH162" i="2"/>
  <c r="GF162" i="2"/>
  <c r="FZ162" i="2"/>
  <c r="FT162" i="2"/>
  <c r="FN162" i="2"/>
  <c r="GG162" i="2" s="1"/>
  <c r="FH162" i="2"/>
  <c r="EO162" i="2"/>
  <c r="EN162" i="2"/>
  <c r="EM162" i="2"/>
  <c r="EL162" i="2"/>
  <c r="EK162" i="2"/>
  <c r="EJ162" i="2"/>
  <c r="EI162" i="2"/>
  <c r="EH162" i="2"/>
  <c r="EG162" i="2"/>
  <c r="EF162" i="2"/>
  <c r="EE162" i="2"/>
  <c r="ED162" i="2"/>
  <c r="EC162" i="2"/>
  <c r="EB162" i="2"/>
  <c r="DO162" i="2"/>
  <c r="DN162" i="2"/>
  <c r="DM162" i="2"/>
  <c r="DL162" i="2"/>
  <c r="DK162" i="2"/>
  <c r="DI162" i="2"/>
  <c r="DH162" i="2"/>
  <c r="DF162" i="2"/>
  <c r="DE162" i="2"/>
  <c r="CW162" i="2"/>
  <c r="CV162" i="2"/>
  <c r="CI162" i="2"/>
  <c r="CH162" i="2"/>
  <c r="CG162" i="2"/>
  <c r="CB162" i="2"/>
  <c r="CA162" i="2"/>
  <c r="BZ162" i="2"/>
  <c r="BU162" i="2"/>
  <c r="BT162" i="2"/>
  <c r="BS162" i="2"/>
  <c r="BN162" i="2"/>
  <c r="BM162" i="2"/>
  <c r="BL162" i="2"/>
  <c r="AV162" i="2"/>
  <c r="AN162" i="2"/>
  <c r="AE162" i="2"/>
  <c r="R162" i="2"/>
  <c r="G162" i="2"/>
  <c r="A162" i="2"/>
  <c r="IG161" i="2"/>
  <c r="GV161" i="2"/>
  <c r="GP161" i="2"/>
  <c r="GI161" i="2"/>
  <c r="FZ161" i="2"/>
  <c r="FT161" i="2"/>
  <c r="GH161" i="2" s="1"/>
  <c r="FN161" i="2"/>
  <c r="GG161" i="2" s="1"/>
  <c r="FH161" i="2"/>
  <c r="GF161" i="2" s="1"/>
  <c r="GJ161" i="2" s="1"/>
  <c r="DO161" i="2"/>
  <c r="DN161" i="2"/>
  <c r="DM161" i="2"/>
  <c r="DL161" i="2"/>
  <c r="DK161" i="2"/>
  <c r="DI161" i="2"/>
  <c r="DH161" i="2"/>
  <c r="DF161" i="2"/>
  <c r="DE161" i="2"/>
  <c r="CV161" i="2"/>
  <c r="CI161" i="2"/>
  <c r="CH161" i="2"/>
  <c r="CG161" i="2"/>
  <c r="CB161" i="2"/>
  <c r="CA161" i="2"/>
  <c r="BZ161" i="2"/>
  <c r="BU161" i="2"/>
  <c r="BT161" i="2"/>
  <c r="BS161" i="2"/>
  <c r="BN161" i="2"/>
  <c r="BM161" i="2"/>
  <c r="BL161" i="2"/>
  <c r="AN161" i="2"/>
  <c r="AE161" i="2"/>
  <c r="Y161" i="2"/>
  <c r="R161" i="2"/>
  <c r="G161" i="2"/>
  <c r="A161" i="2"/>
  <c r="IG160" i="2"/>
  <c r="GV160" i="2"/>
  <c r="GP160" i="2"/>
  <c r="GG160" i="2"/>
  <c r="FZ160" i="2"/>
  <c r="FT160" i="2"/>
  <c r="GH160" i="2" s="1"/>
  <c r="FN160" i="2"/>
  <c r="FH160" i="2"/>
  <c r="GF160" i="2" s="1"/>
  <c r="DO160" i="2"/>
  <c r="DN160" i="2"/>
  <c r="DM160" i="2"/>
  <c r="DL160" i="2"/>
  <c r="DK160" i="2"/>
  <c r="DI160" i="2"/>
  <c r="DH160" i="2"/>
  <c r="DF160" i="2"/>
  <c r="DE160" i="2"/>
  <c r="CW160" i="2"/>
  <c r="CV160" i="2"/>
  <c r="CP160" i="2"/>
  <c r="CO160" i="2"/>
  <c r="CN160" i="2"/>
  <c r="CI160" i="2"/>
  <c r="CH160" i="2"/>
  <c r="CG160" i="2"/>
  <c r="CB160" i="2"/>
  <c r="CA160" i="2"/>
  <c r="BZ160" i="2"/>
  <c r="BU160" i="2"/>
  <c r="BT160" i="2"/>
  <c r="BS160" i="2"/>
  <c r="BN160" i="2"/>
  <c r="BM160" i="2"/>
  <c r="BL160" i="2"/>
  <c r="AV160" i="2"/>
  <c r="AN160" i="2"/>
  <c r="AE160" i="2"/>
  <c r="R160" i="2"/>
  <c r="G160" i="2"/>
  <c r="A160" i="2"/>
  <c r="IG159" i="2"/>
  <c r="GV159" i="2"/>
  <c r="GP159" i="2"/>
  <c r="GI159" i="2"/>
  <c r="FZ159" i="2"/>
  <c r="FT159" i="2"/>
  <c r="GH159" i="2" s="1"/>
  <c r="FN159" i="2"/>
  <c r="GG159" i="2" s="1"/>
  <c r="FH159" i="2"/>
  <c r="GF159" i="2" s="1"/>
  <c r="GJ159" i="2" s="1"/>
  <c r="DO159" i="2"/>
  <c r="DN159" i="2"/>
  <c r="DM159" i="2"/>
  <c r="DL159" i="2"/>
  <c r="DK159" i="2"/>
  <c r="DI159" i="2"/>
  <c r="DH159" i="2"/>
  <c r="DF159" i="2"/>
  <c r="DE159" i="2"/>
  <c r="CW159" i="2"/>
  <c r="CV159" i="2"/>
  <c r="CI159" i="2"/>
  <c r="CH159" i="2"/>
  <c r="CG159" i="2"/>
  <c r="CB159" i="2"/>
  <c r="CA159" i="2"/>
  <c r="BZ159" i="2"/>
  <c r="BU159" i="2"/>
  <c r="BT159" i="2"/>
  <c r="BS159" i="2"/>
  <c r="BN159" i="2"/>
  <c r="BM159" i="2"/>
  <c r="BL159" i="2"/>
  <c r="AV159" i="2"/>
  <c r="AN159" i="2"/>
  <c r="AE159" i="2"/>
  <c r="Y159" i="2"/>
  <c r="R159" i="2"/>
  <c r="G159" i="2"/>
  <c r="A159" i="2"/>
  <c r="IG158" i="2"/>
  <c r="GV158" i="2"/>
  <c r="GP158" i="2"/>
  <c r="GI158" i="2"/>
  <c r="GG158" i="2"/>
  <c r="GF158" i="2"/>
  <c r="FZ158" i="2"/>
  <c r="FT158" i="2"/>
  <c r="GH158" i="2" s="1"/>
  <c r="FN158" i="2"/>
  <c r="FH158" i="2"/>
  <c r="DO158" i="2"/>
  <c r="DN158" i="2"/>
  <c r="DM158" i="2"/>
  <c r="DL158" i="2"/>
  <c r="DK158" i="2"/>
  <c r="DI158" i="2"/>
  <c r="DH158" i="2"/>
  <c r="DF158" i="2"/>
  <c r="DE158" i="2"/>
  <c r="CV158" i="2"/>
  <c r="CI158" i="2"/>
  <c r="CH158" i="2"/>
  <c r="CG158" i="2"/>
  <c r="CB158" i="2"/>
  <c r="CA158" i="2"/>
  <c r="BZ158" i="2"/>
  <c r="BU158" i="2"/>
  <c r="BT158" i="2"/>
  <c r="BS158" i="2"/>
  <c r="BN158" i="2"/>
  <c r="BM158" i="2"/>
  <c r="BL158" i="2"/>
  <c r="AV158" i="2"/>
  <c r="AN158" i="2"/>
  <c r="AE158" i="2"/>
  <c r="R158" i="2"/>
  <c r="G158" i="2"/>
  <c r="A158" i="2"/>
  <c r="IG157" i="2"/>
  <c r="GV157" i="2"/>
  <c r="GP157" i="2"/>
  <c r="GH157" i="2"/>
  <c r="FZ157" i="2"/>
  <c r="GI157" i="2" s="1"/>
  <c r="FT157" i="2"/>
  <c r="FN157" i="2"/>
  <c r="GG157" i="2" s="1"/>
  <c r="FH157" i="2"/>
  <c r="GF157" i="2" s="1"/>
  <c r="EC157" i="2"/>
  <c r="EB157" i="2"/>
  <c r="DO157" i="2"/>
  <c r="DN157" i="2"/>
  <c r="DM157" i="2"/>
  <c r="DL157" i="2"/>
  <c r="DK157" i="2"/>
  <c r="DI157" i="2"/>
  <c r="DH157" i="2"/>
  <c r="DF157" i="2"/>
  <c r="DE157" i="2"/>
  <c r="CW157" i="2"/>
  <c r="CV157" i="2"/>
  <c r="CI157" i="2"/>
  <c r="CH157" i="2"/>
  <c r="CG157" i="2"/>
  <c r="CB157" i="2"/>
  <c r="CA157" i="2"/>
  <c r="BZ157" i="2"/>
  <c r="BU157" i="2"/>
  <c r="BT157" i="2"/>
  <c r="BS157" i="2"/>
  <c r="BN157" i="2"/>
  <c r="BM157" i="2"/>
  <c r="BL157" i="2"/>
  <c r="AV157" i="2"/>
  <c r="AN157" i="2"/>
  <c r="AE157" i="2"/>
  <c r="R157" i="2"/>
  <c r="G157" i="2"/>
  <c r="A157" i="2"/>
  <c r="IG156" i="2"/>
  <c r="GV156" i="2"/>
  <c r="GP156" i="2"/>
  <c r="GI156" i="2"/>
  <c r="FT156" i="2"/>
  <c r="GH156" i="2" s="1"/>
  <c r="FN156" i="2"/>
  <c r="GG156" i="2" s="1"/>
  <c r="FH156" i="2"/>
  <c r="GF156" i="2" s="1"/>
  <c r="GJ156" i="2" s="1"/>
  <c r="DO156" i="2"/>
  <c r="DN156" i="2"/>
  <c r="DM156" i="2"/>
  <c r="DL156" i="2"/>
  <c r="DK156" i="2"/>
  <c r="DI156" i="2"/>
  <c r="DH156" i="2"/>
  <c r="DF156" i="2"/>
  <c r="DE156" i="2"/>
  <c r="CW156" i="2"/>
  <c r="CV156" i="2"/>
  <c r="CI156" i="2"/>
  <c r="CH156" i="2"/>
  <c r="CG156" i="2"/>
  <c r="CB156" i="2"/>
  <c r="CA156" i="2"/>
  <c r="BZ156" i="2"/>
  <c r="BU156" i="2"/>
  <c r="BT156" i="2"/>
  <c r="BS156" i="2"/>
  <c r="BN156" i="2"/>
  <c r="BM156" i="2"/>
  <c r="BL156" i="2"/>
  <c r="AV156" i="2"/>
  <c r="AN156" i="2"/>
  <c r="AE156" i="2"/>
  <c r="Y156" i="2"/>
  <c r="R156" i="2"/>
  <c r="G156" i="2"/>
  <c r="A156" i="2"/>
  <c r="IG155" i="2"/>
  <c r="GV155" i="2"/>
  <c r="GP155" i="2"/>
  <c r="GG155" i="2"/>
  <c r="GF155" i="2"/>
  <c r="GJ155" i="2" s="1"/>
  <c r="FZ155" i="2"/>
  <c r="GI155" i="2" s="1"/>
  <c r="FT155" i="2"/>
  <c r="GH155" i="2" s="1"/>
  <c r="FN155" i="2"/>
  <c r="FH155" i="2"/>
  <c r="DO155" i="2"/>
  <c r="DN155" i="2"/>
  <c r="DM155" i="2"/>
  <c r="DL155" i="2"/>
  <c r="DK155" i="2"/>
  <c r="DI155" i="2"/>
  <c r="DH155" i="2"/>
  <c r="DF155" i="2"/>
  <c r="DE155" i="2"/>
  <c r="CI155" i="2"/>
  <c r="CH155" i="2"/>
  <c r="CG155" i="2"/>
  <c r="CB155" i="2"/>
  <c r="CA155" i="2"/>
  <c r="BZ155" i="2"/>
  <c r="BU155" i="2"/>
  <c r="BT155" i="2"/>
  <c r="BS155" i="2"/>
  <c r="BN155" i="2"/>
  <c r="BM155" i="2"/>
  <c r="BL155" i="2"/>
  <c r="AV155" i="2"/>
  <c r="AN155" i="2"/>
  <c r="AE155" i="2"/>
  <c r="R155" i="2"/>
  <c r="G155" i="2"/>
  <c r="A155" i="2"/>
  <c r="IG154" i="2"/>
  <c r="GJ154" i="2"/>
  <c r="AN154" i="2"/>
  <c r="IG153" i="2"/>
  <c r="GV153" i="2"/>
  <c r="GP153" i="2"/>
  <c r="GG153" i="2"/>
  <c r="FZ153" i="2"/>
  <c r="FT153" i="2"/>
  <c r="GH153" i="2" s="1"/>
  <c r="FN153" i="2"/>
  <c r="FH153" i="2"/>
  <c r="GF153" i="2" s="1"/>
  <c r="EO153" i="2"/>
  <c r="EN153" i="2"/>
  <c r="EM153" i="2"/>
  <c r="EL153" i="2"/>
  <c r="EK153" i="2"/>
  <c r="EJ153" i="2"/>
  <c r="EI153" i="2"/>
  <c r="EH153" i="2"/>
  <c r="EG153" i="2"/>
  <c r="EF153" i="2"/>
  <c r="EE153" i="2"/>
  <c r="ED153" i="2"/>
  <c r="EC153" i="2"/>
  <c r="EB153" i="2"/>
  <c r="DO153" i="2"/>
  <c r="DN153" i="2"/>
  <c r="DM153" i="2"/>
  <c r="DL153" i="2"/>
  <c r="DK153" i="2"/>
  <c r="DI153" i="2"/>
  <c r="DH153" i="2"/>
  <c r="DF153" i="2"/>
  <c r="DE153" i="2"/>
  <c r="CW153" i="2"/>
  <c r="CV153" i="2"/>
  <c r="CI153" i="2"/>
  <c r="CH153" i="2"/>
  <c r="CG153" i="2"/>
  <c r="CB153" i="2"/>
  <c r="CA153" i="2"/>
  <c r="BZ153" i="2"/>
  <c r="BU153" i="2"/>
  <c r="BT153" i="2"/>
  <c r="BS153" i="2"/>
  <c r="BN153" i="2"/>
  <c r="BM153" i="2"/>
  <c r="BL153" i="2"/>
  <c r="AV153" i="2"/>
  <c r="AN153" i="2"/>
  <c r="AE153" i="2"/>
  <c r="Y153" i="2"/>
  <c r="R153" i="2"/>
  <c r="G153" i="2"/>
  <c r="A153" i="2"/>
  <c r="IG152" i="2"/>
  <c r="GJ152" i="2"/>
  <c r="AN152" i="2"/>
  <c r="IG151" i="2"/>
  <c r="GV151" i="2"/>
  <c r="GP151" i="2"/>
  <c r="GI151" i="2"/>
  <c r="FT151" i="2"/>
  <c r="GH151" i="2" s="1"/>
  <c r="FN151" i="2"/>
  <c r="GG151" i="2" s="1"/>
  <c r="FH151" i="2"/>
  <c r="GF151" i="2" s="1"/>
  <c r="GJ151" i="2" s="1"/>
  <c r="DO151" i="2"/>
  <c r="DN151" i="2"/>
  <c r="DM151" i="2"/>
  <c r="DL151" i="2"/>
  <c r="DK151" i="2"/>
  <c r="DI151" i="2"/>
  <c r="DH151" i="2"/>
  <c r="DF151" i="2"/>
  <c r="DE151" i="2"/>
  <c r="CW151" i="2"/>
  <c r="CV151" i="2"/>
  <c r="CI151" i="2"/>
  <c r="CH151" i="2"/>
  <c r="CG151" i="2"/>
  <c r="CB151" i="2"/>
  <c r="CA151" i="2"/>
  <c r="BZ151" i="2"/>
  <c r="BU151" i="2"/>
  <c r="BT151" i="2"/>
  <c r="BS151" i="2"/>
  <c r="BN151" i="2"/>
  <c r="BM151" i="2"/>
  <c r="BL151" i="2"/>
  <c r="AV151" i="2"/>
  <c r="AN151" i="2"/>
  <c r="AE151" i="2"/>
  <c r="R151" i="2"/>
  <c r="G151" i="2"/>
  <c r="A151" i="2"/>
  <c r="IG150" i="2"/>
  <c r="GV150" i="2"/>
  <c r="GP150" i="2"/>
  <c r="GF150" i="2"/>
  <c r="FZ150" i="2"/>
  <c r="FT150" i="2"/>
  <c r="GH150" i="2" s="1"/>
  <c r="FN150" i="2"/>
  <c r="GG150" i="2" s="1"/>
  <c r="FH150" i="2"/>
  <c r="EG150" i="2"/>
  <c r="EF150" i="2"/>
  <c r="EE150" i="2"/>
  <c r="ED150" i="2"/>
  <c r="EC150" i="2"/>
  <c r="EB150" i="2"/>
  <c r="DO150" i="2"/>
  <c r="DN150" i="2"/>
  <c r="DM150" i="2"/>
  <c r="DL150" i="2"/>
  <c r="DK150" i="2"/>
  <c r="DI150" i="2"/>
  <c r="DH150" i="2"/>
  <c r="DF150" i="2"/>
  <c r="DE150" i="2"/>
  <c r="CW150" i="2"/>
  <c r="CV150" i="2"/>
  <c r="CI150" i="2"/>
  <c r="CH150" i="2"/>
  <c r="CG150" i="2"/>
  <c r="CB150" i="2"/>
  <c r="CA150" i="2"/>
  <c r="BZ150" i="2"/>
  <c r="BU150" i="2"/>
  <c r="BT150" i="2"/>
  <c r="BS150" i="2"/>
  <c r="BN150" i="2"/>
  <c r="BM150" i="2"/>
  <c r="BL150" i="2"/>
  <c r="AV150" i="2"/>
  <c r="AN150" i="2"/>
  <c r="R150" i="2"/>
  <c r="G150" i="2"/>
  <c r="A150" i="2"/>
  <c r="IG149" i="2"/>
  <c r="GV149" i="2"/>
  <c r="GP149" i="2"/>
  <c r="GF149" i="2"/>
  <c r="FZ149" i="2"/>
  <c r="FT149" i="2"/>
  <c r="GH149" i="2" s="1"/>
  <c r="FN149" i="2"/>
  <c r="GG149" i="2" s="1"/>
  <c r="FH149" i="2"/>
  <c r="DO149" i="2"/>
  <c r="DN149" i="2"/>
  <c r="DM149" i="2"/>
  <c r="DL149" i="2"/>
  <c r="DK149" i="2"/>
  <c r="DI149" i="2"/>
  <c r="DH149" i="2"/>
  <c r="DF149" i="2"/>
  <c r="DE149" i="2"/>
  <c r="CW149" i="2"/>
  <c r="CV149" i="2"/>
  <c r="CI149" i="2"/>
  <c r="CH149" i="2"/>
  <c r="CG149" i="2"/>
  <c r="CB149" i="2"/>
  <c r="CA149" i="2"/>
  <c r="BZ149" i="2"/>
  <c r="BU149" i="2"/>
  <c r="BT149" i="2"/>
  <c r="BS149" i="2"/>
  <c r="BN149" i="2"/>
  <c r="BM149" i="2"/>
  <c r="BL149" i="2"/>
  <c r="AV149" i="2"/>
  <c r="AN149" i="2"/>
  <c r="AE149" i="2"/>
  <c r="R149" i="2"/>
  <c r="G149" i="2"/>
  <c r="A149" i="2"/>
  <c r="IG148" i="2"/>
  <c r="GV148" i="2"/>
  <c r="GP148" i="2"/>
  <c r="GI148" i="2"/>
  <c r="FZ148" i="2"/>
  <c r="GJ148" i="2" s="1"/>
  <c r="FT148" i="2"/>
  <c r="GH148" i="2" s="1"/>
  <c r="FN148" i="2"/>
  <c r="GG148" i="2" s="1"/>
  <c r="FH148" i="2"/>
  <c r="GF148" i="2" s="1"/>
  <c r="EI148" i="2"/>
  <c r="EH148" i="2"/>
  <c r="EG148" i="2"/>
  <c r="EF148" i="2"/>
  <c r="EE148" i="2"/>
  <c r="ED148" i="2"/>
  <c r="EC148" i="2"/>
  <c r="EB148" i="2"/>
  <c r="DO148" i="2"/>
  <c r="DN148" i="2"/>
  <c r="DM148" i="2"/>
  <c r="DL148" i="2"/>
  <c r="DK148" i="2"/>
  <c r="DI148" i="2"/>
  <c r="DH148" i="2"/>
  <c r="DF148" i="2"/>
  <c r="DE148" i="2"/>
  <c r="CW148" i="2"/>
  <c r="CV148" i="2"/>
  <c r="CI148" i="2"/>
  <c r="CH148" i="2"/>
  <c r="CG148" i="2"/>
  <c r="CB148" i="2"/>
  <c r="CA148" i="2"/>
  <c r="BZ148" i="2"/>
  <c r="BU148" i="2"/>
  <c r="BT148" i="2"/>
  <c r="BS148" i="2"/>
  <c r="BN148" i="2"/>
  <c r="BM148" i="2"/>
  <c r="BL148" i="2"/>
  <c r="AV148" i="2"/>
  <c r="AN148" i="2"/>
  <c r="AE148" i="2"/>
  <c r="R148" i="2"/>
  <c r="G148" i="2"/>
  <c r="A148" i="2"/>
  <c r="IG147" i="2"/>
  <c r="GV147" i="2"/>
  <c r="GP147" i="2"/>
  <c r="GI147" i="2"/>
  <c r="FZ147" i="2"/>
  <c r="FT147" i="2"/>
  <c r="GH147" i="2" s="1"/>
  <c r="FN147" i="2"/>
  <c r="GG147" i="2" s="1"/>
  <c r="FH147" i="2"/>
  <c r="GF147" i="2" s="1"/>
  <c r="EE147" i="2"/>
  <c r="ED147" i="2"/>
  <c r="EC147" i="2"/>
  <c r="EB147" i="2"/>
  <c r="DQ147" i="2"/>
  <c r="DP147" i="2"/>
  <c r="DO147" i="2"/>
  <c r="DN147" i="2"/>
  <c r="DM147" i="2"/>
  <c r="DL147" i="2"/>
  <c r="DK147" i="2"/>
  <c r="DI147" i="2"/>
  <c r="DH147" i="2"/>
  <c r="DF147" i="2"/>
  <c r="DE147" i="2"/>
  <c r="CW147" i="2"/>
  <c r="CV147" i="2"/>
  <c r="CP147" i="2"/>
  <c r="CO147" i="2"/>
  <c r="CN147" i="2"/>
  <c r="CI147" i="2"/>
  <c r="CH147" i="2"/>
  <c r="CG147" i="2"/>
  <c r="CB147" i="2"/>
  <c r="CA147" i="2"/>
  <c r="BZ147" i="2"/>
  <c r="BU147" i="2"/>
  <c r="BT147" i="2"/>
  <c r="BS147" i="2"/>
  <c r="BN147" i="2"/>
  <c r="BM147" i="2"/>
  <c r="BL147" i="2"/>
  <c r="AV147" i="2"/>
  <c r="AN147" i="2"/>
  <c r="AE147" i="2"/>
  <c r="R147" i="2"/>
  <c r="G147" i="2"/>
  <c r="A147" i="2"/>
  <c r="IG146" i="2"/>
  <c r="GV146" i="2"/>
  <c r="GP146" i="2"/>
  <c r="GI146" i="2"/>
  <c r="FZ146" i="2"/>
  <c r="FT146" i="2"/>
  <c r="GH146" i="2" s="1"/>
  <c r="FN146" i="2"/>
  <c r="GG146" i="2" s="1"/>
  <c r="FH146" i="2"/>
  <c r="GF146" i="2" s="1"/>
  <c r="DO146" i="2"/>
  <c r="DN146" i="2"/>
  <c r="DM146" i="2"/>
  <c r="DL146" i="2"/>
  <c r="DK146" i="2"/>
  <c r="DI146" i="2"/>
  <c r="DH146" i="2"/>
  <c r="DF146" i="2"/>
  <c r="DE146" i="2"/>
  <c r="CW146" i="2"/>
  <c r="CV146" i="2"/>
  <c r="CI146" i="2"/>
  <c r="CH146" i="2"/>
  <c r="CG146" i="2"/>
  <c r="CB146" i="2"/>
  <c r="CA146" i="2"/>
  <c r="BZ146" i="2"/>
  <c r="BU146" i="2"/>
  <c r="BT146" i="2"/>
  <c r="BS146" i="2"/>
  <c r="BN146" i="2"/>
  <c r="BM146" i="2"/>
  <c r="BL146" i="2"/>
  <c r="AV146" i="2"/>
  <c r="AN146" i="2"/>
  <c r="AE146" i="2"/>
  <c r="R146" i="2"/>
  <c r="G146" i="2"/>
  <c r="A146" i="2"/>
  <c r="IG145" i="2"/>
  <c r="GV145" i="2"/>
  <c r="GP145" i="2"/>
  <c r="GH145" i="2"/>
  <c r="FZ145" i="2"/>
  <c r="FN145" i="2"/>
  <c r="GG145" i="2" s="1"/>
  <c r="FH145" i="2"/>
  <c r="GF145" i="2" s="1"/>
  <c r="DO145" i="2"/>
  <c r="DN145" i="2"/>
  <c r="DM145" i="2"/>
  <c r="DL145" i="2"/>
  <c r="DK145" i="2"/>
  <c r="DI145" i="2"/>
  <c r="DH145" i="2"/>
  <c r="DF145" i="2"/>
  <c r="DE145" i="2"/>
  <c r="CW145" i="2"/>
  <c r="CV145" i="2"/>
  <c r="CI145" i="2"/>
  <c r="CH145" i="2"/>
  <c r="CG145" i="2"/>
  <c r="CB145" i="2"/>
  <c r="CA145" i="2"/>
  <c r="BZ145" i="2"/>
  <c r="BU145" i="2"/>
  <c r="BT145" i="2"/>
  <c r="BS145" i="2"/>
  <c r="BN145" i="2"/>
  <c r="BM145" i="2"/>
  <c r="BL145" i="2"/>
  <c r="AV145" i="2"/>
  <c r="AN145" i="2"/>
  <c r="AE145" i="2"/>
  <c r="R145" i="2"/>
  <c r="G145" i="2"/>
  <c r="A145" i="2"/>
  <c r="IG144" i="2"/>
  <c r="GV144" i="2"/>
  <c r="GP144" i="2"/>
  <c r="GI144" i="2"/>
  <c r="GG144" i="2"/>
  <c r="GF144" i="2"/>
  <c r="GJ144" i="2" s="1"/>
  <c r="FT144" i="2"/>
  <c r="GH144" i="2" s="1"/>
  <c r="FN144" i="2"/>
  <c r="FH144" i="2"/>
  <c r="DO144" i="2"/>
  <c r="DN144" i="2"/>
  <c r="DM144" i="2"/>
  <c r="DL144" i="2"/>
  <c r="DK144" i="2"/>
  <c r="DI144" i="2"/>
  <c r="DH144" i="2"/>
  <c r="DF144" i="2"/>
  <c r="DE144" i="2"/>
  <c r="DA144" i="2"/>
  <c r="CW144" i="2"/>
  <c r="CV144" i="2"/>
  <c r="CI144" i="2"/>
  <c r="CH144" i="2"/>
  <c r="CG144" i="2"/>
  <c r="CB144" i="2"/>
  <c r="CA144" i="2"/>
  <c r="BZ144" i="2"/>
  <c r="BU144" i="2"/>
  <c r="BT144" i="2"/>
  <c r="BS144" i="2"/>
  <c r="BN144" i="2"/>
  <c r="BM144" i="2"/>
  <c r="BL144" i="2"/>
  <c r="AV144" i="2"/>
  <c r="AN144" i="2"/>
  <c r="AE144" i="2"/>
  <c r="R144" i="2"/>
  <c r="G144" i="2"/>
  <c r="A144" i="2"/>
  <c r="IG143" i="2"/>
  <c r="GV143" i="2"/>
  <c r="GP143" i="2"/>
  <c r="GI143" i="2"/>
  <c r="GH143" i="2"/>
  <c r="GF143" i="2"/>
  <c r="FN143" i="2"/>
  <c r="GG143" i="2" s="1"/>
  <c r="FH143" i="2"/>
  <c r="EE143" i="2"/>
  <c r="ED143" i="2"/>
  <c r="EC143" i="2"/>
  <c r="EB143" i="2"/>
  <c r="DO143" i="2"/>
  <c r="DN143" i="2"/>
  <c r="DM143" i="2"/>
  <c r="DL143" i="2"/>
  <c r="DK143" i="2"/>
  <c r="DI143" i="2"/>
  <c r="DH143" i="2"/>
  <c r="DF143" i="2"/>
  <c r="DE143" i="2"/>
  <c r="CW143" i="2"/>
  <c r="CV143" i="2"/>
  <c r="CI143" i="2"/>
  <c r="CH143" i="2"/>
  <c r="CG143" i="2"/>
  <c r="CB143" i="2"/>
  <c r="CA143" i="2"/>
  <c r="BZ143" i="2"/>
  <c r="BU143" i="2"/>
  <c r="BT143" i="2"/>
  <c r="BS143" i="2"/>
  <c r="BN143" i="2"/>
  <c r="BM143" i="2"/>
  <c r="BL143" i="2"/>
  <c r="AV143" i="2"/>
  <c r="AN143" i="2"/>
  <c r="AE143" i="2"/>
  <c r="R143" i="2"/>
  <c r="G143" i="2"/>
  <c r="A143" i="2"/>
  <c r="IG142" i="2"/>
  <c r="GJ142" i="2"/>
  <c r="AN142" i="2"/>
  <c r="IG141" i="2"/>
  <c r="GV141" i="2"/>
  <c r="GP141" i="2"/>
  <c r="GI141" i="2"/>
  <c r="FZ141" i="2"/>
  <c r="FT141" i="2"/>
  <c r="GH141" i="2" s="1"/>
  <c r="FN141" i="2"/>
  <c r="GG141" i="2" s="1"/>
  <c r="FH141" i="2"/>
  <c r="GF141" i="2" s="1"/>
  <c r="GJ141" i="2" s="1"/>
  <c r="FC141" i="2"/>
  <c r="FB141" i="2"/>
  <c r="FA141" i="2"/>
  <c r="EZ141" i="2"/>
  <c r="EY141" i="2"/>
  <c r="EX141" i="2"/>
  <c r="EW141" i="2"/>
  <c r="EV141" i="2"/>
  <c r="EU141" i="2"/>
  <c r="ET141" i="2"/>
  <c r="ES141" i="2"/>
  <c r="ER141" i="2"/>
  <c r="EQ141" i="2"/>
  <c r="EP141" i="2"/>
  <c r="EO141" i="2"/>
  <c r="EN141" i="2"/>
  <c r="EM141" i="2"/>
  <c r="EL141" i="2"/>
  <c r="EK141" i="2"/>
  <c r="EJ141" i="2"/>
  <c r="EI141" i="2"/>
  <c r="EH141" i="2"/>
  <c r="EG141" i="2"/>
  <c r="EF141" i="2"/>
  <c r="EE141" i="2"/>
  <c r="ED141" i="2"/>
  <c r="EC141" i="2"/>
  <c r="EB141" i="2"/>
  <c r="DO141" i="2"/>
  <c r="DN141" i="2"/>
  <c r="DM141" i="2"/>
  <c r="DL141" i="2"/>
  <c r="DK141" i="2"/>
  <c r="DI141" i="2"/>
  <c r="DH141" i="2"/>
  <c r="DF141" i="2"/>
  <c r="DE141" i="2"/>
  <c r="CW141" i="2"/>
  <c r="CV141" i="2"/>
  <c r="CI141" i="2"/>
  <c r="CH141" i="2"/>
  <c r="CG141" i="2"/>
  <c r="CB141" i="2"/>
  <c r="CA141" i="2"/>
  <c r="BZ141" i="2"/>
  <c r="BU141" i="2"/>
  <c r="BT141" i="2"/>
  <c r="BS141" i="2"/>
  <c r="BN141" i="2"/>
  <c r="BM141" i="2"/>
  <c r="BL141" i="2"/>
  <c r="AV141" i="2"/>
  <c r="AN141" i="2"/>
  <c r="AE141" i="2"/>
  <c r="R141" i="2"/>
  <c r="G141" i="2"/>
  <c r="A141" i="2"/>
  <c r="IG140" i="2"/>
  <c r="GV140" i="2"/>
  <c r="GP140" i="2"/>
  <c r="GH140" i="2"/>
  <c r="GF140" i="2"/>
  <c r="FZ140" i="2"/>
  <c r="GJ140" i="2" s="1"/>
  <c r="FT140" i="2"/>
  <c r="FN140" i="2"/>
  <c r="GG140" i="2" s="1"/>
  <c r="FH140" i="2"/>
  <c r="FC140" i="2"/>
  <c r="FB140" i="2"/>
  <c r="FA140" i="2"/>
  <c r="EZ140" i="2"/>
  <c r="EY140" i="2"/>
  <c r="EX140" i="2"/>
  <c r="EW140" i="2"/>
  <c r="EV140" i="2"/>
  <c r="EU140" i="2"/>
  <c r="ET140" i="2"/>
  <c r="ES140" i="2"/>
  <c r="ER140" i="2"/>
  <c r="EQ140" i="2"/>
  <c r="EP140" i="2"/>
  <c r="EO140" i="2"/>
  <c r="EN140" i="2"/>
  <c r="EM140" i="2"/>
  <c r="EL140" i="2"/>
  <c r="EK140" i="2"/>
  <c r="EJ140" i="2"/>
  <c r="EI140" i="2"/>
  <c r="EH140" i="2"/>
  <c r="EG140" i="2"/>
  <c r="EF140" i="2"/>
  <c r="EE140" i="2"/>
  <c r="ED140" i="2"/>
  <c r="EC140" i="2"/>
  <c r="EB140" i="2"/>
  <c r="DO140" i="2"/>
  <c r="DN140" i="2"/>
  <c r="DM140" i="2"/>
  <c r="DL140" i="2"/>
  <c r="DK140" i="2"/>
  <c r="DI140" i="2"/>
  <c r="DH140" i="2"/>
  <c r="DF140" i="2"/>
  <c r="DE140" i="2"/>
  <c r="CW140" i="2"/>
  <c r="CV140" i="2"/>
  <c r="CI140" i="2"/>
  <c r="CH140" i="2"/>
  <c r="CG140" i="2"/>
  <c r="CB140" i="2"/>
  <c r="CA140" i="2"/>
  <c r="BZ140" i="2"/>
  <c r="BU140" i="2"/>
  <c r="BT140" i="2"/>
  <c r="BS140" i="2"/>
  <c r="BN140" i="2"/>
  <c r="BM140" i="2"/>
  <c r="BL140" i="2"/>
  <c r="AV140" i="2"/>
  <c r="AN140" i="2"/>
  <c r="AE140" i="2"/>
  <c r="R140" i="2"/>
  <c r="G140" i="2"/>
  <c r="A140" i="2"/>
  <c r="IG139" i="2"/>
  <c r="GV139" i="2"/>
  <c r="GP139" i="2"/>
  <c r="GH139" i="2"/>
  <c r="GG139" i="2"/>
  <c r="GF139" i="2"/>
  <c r="FZ139" i="2"/>
  <c r="FN139" i="2"/>
  <c r="FH139" i="2"/>
  <c r="FE139" i="2"/>
  <c r="FD139" i="2"/>
  <c r="FC139" i="2"/>
  <c r="FB139" i="2"/>
  <c r="FA139" i="2"/>
  <c r="EZ139" i="2"/>
  <c r="EY139" i="2"/>
  <c r="EX139" i="2"/>
  <c r="EW139" i="2"/>
  <c r="EV139" i="2"/>
  <c r="EU139" i="2"/>
  <c r="ET139" i="2"/>
  <c r="ES139" i="2"/>
  <c r="ER139" i="2"/>
  <c r="EQ139" i="2"/>
  <c r="EP139" i="2"/>
  <c r="EO139" i="2"/>
  <c r="EN139" i="2"/>
  <c r="EM139" i="2"/>
  <c r="EL139" i="2"/>
  <c r="EK139" i="2"/>
  <c r="EJ139" i="2"/>
  <c r="EI139" i="2"/>
  <c r="EH139" i="2"/>
  <c r="EG139" i="2"/>
  <c r="EF139" i="2"/>
  <c r="EE139" i="2"/>
  <c r="ED139" i="2"/>
  <c r="EC139" i="2"/>
  <c r="EB139" i="2"/>
  <c r="DO139" i="2"/>
  <c r="DN139" i="2"/>
  <c r="DM139" i="2"/>
  <c r="DL139" i="2"/>
  <c r="DK139" i="2"/>
  <c r="DI139" i="2"/>
  <c r="DH139" i="2"/>
  <c r="DF139" i="2"/>
  <c r="DE139" i="2"/>
  <c r="CW139" i="2"/>
  <c r="CV139" i="2"/>
  <c r="CI139" i="2"/>
  <c r="CH139" i="2"/>
  <c r="CG139" i="2"/>
  <c r="CB139" i="2"/>
  <c r="CA139" i="2"/>
  <c r="BZ139" i="2"/>
  <c r="BU139" i="2"/>
  <c r="BT139" i="2"/>
  <c r="BS139" i="2"/>
  <c r="BN139" i="2"/>
  <c r="BM139" i="2"/>
  <c r="BL139" i="2"/>
  <c r="AV139" i="2"/>
  <c r="AN139" i="2"/>
  <c r="AM139" i="2"/>
  <c r="AL139" i="2"/>
  <c r="AE139" i="2"/>
  <c r="R139" i="2"/>
  <c r="G139" i="2"/>
  <c r="A139" i="2"/>
  <c r="IG138" i="2"/>
  <c r="GV138" i="2"/>
  <c r="GP138" i="2"/>
  <c r="GH138" i="2"/>
  <c r="GF138" i="2"/>
  <c r="FZ138" i="2"/>
  <c r="FN138" i="2"/>
  <c r="GG138" i="2" s="1"/>
  <c r="FH138" i="2"/>
  <c r="FE138" i="2"/>
  <c r="FD138" i="2"/>
  <c r="FC138" i="2"/>
  <c r="FB138" i="2"/>
  <c r="FA138" i="2"/>
  <c r="EZ138" i="2"/>
  <c r="EY138" i="2"/>
  <c r="EX138" i="2"/>
  <c r="EW138" i="2"/>
  <c r="EV138" i="2"/>
  <c r="EU138" i="2"/>
  <c r="ET138" i="2"/>
  <c r="ES138" i="2"/>
  <c r="ER138" i="2"/>
  <c r="EQ138" i="2"/>
  <c r="EP138" i="2"/>
  <c r="EO138" i="2"/>
  <c r="EN138" i="2"/>
  <c r="EM138" i="2"/>
  <c r="EL138" i="2"/>
  <c r="EK138" i="2"/>
  <c r="EJ138" i="2"/>
  <c r="EI138" i="2"/>
  <c r="EH138" i="2"/>
  <c r="EG138" i="2"/>
  <c r="EF138" i="2"/>
  <c r="EE138" i="2"/>
  <c r="ED138" i="2"/>
  <c r="EC138" i="2"/>
  <c r="EB138" i="2"/>
  <c r="DO138" i="2"/>
  <c r="DN138" i="2"/>
  <c r="DM138" i="2"/>
  <c r="DL138" i="2"/>
  <c r="DK138" i="2"/>
  <c r="DI138" i="2"/>
  <c r="DH138" i="2"/>
  <c r="DF138" i="2"/>
  <c r="DE138" i="2"/>
  <c r="CW138" i="2"/>
  <c r="CV138" i="2"/>
  <c r="CI138" i="2"/>
  <c r="CH138" i="2"/>
  <c r="CG138" i="2"/>
  <c r="CB138" i="2"/>
  <c r="CA138" i="2"/>
  <c r="BZ138" i="2"/>
  <c r="BU138" i="2"/>
  <c r="BT138" i="2"/>
  <c r="BS138" i="2"/>
  <c r="BN138" i="2"/>
  <c r="BM138" i="2"/>
  <c r="BL138" i="2"/>
  <c r="AV138" i="2"/>
  <c r="AN138" i="2"/>
  <c r="AM138" i="2"/>
  <c r="AL138" i="2"/>
  <c r="AE138" i="2"/>
  <c r="R138" i="2"/>
  <c r="G138" i="2"/>
  <c r="A138" i="2"/>
  <c r="IG137" i="2"/>
  <c r="GV137" i="2"/>
  <c r="GP137" i="2"/>
  <c r="FZ137" i="2"/>
  <c r="FT137" i="2"/>
  <c r="GH137" i="2" s="1"/>
  <c r="FN137" i="2"/>
  <c r="GG137" i="2" s="1"/>
  <c r="FH137" i="2"/>
  <c r="GF137" i="2" s="1"/>
  <c r="FE137" i="2"/>
  <c r="FD137" i="2"/>
  <c r="FC137" i="2"/>
  <c r="FB137" i="2"/>
  <c r="FA137" i="2"/>
  <c r="EZ137" i="2"/>
  <c r="EY137" i="2"/>
  <c r="EX137" i="2"/>
  <c r="EW137" i="2"/>
  <c r="EV137" i="2"/>
  <c r="EU137" i="2"/>
  <c r="ET137" i="2"/>
  <c r="ES137" i="2"/>
  <c r="ER137" i="2"/>
  <c r="EQ137" i="2"/>
  <c r="EP137" i="2"/>
  <c r="EO137" i="2"/>
  <c r="EN137" i="2"/>
  <c r="EM137" i="2"/>
  <c r="EL137" i="2"/>
  <c r="EK137" i="2"/>
  <c r="EJ137" i="2"/>
  <c r="EI137" i="2"/>
  <c r="EH137" i="2"/>
  <c r="EG137" i="2"/>
  <c r="EF137" i="2"/>
  <c r="EE137" i="2"/>
  <c r="ED137" i="2"/>
  <c r="EC137" i="2"/>
  <c r="EB137" i="2"/>
  <c r="DO137" i="2"/>
  <c r="DN137" i="2"/>
  <c r="DM137" i="2"/>
  <c r="DL137" i="2"/>
  <c r="DK137" i="2"/>
  <c r="DI137" i="2"/>
  <c r="DH137" i="2"/>
  <c r="DF137" i="2"/>
  <c r="DE137" i="2"/>
  <c r="CW137" i="2"/>
  <c r="CV137" i="2"/>
  <c r="CI137" i="2"/>
  <c r="CH137" i="2"/>
  <c r="CG137" i="2"/>
  <c r="CB137" i="2"/>
  <c r="CA137" i="2"/>
  <c r="BZ137" i="2"/>
  <c r="BU137" i="2"/>
  <c r="BT137" i="2"/>
  <c r="BS137" i="2"/>
  <c r="BN137" i="2"/>
  <c r="BM137" i="2"/>
  <c r="BL137" i="2"/>
  <c r="AV137" i="2"/>
  <c r="AN137" i="2"/>
  <c r="AM137" i="2"/>
  <c r="AL137" i="2"/>
  <c r="AE137" i="2"/>
  <c r="R137" i="2"/>
  <c r="G137" i="2"/>
  <c r="A137" i="2"/>
  <c r="IG136" i="2"/>
  <c r="GV136" i="2"/>
  <c r="GP136" i="2"/>
  <c r="GG136" i="2"/>
  <c r="FZ136" i="2"/>
  <c r="GI136" i="2" s="1"/>
  <c r="FT136" i="2"/>
  <c r="GH136" i="2" s="1"/>
  <c r="FN136" i="2"/>
  <c r="FH136" i="2"/>
  <c r="GF136" i="2" s="1"/>
  <c r="GJ136" i="2" s="1"/>
  <c r="FE136" i="2"/>
  <c r="FD136" i="2"/>
  <c r="FC136" i="2"/>
  <c r="FB136" i="2"/>
  <c r="FA136" i="2"/>
  <c r="EZ136" i="2"/>
  <c r="EY136" i="2"/>
  <c r="EX136" i="2"/>
  <c r="EW136" i="2"/>
  <c r="EV136" i="2"/>
  <c r="EU136" i="2"/>
  <c r="ET136" i="2"/>
  <c r="ES136" i="2"/>
  <c r="ER136" i="2"/>
  <c r="EQ136" i="2"/>
  <c r="EP136" i="2"/>
  <c r="EO136" i="2"/>
  <c r="EN136" i="2"/>
  <c r="EM136" i="2"/>
  <c r="EL136" i="2"/>
  <c r="EK136" i="2"/>
  <c r="EJ136" i="2"/>
  <c r="EI136" i="2"/>
  <c r="EH136" i="2"/>
  <c r="EG136" i="2"/>
  <c r="EF136" i="2"/>
  <c r="EE136" i="2"/>
  <c r="ED136" i="2"/>
  <c r="EC136" i="2"/>
  <c r="EB136" i="2"/>
  <c r="DO136" i="2"/>
  <c r="DN136" i="2"/>
  <c r="DM136" i="2"/>
  <c r="DL136" i="2"/>
  <c r="DK136" i="2"/>
  <c r="DI136" i="2"/>
  <c r="DH136" i="2"/>
  <c r="DF136" i="2"/>
  <c r="DE136" i="2"/>
  <c r="CW136" i="2"/>
  <c r="CV136" i="2"/>
  <c r="CI136" i="2"/>
  <c r="CH136" i="2"/>
  <c r="CG136" i="2"/>
  <c r="CB136" i="2"/>
  <c r="CA136" i="2"/>
  <c r="BZ136" i="2"/>
  <c r="BU136" i="2"/>
  <c r="BT136" i="2"/>
  <c r="BS136" i="2"/>
  <c r="BN136" i="2"/>
  <c r="BM136" i="2"/>
  <c r="BL136" i="2"/>
  <c r="AV136" i="2"/>
  <c r="AN136" i="2"/>
  <c r="AM136" i="2"/>
  <c r="AL136" i="2"/>
  <c r="AE136" i="2"/>
  <c r="R136" i="2"/>
  <c r="G136" i="2"/>
  <c r="A136" i="2"/>
  <c r="IG135" i="2"/>
  <c r="GV135" i="2"/>
  <c r="GP135" i="2"/>
  <c r="GI135" i="2"/>
  <c r="GG135" i="2"/>
  <c r="FZ135" i="2"/>
  <c r="FT135" i="2"/>
  <c r="GH135" i="2" s="1"/>
  <c r="FN135" i="2"/>
  <c r="FH135" i="2"/>
  <c r="GF135" i="2" s="1"/>
  <c r="FE135" i="2"/>
  <c r="FD135" i="2"/>
  <c r="FC135" i="2"/>
  <c r="FB135" i="2"/>
  <c r="FA135" i="2"/>
  <c r="EZ135" i="2"/>
  <c r="EY135" i="2"/>
  <c r="EX135" i="2"/>
  <c r="EW135" i="2"/>
  <c r="EV135" i="2"/>
  <c r="EU135" i="2"/>
  <c r="ET135" i="2"/>
  <c r="ES135" i="2"/>
  <c r="ER135" i="2"/>
  <c r="EQ135" i="2"/>
  <c r="EP135" i="2"/>
  <c r="EO135" i="2"/>
  <c r="EN135" i="2"/>
  <c r="EM135" i="2"/>
  <c r="EL135" i="2"/>
  <c r="EK135" i="2"/>
  <c r="EJ135" i="2"/>
  <c r="EI135" i="2"/>
  <c r="EH135" i="2"/>
  <c r="EG135" i="2"/>
  <c r="EF135" i="2"/>
  <c r="EE135" i="2"/>
  <c r="ED135" i="2"/>
  <c r="EC135" i="2"/>
  <c r="EB135" i="2"/>
  <c r="DO135" i="2"/>
  <c r="DN135" i="2"/>
  <c r="DM135" i="2"/>
  <c r="DL135" i="2"/>
  <c r="DK135" i="2"/>
  <c r="DI135" i="2"/>
  <c r="DH135" i="2"/>
  <c r="DF135" i="2"/>
  <c r="DE135" i="2"/>
  <c r="CW135" i="2"/>
  <c r="CV135" i="2"/>
  <c r="CI135" i="2"/>
  <c r="CH135" i="2"/>
  <c r="CG135" i="2"/>
  <c r="CB135" i="2"/>
  <c r="CA135" i="2"/>
  <c r="BZ135" i="2"/>
  <c r="BU135" i="2"/>
  <c r="BT135" i="2"/>
  <c r="BS135" i="2"/>
  <c r="BN135" i="2"/>
  <c r="BM135" i="2"/>
  <c r="BL135" i="2"/>
  <c r="AV135" i="2"/>
  <c r="AN135" i="2"/>
  <c r="AM135" i="2"/>
  <c r="AL135" i="2"/>
  <c r="AE135" i="2"/>
  <c r="R135" i="2"/>
  <c r="G135" i="2"/>
  <c r="A135" i="2"/>
  <c r="IG134" i="2"/>
  <c r="GV134" i="2"/>
  <c r="GP134" i="2"/>
  <c r="GH134" i="2"/>
  <c r="FZ134" i="2"/>
  <c r="FT134" i="2"/>
  <c r="FN134" i="2"/>
  <c r="GG134" i="2" s="1"/>
  <c r="FH134" i="2"/>
  <c r="GF134" i="2" s="1"/>
  <c r="FE134" i="2"/>
  <c r="FD134" i="2"/>
  <c r="FC134" i="2"/>
  <c r="FB134" i="2"/>
  <c r="FA134" i="2"/>
  <c r="EZ134" i="2"/>
  <c r="EY134" i="2"/>
  <c r="EX134" i="2"/>
  <c r="EW134" i="2"/>
  <c r="EV134" i="2"/>
  <c r="EU134" i="2"/>
  <c r="ET134" i="2"/>
  <c r="ES134" i="2"/>
  <c r="ER134" i="2"/>
  <c r="EQ134" i="2"/>
  <c r="EP134" i="2"/>
  <c r="EO134" i="2"/>
  <c r="EN134" i="2"/>
  <c r="EM134" i="2"/>
  <c r="EL134" i="2"/>
  <c r="EK134" i="2"/>
  <c r="EJ134" i="2"/>
  <c r="EI134" i="2"/>
  <c r="EH134" i="2"/>
  <c r="EG134" i="2"/>
  <c r="EF134" i="2"/>
  <c r="EE134" i="2"/>
  <c r="ED134" i="2"/>
  <c r="EC134" i="2"/>
  <c r="EB134" i="2"/>
  <c r="DO134" i="2"/>
  <c r="DN134" i="2"/>
  <c r="DM134" i="2"/>
  <c r="DL134" i="2"/>
  <c r="DK134" i="2"/>
  <c r="DI134" i="2"/>
  <c r="DH134" i="2"/>
  <c r="DF134" i="2"/>
  <c r="DE134" i="2"/>
  <c r="CW134" i="2"/>
  <c r="CV134" i="2"/>
  <c r="CI134" i="2"/>
  <c r="CH134" i="2"/>
  <c r="CG134" i="2"/>
  <c r="CB134" i="2"/>
  <c r="CA134" i="2"/>
  <c r="BZ134" i="2"/>
  <c r="BU134" i="2"/>
  <c r="BT134" i="2"/>
  <c r="BS134" i="2"/>
  <c r="BN134" i="2"/>
  <c r="BM134" i="2"/>
  <c r="BL134" i="2"/>
  <c r="AV134" i="2"/>
  <c r="AN134" i="2"/>
  <c r="AM134" i="2"/>
  <c r="AL134" i="2"/>
  <c r="AE134" i="2"/>
  <c r="R134" i="2"/>
  <c r="G134" i="2"/>
  <c r="A134" i="2"/>
  <c r="IG133" i="2"/>
  <c r="GJ133" i="2"/>
  <c r="AN133" i="2"/>
  <c r="IG132" i="2"/>
  <c r="GV132" i="2"/>
  <c r="GP132" i="2"/>
  <c r="FZ132" i="2"/>
  <c r="GI132" i="2" s="1"/>
  <c r="FT132" i="2"/>
  <c r="GH132" i="2" s="1"/>
  <c r="FN132" i="2"/>
  <c r="GG132" i="2" s="1"/>
  <c r="FH132" i="2"/>
  <c r="GF132" i="2" s="1"/>
  <c r="GJ132" i="2" s="1"/>
  <c r="EK132" i="2"/>
  <c r="EJ132" i="2"/>
  <c r="EI132" i="2"/>
  <c r="EH132" i="2"/>
  <c r="EG132" i="2"/>
  <c r="EF132" i="2"/>
  <c r="EE132" i="2"/>
  <c r="ED132" i="2"/>
  <c r="EC132" i="2"/>
  <c r="EB132" i="2"/>
  <c r="DO132" i="2"/>
  <c r="DN132" i="2"/>
  <c r="DM132" i="2"/>
  <c r="DL132" i="2"/>
  <c r="DK132" i="2"/>
  <c r="DI132" i="2"/>
  <c r="DH132" i="2"/>
  <c r="DF132" i="2"/>
  <c r="DE132" i="2"/>
  <c r="DA132" i="2"/>
  <c r="CW132" i="2"/>
  <c r="CV132" i="2"/>
  <c r="CI132" i="2"/>
  <c r="CH132" i="2"/>
  <c r="CG132" i="2"/>
  <c r="CB132" i="2"/>
  <c r="CA132" i="2"/>
  <c r="BZ132" i="2"/>
  <c r="BU132" i="2"/>
  <c r="BT132" i="2"/>
  <c r="BS132" i="2"/>
  <c r="BN132" i="2"/>
  <c r="BM132" i="2"/>
  <c r="BL132" i="2"/>
  <c r="AV132" i="2"/>
  <c r="AN132" i="2"/>
  <c r="AE132" i="2"/>
  <c r="R132" i="2"/>
  <c r="G132" i="2"/>
  <c r="A132" i="2"/>
  <c r="IG131" i="2"/>
  <c r="GV131" i="2"/>
  <c r="GP131" i="2"/>
  <c r="FZ131" i="2"/>
  <c r="FT131" i="2"/>
  <c r="GH131" i="2" s="1"/>
  <c r="FN131" i="2"/>
  <c r="GG131" i="2" s="1"/>
  <c r="FH131" i="2"/>
  <c r="GF131" i="2" s="1"/>
  <c r="DO131" i="2"/>
  <c r="DN131" i="2"/>
  <c r="DM131" i="2"/>
  <c r="DL131" i="2"/>
  <c r="DK131" i="2"/>
  <c r="DI131" i="2"/>
  <c r="DH131" i="2"/>
  <c r="DF131" i="2"/>
  <c r="DE131" i="2"/>
  <c r="CI131" i="2"/>
  <c r="CH131" i="2"/>
  <c r="CG131" i="2"/>
  <c r="CB131" i="2"/>
  <c r="CA131" i="2"/>
  <c r="BZ131" i="2"/>
  <c r="BU131" i="2"/>
  <c r="BT131" i="2"/>
  <c r="BS131" i="2"/>
  <c r="BN131" i="2"/>
  <c r="BM131" i="2"/>
  <c r="BL131" i="2"/>
  <c r="AV131" i="2"/>
  <c r="AN131" i="2"/>
  <c r="AE131" i="2"/>
  <c r="R131" i="2"/>
  <c r="G131" i="2"/>
  <c r="A131" i="2"/>
  <c r="IG130" i="2"/>
  <c r="GJ130" i="2"/>
  <c r="AN130" i="2"/>
  <c r="IG129" i="2"/>
  <c r="GV129" i="2"/>
  <c r="GP129" i="2"/>
  <c r="FZ129" i="2"/>
  <c r="GI129" i="2" s="1"/>
  <c r="FT129" i="2"/>
  <c r="GH129" i="2" s="1"/>
  <c r="FN129" i="2"/>
  <c r="GG129" i="2" s="1"/>
  <c r="FH129" i="2"/>
  <c r="GF129" i="2" s="1"/>
  <c r="DO129" i="2"/>
  <c r="DN129" i="2"/>
  <c r="DM129" i="2"/>
  <c r="DL129" i="2"/>
  <c r="DK129" i="2"/>
  <c r="DI129" i="2"/>
  <c r="DH129" i="2"/>
  <c r="DF129" i="2"/>
  <c r="DE129" i="2"/>
  <c r="CW129" i="2"/>
  <c r="CV129" i="2"/>
  <c r="CI129" i="2"/>
  <c r="CH129" i="2"/>
  <c r="CG129" i="2"/>
  <c r="CB129" i="2"/>
  <c r="CA129" i="2"/>
  <c r="BZ129" i="2"/>
  <c r="BU129" i="2"/>
  <c r="BT129" i="2"/>
  <c r="BS129" i="2"/>
  <c r="BN129" i="2"/>
  <c r="BM129" i="2"/>
  <c r="BL129" i="2"/>
  <c r="AV129" i="2"/>
  <c r="AN129" i="2"/>
  <c r="R129" i="2"/>
  <c r="G129" i="2"/>
  <c r="A129" i="2"/>
  <c r="IG128" i="2"/>
  <c r="GV128" i="2"/>
  <c r="GP128" i="2"/>
  <c r="FZ128" i="2"/>
  <c r="FT128" i="2"/>
  <c r="GH128" i="2" s="1"/>
  <c r="FN128" i="2"/>
  <c r="GG128" i="2" s="1"/>
  <c r="FH128" i="2"/>
  <c r="GF128" i="2" s="1"/>
  <c r="DO128" i="2"/>
  <c r="DN128" i="2"/>
  <c r="DM128" i="2"/>
  <c r="DL128" i="2"/>
  <c r="DK128" i="2"/>
  <c r="DI128" i="2"/>
  <c r="DH128" i="2"/>
  <c r="DF128" i="2"/>
  <c r="DE128" i="2"/>
  <c r="CW128" i="2"/>
  <c r="CV128" i="2"/>
  <c r="CI128" i="2"/>
  <c r="CH128" i="2"/>
  <c r="CG128" i="2"/>
  <c r="CB128" i="2"/>
  <c r="CA128" i="2"/>
  <c r="BZ128" i="2"/>
  <c r="BU128" i="2"/>
  <c r="BT128" i="2"/>
  <c r="BS128" i="2"/>
  <c r="BN128" i="2"/>
  <c r="BM128" i="2"/>
  <c r="BL128" i="2"/>
  <c r="AV128" i="2"/>
  <c r="AN128" i="2"/>
  <c r="AE128" i="2"/>
  <c r="R128" i="2"/>
  <c r="G128" i="2"/>
  <c r="A128" i="2"/>
  <c r="IG127" i="2"/>
  <c r="GV127" i="2"/>
  <c r="GP127" i="2"/>
  <c r="GI127" i="2"/>
  <c r="GH127" i="2"/>
  <c r="GF127" i="2"/>
  <c r="FZ127" i="2"/>
  <c r="FT127" i="2"/>
  <c r="FN127" i="2"/>
  <c r="GG127" i="2" s="1"/>
  <c r="FH127" i="2"/>
  <c r="EE127" i="2"/>
  <c r="ED127" i="2"/>
  <c r="EC127" i="2"/>
  <c r="EB127" i="2"/>
  <c r="DO127" i="2"/>
  <c r="DN127" i="2"/>
  <c r="DM127" i="2"/>
  <c r="DL127" i="2"/>
  <c r="DK127" i="2"/>
  <c r="DI127" i="2"/>
  <c r="DH127" i="2"/>
  <c r="DF127" i="2"/>
  <c r="DE127" i="2"/>
  <c r="CW127" i="2"/>
  <c r="CV127" i="2"/>
  <c r="CI127" i="2"/>
  <c r="CH127" i="2"/>
  <c r="CG127" i="2"/>
  <c r="CB127" i="2"/>
  <c r="CA127" i="2"/>
  <c r="BZ127" i="2"/>
  <c r="BU127" i="2"/>
  <c r="BT127" i="2"/>
  <c r="BS127" i="2"/>
  <c r="BN127" i="2"/>
  <c r="BM127" i="2"/>
  <c r="BL127" i="2"/>
  <c r="AV127" i="2"/>
  <c r="AN127" i="2"/>
  <c r="AE127" i="2"/>
  <c r="R127" i="2"/>
  <c r="G127" i="2"/>
  <c r="A127" i="2"/>
  <c r="IG126" i="2"/>
  <c r="GJ126" i="2"/>
  <c r="AN126" i="2"/>
  <c r="IG125" i="2"/>
  <c r="GV125" i="2"/>
  <c r="GP125" i="2"/>
  <c r="GH125" i="2"/>
  <c r="GG125" i="2"/>
  <c r="FZ125" i="2"/>
  <c r="FT125" i="2"/>
  <c r="FN125" i="2"/>
  <c r="FH125" i="2"/>
  <c r="GF125" i="2" s="1"/>
  <c r="DO125" i="2"/>
  <c r="DN125" i="2"/>
  <c r="DM125" i="2"/>
  <c r="DL125" i="2"/>
  <c r="DK125" i="2"/>
  <c r="DI125" i="2"/>
  <c r="DH125" i="2"/>
  <c r="DF125" i="2"/>
  <c r="DE125" i="2"/>
  <c r="DA125" i="2"/>
  <c r="CW125" i="2"/>
  <c r="CV125" i="2"/>
  <c r="CI125" i="2"/>
  <c r="CH125" i="2"/>
  <c r="CG125" i="2"/>
  <c r="CB125" i="2"/>
  <c r="CA125" i="2"/>
  <c r="BZ125" i="2"/>
  <c r="BU125" i="2"/>
  <c r="BT125" i="2"/>
  <c r="BS125" i="2"/>
  <c r="BN125" i="2"/>
  <c r="BM125" i="2"/>
  <c r="BL125" i="2"/>
  <c r="AV125" i="2"/>
  <c r="AN125" i="2"/>
  <c r="AE125" i="2"/>
  <c r="Y125" i="2"/>
  <c r="R125" i="2"/>
  <c r="G125" i="2"/>
  <c r="A125" i="2"/>
  <c r="IG124" i="2"/>
  <c r="GV124" i="2"/>
  <c r="GP124" i="2"/>
  <c r="FZ124" i="2"/>
  <c r="GI124" i="2" s="1"/>
  <c r="FT124" i="2"/>
  <c r="GH124" i="2" s="1"/>
  <c r="FN124" i="2"/>
  <c r="GG124" i="2" s="1"/>
  <c r="FH124" i="2"/>
  <c r="GF124" i="2" s="1"/>
  <c r="GJ124" i="2" s="1"/>
  <c r="DO124" i="2"/>
  <c r="DN124" i="2"/>
  <c r="DM124" i="2"/>
  <c r="DL124" i="2"/>
  <c r="DK124" i="2"/>
  <c r="DI124" i="2"/>
  <c r="DH124" i="2"/>
  <c r="DF124" i="2"/>
  <c r="DE124" i="2"/>
  <c r="CW124" i="2"/>
  <c r="CV124" i="2"/>
  <c r="CI124" i="2"/>
  <c r="CH124" i="2"/>
  <c r="CG124" i="2"/>
  <c r="CB124" i="2"/>
  <c r="CA124" i="2"/>
  <c r="BZ124" i="2"/>
  <c r="BU124" i="2"/>
  <c r="BT124" i="2"/>
  <c r="BS124" i="2"/>
  <c r="BN124" i="2"/>
  <c r="BM124" i="2"/>
  <c r="BL124" i="2"/>
  <c r="AV124" i="2"/>
  <c r="AN124" i="2"/>
  <c r="AE124" i="2"/>
  <c r="Y124" i="2"/>
  <c r="R124" i="2"/>
  <c r="G124" i="2"/>
  <c r="A124" i="2"/>
  <c r="IG123" i="2"/>
  <c r="GV123" i="2"/>
  <c r="GP123" i="2"/>
  <c r="GI123" i="2"/>
  <c r="GH123" i="2"/>
  <c r="FN123" i="2"/>
  <c r="GG123" i="2" s="1"/>
  <c r="FH123" i="2"/>
  <c r="GF123" i="2" s="1"/>
  <c r="FE123" i="2"/>
  <c r="FD123" i="2"/>
  <c r="FC123" i="2"/>
  <c r="FB123" i="2"/>
  <c r="FA123" i="2"/>
  <c r="EZ123" i="2"/>
  <c r="EY123" i="2"/>
  <c r="EX123" i="2"/>
  <c r="EW123" i="2"/>
  <c r="EV123" i="2"/>
  <c r="EU123" i="2"/>
  <c r="ET123" i="2"/>
  <c r="ES123" i="2"/>
  <c r="ER123" i="2"/>
  <c r="EQ123" i="2"/>
  <c r="EP123" i="2"/>
  <c r="EO123" i="2"/>
  <c r="EN123" i="2"/>
  <c r="EM123" i="2"/>
  <c r="EL123" i="2"/>
  <c r="EK123" i="2"/>
  <c r="EJ123" i="2"/>
  <c r="EI123" i="2"/>
  <c r="EH123" i="2"/>
  <c r="EG123" i="2"/>
  <c r="EF123" i="2"/>
  <c r="EE123" i="2"/>
  <c r="ED123" i="2"/>
  <c r="EC123" i="2"/>
  <c r="EB123" i="2"/>
  <c r="DO123" i="2"/>
  <c r="DN123" i="2"/>
  <c r="DM123" i="2"/>
  <c r="DL123" i="2"/>
  <c r="DK123" i="2"/>
  <c r="DI123" i="2"/>
  <c r="DH123" i="2"/>
  <c r="DF123" i="2"/>
  <c r="DE123" i="2"/>
  <c r="DA123" i="2"/>
  <c r="CW123" i="2"/>
  <c r="CV123" i="2"/>
  <c r="CI123" i="2"/>
  <c r="CH123" i="2"/>
  <c r="CG123" i="2"/>
  <c r="CB123" i="2"/>
  <c r="CA123" i="2"/>
  <c r="BZ123" i="2"/>
  <c r="BU123" i="2"/>
  <c r="BT123" i="2"/>
  <c r="BS123" i="2"/>
  <c r="BN123" i="2"/>
  <c r="BM123" i="2"/>
  <c r="BL123" i="2"/>
  <c r="AV123" i="2"/>
  <c r="AN123" i="2"/>
  <c r="AM123" i="2"/>
  <c r="AL123" i="2"/>
  <c r="AE123" i="2"/>
  <c r="Y123" i="2"/>
  <c r="R123" i="2"/>
  <c r="G123" i="2"/>
  <c r="A123" i="2"/>
  <c r="IG122" i="2"/>
  <c r="GV122" i="2"/>
  <c r="GP122" i="2"/>
  <c r="GI122" i="2"/>
  <c r="GH122" i="2"/>
  <c r="FN122" i="2"/>
  <c r="GG122" i="2" s="1"/>
  <c r="FH122" i="2"/>
  <c r="GF122" i="2" s="1"/>
  <c r="FE122" i="2"/>
  <c r="FD122" i="2"/>
  <c r="FC122" i="2"/>
  <c r="FB122" i="2"/>
  <c r="FA122" i="2"/>
  <c r="EZ122" i="2"/>
  <c r="EY122" i="2"/>
  <c r="EX122" i="2"/>
  <c r="EW122" i="2"/>
  <c r="EV122" i="2"/>
  <c r="EU122" i="2"/>
  <c r="ET122" i="2"/>
  <c r="ES122" i="2"/>
  <c r="ER122" i="2"/>
  <c r="EQ122" i="2"/>
  <c r="EP122" i="2"/>
  <c r="EO122" i="2"/>
  <c r="EN122" i="2"/>
  <c r="EM122" i="2"/>
  <c r="EL122" i="2"/>
  <c r="EK122" i="2"/>
  <c r="EJ122" i="2"/>
  <c r="EI122" i="2"/>
  <c r="EH122" i="2"/>
  <c r="EG122" i="2"/>
  <c r="EF122" i="2"/>
  <c r="EE122" i="2"/>
  <c r="ED122" i="2"/>
  <c r="EC122" i="2"/>
  <c r="EB122" i="2"/>
  <c r="DO122" i="2"/>
  <c r="DN122" i="2"/>
  <c r="DM122" i="2"/>
  <c r="DL122" i="2"/>
  <c r="DK122" i="2"/>
  <c r="DI122" i="2"/>
  <c r="DH122" i="2"/>
  <c r="DF122" i="2"/>
  <c r="DE122" i="2"/>
  <c r="DA122" i="2"/>
  <c r="CW122" i="2"/>
  <c r="CV122" i="2"/>
  <c r="CI122" i="2"/>
  <c r="CH122" i="2"/>
  <c r="CG122" i="2"/>
  <c r="CB122" i="2"/>
  <c r="CA122" i="2"/>
  <c r="BZ122" i="2"/>
  <c r="BU122" i="2"/>
  <c r="BT122" i="2"/>
  <c r="BS122" i="2"/>
  <c r="BN122" i="2"/>
  <c r="BM122" i="2"/>
  <c r="BL122" i="2"/>
  <c r="AV122" i="2"/>
  <c r="AN122" i="2"/>
  <c r="AM122" i="2"/>
  <c r="AL122" i="2"/>
  <c r="AE122" i="2"/>
  <c r="Y122" i="2"/>
  <c r="R122" i="2"/>
  <c r="G122" i="2"/>
  <c r="A122" i="2"/>
  <c r="IG121" i="2"/>
  <c r="GJ121" i="2"/>
  <c r="AN121" i="2"/>
  <c r="IG120" i="2"/>
  <c r="GV120" i="2"/>
  <c r="GP120" i="2"/>
  <c r="FZ120" i="2"/>
  <c r="FT120" i="2"/>
  <c r="GH120" i="2" s="1"/>
  <c r="FN120" i="2"/>
  <c r="GG120" i="2" s="1"/>
  <c r="FH120" i="2"/>
  <c r="GF120" i="2" s="1"/>
  <c r="EI120" i="2"/>
  <c r="EH120" i="2"/>
  <c r="EG120" i="2"/>
  <c r="EF120" i="2"/>
  <c r="EE120" i="2"/>
  <c r="ED120" i="2"/>
  <c r="EC120" i="2"/>
  <c r="EB120" i="2"/>
  <c r="DO120" i="2"/>
  <c r="DN120" i="2"/>
  <c r="DM120" i="2"/>
  <c r="DL120" i="2"/>
  <c r="DK120" i="2"/>
  <c r="DI120" i="2"/>
  <c r="DH120" i="2"/>
  <c r="DF120" i="2"/>
  <c r="DE120" i="2"/>
  <c r="CW120" i="2"/>
  <c r="CV120" i="2"/>
  <c r="CI120" i="2"/>
  <c r="CH120" i="2"/>
  <c r="CG120" i="2"/>
  <c r="CB120" i="2"/>
  <c r="CA120" i="2"/>
  <c r="BZ120" i="2"/>
  <c r="BU120" i="2"/>
  <c r="BT120" i="2"/>
  <c r="BS120" i="2"/>
  <c r="BN120" i="2"/>
  <c r="BM120" i="2"/>
  <c r="BL120" i="2"/>
  <c r="AV120" i="2"/>
  <c r="AN120" i="2"/>
  <c r="AE120" i="2"/>
  <c r="R120" i="2"/>
  <c r="G120" i="2"/>
  <c r="A120" i="2"/>
  <c r="IG119" i="2"/>
  <c r="GV119" i="2"/>
  <c r="GP119" i="2"/>
  <c r="GI119" i="2"/>
  <c r="FT119" i="2"/>
  <c r="GH119" i="2" s="1"/>
  <c r="FN119" i="2"/>
  <c r="GG119" i="2" s="1"/>
  <c r="FH119" i="2"/>
  <c r="GF119" i="2" s="1"/>
  <c r="DO119" i="2"/>
  <c r="DN119" i="2"/>
  <c r="DM119" i="2"/>
  <c r="DL119" i="2"/>
  <c r="DK119" i="2"/>
  <c r="DI119" i="2"/>
  <c r="DH119" i="2"/>
  <c r="DF119" i="2"/>
  <c r="DE119" i="2"/>
  <c r="CW119" i="2"/>
  <c r="CV119" i="2"/>
  <c r="CI119" i="2"/>
  <c r="CH119" i="2"/>
  <c r="CG119" i="2"/>
  <c r="CB119" i="2"/>
  <c r="CA119" i="2"/>
  <c r="BZ119" i="2"/>
  <c r="BU119" i="2"/>
  <c r="BT119" i="2"/>
  <c r="BS119" i="2"/>
  <c r="BN119" i="2"/>
  <c r="BM119" i="2"/>
  <c r="BL119" i="2"/>
  <c r="AV119" i="2"/>
  <c r="AN119" i="2"/>
  <c r="AE119" i="2"/>
  <c r="R119" i="2"/>
  <c r="G119" i="2"/>
  <c r="A119" i="2"/>
  <c r="IG118" i="2"/>
  <c r="GV118" i="2"/>
  <c r="GP118" i="2"/>
  <c r="GH118" i="2"/>
  <c r="GF118" i="2"/>
  <c r="FZ118" i="2"/>
  <c r="GI118" i="2" s="1"/>
  <c r="FT118" i="2"/>
  <c r="FN118" i="2"/>
  <c r="GG118" i="2" s="1"/>
  <c r="FH118" i="2"/>
  <c r="DO118" i="2"/>
  <c r="DN118" i="2"/>
  <c r="DM118" i="2"/>
  <c r="DL118" i="2"/>
  <c r="DK118" i="2"/>
  <c r="DI118" i="2"/>
  <c r="DH118" i="2"/>
  <c r="DF118" i="2"/>
  <c r="DE118" i="2"/>
  <c r="CW118" i="2"/>
  <c r="CV118" i="2"/>
  <c r="CP118" i="2"/>
  <c r="CO118" i="2"/>
  <c r="CN118" i="2"/>
  <c r="CI118" i="2"/>
  <c r="CH118" i="2"/>
  <c r="CG118" i="2"/>
  <c r="CB118" i="2"/>
  <c r="CA118" i="2"/>
  <c r="BZ118" i="2"/>
  <c r="BU118" i="2"/>
  <c r="BT118" i="2"/>
  <c r="BS118" i="2"/>
  <c r="BN118" i="2"/>
  <c r="BM118" i="2"/>
  <c r="BL118" i="2"/>
  <c r="AV118" i="2"/>
  <c r="AN118" i="2"/>
  <c r="AE118" i="2"/>
  <c r="Y118" i="2"/>
  <c r="R118" i="2"/>
  <c r="G118" i="2"/>
  <c r="A118" i="2"/>
  <c r="IG117" i="2"/>
  <c r="GV117" i="2"/>
  <c r="GP117" i="2"/>
  <c r="FZ117" i="2"/>
  <c r="GJ117" i="2" s="1"/>
  <c r="FT117" i="2"/>
  <c r="GH117" i="2" s="1"/>
  <c r="FN117" i="2"/>
  <c r="GG117" i="2" s="1"/>
  <c r="FH117" i="2"/>
  <c r="GF117" i="2" s="1"/>
  <c r="DO117" i="2"/>
  <c r="DN117" i="2"/>
  <c r="DM117" i="2"/>
  <c r="DL117" i="2"/>
  <c r="DK117" i="2"/>
  <c r="DI117" i="2"/>
  <c r="DH117" i="2"/>
  <c r="DF117" i="2"/>
  <c r="DE117" i="2"/>
  <c r="DA117" i="2"/>
  <c r="CW117" i="2"/>
  <c r="CV117" i="2"/>
  <c r="CI117" i="2"/>
  <c r="CH117" i="2"/>
  <c r="CG117" i="2"/>
  <c r="CB117" i="2"/>
  <c r="CA117" i="2"/>
  <c r="BZ117" i="2"/>
  <c r="BU117" i="2"/>
  <c r="BT117" i="2"/>
  <c r="BS117" i="2"/>
  <c r="BN117" i="2"/>
  <c r="BM117" i="2"/>
  <c r="BL117" i="2"/>
  <c r="AV117" i="2"/>
  <c r="AN117" i="2"/>
  <c r="AE117" i="2"/>
  <c r="R117" i="2"/>
  <c r="G117" i="2"/>
  <c r="A117" i="2"/>
  <c r="IG116" i="2"/>
  <c r="GV116" i="2"/>
  <c r="GP116" i="2"/>
  <c r="GI116" i="2"/>
  <c r="GH116" i="2"/>
  <c r="GG116" i="2"/>
  <c r="FZ116" i="2"/>
  <c r="FT116" i="2"/>
  <c r="FN116" i="2"/>
  <c r="FH116" i="2"/>
  <c r="GF116" i="2" s="1"/>
  <c r="GJ116" i="2" s="1"/>
  <c r="EK116" i="2"/>
  <c r="EJ116" i="2"/>
  <c r="EI116" i="2"/>
  <c r="EH116" i="2"/>
  <c r="EG116" i="2"/>
  <c r="EF116" i="2"/>
  <c r="EE116" i="2"/>
  <c r="ED116" i="2"/>
  <c r="EC116" i="2"/>
  <c r="EB116" i="2"/>
  <c r="DO116" i="2"/>
  <c r="DN116" i="2"/>
  <c r="DM116" i="2"/>
  <c r="DL116" i="2"/>
  <c r="DK116" i="2"/>
  <c r="DI116" i="2"/>
  <c r="DH116" i="2"/>
  <c r="DF116" i="2"/>
  <c r="DE116" i="2"/>
  <c r="DB116" i="2"/>
  <c r="DA116" i="2"/>
  <c r="CW116" i="2"/>
  <c r="CV116" i="2"/>
  <c r="CP116" i="2"/>
  <c r="CO116" i="2"/>
  <c r="CN116" i="2"/>
  <c r="CI116" i="2"/>
  <c r="CH116" i="2"/>
  <c r="CG116" i="2"/>
  <c r="CB116" i="2"/>
  <c r="CA116" i="2"/>
  <c r="BZ116" i="2"/>
  <c r="BU116" i="2"/>
  <c r="BT116" i="2"/>
  <c r="BS116" i="2"/>
  <c r="BN116" i="2"/>
  <c r="BM116" i="2"/>
  <c r="BL116" i="2"/>
  <c r="AV116" i="2"/>
  <c r="AN116" i="2"/>
  <c r="AE116" i="2"/>
  <c r="R116" i="2"/>
  <c r="G116" i="2"/>
  <c r="A116" i="2"/>
  <c r="IG115" i="2"/>
  <c r="GV115" i="2"/>
  <c r="GP115" i="2"/>
  <c r="GG115" i="2"/>
  <c r="FZ115" i="2"/>
  <c r="FT115" i="2"/>
  <c r="GH115" i="2" s="1"/>
  <c r="FN115" i="2"/>
  <c r="FH115" i="2"/>
  <c r="GF115" i="2" s="1"/>
  <c r="DO115" i="2"/>
  <c r="DN115" i="2"/>
  <c r="DM115" i="2"/>
  <c r="DL115" i="2"/>
  <c r="DK115" i="2"/>
  <c r="DI115" i="2"/>
  <c r="DH115" i="2"/>
  <c r="DF115" i="2"/>
  <c r="DE115" i="2"/>
  <c r="CW115" i="2"/>
  <c r="CV115" i="2"/>
  <c r="CI115" i="2"/>
  <c r="CH115" i="2"/>
  <c r="CG115" i="2"/>
  <c r="CB115" i="2"/>
  <c r="CA115" i="2"/>
  <c r="BZ115" i="2"/>
  <c r="BU115" i="2"/>
  <c r="BT115" i="2"/>
  <c r="BS115" i="2"/>
  <c r="BN115" i="2"/>
  <c r="BM115" i="2"/>
  <c r="BL115" i="2"/>
  <c r="AY115" i="2"/>
  <c r="AV115" i="2"/>
  <c r="AN115" i="2"/>
  <c r="AE115" i="2"/>
  <c r="R115" i="2"/>
  <c r="G115" i="2"/>
  <c r="A115" i="2"/>
  <c r="IG114" i="2"/>
  <c r="GJ114" i="2"/>
  <c r="AN114" i="2"/>
  <c r="IG113" i="2"/>
  <c r="GV113" i="2"/>
  <c r="GP113" i="2"/>
  <c r="FZ113" i="2"/>
  <c r="GI113" i="2" s="1"/>
  <c r="FT113" i="2"/>
  <c r="GH113" i="2" s="1"/>
  <c r="FN113" i="2"/>
  <c r="GG113" i="2" s="1"/>
  <c r="FH113" i="2"/>
  <c r="GF113" i="2" s="1"/>
  <c r="DO113" i="2"/>
  <c r="DN113" i="2"/>
  <c r="DM113" i="2"/>
  <c r="DL113" i="2"/>
  <c r="DK113" i="2"/>
  <c r="DI113" i="2"/>
  <c r="DH113" i="2"/>
  <c r="DF113" i="2"/>
  <c r="DE113" i="2"/>
  <c r="DA113" i="2"/>
  <c r="CW113" i="2"/>
  <c r="CV113" i="2"/>
  <c r="CI113" i="2"/>
  <c r="CH113" i="2"/>
  <c r="CG113" i="2"/>
  <c r="CB113" i="2"/>
  <c r="CA113" i="2"/>
  <c r="BZ113" i="2"/>
  <c r="BU113" i="2"/>
  <c r="BT113" i="2"/>
  <c r="BS113" i="2"/>
  <c r="BN113" i="2"/>
  <c r="BM113" i="2"/>
  <c r="BL113" i="2"/>
  <c r="AV113" i="2"/>
  <c r="AN113" i="2"/>
  <c r="AE113" i="2"/>
  <c r="Y113" i="2"/>
  <c r="R113" i="2"/>
  <c r="G113" i="2"/>
  <c r="A113" i="2"/>
  <c r="IG112" i="2"/>
  <c r="GV112" i="2"/>
  <c r="GP112" i="2"/>
  <c r="GI112" i="2"/>
  <c r="GG112" i="2"/>
  <c r="FZ112" i="2"/>
  <c r="FT112" i="2"/>
  <c r="GH112" i="2" s="1"/>
  <c r="FN112" i="2"/>
  <c r="FH112" i="2"/>
  <c r="GF112" i="2" s="1"/>
  <c r="EE112" i="2"/>
  <c r="ED112" i="2"/>
  <c r="EC112" i="2"/>
  <c r="EB112" i="2"/>
  <c r="DO112" i="2"/>
  <c r="DN112" i="2"/>
  <c r="DM112" i="2"/>
  <c r="DL112" i="2"/>
  <c r="DK112" i="2"/>
  <c r="DI112" i="2"/>
  <c r="DH112" i="2"/>
  <c r="DF112" i="2"/>
  <c r="DE112" i="2"/>
  <c r="CV112" i="2"/>
  <c r="CI112" i="2"/>
  <c r="CH112" i="2"/>
  <c r="CG112" i="2"/>
  <c r="CB112" i="2"/>
  <c r="CA112" i="2"/>
  <c r="BZ112" i="2"/>
  <c r="BU112" i="2"/>
  <c r="BT112" i="2"/>
  <c r="BS112" i="2"/>
  <c r="BN112" i="2"/>
  <c r="BM112" i="2"/>
  <c r="BL112" i="2"/>
  <c r="AV112" i="2"/>
  <c r="AN112" i="2"/>
  <c r="R112" i="2"/>
  <c r="G112" i="2"/>
  <c r="A112" i="2"/>
  <c r="IG111" i="2"/>
  <c r="GV111" i="2"/>
  <c r="GP111" i="2"/>
  <c r="FZ111" i="2"/>
  <c r="FT111" i="2"/>
  <c r="GH111" i="2" s="1"/>
  <c r="FN111" i="2"/>
  <c r="GG111" i="2" s="1"/>
  <c r="FH111" i="2"/>
  <c r="GF111" i="2" s="1"/>
  <c r="DO111" i="2"/>
  <c r="DN111" i="2"/>
  <c r="DM111" i="2"/>
  <c r="DL111" i="2"/>
  <c r="DK111" i="2"/>
  <c r="DI111" i="2"/>
  <c r="DH111" i="2"/>
  <c r="DF111" i="2"/>
  <c r="DE111" i="2"/>
  <c r="CW111" i="2"/>
  <c r="CV111" i="2"/>
  <c r="CI111" i="2"/>
  <c r="CH111" i="2"/>
  <c r="CG111" i="2"/>
  <c r="CB111" i="2"/>
  <c r="CA111" i="2"/>
  <c r="BZ111" i="2"/>
  <c r="BU111" i="2"/>
  <c r="BT111" i="2"/>
  <c r="BS111" i="2"/>
  <c r="BN111" i="2"/>
  <c r="BM111" i="2"/>
  <c r="BL111" i="2"/>
  <c r="AV111" i="2"/>
  <c r="AN111" i="2"/>
  <c r="AE111" i="2"/>
  <c r="Y111" i="2"/>
  <c r="R111" i="2"/>
  <c r="G111" i="2"/>
  <c r="A111" i="2"/>
  <c r="IG110" i="2"/>
  <c r="GV110" i="2"/>
  <c r="GP110" i="2"/>
  <c r="FZ110" i="2"/>
  <c r="GI110" i="2" s="1"/>
  <c r="FT110" i="2"/>
  <c r="GH110" i="2" s="1"/>
  <c r="FN110" i="2"/>
  <c r="GG110" i="2" s="1"/>
  <c r="FH110" i="2"/>
  <c r="GF110" i="2" s="1"/>
  <c r="DO110" i="2"/>
  <c r="DN110" i="2"/>
  <c r="DM110" i="2"/>
  <c r="DL110" i="2"/>
  <c r="DK110" i="2"/>
  <c r="DI110" i="2"/>
  <c r="DH110" i="2"/>
  <c r="DF110" i="2"/>
  <c r="DE110" i="2"/>
  <c r="CW110" i="2"/>
  <c r="CV110" i="2"/>
  <c r="CI110" i="2"/>
  <c r="CH110" i="2"/>
  <c r="CG110" i="2"/>
  <c r="CB110" i="2"/>
  <c r="CA110" i="2"/>
  <c r="BZ110" i="2"/>
  <c r="BU110" i="2"/>
  <c r="BT110" i="2"/>
  <c r="BS110" i="2"/>
  <c r="BN110" i="2"/>
  <c r="BM110" i="2"/>
  <c r="BL110" i="2"/>
  <c r="AV110" i="2"/>
  <c r="AN110" i="2"/>
  <c r="AE110" i="2"/>
  <c r="R110" i="2"/>
  <c r="G110" i="2"/>
  <c r="A110" i="2"/>
  <c r="IG109" i="2"/>
  <c r="GJ109" i="2"/>
  <c r="AN109" i="2"/>
  <c r="IG108" i="2"/>
  <c r="GV108" i="2"/>
  <c r="GP108" i="2"/>
  <c r="GF108" i="2"/>
  <c r="FZ108" i="2"/>
  <c r="FT108" i="2"/>
  <c r="GH108" i="2" s="1"/>
  <c r="FN108" i="2"/>
  <c r="GG108" i="2" s="1"/>
  <c r="FH108" i="2"/>
  <c r="DO108" i="2"/>
  <c r="DN108" i="2"/>
  <c r="DM108" i="2"/>
  <c r="DL108" i="2"/>
  <c r="DK108" i="2"/>
  <c r="DI108" i="2"/>
  <c r="DH108" i="2"/>
  <c r="DF108" i="2"/>
  <c r="DE108" i="2"/>
  <c r="CW108" i="2"/>
  <c r="CV108" i="2"/>
  <c r="CI108" i="2"/>
  <c r="CH108" i="2"/>
  <c r="CG108" i="2"/>
  <c r="CB108" i="2"/>
  <c r="CA108" i="2"/>
  <c r="BZ108" i="2"/>
  <c r="BU108" i="2"/>
  <c r="BT108" i="2"/>
  <c r="BS108" i="2"/>
  <c r="BN108" i="2"/>
  <c r="BM108" i="2"/>
  <c r="BL108" i="2"/>
  <c r="AV108" i="2"/>
  <c r="AN108" i="2"/>
  <c r="AE108" i="2"/>
  <c r="R108" i="2"/>
  <c r="G108" i="2"/>
  <c r="A108" i="2"/>
  <c r="IG107" i="2"/>
  <c r="GJ107" i="2"/>
  <c r="AN107" i="2"/>
  <c r="IG106" i="2"/>
  <c r="GV106" i="2"/>
  <c r="GP106" i="2"/>
  <c r="FZ106" i="2"/>
  <c r="GI106" i="2" s="1"/>
  <c r="FT106" i="2"/>
  <c r="GH106" i="2" s="1"/>
  <c r="FN106" i="2"/>
  <c r="GG106" i="2" s="1"/>
  <c r="FH106" i="2"/>
  <c r="GF106" i="2" s="1"/>
  <c r="GJ106" i="2" s="1"/>
  <c r="EW106" i="2"/>
  <c r="EV106" i="2"/>
  <c r="EU106" i="2"/>
  <c r="ET106" i="2"/>
  <c r="ES106" i="2"/>
  <c r="ER106" i="2"/>
  <c r="EQ106" i="2"/>
  <c r="EP106" i="2"/>
  <c r="EO106" i="2"/>
  <c r="EN106" i="2"/>
  <c r="EM106" i="2"/>
  <c r="EL106" i="2"/>
  <c r="EK106" i="2"/>
  <c r="EJ106" i="2"/>
  <c r="EI106" i="2"/>
  <c r="EH106" i="2"/>
  <c r="EG106" i="2"/>
  <c r="EF106" i="2"/>
  <c r="EE106" i="2"/>
  <c r="ED106" i="2"/>
  <c r="EC106" i="2"/>
  <c r="EB106" i="2"/>
  <c r="DO106" i="2"/>
  <c r="DN106" i="2"/>
  <c r="DM106" i="2"/>
  <c r="DL106" i="2"/>
  <c r="DK106" i="2"/>
  <c r="DI106" i="2"/>
  <c r="DH106" i="2"/>
  <c r="DF106" i="2"/>
  <c r="DE106" i="2"/>
  <c r="DA106" i="2"/>
  <c r="CW106" i="2"/>
  <c r="CV106" i="2"/>
  <c r="CI106" i="2"/>
  <c r="CH106" i="2"/>
  <c r="CG106" i="2"/>
  <c r="CB106" i="2"/>
  <c r="CA106" i="2"/>
  <c r="BZ106" i="2"/>
  <c r="BU106" i="2"/>
  <c r="BT106" i="2"/>
  <c r="BS106" i="2"/>
  <c r="BN106" i="2"/>
  <c r="BM106" i="2"/>
  <c r="BL106" i="2"/>
  <c r="AV106" i="2"/>
  <c r="AN106" i="2"/>
  <c r="R106" i="2"/>
  <c r="G106" i="2"/>
  <c r="A106" i="2"/>
  <c r="IG105" i="2"/>
  <c r="GV105" i="2"/>
  <c r="GP105" i="2"/>
  <c r="GI105" i="2"/>
  <c r="GH105" i="2"/>
  <c r="GF105" i="2"/>
  <c r="FN105" i="2"/>
  <c r="GG105" i="2" s="1"/>
  <c r="FH105" i="2"/>
  <c r="ES105" i="2"/>
  <c r="ER105" i="2"/>
  <c r="EQ105" i="2"/>
  <c r="EP105" i="2"/>
  <c r="EO105" i="2"/>
  <c r="EN105" i="2"/>
  <c r="EM105" i="2"/>
  <c r="EL105" i="2"/>
  <c r="EK105" i="2"/>
  <c r="EJ105" i="2"/>
  <c r="EI105" i="2"/>
  <c r="EH105" i="2"/>
  <c r="EG105" i="2"/>
  <c r="EF105" i="2"/>
  <c r="EE105" i="2"/>
  <c r="ED105" i="2"/>
  <c r="EC105" i="2"/>
  <c r="EB105" i="2"/>
  <c r="DO105" i="2"/>
  <c r="DN105" i="2"/>
  <c r="DM105" i="2"/>
  <c r="DL105" i="2"/>
  <c r="DK105" i="2"/>
  <c r="DI105" i="2"/>
  <c r="DH105" i="2"/>
  <c r="DF105" i="2"/>
  <c r="DE105" i="2"/>
  <c r="DA105" i="2"/>
  <c r="CW105" i="2"/>
  <c r="CV105" i="2"/>
  <c r="CI105" i="2"/>
  <c r="CH105" i="2"/>
  <c r="CG105" i="2"/>
  <c r="CB105" i="2"/>
  <c r="CA105" i="2"/>
  <c r="BZ105" i="2"/>
  <c r="BU105" i="2"/>
  <c r="BT105" i="2"/>
  <c r="BS105" i="2"/>
  <c r="BN105" i="2"/>
  <c r="BM105" i="2"/>
  <c r="BL105" i="2"/>
  <c r="AV105" i="2"/>
  <c r="AN105" i="2"/>
  <c r="AE105" i="2"/>
  <c r="R105" i="2"/>
  <c r="G105" i="2"/>
  <c r="A105" i="2"/>
  <c r="IG104" i="2"/>
  <c r="GV104" i="2"/>
  <c r="GP104" i="2"/>
  <c r="FZ104" i="2"/>
  <c r="FT104" i="2"/>
  <c r="GH104" i="2" s="1"/>
  <c r="FN104" i="2"/>
  <c r="GG104" i="2" s="1"/>
  <c r="FH104" i="2"/>
  <c r="GF104" i="2" s="1"/>
  <c r="FC104" i="2"/>
  <c r="FB104" i="2"/>
  <c r="FA104" i="2"/>
  <c r="EZ104" i="2"/>
  <c r="EY104" i="2"/>
  <c r="EX104" i="2"/>
  <c r="EW104" i="2"/>
  <c r="EV104" i="2"/>
  <c r="EU104" i="2"/>
  <c r="ET104" i="2"/>
  <c r="ES104" i="2"/>
  <c r="ER104" i="2"/>
  <c r="EQ104" i="2"/>
  <c r="EP104" i="2"/>
  <c r="EO104" i="2"/>
  <c r="EN104" i="2"/>
  <c r="EM104" i="2"/>
  <c r="EL104" i="2"/>
  <c r="EK104" i="2"/>
  <c r="EJ104" i="2"/>
  <c r="EI104" i="2"/>
  <c r="EH104" i="2"/>
  <c r="EG104" i="2"/>
  <c r="EF104" i="2"/>
  <c r="EE104" i="2"/>
  <c r="ED104" i="2"/>
  <c r="EC104" i="2"/>
  <c r="EB104" i="2"/>
  <c r="DO104" i="2"/>
  <c r="DN104" i="2"/>
  <c r="DM104" i="2"/>
  <c r="DL104" i="2"/>
  <c r="DK104" i="2"/>
  <c r="DI104" i="2"/>
  <c r="DH104" i="2"/>
  <c r="DF104" i="2"/>
  <c r="DE104" i="2"/>
  <c r="DA104" i="2"/>
  <c r="CW104" i="2"/>
  <c r="CV104" i="2"/>
  <c r="CI104" i="2"/>
  <c r="CH104" i="2"/>
  <c r="CG104" i="2"/>
  <c r="CB104" i="2"/>
  <c r="CA104" i="2"/>
  <c r="BZ104" i="2"/>
  <c r="BU104" i="2"/>
  <c r="BT104" i="2"/>
  <c r="BS104" i="2"/>
  <c r="BN104" i="2"/>
  <c r="BM104" i="2"/>
  <c r="BL104" i="2"/>
  <c r="AV104" i="2"/>
  <c r="AN104" i="2"/>
  <c r="AE104" i="2"/>
  <c r="R104" i="2"/>
  <c r="G104" i="2"/>
  <c r="A104" i="2"/>
  <c r="IG103" i="2"/>
  <c r="GV103" i="2"/>
  <c r="GP103" i="2"/>
  <c r="FZ103" i="2"/>
  <c r="FT103" i="2"/>
  <c r="GH103" i="2" s="1"/>
  <c r="FN103" i="2"/>
  <c r="GG103" i="2" s="1"/>
  <c r="FH103" i="2"/>
  <c r="GF103" i="2" s="1"/>
  <c r="FC103" i="2"/>
  <c r="FB103" i="2"/>
  <c r="FA103" i="2"/>
  <c r="EZ103" i="2"/>
  <c r="EY103" i="2"/>
  <c r="EX103" i="2"/>
  <c r="EW103" i="2"/>
  <c r="EV103" i="2"/>
  <c r="EU103" i="2"/>
  <c r="ET103" i="2"/>
  <c r="ES103" i="2"/>
  <c r="ER103" i="2"/>
  <c r="EQ103" i="2"/>
  <c r="EP103" i="2"/>
  <c r="EO103" i="2"/>
  <c r="EN103" i="2"/>
  <c r="EM103" i="2"/>
  <c r="EL103" i="2"/>
  <c r="EK103" i="2"/>
  <c r="EJ103" i="2"/>
  <c r="EI103" i="2"/>
  <c r="EH103" i="2"/>
  <c r="EG103" i="2"/>
  <c r="EF103" i="2"/>
  <c r="EE103" i="2"/>
  <c r="ED103" i="2"/>
  <c r="EC103" i="2"/>
  <c r="EB103" i="2"/>
  <c r="DO103" i="2"/>
  <c r="DN103" i="2"/>
  <c r="DM103" i="2"/>
  <c r="DL103" i="2"/>
  <c r="DK103" i="2"/>
  <c r="DI103" i="2"/>
  <c r="DH103" i="2"/>
  <c r="DF103" i="2"/>
  <c r="DE103" i="2"/>
  <c r="DA103" i="2"/>
  <c r="CW103" i="2"/>
  <c r="CV103" i="2"/>
  <c r="CI103" i="2"/>
  <c r="CH103" i="2"/>
  <c r="CG103" i="2"/>
  <c r="CB103" i="2"/>
  <c r="CA103" i="2"/>
  <c r="BZ103" i="2"/>
  <c r="BU103" i="2"/>
  <c r="BT103" i="2"/>
  <c r="BS103" i="2"/>
  <c r="BN103" i="2"/>
  <c r="BM103" i="2"/>
  <c r="BL103" i="2"/>
  <c r="AV103" i="2"/>
  <c r="AN103" i="2"/>
  <c r="AE103" i="2"/>
  <c r="R103" i="2"/>
  <c r="G103" i="2"/>
  <c r="A103" i="2"/>
  <c r="IG102" i="2"/>
  <c r="GV102" i="2"/>
  <c r="GP102" i="2"/>
  <c r="FZ102" i="2"/>
  <c r="GI102" i="2" s="1"/>
  <c r="FT102" i="2"/>
  <c r="GH102" i="2" s="1"/>
  <c r="FN102" i="2"/>
  <c r="GG102" i="2" s="1"/>
  <c r="FH102" i="2"/>
  <c r="GF102" i="2" s="1"/>
  <c r="FE102" i="2"/>
  <c r="FD102" i="2"/>
  <c r="FC102" i="2"/>
  <c r="FB102" i="2"/>
  <c r="FA102" i="2"/>
  <c r="EZ102" i="2"/>
  <c r="EY102" i="2"/>
  <c r="EX102" i="2"/>
  <c r="EW102" i="2"/>
  <c r="EV102" i="2"/>
  <c r="EU102" i="2"/>
  <c r="ET102" i="2"/>
  <c r="ES102" i="2"/>
  <c r="ER102" i="2"/>
  <c r="EQ102" i="2"/>
  <c r="EP102" i="2"/>
  <c r="EO102" i="2"/>
  <c r="EN102" i="2"/>
  <c r="EM102" i="2"/>
  <c r="EL102" i="2"/>
  <c r="EK102" i="2"/>
  <c r="EJ102" i="2"/>
  <c r="EI102" i="2"/>
  <c r="EH102" i="2"/>
  <c r="EG102" i="2"/>
  <c r="EF102" i="2"/>
  <c r="EE102" i="2"/>
  <c r="ED102" i="2"/>
  <c r="EC102" i="2"/>
  <c r="EB102" i="2"/>
  <c r="DO102" i="2"/>
  <c r="DN102" i="2"/>
  <c r="DM102" i="2"/>
  <c r="DL102" i="2"/>
  <c r="DK102" i="2"/>
  <c r="DI102" i="2"/>
  <c r="DH102" i="2"/>
  <c r="DF102" i="2"/>
  <c r="DE102" i="2"/>
  <c r="DA102" i="2"/>
  <c r="CW102" i="2"/>
  <c r="CV102" i="2"/>
  <c r="CI102" i="2"/>
  <c r="CH102" i="2"/>
  <c r="CG102" i="2"/>
  <c r="CB102" i="2"/>
  <c r="CA102" i="2"/>
  <c r="BZ102" i="2"/>
  <c r="BU102" i="2"/>
  <c r="BT102" i="2"/>
  <c r="BS102" i="2"/>
  <c r="BN102" i="2"/>
  <c r="BM102" i="2"/>
  <c r="BL102" i="2"/>
  <c r="AV102" i="2"/>
  <c r="AN102" i="2"/>
  <c r="AM102" i="2"/>
  <c r="AL102" i="2"/>
  <c r="AE102" i="2"/>
  <c r="R102" i="2"/>
  <c r="G102" i="2"/>
  <c r="A102" i="2"/>
  <c r="IG101" i="2"/>
  <c r="GV101" i="2"/>
  <c r="GP101" i="2"/>
  <c r="FZ101" i="2"/>
  <c r="FT101" i="2"/>
  <c r="GH101" i="2" s="1"/>
  <c r="FN101" i="2"/>
  <c r="GG101" i="2" s="1"/>
  <c r="FH101" i="2"/>
  <c r="GF101" i="2" s="1"/>
  <c r="FE101" i="2"/>
  <c r="FD101" i="2"/>
  <c r="FC101" i="2"/>
  <c r="FB101" i="2"/>
  <c r="FA101" i="2"/>
  <c r="EZ101" i="2"/>
  <c r="EY101" i="2"/>
  <c r="EX101" i="2"/>
  <c r="EW101" i="2"/>
  <c r="EV101" i="2"/>
  <c r="EU101" i="2"/>
  <c r="ET101" i="2"/>
  <c r="ES101" i="2"/>
  <c r="ER101" i="2"/>
  <c r="EQ101" i="2"/>
  <c r="EP101" i="2"/>
  <c r="EO101" i="2"/>
  <c r="EN101" i="2"/>
  <c r="EM101" i="2"/>
  <c r="EL101" i="2"/>
  <c r="EK101" i="2"/>
  <c r="EJ101" i="2"/>
  <c r="EI101" i="2"/>
  <c r="EH101" i="2"/>
  <c r="EG101" i="2"/>
  <c r="EF101" i="2"/>
  <c r="EE101" i="2"/>
  <c r="ED101" i="2"/>
  <c r="EC101" i="2"/>
  <c r="EB101" i="2"/>
  <c r="DO101" i="2"/>
  <c r="DN101" i="2"/>
  <c r="DM101" i="2"/>
  <c r="DL101" i="2"/>
  <c r="DK101" i="2"/>
  <c r="DI101" i="2"/>
  <c r="DH101" i="2"/>
  <c r="DF101" i="2"/>
  <c r="DE101" i="2"/>
  <c r="DA101" i="2"/>
  <c r="CW101" i="2"/>
  <c r="CV101" i="2"/>
  <c r="CI101" i="2"/>
  <c r="CH101" i="2"/>
  <c r="CG101" i="2"/>
  <c r="CB101" i="2"/>
  <c r="CA101" i="2"/>
  <c r="BZ101" i="2"/>
  <c r="BU101" i="2"/>
  <c r="BT101" i="2"/>
  <c r="BS101" i="2"/>
  <c r="BN101" i="2"/>
  <c r="BM101" i="2"/>
  <c r="BL101" i="2"/>
  <c r="AV101" i="2"/>
  <c r="AN101" i="2"/>
  <c r="AM101" i="2"/>
  <c r="AL101" i="2"/>
  <c r="AE101" i="2"/>
  <c r="R101" i="2"/>
  <c r="G101" i="2"/>
  <c r="A101" i="2"/>
  <c r="IG100" i="2"/>
  <c r="GJ100" i="2"/>
  <c r="AN100" i="2"/>
  <c r="IG99" i="2"/>
  <c r="GV99" i="2"/>
  <c r="GP99" i="2"/>
  <c r="GH99" i="2"/>
  <c r="GG99" i="2"/>
  <c r="FZ99" i="2"/>
  <c r="GI99" i="2" s="1"/>
  <c r="FT99" i="2"/>
  <c r="FN99" i="2"/>
  <c r="FH99" i="2"/>
  <c r="GF99" i="2" s="1"/>
  <c r="GJ99" i="2" s="1"/>
  <c r="DO99" i="2"/>
  <c r="DN99" i="2"/>
  <c r="DM99" i="2"/>
  <c r="DL99" i="2"/>
  <c r="DK99" i="2"/>
  <c r="DI99" i="2"/>
  <c r="DH99" i="2"/>
  <c r="DF99" i="2"/>
  <c r="DE99" i="2"/>
  <c r="DA99" i="2"/>
  <c r="CW99" i="2"/>
  <c r="CV99" i="2"/>
  <c r="CI99" i="2"/>
  <c r="CH99" i="2"/>
  <c r="CG99" i="2"/>
  <c r="CB99" i="2"/>
  <c r="CA99" i="2"/>
  <c r="BZ99" i="2"/>
  <c r="BU99" i="2"/>
  <c r="BT99" i="2"/>
  <c r="BS99" i="2"/>
  <c r="BN99" i="2"/>
  <c r="BM99" i="2"/>
  <c r="BL99" i="2"/>
  <c r="AV99" i="2"/>
  <c r="AN99" i="2"/>
  <c r="AE99" i="2"/>
  <c r="R99" i="2"/>
  <c r="G99" i="2"/>
  <c r="A99" i="2"/>
  <c r="IG98" i="2"/>
  <c r="GV98" i="2"/>
  <c r="GP98" i="2"/>
  <c r="FZ98" i="2"/>
  <c r="GI98" i="2" s="1"/>
  <c r="FT98" i="2"/>
  <c r="GH98" i="2" s="1"/>
  <c r="FN98" i="2"/>
  <c r="GG98" i="2" s="1"/>
  <c r="FH98" i="2"/>
  <c r="GF98" i="2" s="1"/>
  <c r="DM98" i="2"/>
  <c r="DL98" i="2"/>
  <c r="DK98" i="2"/>
  <c r="DI98" i="2"/>
  <c r="DH98" i="2"/>
  <c r="DF98" i="2"/>
  <c r="DE98" i="2"/>
  <c r="CW98" i="2"/>
  <c r="CV98" i="2"/>
  <c r="CI98" i="2"/>
  <c r="CH98" i="2"/>
  <c r="CG98" i="2"/>
  <c r="CB98" i="2"/>
  <c r="CA98" i="2"/>
  <c r="BZ98" i="2"/>
  <c r="BU98" i="2"/>
  <c r="BT98" i="2"/>
  <c r="BS98" i="2"/>
  <c r="BN98" i="2"/>
  <c r="BM98" i="2"/>
  <c r="BL98" i="2"/>
  <c r="AV98" i="2"/>
  <c r="AN98" i="2"/>
  <c r="AE98" i="2"/>
  <c r="Y98" i="2"/>
  <c r="R98" i="2"/>
  <c r="G98" i="2"/>
  <c r="A98" i="2"/>
  <c r="IG97" i="2"/>
  <c r="GV97" i="2"/>
  <c r="GP97" i="2"/>
  <c r="GF97" i="2"/>
  <c r="FZ97" i="2"/>
  <c r="FT97" i="2"/>
  <c r="GH97" i="2" s="1"/>
  <c r="FN97" i="2"/>
  <c r="GG97" i="2" s="1"/>
  <c r="FH97" i="2"/>
  <c r="DO97" i="2"/>
  <c r="DN97" i="2"/>
  <c r="DM97" i="2"/>
  <c r="DL97" i="2"/>
  <c r="DK97" i="2"/>
  <c r="DI97" i="2"/>
  <c r="DH97" i="2"/>
  <c r="DF97" i="2"/>
  <c r="DE97" i="2"/>
  <c r="CW97" i="2"/>
  <c r="CV97" i="2"/>
  <c r="CI97" i="2"/>
  <c r="CH97" i="2"/>
  <c r="CG97" i="2"/>
  <c r="CB97" i="2"/>
  <c r="CA97" i="2"/>
  <c r="BZ97" i="2"/>
  <c r="BU97" i="2"/>
  <c r="BT97" i="2"/>
  <c r="BS97" i="2"/>
  <c r="BN97" i="2"/>
  <c r="BM97" i="2"/>
  <c r="BL97" i="2"/>
  <c r="AV97" i="2"/>
  <c r="AN97" i="2"/>
  <c r="AE97" i="2"/>
  <c r="R97" i="2"/>
  <c r="G97" i="2"/>
  <c r="A97" i="2"/>
  <c r="IG96" i="2"/>
  <c r="GV96" i="2"/>
  <c r="GP96" i="2"/>
  <c r="GI96" i="2"/>
  <c r="GG96" i="2"/>
  <c r="FZ96" i="2"/>
  <c r="FT96" i="2"/>
  <c r="GH96" i="2" s="1"/>
  <c r="FN96" i="2"/>
  <c r="FH96" i="2"/>
  <c r="GF96" i="2" s="1"/>
  <c r="DO96" i="2"/>
  <c r="DN96" i="2"/>
  <c r="DM96" i="2"/>
  <c r="DL96" i="2"/>
  <c r="DK96" i="2"/>
  <c r="DI96" i="2"/>
  <c r="DH96" i="2"/>
  <c r="DF96" i="2"/>
  <c r="DE96" i="2"/>
  <c r="CW96" i="2"/>
  <c r="CV96" i="2"/>
  <c r="CI96" i="2"/>
  <c r="CH96" i="2"/>
  <c r="CG96" i="2"/>
  <c r="CB96" i="2"/>
  <c r="CA96" i="2"/>
  <c r="BZ96" i="2"/>
  <c r="BU96" i="2"/>
  <c r="BT96" i="2"/>
  <c r="BS96" i="2"/>
  <c r="BN96" i="2"/>
  <c r="BM96" i="2"/>
  <c r="BL96" i="2"/>
  <c r="AV96" i="2"/>
  <c r="AN96" i="2"/>
  <c r="AE96" i="2"/>
  <c r="R96" i="2"/>
  <c r="G96" i="2"/>
  <c r="A96" i="2"/>
  <c r="IG95" i="2"/>
  <c r="GV95" i="2"/>
  <c r="GP95" i="2"/>
  <c r="FZ95" i="2"/>
  <c r="GI95" i="2" s="1"/>
  <c r="FT95" i="2"/>
  <c r="GH95" i="2" s="1"/>
  <c r="FN95" i="2"/>
  <c r="GG95" i="2" s="1"/>
  <c r="FH95" i="2"/>
  <c r="GF95" i="2" s="1"/>
  <c r="GJ95" i="2" s="1"/>
  <c r="DO95" i="2"/>
  <c r="DN95" i="2"/>
  <c r="DM95" i="2"/>
  <c r="DL95" i="2"/>
  <c r="DK95" i="2"/>
  <c r="DI95" i="2"/>
  <c r="DH95" i="2"/>
  <c r="DF95" i="2"/>
  <c r="DE95" i="2"/>
  <c r="CW95" i="2"/>
  <c r="CV95" i="2"/>
  <c r="CI95" i="2"/>
  <c r="CH95" i="2"/>
  <c r="CG95" i="2"/>
  <c r="CB95" i="2"/>
  <c r="CA95" i="2"/>
  <c r="BZ95" i="2"/>
  <c r="BU95" i="2"/>
  <c r="BT95" i="2"/>
  <c r="BS95" i="2"/>
  <c r="BN95" i="2"/>
  <c r="BM95" i="2"/>
  <c r="BL95" i="2"/>
  <c r="AV95" i="2"/>
  <c r="AN95" i="2"/>
  <c r="AE95" i="2"/>
  <c r="Y95" i="2"/>
  <c r="R95" i="2"/>
  <c r="G95" i="2"/>
  <c r="A95" i="2"/>
  <c r="IG94" i="2"/>
  <c r="GV94" i="2"/>
  <c r="GP94" i="2"/>
  <c r="GI94" i="2"/>
  <c r="GH94" i="2"/>
  <c r="FN94" i="2"/>
  <c r="GG94" i="2" s="1"/>
  <c r="FH94" i="2"/>
  <c r="GF94" i="2" s="1"/>
  <c r="FE94" i="2"/>
  <c r="FD94" i="2"/>
  <c r="FC94" i="2"/>
  <c r="FB94" i="2"/>
  <c r="FA94" i="2"/>
  <c r="EZ94" i="2"/>
  <c r="EY94" i="2"/>
  <c r="EX94" i="2"/>
  <c r="EW94" i="2"/>
  <c r="EV94" i="2"/>
  <c r="EU94" i="2"/>
  <c r="ET94" i="2"/>
  <c r="ES94" i="2"/>
  <c r="ER94" i="2"/>
  <c r="EQ94" i="2"/>
  <c r="EP94" i="2"/>
  <c r="EO94" i="2"/>
  <c r="EN94" i="2"/>
  <c r="EM94" i="2"/>
  <c r="EL94" i="2"/>
  <c r="EK94" i="2"/>
  <c r="EJ94" i="2"/>
  <c r="EI94" i="2"/>
  <c r="EH94" i="2"/>
  <c r="EG94" i="2"/>
  <c r="EF94" i="2"/>
  <c r="EE94" i="2"/>
  <c r="ED94" i="2"/>
  <c r="EC94" i="2"/>
  <c r="EB94" i="2"/>
  <c r="DO94" i="2"/>
  <c r="DN94" i="2"/>
  <c r="DM94" i="2"/>
  <c r="DL94" i="2"/>
  <c r="DK94" i="2"/>
  <c r="DI94" i="2"/>
  <c r="DH94" i="2"/>
  <c r="DF94" i="2"/>
  <c r="DE94" i="2"/>
  <c r="CW94" i="2"/>
  <c r="CV94" i="2"/>
  <c r="CP94" i="2"/>
  <c r="CO94" i="2"/>
  <c r="CN94" i="2"/>
  <c r="CI94" i="2"/>
  <c r="CH94" i="2"/>
  <c r="CG94" i="2"/>
  <c r="CB94" i="2"/>
  <c r="CA94" i="2"/>
  <c r="BZ94" i="2"/>
  <c r="BU94" i="2"/>
  <c r="BT94" i="2"/>
  <c r="BS94" i="2"/>
  <c r="BN94" i="2"/>
  <c r="BM94" i="2"/>
  <c r="BL94" i="2"/>
  <c r="AV94" i="2"/>
  <c r="AN94" i="2"/>
  <c r="AM94" i="2"/>
  <c r="AL94" i="2"/>
  <c r="AE94" i="2"/>
  <c r="R94" i="2"/>
  <c r="G94" i="2"/>
  <c r="A94" i="2"/>
  <c r="IG93" i="2"/>
  <c r="GV93" i="2"/>
  <c r="GP93" i="2"/>
  <c r="GI93" i="2"/>
  <c r="GH93" i="2"/>
  <c r="GF93" i="2"/>
  <c r="FN93" i="2"/>
  <c r="GG93" i="2" s="1"/>
  <c r="GJ93" i="2" s="1"/>
  <c r="FH93" i="2"/>
  <c r="FE93" i="2"/>
  <c r="FD93" i="2"/>
  <c r="FC93" i="2"/>
  <c r="FB93" i="2"/>
  <c r="FA93" i="2"/>
  <c r="EZ93" i="2"/>
  <c r="EY93" i="2"/>
  <c r="EX93" i="2"/>
  <c r="EW93" i="2"/>
  <c r="EV93" i="2"/>
  <c r="EU93" i="2"/>
  <c r="ET93" i="2"/>
  <c r="ES93" i="2"/>
  <c r="ER93" i="2"/>
  <c r="EQ93" i="2"/>
  <c r="EP93" i="2"/>
  <c r="EO93" i="2"/>
  <c r="EN93" i="2"/>
  <c r="EM93" i="2"/>
  <c r="EL93" i="2"/>
  <c r="EK93" i="2"/>
  <c r="EJ93" i="2"/>
  <c r="EI93" i="2"/>
  <c r="EH93" i="2"/>
  <c r="EG93" i="2"/>
  <c r="EF93" i="2"/>
  <c r="EE93" i="2"/>
  <c r="ED93" i="2"/>
  <c r="EC93" i="2"/>
  <c r="EB93" i="2"/>
  <c r="DO93" i="2"/>
  <c r="DN93" i="2"/>
  <c r="DM93" i="2"/>
  <c r="DL93" i="2"/>
  <c r="DK93" i="2"/>
  <c r="DI93" i="2"/>
  <c r="DH93" i="2"/>
  <c r="DF93" i="2"/>
  <c r="DE93" i="2"/>
  <c r="CW93" i="2"/>
  <c r="CV93" i="2"/>
  <c r="CP93" i="2"/>
  <c r="CO93" i="2"/>
  <c r="CN93" i="2"/>
  <c r="CI93" i="2"/>
  <c r="CH93" i="2"/>
  <c r="CG93" i="2"/>
  <c r="CB93" i="2"/>
  <c r="CA93" i="2"/>
  <c r="BZ93" i="2"/>
  <c r="BU93" i="2"/>
  <c r="BT93" i="2"/>
  <c r="BS93" i="2"/>
  <c r="BN93" i="2"/>
  <c r="BM93" i="2"/>
  <c r="BL93" i="2"/>
  <c r="AV93" i="2"/>
  <c r="AN93" i="2"/>
  <c r="AM93" i="2"/>
  <c r="AL93" i="2"/>
  <c r="AE93" i="2"/>
  <c r="R93" i="2"/>
  <c r="G93" i="2"/>
  <c r="A93" i="2"/>
  <c r="IG92" i="2"/>
  <c r="GJ92" i="2"/>
  <c r="AN92" i="2"/>
  <c r="IG91" i="2"/>
  <c r="GV91" i="2"/>
  <c r="GP91" i="2"/>
  <c r="GI91" i="2"/>
  <c r="GH91" i="2"/>
  <c r="FN91" i="2"/>
  <c r="GG91" i="2" s="1"/>
  <c r="FH91" i="2"/>
  <c r="GF91" i="2" s="1"/>
  <c r="EG91" i="2"/>
  <c r="EF91" i="2"/>
  <c r="EE91" i="2"/>
  <c r="ED91" i="2"/>
  <c r="EC91" i="2"/>
  <c r="EB91" i="2"/>
  <c r="DO91" i="2"/>
  <c r="DN91" i="2"/>
  <c r="DM91" i="2"/>
  <c r="DL91" i="2"/>
  <c r="DK91" i="2"/>
  <c r="DI91" i="2"/>
  <c r="DH91" i="2"/>
  <c r="DF91" i="2"/>
  <c r="DE91" i="2"/>
  <c r="CW91" i="2"/>
  <c r="CV91" i="2"/>
  <c r="CP91" i="2"/>
  <c r="CO91" i="2"/>
  <c r="CN91" i="2"/>
  <c r="CI91" i="2"/>
  <c r="CH91" i="2"/>
  <c r="CG91" i="2"/>
  <c r="CB91" i="2"/>
  <c r="CA91" i="2"/>
  <c r="BZ91" i="2"/>
  <c r="BU91" i="2"/>
  <c r="BT91" i="2"/>
  <c r="BS91" i="2"/>
  <c r="BN91" i="2"/>
  <c r="BM91" i="2"/>
  <c r="BL91" i="2"/>
  <c r="BJ91" i="2"/>
  <c r="AY91" i="2"/>
  <c r="AV91" i="2"/>
  <c r="AN91" i="2"/>
  <c r="AE91" i="2"/>
  <c r="R91" i="2"/>
  <c r="G91" i="2"/>
  <c r="A91" i="2"/>
  <c r="IG90" i="2"/>
  <c r="GV90" i="2"/>
  <c r="GP90" i="2"/>
  <c r="GI90" i="2"/>
  <c r="GH90" i="2"/>
  <c r="GF90" i="2"/>
  <c r="FN90" i="2"/>
  <c r="GG90" i="2" s="1"/>
  <c r="FH90" i="2"/>
  <c r="EG90" i="2"/>
  <c r="EF90" i="2"/>
  <c r="EE90" i="2"/>
  <c r="ED90" i="2"/>
  <c r="EC90" i="2"/>
  <c r="EB90" i="2"/>
  <c r="DO90" i="2"/>
  <c r="DN90" i="2"/>
  <c r="DM90" i="2"/>
  <c r="DL90" i="2"/>
  <c r="DK90" i="2"/>
  <c r="DI90" i="2"/>
  <c r="DH90" i="2"/>
  <c r="DF90" i="2"/>
  <c r="DE90" i="2"/>
  <c r="CW90" i="2"/>
  <c r="CV90" i="2"/>
  <c r="CP90" i="2"/>
  <c r="CO90" i="2"/>
  <c r="CN90" i="2"/>
  <c r="CI90" i="2"/>
  <c r="CH90" i="2"/>
  <c r="CG90" i="2"/>
  <c r="CB90" i="2"/>
  <c r="CA90" i="2"/>
  <c r="BZ90" i="2"/>
  <c r="BU90" i="2"/>
  <c r="BT90" i="2"/>
  <c r="BS90" i="2"/>
  <c r="BN90" i="2"/>
  <c r="BM90" i="2"/>
  <c r="BL90" i="2"/>
  <c r="BJ90" i="2"/>
  <c r="AV90" i="2"/>
  <c r="AN90" i="2"/>
  <c r="AE90" i="2"/>
  <c r="R90" i="2"/>
  <c r="G90" i="2"/>
  <c r="A90" i="2"/>
  <c r="IG89" i="2"/>
  <c r="GJ89" i="2"/>
  <c r="AN89" i="2"/>
  <c r="IG88" i="2"/>
  <c r="GV88" i="2"/>
  <c r="GP88" i="2"/>
  <c r="GI88" i="2"/>
  <c r="GH88" i="2"/>
  <c r="GG88" i="2"/>
  <c r="FZ88" i="2"/>
  <c r="FT88" i="2"/>
  <c r="FN88" i="2"/>
  <c r="FH88" i="2"/>
  <c r="GF88" i="2" s="1"/>
  <c r="EM88" i="2"/>
  <c r="EL88" i="2"/>
  <c r="EK88" i="2"/>
  <c r="EJ88" i="2"/>
  <c r="EI88" i="2"/>
  <c r="EH88" i="2"/>
  <c r="EG88" i="2"/>
  <c r="EF88" i="2"/>
  <c r="EE88" i="2"/>
  <c r="ED88" i="2"/>
  <c r="EC88" i="2"/>
  <c r="EB88" i="2"/>
  <c r="DO88" i="2"/>
  <c r="DN88" i="2"/>
  <c r="DM88" i="2"/>
  <c r="DL88" i="2"/>
  <c r="DK88" i="2"/>
  <c r="DI88" i="2"/>
  <c r="DH88" i="2"/>
  <c r="DF88" i="2"/>
  <c r="DE88" i="2"/>
  <c r="CW88" i="2"/>
  <c r="CV88" i="2"/>
  <c r="CP88" i="2"/>
  <c r="CO88" i="2"/>
  <c r="CN88" i="2"/>
  <c r="CI88" i="2"/>
  <c r="CH88" i="2"/>
  <c r="CG88" i="2"/>
  <c r="CB88" i="2"/>
  <c r="CA88" i="2"/>
  <c r="BZ88" i="2"/>
  <c r="BU88" i="2"/>
  <c r="BT88" i="2"/>
  <c r="BS88" i="2"/>
  <c r="BN88" i="2"/>
  <c r="BM88" i="2"/>
  <c r="BL88" i="2"/>
  <c r="AV88" i="2"/>
  <c r="AN88" i="2"/>
  <c r="AE88" i="2"/>
  <c r="Y88" i="2"/>
  <c r="R88" i="2"/>
  <c r="G88" i="2"/>
  <c r="A88" i="2"/>
  <c r="IG87" i="2"/>
  <c r="GJ87" i="2"/>
  <c r="AN87" i="2"/>
  <c r="IG86" i="2"/>
  <c r="GV86" i="2"/>
  <c r="GP86" i="2"/>
  <c r="GI86" i="2"/>
  <c r="GH86" i="2"/>
  <c r="FN86" i="2"/>
  <c r="GG86" i="2" s="1"/>
  <c r="FH86" i="2"/>
  <c r="GF86" i="2" s="1"/>
  <c r="EW86" i="2"/>
  <c r="EV86" i="2"/>
  <c r="EU86" i="2"/>
  <c r="ET86" i="2"/>
  <c r="ES86" i="2"/>
  <c r="ER86" i="2"/>
  <c r="EQ86" i="2"/>
  <c r="EP86" i="2"/>
  <c r="EO86" i="2"/>
  <c r="EN86" i="2"/>
  <c r="EM86" i="2"/>
  <c r="EL86" i="2"/>
  <c r="EK86" i="2"/>
  <c r="EJ86" i="2"/>
  <c r="EI86" i="2"/>
  <c r="EH86" i="2"/>
  <c r="EG86" i="2"/>
  <c r="EF86" i="2"/>
  <c r="EE86" i="2"/>
  <c r="ED86" i="2"/>
  <c r="EC86" i="2"/>
  <c r="EB86" i="2"/>
  <c r="DQ86" i="2"/>
  <c r="DP86" i="2"/>
  <c r="DO86" i="2"/>
  <c r="DN86" i="2"/>
  <c r="DM86" i="2"/>
  <c r="DL86" i="2"/>
  <c r="DK86" i="2"/>
  <c r="DI86" i="2"/>
  <c r="DH86" i="2"/>
  <c r="DF86" i="2"/>
  <c r="DE86" i="2"/>
  <c r="DA86" i="2"/>
  <c r="CW86" i="2"/>
  <c r="CV86" i="2"/>
  <c r="CP86" i="2"/>
  <c r="CO86" i="2"/>
  <c r="CN86" i="2"/>
  <c r="CI86" i="2"/>
  <c r="CH86" i="2"/>
  <c r="CG86" i="2"/>
  <c r="CB86" i="2"/>
  <c r="CA86" i="2"/>
  <c r="BZ86" i="2"/>
  <c r="BU86" i="2"/>
  <c r="BT86" i="2"/>
  <c r="BS86" i="2"/>
  <c r="BN86" i="2"/>
  <c r="BM86" i="2"/>
  <c r="BL86" i="2"/>
  <c r="AY86" i="2"/>
  <c r="AV86" i="2"/>
  <c r="AN86" i="2"/>
  <c r="AE86" i="2"/>
  <c r="R86" i="2"/>
  <c r="G86" i="2"/>
  <c r="A86" i="2"/>
  <c r="IG85" i="2"/>
  <c r="GJ85" i="2"/>
  <c r="AN85" i="2"/>
  <c r="IG84" i="2"/>
  <c r="GV84" i="2"/>
  <c r="GP84" i="2"/>
  <c r="GI84" i="2"/>
  <c r="FZ84" i="2"/>
  <c r="FT84" i="2"/>
  <c r="GH84" i="2" s="1"/>
  <c r="FN84" i="2"/>
  <c r="GG84" i="2" s="1"/>
  <c r="FH84" i="2"/>
  <c r="GF84" i="2" s="1"/>
  <c r="EM84" i="2"/>
  <c r="EL84" i="2"/>
  <c r="EK84" i="2"/>
  <c r="EJ84" i="2"/>
  <c r="EI84" i="2"/>
  <c r="EH84" i="2"/>
  <c r="EG84" i="2"/>
  <c r="EF84" i="2"/>
  <c r="EE84" i="2"/>
  <c r="ED84" i="2"/>
  <c r="EC84" i="2"/>
  <c r="EB84" i="2"/>
  <c r="DO84" i="2"/>
  <c r="DN84" i="2"/>
  <c r="DM84" i="2"/>
  <c r="DL84" i="2"/>
  <c r="DK84" i="2"/>
  <c r="DI84" i="2"/>
  <c r="DH84" i="2"/>
  <c r="DF84" i="2"/>
  <c r="DE84" i="2"/>
  <c r="CW84" i="2"/>
  <c r="CV84" i="2"/>
  <c r="CI84" i="2"/>
  <c r="CH84" i="2"/>
  <c r="CG84" i="2"/>
  <c r="CB84" i="2"/>
  <c r="CA84" i="2"/>
  <c r="BZ84" i="2"/>
  <c r="BU84" i="2"/>
  <c r="BT84" i="2"/>
  <c r="BS84" i="2"/>
  <c r="BN84" i="2"/>
  <c r="BM84" i="2"/>
  <c r="BL84" i="2"/>
  <c r="AV84" i="2"/>
  <c r="AN84" i="2"/>
  <c r="AE84" i="2"/>
  <c r="R84" i="2"/>
  <c r="G84" i="2"/>
  <c r="A84" i="2"/>
  <c r="IG83" i="2"/>
  <c r="GJ83" i="2"/>
  <c r="AN83" i="2"/>
  <c r="IG82" i="2"/>
  <c r="IG81" i="2"/>
  <c r="GV81" i="2"/>
  <c r="GP81" i="2"/>
  <c r="FZ81" i="2"/>
  <c r="FT81" i="2"/>
  <c r="GH81" i="2" s="1"/>
  <c r="FN81" i="2"/>
  <c r="GG81" i="2" s="1"/>
  <c r="FH81" i="2"/>
  <c r="GF81" i="2" s="1"/>
  <c r="FC81" i="2"/>
  <c r="FB81" i="2"/>
  <c r="FA81" i="2"/>
  <c r="EZ81" i="2"/>
  <c r="EY81" i="2"/>
  <c r="EX81" i="2"/>
  <c r="EW81" i="2"/>
  <c r="EV81" i="2"/>
  <c r="EU81" i="2"/>
  <c r="ET81" i="2"/>
  <c r="ES81" i="2"/>
  <c r="ER81" i="2"/>
  <c r="EQ81" i="2"/>
  <c r="EP81" i="2"/>
  <c r="EO81" i="2"/>
  <c r="EN81" i="2"/>
  <c r="EM81" i="2"/>
  <c r="EL81" i="2"/>
  <c r="EK81" i="2"/>
  <c r="EJ81" i="2"/>
  <c r="EI81" i="2"/>
  <c r="EH81" i="2"/>
  <c r="EG81" i="2"/>
  <c r="EF81" i="2"/>
  <c r="EE81" i="2"/>
  <c r="ED81" i="2"/>
  <c r="EC81" i="2"/>
  <c r="EB81" i="2"/>
  <c r="DO81" i="2"/>
  <c r="DN81" i="2"/>
  <c r="DM81" i="2"/>
  <c r="DL81" i="2"/>
  <c r="DK81" i="2"/>
  <c r="DI81" i="2"/>
  <c r="DH81" i="2"/>
  <c r="DF81" i="2"/>
  <c r="DE81" i="2"/>
  <c r="CI81" i="2"/>
  <c r="CH81" i="2"/>
  <c r="CG81" i="2"/>
  <c r="CB81" i="2"/>
  <c r="CA81" i="2"/>
  <c r="BZ81" i="2"/>
  <c r="BU81" i="2"/>
  <c r="BT81" i="2"/>
  <c r="BS81" i="2"/>
  <c r="BN81" i="2"/>
  <c r="BM81" i="2"/>
  <c r="BL81" i="2"/>
  <c r="AV81" i="2"/>
  <c r="AN81" i="2"/>
  <c r="Y81" i="2"/>
  <c r="R81" i="2"/>
  <c r="G81" i="2"/>
  <c r="A81" i="2"/>
  <c r="IG80" i="2"/>
  <c r="GV80" i="2"/>
  <c r="GP80" i="2"/>
  <c r="FZ80" i="2"/>
  <c r="GI80" i="2" s="1"/>
  <c r="FT80" i="2"/>
  <c r="GH80" i="2" s="1"/>
  <c r="FN80" i="2"/>
  <c r="GG80" i="2" s="1"/>
  <c r="FH80" i="2"/>
  <c r="GF80" i="2" s="1"/>
  <c r="DO80" i="2"/>
  <c r="DN80" i="2"/>
  <c r="DM80" i="2"/>
  <c r="DL80" i="2"/>
  <c r="DK80" i="2"/>
  <c r="DI80" i="2"/>
  <c r="DH80" i="2"/>
  <c r="DF80" i="2"/>
  <c r="DE80" i="2"/>
  <c r="CI80" i="2"/>
  <c r="CH80" i="2"/>
  <c r="CG80" i="2"/>
  <c r="CB80" i="2"/>
  <c r="CA80" i="2"/>
  <c r="BZ80" i="2"/>
  <c r="BU80" i="2"/>
  <c r="BT80" i="2"/>
  <c r="BS80" i="2"/>
  <c r="BN80" i="2"/>
  <c r="BM80" i="2"/>
  <c r="BL80" i="2"/>
  <c r="AV80" i="2"/>
  <c r="AN80" i="2"/>
  <c r="AE80" i="2"/>
  <c r="Y80" i="2"/>
  <c r="R80" i="2"/>
  <c r="G80" i="2"/>
  <c r="A80" i="2"/>
  <c r="IG79" i="2"/>
  <c r="GV79" i="2"/>
  <c r="GP79" i="2"/>
  <c r="FZ79" i="2"/>
  <c r="FT79" i="2"/>
  <c r="GH79" i="2" s="1"/>
  <c r="FN79" i="2"/>
  <c r="GG79" i="2" s="1"/>
  <c r="FH79" i="2"/>
  <c r="GF79" i="2" s="1"/>
  <c r="EE79" i="2"/>
  <c r="ED79" i="2"/>
  <c r="EC79" i="2"/>
  <c r="EB79" i="2"/>
  <c r="DO79" i="2"/>
  <c r="DN79" i="2"/>
  <c r="DM79" i="2"/>
  <c r="DL79" i="2"/>
  <c r="DK79" i="2"/>
  <c r="DI79" i="2"/>
  <c r="DH79" i="2"/>
  <c r="DF79" i="2"/>
  <c r="DE79" i="2"/>
  <c r="CW79" i="2"/>
  <c r="CV79" i="2"/>
  <c r="CI79" i="2"/>
  <c r="CH79" i="2"/>
  <c r="CG79" i="2"/>
  <c r="CB79" i="2"/>
  <c r="CA79" i="2"/>
  <c r="BZ79" i="2"/>
  <c r="BU79" i="2"/>
  <c r="BT79" i="2"/>
  <c r="BS79" i="2"/>
  <c r="BN79" i="2"/>
  <c r="BM79" i="2"/>
  <c r="BL79" i="2"/>
  <c r="BJ79" i="2"/>
  <c r="AV79" i="2"/>
  <c r="AN79" i="2"/>
  <c r="AE79" i="2"/>
  <c r="R79" i="2"/>
  <c r="G79" i="2"/>
  <c r="A79" i="2"/>
  <c r="IG78" i="2"/>
  <c r="GV78" i="2"/>
  <c r="GP78" i="2"/>
  <c r="GI78" i="2"/>
  <c r="FT78" i="2"/>
  <c r="GH78" i="2" s="1"/>
  <c r="FN78" i="2"/>
  <c r="GG78" i="2" s="1"/>
  <c r="FH78" i="2"/>
  <c r="GF78" i="2" s="1"/>
  <c r="EG78" i="2"/>
  <c r="EF78" i="2"/>
  <c r="EE78" i="2"/>
  <c r="ED78" i="2"/>
  <c r="EC78" i="2"/>
  <c r="EB78" i="2"/>
  <c r="DO78" i="2"/>
  <c r="DN78" i="2"/>
  <c r="DM78" i="2"/>
  <c r="DL78" i="2"/>
  <c r="DK78" i="2"/>
  <c r="DI78" i="2"/>
  <c r="DH78" i="2"/>
  <c r="DF78" i="2"/>
  <c r="DE78" i="2"/>
  <c r="CW78" i="2"/>
  <c r="CV78" i="2"/>
  <c r="CI78" i="2"/>
  <c r="CH78" i="2"/>
  <c r="CG78" i="2"/>
  <c r="CB78" i="2"/>
  <c r="CA78" i="2"/>
  <c r="BZ78" i="2"/>
  <c r="BU78" i="2"/>
  <c r="BT78" i="2"/>
  <c r="BS78" i="2"/>
  <c r="BN78" i="2"/>
  <c r="BM78" i="2"/>
  <c r="BL78" i="2"/>
  <c r="AY78" i="2"/>
  <c r="AV78" i="2"/>
  <c r="AN78" i="2"/>
  <c r="AE78" i="2"/>
  <c r="R78" i="2"/>
  <c r="G78" i="2"/>
  <c r="A78" i="2"/>
  <c r="IG77" i="2"/>
  <c r="GV77" i="2"/>
  <c r="GP77" i="2"/>
  <c r="FZ77" i="2"/>
  <c r="FT77" i="2"/>
  <c r="GH77" i="2" s="1"/>
  <c r="FN77" i="2"/>
  <c r="GG77" i="2" s="1"/>
  <c r="FH77" i="2"/>
  <c r="GF77" i="2" s="1"/>
  <c r="DO77" i="2"/>
  <c r="DN77" i="2"/>
  <c r="DM77" i="2"/>
  <c r="DL77" i="2"/>
  <c r="DK77" i="2"/>
  <c r="DI77" i="2"/>
  <c r="DH77" i="2"/>
  <c r="DF77" i="2"/>
  <c r="DE77" i="2"/>
  <c r="CW77" i="2"/>
  <c r="CV77" i="2"/>
  <c r="CP77" i="2"/>
  <c r="CO77" i="2"/>
  <c r="CN77" i="2"/>
  <c r="CI77" i="2"/>
  <c r="CH77" i="2"/>
  <c r="CG77" i="2"/>
  <c r="CB77" i="2"/>
  <c r="CA77" i="2"/>
  <c r="BZ77" i="2"/>
  <c r="BU77" i="2"/>
  <c r="BT77" i="2"/>
  <c r="BS77" i="2"/>
  <c r="BN77" i="2"/>
  <c r="BM77" i="2"/>
  <c r="BL77" i="2"/>
  <c r="AY77" i="2"/>
  <c r="AV77" i="2"/>
  <c r="AN77" i="2"/>
  <c r="Y77" i="2"/>
  <c r="R77" i="2"/>
  <c r="G77" i="2"/>
  <c r="A77" i="2"/>
  <c r="IG76" i="2"/>
  <c r="GV76" i="2"/>
  <c r="GP76" i="2"/>
  <c r="GH76" i="2"/>
  <c r="FZ76" i="2"/>
  <c r="GI76" i="2" s="1"/>
  <c r="FT76" i="2"/>
  <c r="FN76" i="2"/>
  <c r="GG76" i="2" s="1"/>
  <c r="FH76" i="2"/>
  <c r="GF76" i="2" s="1"/>
  <c r="DO76" i="2"/>
  <c r="DN76" i="2"/>
  <c r="DM76" i="2"/>
  <c r="DL76" i="2"/>
  <c r="DK76" i="2"/>
  <c r="DI76" i="2"/>
  <c r="DH76" i="2"/>
  <c r="DF76" i="2"/>
  <c r="DE76" i="2"/>
  <c r="CI76" i="2"/>
  <c r="CH76" i="2"/>
  <c r="CG76" i="2"/>
  <c r="CB76" i="2"/>
  <c r="CA76" i="2"/>
  <c r="BZ76" i="2"/>
  <c r="BU76" i="2"/>
  <c r="BT76" i="2"/>
  <c r="BS76" i="2"/>
  <c r="BN76" i="2"/>
  <c r="BM76" i="2"/>
  <c r="BL76" i="2"/>
  <c r="AY76" i="2"/>
  <c r="AV76" i="2"/>
  <c r="AN76" i="2"/>
  <c r="AE76" i="2"/>
  <c r="R76" i="2"/>
  <c r="G76" i="2"/>
  <c r="A76" i="2"/>
  <c r="IG75" i="2"/>
  <c r="GV75" i="2"/>
  <c r="GP75" i="2"/>
  <c r="GI75" i="2"/>
  <c r="GH75" i="2"/>
  <c r="FN75" i="2"/>
  <c r="GG75" i="2" s="1"/>
  <c r="FH75" i="2"/>
  <c r="GF75" i="2" s="1"/>
  <c r="EI75" i="2"/>
  <c r="EH75" i="2"/>
  <c r="EG75" i="2"/>
  <c r="EF75" i="2"/>
  <c r="EE75" i="2"/>
  <c r="ED75" i="2"/>
  <c r="EC75" i="2"/>
  <c r="EB75" i="2"/>
  <c r="DO75" i="2"/>
  <c r="DN75" i="2"/>
  <c r="DM75" i="2"/>
  <c r="DL75" i="2"/>
  <c r="DK75" i="2"/>
  <c r="DI75" i="2"/>
  <c r="DH75" i="2"/>
  <c r="DF75" i="2"/>
  <c r="DE75" i="2"/>
  <c r="CV75" i="2"/>
  <c r="CI75" i="2"/>
  <c r="CH75" i="2"/>
  <c r="CG75" i="2"/>
  <c r="CB75" i="2"/>
  <c r="CA75" i="2"/>
  <c r="BZ75" i="2"/>
  <c r="BU75" i="2"/>
  <c r="BT75" i="2"/>
  <c r="BS75" i="2"/>
  <c r="BN75" i="2"/>
  <c r="BM75" i="2"/>
  <c r="BL75" i="2"/>
  <c r="BJ75" i="2"/>
  <c r="AV75" i="2"/>
  <c r="AN75" i="2"/>
  <c r="AE75" i="2"/>
  <c r="Y75" i="2"/>
  <c r="R75" i="2"/>
  <c r="G75" i="2"/>
  <c r="A75" i="2"/>
  <c r="IG74" i="2"/>
  <c r="GV74" i="2"/>
  <c r="GP74" i="2"/>
  <c r="GI74" i="2"/>
  <c r="GH74" i="2"/>
  <c r="FN74" i="2"/>
  <c r="GG74" i="2" s="1"/>
  <c r="FH74" i="2"/>
  <c r="GF74" i="2" s="1"/>
  <c r="GJ74" i="2" s="1"/>
  <c r="FC74" i="2"/>
  <c r="FB74" i="2"/>
  <c r="FA74" i="2"/>
  <c r="EZ74" i="2"/>
  <c r="EY74" i="2"/>
  <c r="EX74" i="2"/>
  <c r="EW74" i="2"/>
  <c r="EV74" i="2"/>
  <c r="EU74" i="2"/>
  <c r="ET74" i="2"/>
  <c r="ES74" i="2"/>
  <c r="ER74" i="2"/>
  <c r="EQ74" i="2"/>
  <c r="EP74" i="2"/>
  <c r="EO74" i="2"/>
  <c r="EN74" i="2"/>
  <c r="EM74" i="2"/>
  <c r="EL74" i="2"/>
  <c r="EK74" i="2"/>
  <c r="EJ74" i="2"/>
  <c r="EI74" i="2"/>
  <c r="EH74" i="2"/>
  <c r="EG74" i="2"/>
  <c r="EF74" i="2"/>
  <c r="EE74" i="2"/>
  <c r="ED74" i="2"/>
  <c r="EC74" i="2"/>
  <c r="EB74" i="2"/>
  <c r="DO74" i="2"/>
  <c r="DN74" i="2"/>
  <c r="DM74" i="2"/>
  <c r="DL74" i="2"/>
  <c r="DK74" i="2"/>
  <c r="DI74" i="2"/>
  <c r="DH74" i="2"/>
  <c r="DF74" i="2"/>
  <c r="DE74" i="2"/>
  <c r="CI74" i="2"/>
  <c r="CH74" i="2"/>
  <c r="CG74" i="2"/>
  <c r="CB74" i="2"/>
  <c r="CA74" i="2"/>
  <c r="BZ74" i="2"/>
  <c r="BU74" i="2"/>
  <c r="BT74" i="2"/>
  <c r="BS74" i="2"/>
  <c r="BN74" i="2"/>
  <c r="BM74" i="2"/>
  <c r="BL74" i="2"/>
  <c r="AV74" i="2"/>
  <c r="AN74" i="2"/>
  <c r="AE74" i="2"/>
  <c r="R74" i="2"/>
  <c r="G74" i="2"/>
  <c r="A74" i="2"/>
  <c r="IG73" i="2"/>
  <c r="GV73" i="2"/>
  <c r="GP73" i="2"/>
  <c r="GI73" i="2"/>
  <c r="GH73" i="2"/>
  <c r="GG73" i="2"/>
  <c r="GF73" i="2"/>
  <c r="GJ73" i="2" s="1"/>
  <c r="FN73" i="2"/>
  <c r="FH73" i="2"/>
  <c r="EO73" i="2"/>
  <c r="EN73" i="2"/>
  <c r="EM73" i="2"/>
  <c r="EL73" i="2"/>
  <c r="EK73" i="2"/>
  <c r="EJ73" i="2"/>
  <c r="EI73" i="2"/>
  <c r="EH73" i="2"/>
  <c r="EG73" i="2"/>
  <c r="EF73" i="2"/>
  <c r="EE73" i="2"/>
  <c r="ED73" i="2"/>
  <c r="EC73" i="2"/>
  <c r="EB73" i="2"/>
  <c r="DO73" i="2"/>
  <c r="DN73" i="2"/>
  <c r="DM73" i="2"/>
  <c r="DL73" i="2"/>
  <c r="DK73" i="2"/>
  <c r="DI73" i="2"/>
  <c r="DH73" i="2"/>
  <c r="DF73" i="2"/>
  <c r="DE73" i="2"/>
  <c r="CW73" i="2"/>
  <c r="CV73" i="2"/>
  <c r="CP73" i="2"/>
  <c r="CO73" i="2"/>
  <c r="CN73" i="2"/>
  <c r="CI73" i="2"/>
  <c r="CH73" i="2"/>
  <c r="CG73" i="2"/>
  <c r="CB73" i="2"/>
  <c r="CA73" i="2"/>
  <c r="BZ73" i="2"/>
  <c r="BU73" i="2"/>
  <c r="BT73" i="2"/>
  <c r="BS73" i="2"/>
  <c r="BN73" i="2"/>
  <c r="BM73" i="2"/>
  <c r="BL73" i="2"/>
  <c r="AV73" i="2"/>
  <c r="AN73" i="2"/>
  <c r="AE73" i="2"/>
  <c r="R73" i="2"/>
  <c r="G73" i="2"/>
  <c r="A73" i="2"/>
  <c r="IG72" i="2"/>
  <c r="GV72" i="2"/>
  <c r="GP72" i="2"/>
  <c r="GI72" i="2"/>
  <c r="GH72" i="2"/>
  <c r="FN72" i="2"/>
  <c r="GG72" i="2" s="1"/>
  <c r="FH72" i="2"/>
  <c r="GF72" i="2" s="1"/>
  <c r="GJ72" i="2" s="1"/>
  <c r="FE72" i="2"/>
  <c r="FD72" i="2"/>
  <c r="FC72" i="2"/>
  <c r="FB72" i="2"/>
  <c r="FA72" i="2"/>
  <c r="EZ72" i="2"/>
  <c r="EY72" i="2"/>
  <c r="EX72" i="2"/>
  <c r="EW72" i="2"/>
  <c r="EV72" i="2"/>
  <c r="EU72" i="2"/>
  <c r="ET72" i="2"/>
  <c r="ES72" i="2"/>
  <c r="ER72" i="2"/>
  <c r="EQ72" i="2"/>
  <c r="EP72" i="2"/>
  <c r="EO72" i="2"/>
  <c r="EN72" i="2"/>
  <c r="EM72" i="2"/>
  <c r="EL72" i="2"/>
  <c r="EK72" i="2"/>
  <c r="EJ72" i="2"/>
  <c r="EI72" i="2"/>
  <c r="EH72" i="2"/>
  <c r="EG72" i="2"/>
  <c r="EF72" i="2"/>
  <c r="EE72" i="2"/>
  <c r="ED72" i="2"/>
  <c r="EC72" i="2"/>
  <c r="EB72" i="2"/>
  <c r="DO72" i="2"/>
  <c r="DN72" i="2"/>
  <c r="DM72" i="2"/>
  <c r="DL72" i="2"/>
  <c r="DK72" i="2"/>
  <c r="DI72" i="2"/>
  <c r="DH72" i="2"/>
  <c r="DF72" i="2"/>
  <c r="DE72" i="2"/>
  <c r="CI72" i="2"/>
  <c r="CH72" i="2"/>
  <c r="CG72" i="2"/>
  <c r="CB72" i="2"/>
  <c r="CA72" i="2"/>
  <c r="BZ72" i="2"/>
  <c r="BU72" i="2"/>
  <c r="BT72" i="2"/>
  <c r="BS72" i="2"/>
  <c r="BN72" i="2"/>
  <c r="BM72" i="2"/>
  <c r="BL72" i="2"/>
  <c r="AV72" i="2"/>
  <c r="AN72" i="2"/>
  <c r="AM72" i="2"/>
  <c r="AL72" i="2"/>
  <c r="AE72" i="2"/>
  <c r="R72" i="2"/>
  <c r="G72" i="2"/>
  <c r="A72" i="2"/>
  <c r="IG71" i="2"/>
  <c r="GJ71" i="2"/>
  <c r="AN71" i="2"/>
  <c r="IG70" i="2"/>
  <c r="GV70" i="2"/>
  <c r="GP70" i="2"/>
  <c r="FZ70" i="2"/>
  <c r="FT70" i="2"/>
  <c r="GH70" i="2" s="1"/>
  <c r="FN70" i="2"/>
  <c r="GG70" i="2" s="1"/>
  <c r="FH70" i="2"/>
  <c r="GF70" i="2" s="1"/>
  <c r="EO70" i="2"/>
  <c r="EN70" i="2"/>
  <c r="EM70" i="2"/>
  <c r="EL70" i="2"/>
  <c r="EK70" i="2"/>
  <c r="EJ70" i="2"/>
  <c r="EI70" i="2"/>
  <c r="EH70" i="2"/>
  <c r="EG70" i="2"/>
  <c r="EF70" i="2"/>
  <c r="EE70" i="2"/>
  <c r="ED70" i="2"/>
  <c r="EC70" i="2"/>
  <c r="EB70" i="2"/>
  <c r="DO70" i="2"/>
  <c r="DN70" i="2"/>
  <c r="DM70" i="2"/>
  <c r="DL70" i="2"/>
  <c r="DK70" i="2"/>
  <c r="DI70" i="2"/>
  <c r="DH70" i="2"/>
  <c r="DF70" i="2"/>
  <c r="DE70" i="2"/>
  <c r="CW70" i="2"/>
  <c r="CV70" i="2"/>
  <c r="CI70" i="2"/>
  <c r="CH70" i="2"/>
  <c r="CG70" i="2"/>
  <c r="CB70" i="2"/>
  <c r="CA70" i="2"/>
  <c r="BZ70" i="2"/>
  <c r="BU70" i="2"/>
  <c r="BT70" i="2"/>
  <c r="BS70" i="2"/>
  <c r="BN70" i="2"/>
  <c r="BM70" i="2"/>
  <c r="BL70" i="2"/>
  <c r="AY70" i="2"/>
  <c r="AV70" i="2"/>
  <c r="AN70" i="2"/>
  <c r="AE70" i="2"/>
  <c r="Y70" i="2"/>
  <c r="R70" i="2"/>
  <c r="G70" i="2"/>
  <c r="A70" i="2"/>
  <c r="IG69" i="2"/>
  <c r="GV69" i="2"/>
  <c r="GP69" i="2"/>
  <c r="FZ69" i="2"/>
  <c r="GI69" i="2" s="1"/>
  <c r="FT69" i="2"/>
  <c r="GH69" i="2" s="1"/>
  <c r="FN69" i="2"/>
  <c r="GG69" i="2" s="1"/>
  <c r="FH69" i="2"/>
  <c r="GF69" i="2" s="1"/>
  <c r="EU69" i="2"/>
  <c r="ET69" i="2"/>
  <c r="ES69" i="2"/>
  <c r="ER69" i="2"/>
  <c r="EQ69" i="2"/>
  <c r="EP69" i="2"/>
  <c r="EO69" i="2"/>
  <c r="EN69" i="2"/>
  <c r="EM69" i="2"/>
  <c r="EL69" i="2"/>
  <c r="EK69" i="2"/>
  <c r="EJ69" i="2"/>
  <c r="EI69" i="2"/>
  <c r="EH69" i="2"/>
  <c r="EG69" i="2"/>
  <c r="EF69" i="2"/>
  <c r="EE69" i="2"/>
  <c r="ED69" i="2"/>
  <c r="EC69" i="2"/>
  <c r="EB69" i="2"/>
  <c r="DO69" i="2"/>
  <c r="DN69" i="2"/>
  <c r="DM69" i="2"/>
  <c r="DL69" i="2"/>
  <c r="DK69" i="2"/>
  <c r="DI69" i="2"/>
  <c r="DH69" i="2"/>
  <c r="DF69" i="2"/>
  <c r="DE69" i="2"/>
  <c r="CW69" i="2"/>
  <c r="CV69" i="2"/>
  <c r="CI69" i="2"/>
  <c r="CH69" i="2"/>
  <c r="CG69" i="2"/>
  <c r="CB69" i="2"/>
  <c r="CA69" i="2"/>
  <c r="BZ69" i="2"/>
  <c r="BU69" i="2"/>
  <c r="BT69" i="2"/>
  <c r="BS69" i="2"/>
  <c r="BN69" i="2"/>
  <c r="BM69" i="2"/>
  <c r="BL69" i="2"/>
  <c r="BJ69" i="2"/>
  <c r="AY69" i="2"/>
  <c r="AV69" i="2"/>
  <c r="AN69" i="2"/>
  <c r="AE69" i="2"/>
  <c r="R69" i="2"/>
  <c r="G69" i="2"/>
  <c r="A69" i="2"/>
  <c r="IG68" i="2"/>
  <c r="GJ68" i="2"/>
  <c r="AN68" i="2"/>
  <c r="IG67" i="2"/>
  <c r="GV67" i="2"/>
  <c r="GP67" i="2"/>
  <c r="GG67" i="2"/>
  <c r="FZ67" i="2"/>
  <c r="GI67" i="2" s="1"/>
  <c r="FT67" i="2"/>
  <c r="GH67" i="2" s="1"/>
  <c r="FN67" i="2"/>
  <c r="FH67" i="2"/>
  <c r="GF67" i="2" s="1"/>
  <c r="GJ67" i="2" s="1"/>
  <c r="EO67" i="2"/>
  <c r="EN67" i="2"/>
  <c r="EM67" i="2"/>
  <c r="EL67" i="2"/>
  <c r="EK67" i="2"/>
  <c r="EJ67" i="2"/>
  <c r="EI67" i="2"/>
  <c r="EH67" i="2"/>
  <c r="EG67" i="2"/>
  <c r="EF67" i="2"/>
  <c r="EE67" i="2"/>
  <c r="ED67" i="2"/>
  <c r="EC67" i="2"/>
  <c r="EB67" i="2"/>
  <c r="DO67" i="2"/>
  <c r="DN67" i="2"/>
  <c r="DM67" i="2"/>
  <c r="DL67" i="2"/>
  <c r="DK67" i="2"/>
  <c r="DI67" i="2"/>
  <c r="DH67" i="2"/>
  <c r="DF67" i="2"/>
  <c r="DE67" i="2"/>
  <c r="CI67" i="2"/>
  <c r="CH67" i="2"/>
  <c r="CG67" i="2"/>
  <c r="CB67" i="2"/>
  <c r="CA67" i="2"/>
  <c r="BZ67" i="2"/>
  <c r="BU67" i="2"/>
  <c r="BT67" i="2"/>
  <c r="BS67" i="2"/>
  <c r="BN67" i="2"/>
  <c r="BM67" i="2"/>
  <c r="BL67" i="2"/>
  <c r="AY67" i="2"/>
  <c r="AV67" i="2"/>
  <c r="AN67" i="2"/>
  <c r="AE67" i="2"/>
  <c r="R67" i="2"/>
  <c r="G67" i="2"/>
  <c r="A67" i="2"/>
  <c r="IG66" i="2"/>
  <c r="GV66" i="2"/>
  <c r="GP66" i="2"/>
  <c r="FZ66" i="2"/>
  <c r="GI66" i="2" s="1"/>
  <c r="FT66" i="2"/>
  <c r="GH66" i="2" s="1"/>
  <c r="FN66" i="2"/>
  <c r="GG66" i="2" s="1"/>
  <c r="FH66" i="2"/>
  <c r="GF66" i="2" s="1"/>
  <c r="EO66" i="2"/>
  <c r="EN66" i="2"/>
  <c r="EM66" i="2"/>
  <c r="EL66" i="2"/>
  <c r="EK66" i="2"/>
  <c r="EJ66" i="2"/>
  <c r="EI66" i="2"/>
  <c r="EH66" i="2"/>
  <c r="EG66" i="2"/>
  <c r="EF66" i="2"/>
  <c r="EE66" i="2"/>
  <c r="ED66" i="2"/>
  <c r="EC66" i="2"/>
  <c r="EB66" i="2"/>
  <c r="DO66" i="2"/>
  <c r="DN66" i="2"/>
  <c r="DM66" i="2"/>
  <c r="DL66" i="2"/>
  <c r="DK66" i="2"/>
  <c r="DI66" i="2"/>
  <c r="DH66" i="2"/>
  <c r="DF66" i="2"/>
  <c r="DE66" i="2"/>
  <c r="CI66" i="2"/>
  <c r="CH66" i="2"/>
  <c r="CG66" i="2"/>
  <c r="CB66" i="2"/>
  <c r="CA66" i="2"/>
  <c r="BZ66" i="2"/>
  <c r="BU66" i="2"/>
  <c r="BT66" i="2"/>
  <c r="BS66" i="2"/>
  <c r="BN66" i="2"/>
  <c r="BM66" i="2"/>
  <c r="BL66" i="2"/>
  <c r="AY66" i="2"/>
  <c r="AV66" i="2"/>
  <c r="AN66" i="2"/>
  <c r="AE66" i="2"/>
  <c r="Y66" i="2"/>
  <c r="R66" i="2"/>
  <c r="G66" i="2"/>
  <c r="A66" i="2"/>
  <c r="IG65" i="2"/>
  <c r="GJ65" i="2"/>
  <c r="AN65" i="2"/>
  <c r="IG64" i="2"/>
  <c r="GJ64" i="2"/>
  <c r="AN64" i="2"/>
  <c r="IG63" i="2"/>
  <c r="GV63" i="2"/>
  <c r="GP63" i="2"/>
  <c r="FZ63" i="2"/>
  <c r="FT63" i="2"/>
  <c r="GH63" i="2" s="1"/>
  <c r="FN63" i="2"/>
  <c r="GG63" i="2" s="1"/>
  <c r="FH63" i="2"/>
  <c r="GF63" i="2" s="1"/>
  <c r="EQ63" i="2"/>
  <c r="EP63" i="2"/>
  <c r="EO63" i="2"/>
  <c r="EN63" i="2"/>
  <c r="EM63" i="2"/>
  <c r="EL63" i="2"/>
  <c r="EK63" i="2"/>
  <c r="EJ63" i="2"/>
  <c r="EI63" i="2"/>
  <c r="EH63" i="2"/>
  <c r="EG63" i="2"/>
  <c r="EF63" i="2"/>
  <c r="EE63" i="2"/>
  <c r="ED63" i="2"/>
  <c r="EC63" i="2"/>
  <c r="EB63" i="2"/>
  <c r="DO63" i="2"/>
  <c r="DN63" i="2"/>
  <c r="DM63" i="2"/>
  <c r="DL63" i="2"/>
  <c r="DK63" i="2"/>
  <c r="DI63" i="2"/>
  <c r="DH63" i="2"/>
  <c r="DF63" i="2"/>
  <c r="DE63" i="2"/>
  <c r="DB63" i="2"/>
  <c r="DA63" i="2"/>
  <c r="CW63" i="2"/>
  <c r="CV63" i="2"/>
  <c r="CP63" i="2"/>
  <c r="CO63" i="2"/>
  <c r="CN63" i="2"/>
  <c r="CI63" i="2"/>
  <c r="CH63" i="2"/>
  <c r="CG63" i="2"/>
  <c r="CB63" i="2"/>
  <c r="CA63" i="2"/>
  <c r="BZ63" i="2"/>
  <c r="BU63" i="2"/>
  <c r="BT63" i="2"/>
  <c r="BS63" i="2"/>
  <c r="BN63" i="2"/>
  <c r="BM63" i="2"/>
  <c r="BL63" i="2"/>
  <c r="AV63" i="2"/>
  <c r="AN63" i="2"/>
  <c r="R63" i="2"/>
  <c r="G63" i="2"/>
  <c r="A63" i="2"/>
  <c r="IG62" i="2"/>
  <c r="GJ62" i="2"/>
  <c r="AN62" i="2"/>
  <c r="IG61" i="2"/>
  <c r="GV61" i="2"/>
  <c r="GP61" i="2"/>
  <c r="GG61" i="2"/>
  <c r="FZ61" i="2"/>
  <c r="FT61" i="2"/>
  <c r="GH61" i="2" s="1"/>
  <c r="FN61" i="2"/>
  <c r="FH61" i="2"/>
  <c r="GF61" i="2" s="1"/>
  <c r="DO61" i="2"/>
  <c r="DN61" i="2"/>
  <c r="DM61" i="2"/>
  <c r="DL61" i="2"/>
  <c r="DK61" i="2"/>
  <c r="DI61" i="2"/>
  <c r="DH61" i="2"/>
  <c r="DF61" i="2"/>
  <c r="DE61" i="2"/>
  <c r="DA61" i="2"/>
  <c r="CW61" i="2"/>
  <c r="CV61" i="2"/>
  <c r="CI61" i="2"/>
  <c r="CH61" i="2"/>
  <c r="CG61" i="2"/>
  <c r="CB61" i="2"/>
  <c r="CA61" i="2"/>
  <c r="BZ61" i="2"/>
  <c r="BU61" i="2"/>
  <c r="BT61" i="2"/>
  <c r="BS61" i="2"/>
  <c r="BN61" i="2"/>
  <c r="BM61" i="2"/>
  <c r="BL61" i="2"/>
  <c r="AV61" i="2"/>
  <c r="AN61" i="2"/>
  <c r="AE61" i="2"/>
  <c r="R61" i="2"/>
  <c r="G61" i="2"/>
  <c r="A61" i="2"/>
  <c r="IG60" i="2"/>
  <c r="GJ60" i="2"/>
  <c r="AN60" i="2"/>
  <c r="IG59" i="2"/>
  <c r="GV59" i="2"/>
  <c r="GP59" i="2"/>
  <c r="FZ59" i="2"/>
  <c r="GJ59" i="2" s="1"/>
  <c r="FT59" i="2"/>
  <c r="GH59" i="2" s="1"/>
  <c r="FN59" i="2"/>
  <c r="GG59" i="2" s="1"/>
  <c r="FH59" i="2"/>
  <c r="GF59" i="2" s="1"/>
  <c r="ES59" i="2"/>
  <c r="ER59" i="2"/>
  <c r="EQ59" i="2"/>
  <c r="EP59" i="2"/>
  <c r="EO59" i="2"/>
  <c r="EN59" i="2"/>
  <c r="EM59" i="2"/>
  <c r="EL59" i="2"/>
  <c r="EK59" i="2"/>
  <c r="EJ59" i="2"/>
  <c r="EI59" i="2"/>
  <c r="EH59" i="2"/>
  <c r="EG59" i="2"/>
  <c r="EF59" i="2"/>
  <c r="EE59" i="2"/>
  <c r="ED59" i="2"/>
  <c r="EC59" i="2"/>
  <c r="EB59" i="2"/>
  <c r="DO59" i="2"/>
  <c r="DN59" i="2"/>
  <c r="DM59" i="2"/>
  <c r="DL59" i="2"/>
  <c r="DK59" i="2"/>
  <c r="DI59" i="2"/>
  <c r="DH59" i="2"/>
  <c r="DF59" i="2"/>
  <c r="DE59" i="2"/>
  <c r="DA59" i="2"/>
  <c r="CW59" i="2"/>
  <c r="CV59" i="2"/>
  <c r="CI59" i="2"/>
  <c r="CH59" i="2"/>
  <c r="CG59" i="2"/>
  <c r="CB59" i="2"/>
  <c r="CA59" i="2"/>
  <c r="BZ59" i="2"/>
  <c r="BU59" i="2"/>
  <c r="BT59" i="2"/>
  <c r="BS59" i="2"/>
  <c r="BN59" i="2"/>
  <c r="BM59" i="2"/>
  <c r="BL59" i="2"/>
  <c r="AV59" i="2"/>
  <c r="AN59" i="2"/>
  <c r="AE59" i="2"/>
  <c r="R59" i="2"/>
  <c r="G59" i="2"/>
  <c r="A59" i="2"/>
  <c r="IG58" i="2"/>
  <c r="GJ58" i="2"/>
  <c r="AN58" i="2"/>
  <c r="IG57" i="2"/>
  <c r="GV57" i="2"/>
  <c r="GP57" i="2"/>
  <c r="GG57" i="2"/>
  <c r="GF57" i="2"/>
  <c r="FZ57" i="2"/>
  <c r="FT57" i="2"/>
  <c r="GH57" i="2" s="1"/>
  <c r="FN57" i="2"/>
  <c r="FH57" i="2"/>
  <c r="ES57" i="2"/>
  <c r="ER57" i="2"/>
  <c r="EQ57" i="2"/>
  <c r="EP57" i="2"/>
  <c r="EO57" i="2"/>
  <c r="EN57" i="2"/>
  <c r="EM57" i="2"/>
  <c r="EL57" i="2"/>
  <c r="EK57" i="2"/>
  <c r="EJ57" i="2"/>
  <c r="EI57" i="2"/>
  <c r="EH57" i="2"/>
  <c r="EG57" i="2"/>
  <c r="EF57" i="2"/>
  <c r="EE57" i="2"/>
  <c r="ED57" i="2"/>
  <c r="EC57" i="2"/>
  <c r="EB57" i="2"/>
  <c r="DO57" i="2"/>
  <c r="DN57" i="2"/>
  <c r="DM57" i="2"/>
  <c r="DL57" i="2"/>
  <c r="DK57" i="2"/>
  <c r="DI57" i="2"/>
  <c r="DH57" i="2"/>
  <c r="DF57" i="2"/>
  <c r="DE57" i="2"/>
  <c r="CW57" i="2"/>
  <c r="CV57" i="2"/>
  <c r="CI57" i="2"/>
  <c r="CH57" i="2"/>
  <c r="CG57" i="2"/>
  <c r="CB57" i="2"/>
  <c r="CA57" i="2"/>
  <c r="BZ57" i="2"/>
  <c r="BU57" i="2"/>
  <c r="BT57" i="2"/>
  <c r="BS57" i="2"/>
  <c r="BN57" i="2"/>
  <c r="BM57" i="2"/>
  <c r="BL57" i="2"/>
  <c r="AY57" i="2"/>
  <c r="AV57" i="2"/>
  <c r="AN57" i="2"/>
  <c r="AE57" i="2"/>
  <c r="R57" i="2"/>
  <c r="G57" i="2"/>
  <c r="A57" i="2"/>
  <c r="IG56" i="2"/>
  <c r="GJ56" i="2"/>
  <c r="AN56" i="2"/>
  <c r="IG55" i="2"/>
  <c r="GV55" i="2"/>
  <c r="GP55" i="2"/>
  <c r="GI55" i="2"/>
  <c r="GH55" i="2"/>
  <c r="FN55" i="2"/>
  <c r="GG55" i="2" s="1"/>
  <c r="FH55" i="2"/>
  <c r="GF55" i="2" s="1"/>
  <c r="DO55" i="2"/>
  <c r="DN55" i="2"/>
  <c r="DM55" i="2"/>
  <c r="DL55" i="2"/>
  <c r="DK55" i="2"/>
  <c r="DI55" i="2"/>
  <c r="DH55" i="2"/>
  <c r="DF55" i="2"/>
  <c r="DE55" i="2"/>
  <c r="DA55" i="2"/>
  <c r="CW55" i="2"/>
  <c r="CV55" i="2"/>
  <c r="CI55" i="2"/>
  <c r="CH55" i="2"/>
  <c r="CG55" i="2"/>
  <c r="CB55" i="2"/>
  <c r="CA55" i="2"/>
  <c r="BZ55" i="2"/>
  <c r="BU55" i="2"/>
  <c r="BT55" i="2"/>
  <c r="BS55" i="2"/>
  <c r="BN55" i="2"/>
  <c r="BM55" i="2"/>
  <c r="BL55" i="2"/>
  <c r="AV55" i="2"/>
  <c r="AN55" i="2"/>
  <c r="AE55" i="2"/>
  <c r="R55" i="2"/>
  <c r="G55" i="2"/>
  <c r="A55" i="2"/>
  <c r="IG54" i="2"/>
  <c r="GJ54" i="2"/>
  <c r="AN54" i="2"/>
  <c r="IG53" i="2"/>
  <c r="GV53" i="2"/>
  <c r="GP53" i="2"/>
  <c r="GH53" i="2"/>
  <c r="FZ53" i="2"/>
  <c r="FN53" i="2"/>
  <c r="GG53" i="2" s="1"/>
  <c r="FH53" i="2"/>
  <c r="GF53" i="2" s="1"/>
  <c r="ES53" i="2"/>
  <c r="ER53" i="2"/>
  <c r="EQ53" i="2"/>
  <c r="EP53" i="2"/>
  <c r="EO53" i="2"/>
  <c r="EN53" i="2"/>
  <c r="EM53" i="2"/>
  <c r="EL53" i="2"/>
  <c r="EK53" i="2"/>
  <c r="EJ53" i="2"/>
  <c r="EI53" i="2"/>
  <c r="EH53" i="2"/>
  <c r="EG53" i="2"/>
  <c r="EF53" i="2"/>
  <c r="EE53" i="2"/>
  <c r="ED53" i="2"/>
  <c r="EC53" i="2"/>
  <c r="EB53" i="2"/>
  <c r="DO53" i="2"/>
  <c r="DN53" i="2"/>
  <c r="DM53" i="2"/>
  <c r="DL53" i="2"/>
  <c r="DK53" i="2"/>
  <c r="DI53" i="2"/>
  <c r="DH53" i="2"/>
  <c r="DF53" i="2"/>
  <c r="DE53" i="2"/>
  <c r="DA53" i="2"/>
  <c r="CW53" i="2"/>
  <c r="CV53" i="2"/>
  <c r="CI53" i="2"/>
  <c r="CH53" i="2"/>
  <c r="CG53" i="2"/>
  <c r="CB53" i="2"/>
  <c r="CA53" i="2"/>
  <c r="BZ53" i="2"/>
  <c r="BU53" i="2"/>
  <c r="BT53" i="2"/>
  <c r="BS53" i="2"/>
  <c r="BN53" i="2"/>
  <c r="BM53" i="2"/>
  <c r="BL53" i="2"/>
  <c r="AV53" i="2"/>
  <c r="AN53" i="2"/>
  <c r="AE53" i="2"/>
  <c r="R53" i="2"/>
  <c r="G53" i="2"/>
  <c r="A53" i="2"/>
  <c r="IG52" i="2"/>
  <c r="GV52" i="2"/>
  <c r="GP52" i="2"/>
  <c r="GH52" i="2"/>
  <c r="FZ52" i="2"/>
  <c r="FN52" i="2"/>
  <c r="GG52" i="2" s="1"/>
  <c r="FH52" i="2"/>
  <c r="GF52" i="2" s="1"/>
  <c r="EW52" i="2"/>
  <c r="EV52" i="2"/>
  <c r="EU52" i="2"/>
  <c r="ET52" i="2"/>
  <c r="ES52" i="2"/>
  <c r="ER52" i="2"/>
  <c r="EQ52" i="2"/>
  <c r="EP52" i="2"/>
  <c r="EO52" i="2"/>
  <c r="EN52" i="2"/>
  <c r="EM52" i="2"/>
  <c r="EL52" i="2"/>
  <c r="EK52" i="2"/>
  <c r="EJ52" i="2"/>
  <c r="EI52" i="2"/>
  <c r="EH52" i="2"/>
  <c r="EG52" i="2"/>
  <c r="EF52" i="2"/>
  <c r="EE52" i="2"/>
  <c r="ED52" i="2"/>
  <c r="EC52" i="2"/>
  <c r="EB52" i="2"/>
  <c r="DO52" i="2"/>
  <c r="DN52" i="2"/>
  <c r="DM52" i="2"/>
  <c r="DL52" i="2"/>
  <c r="DK52" i="2"/>
  <c r="DI52" i="2"/>
  <c r="DH52" i="2"/>
  <c r="DF52" i="2"/>
  <c r="DE52" i="2"/>
  <c r="DA52" i="2"/>
  <c r="CW52" i="2"/>
  <c r="CV52" i="2"/>
  <c r="CI52" i="2"/>
  <c r="CH52" i="2"/>
  <c r="CG52" i="2"/>
  <c r="CB52" i="2"/>
  <c r="CA52" i="2"/>
  <c r="BZ52" i="2"/>
  <c r="BU52" i="2"/>
  <c r="BT52" i="2"/>
  <c r="BS52" i="2"/>
  <c r="BN52" i="2"/>
  <c r="BM52" i="2"/>
  <c r="BL52" i="2"/>
  <c r="AV52" i="2"/>
  <c r="AN52" i="2"/>
  <c r="AE52" i="2"/>
  <c r="R52" i="2"/>
  <c r="G52" i="2"/>
  <c r="A52" i="2"/>
  <c r="IG51" i="2"/>
  <c r="GJ51" i="2"/>
  <c r="AN51" i="2"/>
  <c r="IG50" i="2"/>
  <c r="GV50" i="2"/>
  <c r="GP50" i="2"/>
  <c r="GI50" i="2"/>
  <c r="FZ50" i="2"/>
  <c r="FT50" i="2"/>
  <c r="GH50" i="2" s="1"/>
  <c r="FN50" i="2"/>
  <c r="GG50" i="2" s="1"/>
  <c r="FH50" i="2"/>
  <c r="GF50" i="2" s="1"/>
  <c r="EK50" i="2"/>
  <c r="EJ50" i="2"/>
  <c r="EI50" i="2"/>
  <c r="EH50" i="2"/>
  <c r="EG50" i="2"/>
  <c r="EF50" i="2"/>
  <c r="EE50" i="2"/>
  <c r="ED50" i="2"/>
  <c r="EC50" i="2"/>
  <c r="EB50" i="2"/>
  <c r="DO50" i="2"/>
  <c r="DN50" i="2"/>
  <c r="DM50" i="2"/>
  <c r="DL50" i="2"/>
  <c r="DK50" i="2"/>
  <c r="DI50" i="2"/>
  <c r="DH50" i="2"/>
  <c r="DF50" i="2"/>
  <c r="DE50" i="2"/>
  <c r="DA50" i="2"/>
  <c r="CW50" i="2"/>
  <c r="CV50" i="2"/>
  <c r="CP50" i="2"/>
  <c r="CO50" i="2"/>
  <c r="CN50" i="2"/>
  <c r="CI50" i="2"/>
  <c r="CH50" i="2"/>
  <c r="CG50" i="2"/>
  <c r="CB50" i="2"/>
  <c r="CA50" i="2"/>
  <c r="BZ50" i="2"/>
  <c r="BU50" i="2"/>
  <c r="BT50" i="2"/>
  <c r="BS50" i="2"/>
  <c r="BN50" i="2"/>
  <c r="BM50" i="2"/>
  <c r="BL50" i="2"/>
  <c r="AY50" i="2"/>
  <c r="AV50" i="2"/>
  <c r="AN50" i="2"/>
  <c r="AE50" i="2"/>
  <c r="Y50" i="2"/>
  <c r="R50" i="2"/>
  <c r="G50" i="2"/>
  <c r="A50" i="2"/>
  <c r="IG49" i="2"/>
  <c r="GV49" i="2"/>
  <c r="GP49" i="2"/>
  <c r="GF49" i="2"/>
  <c r="FZ49" i="2"/>
  <c r="FT49" i="2"/>
  <c r="GH49" i="2" s="1"/>
  <c r="FN49" i="2"/>
  <c r="GG49" i="2" s="1"/>
  <c r="FH49" i="2"/>
  <c r="EU49" i="2"/>
  <c r="ET49" i="2"/>
  <c r="ES49" i="2"/>
  <c r="ER49" i="2"/>
  <c r="EQ49" i="2"/>
  <c r="EP49" i="2"/>
  <c r="EO49" i="2"/>
  <c r="EN49" i="2"/>
  <c r="EM49" i="2"/>
  <c r="EL49" i="2"/>
  <c r="EK49" i="2"/>
  <c r="EJ49" i="2"/>
  <c r="EI49" i="2"/>
  <c r="EH49" i="2"/>
  <c r="EG49" i="2"/>
  <c r="EF49" i="2"/>
  <c r="EE49" i="2"/>
  <c r="ED49" i="2"/>
  <c r="EC49" i="2"/>
  <c r="EB49" i="2"/>
  <c r="DO49" i="2"/>
  <c r="DN49" i="2"/>
  <c r="DM49" i="2"/>
  <c r="DL49" i="2"/>
  <c r="DK49" i="2"/>
  <c r="DI49" i="2"/>
  <c r="DH49" i="2"/>
  <c r="DF49" i="2"/>
  <c r="DE49" i="2"/>
  <c r="DA49" i="2"/>
  <c r="CW49" i="2"/>
  <c r="CV49" i="2"/>
  <c r="CP49" i="2"/>
  <c r="CO49" i="2"/>
  <c r="CN49" i="2"/>
  <c r="CI49" i="2"/>
  <c r="CH49" i="2"/>
  <c r="CG49" i="2"/>
  <c r="CB49" i="2"/>
  <c r="CA49" i="2"/>
  <c r="BZ49" i="2"/>
  <c r="BU49" i="2"/>
  <c r="BT49" i="2"/>
  <c r="BS49" i="2"/>
  <c r="BN49" i="2"/>
  <c r="BM49" i="2"/>
  <c r="BL49" i="2"/>
  <c r="AY49" i="2"/>
  <c r="AV49" i="2"/>
  <c r="AN49" i="2"/>
  <c r="AE49" i="2"/>
  <c r="R49" i="2"/>
  <c r="G49" i="2"/>
  <c r="A49" i="2"/>
  <c r="IG48" i="2"/>
  <c r="GV48" i="2"/>
  <c r="GP48" i="2"/>
  <c r="FZ48" i="2"/>
  <c r="GI48" i="2" s="1"/>
  <c r="FT48" i="2"/>
  <c r="GH48" i="2" s="1"/>
  <c r="FN48" i="2"/>
  <c r="GG48" i="2" s="1"/>
  <c r="FH48" i="2"/>
  <c r="GF48" i="2" s="1"/>
  <c r="EO48" i="2"/>
  <c r="EN48" i="2"/>
  <c r="EM48" i="2"/>
  <c r="EL48" i="2"/>
  <c r="EK48" i="2"/>
  <c r="EJ48" i="2"/>
  <c r="EI48" i="2"/>
  <c r="EH48" i="2"/>
  <c r="EG48" i="2"/>
  <c r="EF48" i="2"/>
  <c r="EE48" i="2"/>
  <c r="ED48" i="2"/>
  <c r="EC48" i="2"/>
  <c r="EB48" i="2"/>
  <c r="DO48" i="2"/>
  <c r="DN48" i="2"/>
  <c r="DM48" i="2"/>
  <c r="DL48" i="2"/>
  <c r="DK48" i="2"/>
  <c r="DI48" i="2"/>
  <c r="DH48" i="2"/>
  <c r="DF48" i="2"/>
  <c r="DE48" i="2"/>
  <c r="DA48" i="2"/>
  <c r="CW48" i="2"/>
  <c r="CV48" i="2"/>
  <c r="CP48" i="2"/>
  <c r="CO48" i="2"/>
  <c r="CN48" i="2"/>
  <c r="CI48" i="2"/>
  <c r="CH48" i="2"/>
  <c r="CG48" i="2"/>
  <c r="CB48" i="2"/>
  <c r="CA48" i="2"/>
  <c r="BZ48" i="2"/>
  <c r="BU48" i="2"/>
  <c r="BT48" i="2"/>
  <c r="BS48" i="2"/>
  <c r="BN48" i="2"/>
  <c r="BM48" i="2"/>
  <c r="BL48" i="2"/>
  <c r="AY48" i="2"/>
  <c r="AV48" i="2"/>
  <c r="AN48" i="2"/>
  <c r="R48" i="2"/>
  <c r="G48" i="2"/>
  <c r="A48" i="2"/>
  <c r="IG47" i="2"/>
  <c r="GV47" i="2"/>
  <c r="GP47" i="2"/>
  <c r="GH47" i="2"/>
  <c r="FZ47" i="2"/>
  <c r="GI47" i="2" s="1"/>
  <c r="FT47" i="2"/>
  <c r="FN47" i="2"/>
  <c r="GG47" i="2" s="1"/>
  <c r="FH47" i="2"/>
  <c r="GF47" i="2" s="1"/>
  <c r="EO47" i="2"/>
  <c r="EN47" i="2"/>
  <c r="EM47" i="2"/>
  <c r="EL47" i="2"/>
  <c r="EK47" i="2"/>
  <c r="EJ47" i="2"/>
  <c r="EI47" i="2"/>
  <c r="EH47" i="2"/>
  <c r="EG47" i="2"/>
  <c r="EF47" i="2"/>
  <c r="EE47" i="2"/>
  <c r="ED47" i="2"/>
  <c r="EC47" i="2"/>
  <c r="EB47" i="2"/>
  <c r="DO47" i="2"/>
  <c r="DN47" i="2"/>
  <c r="DM47" i="2"/>
  <c r="DL47" i="2"/>
  <c r="DK47" i="2"/>
  <c r="DI47" i="2"/>
  <c r="DH47" i="2"/>
  <c r="DF47" i="2"/>
  <c r="DE47" i="2"/>
  <c r="DA47" i="2"/>
  <c r="CW47" i="2"/>
  <c r="CV47" i="2"/>
  <c r="CP47" i="2"/>
  <c r="CO47" i="2"/>
  <c r="CN47" i="2"/>
  <c r="CI47" i="2"/>
  <c r="CH47" i="2"/>
  <c r="CG47" i="2"/>
  <c r="CB47" i="2"/>
  <c r="CA47" i="2"/>
  <c r="BZ47" i="2"/>
  <c r="BU47" i="2"/>
  <c r="BT47" i="2"/>
  <c r="BS47" i="2"/>
  <c r="BN47" i="2"/>
  <c r="BM47" i="2"/>
  <c r="BL47" i="2"/>
  <c r="AY47" i="2"/>
  <c r="AV47" i="2"/>
  <c r="AN47" i="2"/>
  <c r="AE47" i="2"/>
  <c r="R47" i="2"/>
  <c r="G47" i="2"/>
  <c r="A47" i="2"/>
  <c r="IG46" i="2"/>
  <c r="GV46" i="2"/>
  <c r="GP46" i="2"/>
  <c r="GI46" i="2"/>
  <c r="GH46" i="2"/>
  <c r="GF46" i="2"/>
  <c r="FN46" i="2"/>
  <c r="GG46" i="2" s="1"/>
  <c r="FH46" i="2"/>
  <c r="ES46" i="2"/>
  <c r="ER46" i="2"/>
  <c r="EQ46" i="2"/>
  <c r="EP46" i="2"/>
  <c r="EO46" i="2"/>
  <c r="EN46" i="2"/>
  <c r="EM46" i="2"/>
  <c r="EL46" i="2"/>
  <c r="EK46" i="2"/>
  <c r="EJ46" i="2"/>
  <c r="EI46" i="2"/>
  <c r="EH46" i="2"/>
  <c r="EG46" i="2"/>
  <c r="EF46" i="2"/>
  <c r="EE46" i="2"/>
  <c r="ED46" i="2"/>
  <c r="EC46" i="2"/>
  <c r="EB46" i="2"/>
  <c r="DO46" i="2"/>
  <c r="DN46" i="2"/>
  <c r="DM46" i="2"/>
  <c r="DL46" i="2"/>
  <c r="DK46" i="2"/>
  <c r="DI46" i="2"/>
  <c r="DH46" i="2"/>
  <c r="DF46" i="2"/>
  <c r="DE46" i="2"/>
  <c r="DA46" i="2"/>
  <c r="CW46" i="2"/>
  <c r="CV46" i="2"/>
  <c r="CP46" i="2"/>
  <c r="CO46" i="2"/>
  <c r="CN46" i="2"/>
  <c r="CI46" i="2"/>
  <c r="CH46" i="2"/>
  <c r="CG46" i="2"/>
  <c r="CB46" i="2"/>
  <c r="CA46" i="2"/>
  <c r="BZ46" i="2"/>
  <c r="BU46" i="2"/>
  <c r="BT46" i="2"/>
  <c r="BS46" i="2"/>
  <c r="BN46" i="2"/>
  <c r="BM46" i="2"/>
  <c r="BL46" i="2"/>
  <c r="AY46" i="2"/>
  <c r="AV46" i="2"/>
  <c r="AN46" i="2"/>
  <c r="AE46" i="2"/>
  <c r="R46" i="2"/>
  <c r="G46" i="2"/>
  <c r="A46" i="2"/>
  <c r="IG45" i="2"/>
  <c r="GV45" i="2"/>
  <c r="GP45" i="2"/>
  <c r="GI45" i="2"/>
  <c r="GH45" i="2"/>
  <c r="FN45" i="2"/>
  <c r="GG45" i="2" s="1"/>
  <c r="FH45" i="2"/>
  <c r="GF45" i="2" s="1"/>
  <c r="EW45" i="2"/>
  <c r="EV45" i="2"/>
  <c r="EU45" i="2"/>
  <c r="ET45" i="2"/>
  <c r="ES45" i="2"/>
  <c r="ER45" i="2"/>
  <c r="EQ45" i="2"/>
  <c r="EP45" i="2"/>
  <c r="EO45" i="2"/>
  <c r="EN45" i="2"/>
  <c r="EM45" i="2"/>
  <c r="EL45" i="2"/>
  <c r="EK45" i="2"/>
  <c r="EJ45" i="2"/>
  <c r="EI45" i="2"/>
  <c r="EH45" i="2"/>
  <c r="EG45" i="2"/>
  <c r="EF45" i="2"/>
  <c r="EE45" i="2"/>
  <c r="ED45" i="2"/>
  <c r="EC45" i="2"/>
  <c r="EB45" i="2"/>
  <c r="DO45" i="2"/>
  <c r="DN45" i="2"/>
  <c r="DM45" i="2"/>
  <c r="DL45" i="2"/>
  <c r="DK45" i="2"/>
  <c r="DI45" i="2"/>
  <c r="DH45" i="2"/>
  <c r="DF45" i="2"/>
  <c r="DE45" i="2"/>
  <c r="DA45" i="2"/>
  <c r="CW45" i="2"/>
  <c r="CV45" i="2"/>
  <c r="CP45" i="2"/>
  <c r="CO45" i="2"/>
  <c r="CN45" i="2"/>
  <c r="CI45" i="2"/>
  <c r="CH45" i="2"/>
  <c r="CG45" i="2"/>
  <c r="CB45" i="2"/>
  <c r="CA45" i="2"/>
  <c r="BZ45" i="2"/>
  <c r="BU45" i="2"/>
  <c r="BT45" i="2"/>
  <c r="BS45" i="2"/>
  <c r="BN45" i="2"/>
  <c r="BM45" i="2"/>
  <c r="BL45" i="2"/>
  <c r="AY45" i="2"/>
  <c r="AV45" i="2"/>
  <c r="AN45" i="2"/>
  <c r="AE45" i="2"/>
  <c r="R45" i="2"/>
  <c r="G45" i="2"/>
  <c r="A45" i="2"/>
  <c r="IG44" i="2"/>
  <c r="GV44" i="2"/>
  <c r="GP44" i="2"/>
  <c r="GG44" i="2"/>
  <c r="FZ44" i="2"/>
  <c r="GI44" i="2" s="1"/>
  <c r="FT44" i="2"/>
  <c r="GH44" i="2" s="1"/>
  <c r="FN44" i="2"/>
  <c r="FH44" i="2"/>
  <c r="GF44" i="2" s="1"/>
  <c r="GJ44" i="2" s="1"/>
  <c r="ES44" i="2"/>
  <c r="ER44" i="2"/>
  <c r="EQ44" i="2"/>
  <c r="EP44" i="2"/>
  <c r="EO44" i="2"/>
  <c r="EN44" i="2"/>
  <c r="EM44" i="2"/>
  <c r="EL44" i="2"/>
  <c r="EK44" i="2"/>
  <c r="EJ44" i="2"/>
  <c r="EI44" i="2"/>
  <c r="EH44" i="2"/>
  <c r="EG44" i="2"/>
  <c r="EF44" i="2"/>
  <c r="EE44" i="2"/>
  <c r="ED44" i="2"/>
  <c r="EC44" i="2"/>
  <c r="EB44" i="2"/>
  <c r="DO44" i="2"/>
  <c r="DN44" i="2"/>
  <c r="DM44" i="2"/>
  <c r="DL44" i="2"/>
  <c r="DK44" i="2"/>
  <c r="DI44" i="2"/>
  <c r="DH44" i="2"/>
  <c r="DF44" i="2"/>
  <c r="DE44" i="2"/>
  <c r="DA44" i="2"/>
  <c r="CW44" i="2"/>
  <c r="CV44" i="2"/>
  <c r="CP44" i="2"/>
  <c r="CO44" i="2"/>
  <c r="CN44" i="2"/>
  <c r="CI44" i="2"/>
  <c r="CH44" i="2"/>
  <c r="CG44" i="2"/>
  <c r="CB44" i="2"/>
  <c r="CA44" i="2"/>
  <c r="BZ44" i="2"/>
  <c r="BU44" i="2"/>
  <c r="BT44" i="2"/>
  <c r="BS44" i="2"/>
  <c r="BN44" i="2"/>
  <c r="BM44" i="2"/>
  <c r="BL44" i="2"/>
  <c r="AY44" i="2"/>
  <c r="AV44" i="2"/>
  <c r="AN44" i="2"/>
  <c r="AE44" i="2"/>
  <c r="Y44" i="2"/>
  <c r="R44" i="2"/>
  <c r="G44" i="2"/>
  <c r="A44" i="2"/>
  <c r="IG43" i="2"/>
  <c r="GV43" i="2"/>
  <c r="GP43" i="2"/>
  <c r="FZ43" i="2"/>
  <c r="GI43" i="2" s="1"/>
  <c r="FT43" i="2"/>
  <c r="GH43" i="2" s="1"/>
  <c r="FN43" i="2"/>
  <c r="GG43" i="2" s="1"/>
  <c r="FH43" i="2"/>
  <c r="GF43" i="2" s="1"/>
  <c r="EI43" i="2"/>
  <c r="EH43" i="2"/>
  <c r="EG43" i="2"/>
  <c r="EF43" i="2"/>
  <c r="EE43" i="2"/>
  <c r="ED43" i="2"/>
  <c r="EC43" i="2"/>
  <c r="EB43" i="2"/>
  <c r="DO43" i="2"/>
  <c r="DN43" i="2"/>
  <c r="DM43" i="2"/>
  <c r="DL43" i="2"/>
  <c r="DK43" i="2"/>
  <c r="DI43" i="2"/>
  <c r="DH43" i="2"/>
  <c r="DF43" i="2"/>
  <c r="DE43" i="2"/>
  <c r="DA43" i="2"/>
  <c r="CW43" i="2"/>
  <c r="CV43" i="2"/>
  <c r="CP43" i="2"/>
  <c r="CO43" i="2"/>
  <c r="CN43" i="2"/>
  <c r="CI43" i="2"/>
  <c r="CH43" i="2"/>
  <c r="CG43" i="2"/>
  <c r="CB43" i="2"/>
  <c r="CA43" i="2"/>
  <c r="BZ43" i="2"/>
  <c r="BU43" i="2"/>
  <c r="BT43" i="2"/>
  <c r="BS43" i="2"/>
  <c r="BN43" i="2"/>
  <c r="BM43" i="2"/>
  <c r="BL43" i="2"/>
  <c r="AV43" i="2"/>
  <c r="AN43" i="2"/>
  <c r="AE43" i="2"/>
  <c r="R43" i="2"/>
  <c r="G43" i="2"/>
  <c r="A43" i="2"/>
  <c r="IG42" i="2"/>
  <c r="GJ42" i="2"/>
  <c r="AN42" i="2"/>
  <c r="IG41" i="2"/>
  <c r="GJ41" i="2"/>
  <c r="AN41" i="2"/>
  <c r="IG40" i="2"/>
  <c r="GV40" i="2"/>
  <c r="GP40" i="2"/>
  <c r="GI40" i="2"/>
  <c r="GH40" i="2"/>
  <c r="GF40" i="2"/>
  <c r="FT40" i="2"/>
  <c r="FN40" i="2"/>
  <c r="GG40" i="2" s="1"/>
  <c r="GJ40" i="2" s="1"/>
  <c r="FH40" i="2"/>
  <c r="EE40" i="2"/>
  <c r="ED40" i="2"/>
  <c r="EC40" i="2"/>
  <c r="EB40" i="2"/>
  <c r="DO40" i="2"/>
  <c r="DN40" i="2"/>
  <c r="DM40" i="2"/>
  <c r="DL40" i="2"/>
  <c r="DK40" i="2"/>
  <c r="DI40" i="2"/>
  <c r="DH40" i="2"/>
  <c r="DF40" i="2"/>
  <c r="DE40" i="2"/>
  <c r="CI40" i="2"/>
  <c r="CH40" i="2"/>
  <c r="CG40" i="2"/>
  <c r="CB40" i="2"/>
  <c r="CA40" i="2"/>
  <c r="BZ40" i="2"/>
  <c r="BU40" i="2"/>
  <c r="BT40" i="2"/>
  <c r="BS40" i="2"/>
  <c r="BN40" i="2"/>
  <c r="BM40" i="2"/>
  <c r="BL40" i="2"/>
  <c r="AY40" i="2"/>
  <c r="AV40" i="2"/>
  <c r="AN40" i="2"/>
  <c r="AE40" i="2"/>
  <c r="R40" i="2"/>
  <c r="G40" i="2"/>
  <c r="A40" i="2"/>
  <c r="IG39" i="2"/>
  <c r="GJ39" i="2"/>
  <c r="AN39" i="2"/>
  <c r="IG38" i="2"/>
  <c r="GV38" i="2"/>
  <c r="GP38" i="2"/>
  <c r="FZ38" i="2"/>
  <c r="GI38" i="2" s="1"/>
  <c r="FT38" i="2"/>
  <c r="GH38" i="2" s="1"/>
  <c r="FN38" i="2"/>
  <c r="GG38" i="2" s="1"/>
  <c r="FH38" i="2"/>
  <c r="GF38" i="2" s="1"/>
  <c r="EG38" i="2"/>
  <c r="EF38" i="2"/>
  <c r="EE38" i="2"/>
  <c r="ED38" i="2"/>
  <c r="EC38" i="2"/>
  <c r="EB38" i="2"/>
  <c r="DQ38" i="2"/>
  <c r="DP38" i="2"/>
  <c r="DO38" i="2"/>
  <c r="DN38" i="2"/>
  <c r="DM38" i="2"/>
  <c r="DL38" i="2"/>
  <c r="DK38" i="2"/>
  <c r="DI38" i="2"/>
  <c r="DH38" i="2"/>
  <c r="DF38" i="2"/>
  <c r="DE38" i="2"/>
  <c r="CV38" i="2"/>
  <c r="CP38" i="2"/>
  <c r="CO38" i="2"/>
  <c r="CN38" i="2"/>
  <c r="CI38" i="2"/>
  <c r="CH38" i="2"/>
  <c r="CG38" i="2"/>
  <c r="CB38" i="2"/>
  <c r="CA38" i="2"/>
  <c r="BZ38" i="2"/>
  <c r="BU38" i="2"/>
  <c r="BT38" i="2"/>
  <c r="BS38" i="2"/>
  <c r="BN38" i="2"/>
  <c r="BM38" i="2"/>
  <c r="BL38" i="2"/>
  <c r="AY38" i="2"/>
  <c r="AV38" i="2"/>
  <c r="AN38" i="2"/>
  <c r="R38" i="2"/>
  <c r="G38" i="2"/>
  <c r="A38" i="2"/>
  <c r="IG37" i="2"/>
  <c r="GV37" i="2"/>
  <c r="GP37" i="2"/>
  <c r="GI37" i="2"/>
  <c r="FZ37" i="2"/>
  <c r="FT37" i="2"/>
  <c r="GH37" i="2" s="1"/>
  <c r="FN37" i="2"/>
  <c r="GG37" i="2" s="1"/>
  <c r="FH37" i="2"/>
  <c r="GF37" i="2" s="1"/>
  <c r="GJ37" i="2" s="1"/>
  <c r="EC37" i="2"/>
  <c r="EB37" i="2"/>
  <c r="DO37" i="2"/>
  <c r="DN37" i="2"/>
  <c r="DM37" i="2"/>
  <c r="DL37" i="2"/>
  <c r="DK37" i="2"/>
  <c r="DI37" i="2"/>
  <c r="DH37" i="2"/>
  <c r="DF37" i="2"/>
  <c r="DE37" i="2"/>
  <c r="CW37" i="2"/>
  <c r="CV37" i="2"/>
  <c r="CP37" i="2"/>
  <c r="CO37" i="2"/>
  <c r="CN37" i="2"/>
  <c r="CI37" i="2"/>
  <c r="CH37" i="2"/>
  <c r="CG37" i="2"/>
  <c r="CB37" i="2"/>
  <c r="CA37" i="2"/>
  <c r="BZ37" i="2"/>
  <c r="BU37" i="2"/>
  <c r="BT37" i="2"/>
  <c r="BS37" i="2"/>
  <c r="BN37" i="2"/>
  <c r="BM37" i="2"/>
  <c r="BL37" i="2"/>
  <c r="AY37" i="2"/>
  <c r="AV37" i="2"/>
  <c r="AN37" i="2"/>
  <c r="AE37" i="2"/>
  <c r="R37" i="2"/>
  <c r="G37" i="2"/>
  <c r="A37" i="2"/>
  <c r="IG36" i="2"/>
  <c r="GJ36" i="2"/>
  <c r="AN36" i="2"/>
  <c r="IG35" i="2"/>
  <c r="GV35" i="2"/>
  <c r="GP35" i="2"/>
  <c r="FZ35" i="2"/>
  <c r="FT35" i="2"/>
  <c r="GH35" i="2" s="1"/>
  <c r="FN35" i="2"/>
  <c r="GG35" i="2" s="1"/>
  <c r="FH35" i="2"/>
  <c r="GF35" i="2" s="1"/>
  <c r="EQ35" i="2"/>
  <c r="EP35" i="2"/>
  <c r="EO35" i="2"/>
  <c r="EN35" i="2"/>
  <c r="EM35" i="2"/>
  <c r="EL35" i="2"/>
  <c r="EK35" i="2"/>
  <c r="EJ35" i="2"/>
  <c r="EI35" i="2"/>
  <c r="EH35" i="2"/>
  <c r="EG35" i="2"/>
  <c r="EF35" i="2"/>
  <c r="EE35" i="2"/>
  <c r="ED35" i="2"/>
  <c r="EC35" i="2"/>
  <c r="EB35" i="2"/>
  <c r="DO35" i="2"/>
  <c r="DN35" i="2"/>
  <c r="DM35" i="2"/>
  <c r="DL35" i="2"/>
  <c r="DK35" i="2"/>
  <c r="DI35" i="2"/>
  <c r="DH35" i="2"/>
  <c r="DF35" i="2"/>
  <c r="DE35" i="2"/>
  <c r="CW35" i="2"/>
  <c r="CV35" i="2"/>
  <c r="CP35" i="2"/>
  <c r="CO35" i="2"/>
  <c r="CN35" i="2"/>
  <c r="CI35" i="2"/>
  <c r="CH35" i="2"/>
  <c r="CG35" i="2"/>
  <c r="CB35" i="2"/>
  <c r="CA35" i="2"/>
  <c r="BZ35" i="2"/>
  <c r="BU35" i="2"/>
  <c r="BT35" i="2"/>
  <c r="BS35" i="2"/>
  <c r="BN35" i="2"/>
  <c r="BM35" i="2"/>
  <c r="BL35" i="2"/>
  <c r="AV35" i="2"/>
  <c r="AN35" i="2"/>
  <c r="AE35" i="2"/>
  <c r="Y35" i="2"/>
  <c r="R35" i="2"/>
  <c r="G35" i="2"/>
  <c r="A35" i="2"/>
  <c r="IG34" i="2"/>
  <c r="GV34" i="2"/>
  <c r="GP34" i="2"/>
  <c r="GI34" i="2"/>
  <c r="GH34" i="2"/>
  <c r="GF34" i="2"/>
  <c r="FN34" i="2"/>
  <c r="GG34" i="2" s="1"/>
  <c r="FH34" i="2"/>
  <c r="FA34" i="2"/>
  <c r="EZ34" i="2"/>
  <c r="EY34" i="2"/>
  <c r="EX34" i="2"/>
  <c r="EW34" i="2"/>
  <c r="EV34" i="2"/>
  <c r="EU34" i="2"/>
  <c r="ET34" i="2"/>
  <c r="ES34" i="2"/>
  <c r="ER34" i="2"/>
  <c r="EQ34" i="2"/>
  <c r="EP34" i="2"/>
  <c r="EO34" i="2"/>
  <c r="EN34" i="2"/>
  <c r="EM34" i="2"/>
  <c r="EL34" i="2"/>
  <c r="EK34" i="2"/>
  <c r="EJ34" i="2"/>
  <c r="EI34" i="2"/>
  <c r="EH34" i="2"/>
  <c r="EG34" i="2"/>
  <c r="EF34" i="2"/>
  <c r="EE34" i="2"/>
  <c r="ED34" i="2"/>
  <c r="EC34" i="2"/>
  <c r="EB34" i="2"/>
  <c r="DO34" i="2"/>
  <c r="DN34" i="2"/>
  <c r="DM34" i="2"/>
  <c r="DL34" i="2"/>
  <c r="DK34" i="2"/>
  <c r="DI34" i="2"/>
  <c r="DH34" i="2"/>
  <c r="DF34" i="2"/>
  <c r="DE34" i="2"/>
  <c r="CW34" i="2"/>
  <c r="CV34" i="2"/>
  <c r="CP34" i="2"/>
  <c r="CO34" i="2"/>
  <c r="CN34" i="2"/>
  <c r="CI34" i="2"/>
  <c r="CH34" i="2"/>
  <c r="CG34" i="2"/>
  <c r="CB34" i="2"/>
  <c r="CA34" i="2"/>
  <c r="BZ34" i="2"/>
  <c r="BU34" i="2"/>
  <c r="BT34" i="2"/>
  <c r="BS34" i="2"/>
  <c r="BN34" i="2"/>
  <c r="BM34" i="2"/>
  <c r="BL34" i="2"/>
  <c r="AV34" i="2"/>
  <c r="AN34" i="2"/>
  <c r="AE34" i="2"/>
  <c r="R34" i="2"/>
  <c r="G34" i="2"/>
  <c r="A34" i="2"/>
  <c r="IG33" i="2"/>
  <c r="GV33" i="2"/>
  <c r="GP33" i="2"/>
  <c r="GI33" i="2"/>
  <c r="GH33" i="2"/>
  <c r="GF33" i="2"/>
  <c r="FN33" i="2"/>
  <c r="GG33" i="2" s="1"/>
  <c r="FH33" i="2"/>
  <c r="FA33" i="2"/>
  <c r="EZ33" i="2"/>
  <c r="EY33" i="2"/>
  <c r="EX33" i="2"/>
  <c r="EW33" i="2"/>
  <c r="EV33" i="2"/>
  <c r="EU33" i="2"/>
  <c r="ET33" i="2"/>
  <c r="ES33" i="2"/>
  <c r="ER33" i="2"/>
  <c r="EQ33" i="2"/>
  <c r="EP33" i="2"/>
  <c r="EO33" i="2"/>
  <c r="EN33" i="2"/>
  <c r="EM33" i="2"/>
  <c r="EL33" i="2"/>
  <c r="EK33" i="2"/>
  <c r="EJ33" i="2"/>
  <c r="EI33" i="2"/>
  <c r="EH33" i="2"/>
  <c r="EG33" i="2"/>
  <c r="EF33" i="2"/>
  <c r="EE33" i="2"/>
  <c r="ED33" i="2"/>
  <c r="EC33" i="2"/>
  <c r="EB33" i="2"/>
  <c r="DO33" i="2"/>
  <c r="DN33" i="2"/>
  <c r="DM33" i="2"/>
  <c r="DL33" i="2"/>
  <c r="DK33" i="2"/>
  <c r="DI33" i="2"/>
  <c r="DH33" i="2"/>
  <c r="DF33" i="2"/>
  <c r="DE33" i="2"/>
  <c r="CW33" i="2"/>
  <c r="CV33" i="2"/>
  <c r="CP33" i="2"/>
  <c r="CO33" i="2"/>
  <c r="CN33" i="2"/>
  <c r="CI33" i="2"/>
  <c r="CH33" i="2"/>
  <c r="CG33" i="2"/>
  <c r="CB33" i="2"/>
  <c r="CA33" i="2"/>
  <c r="BZ33" i="2"/>
  <c r="BU33" i="2"/>
  <c r="BT33" i="2"/>
  <c r="BS33" i="2"/>
  <c r="BN33" i="2"/>
  <c r="BM33" i="2"/>
  <c r="BL33" i="2"/>
  <c r="AV33" i="2"/>
  <c r="AN33" i="2"/>
  <c r="AE33" i="2"/>
  <c r="R33" i="2"/>
  <c r="G33" i="2"/>
  <c r="A33" i="2"/>
  <c r="IG32" i="2"/>
  <c r="GJ32" i="2"/>
  <c r="AN32" i="2"/>
  <c r="IG31" i="2"/>
  <c r="GJ31" i="2"/>
  <c r="AN31" i="2"/>
  <c r="IG30" i="2"/>
  <c r="GV30" i="2"/>
  <c r="GP30" i="2"/>
  <c r="FZ30" i="2"/>
  <c r="GI30" i="2" s="1"/>
  <c r="FT30" i="2"/>
  <c r="GH30" i="2" s="1"/>
  <c r="FN30" i="2"/>
  <c r="GG30" i="2" s="1"/>
  <c r="FH30" i="2"/>
  <c r="GF30" i="2" s="1"/>
  <c r="EE30" i="2"/>
  <c r="ED30" i="2"/>
  <c r="EC30" i="2"/>
  <c r="EB30" i="2"/>
  <c r="DO30" i="2"/>
  <c r="DN30" i="2"/>
  <c r="DM30" i="2"/>
  <c r="DL30" i="2"/>
  <c r="DK30" i="2"/>
  <c r="DI30" i="2"/>
  <c r="DH30" i="2"/>
  <c r="DF30" i="2"/>
  <c r="DE30" i="2"/>
  <c r="CI30" i="2"/>
  <c r="CH30" i="2"/>
  <c r="CG30" i="2"/>
  <c r="CB30" i="2"/>
  <c r="CA30" i="2"/>
  <c r="BZ30" i="2"/>
  <c r="BU30" i="2"/>
  <c r="BT30" i="2"/>
  <c r="BS30" i="2"/>
  <c r="BN30" i="2"/>
  <c r="BM30" i="2"/>
  <c r="BL30" i="2"/>
  <c r="AV30" i="2"/>
  <c r="AN30" i="2"/>
  <c r="AE30" i="2"/>
  <c r="R30" i="2"/>
  <c r="G30" i="2"/>
  <c r="A30" i="2"/>
  <c r="IG29" i="2"/>
  <c r="GV29" i="2"/>
  <c r="GP29" i="2"/>
  <c r="GI29" i="2"/>
  <c r="GG29" i="2"/>
  <c r="FT29" i="2"/>
  <c r="GH29" i="2" s="1"/>
  <c r="FN29" i="2"/>
  <c r="FH29" i="2"/>
  <c r="GF29" i="2" s="1"/>
  <c r="GJ29" i="2" s="1"/>
  <c r="EY29" i="2"/>
  <c r="EX29" i="2"/>
  <c r="EW29" i="2"/>
  <c r="EV29" i="2"/>
  <c r="EU29" i="2"/>
  <c r="ET29" i="2"/>
  <c r="ES29" i="2"/>
  <c r="ER29" i="2"/>
  <c r="EQ29" i="2"/>
  <c r="EP29" i="2"/>
  <c r="EO29" i="2"/>
  <c r="EN29" i="2"/>
  <c r="EM29" i="2"/>
  <c r="EL29" i="2"/>
  <c r="EK29" i="2"/>
  <c r="EJ29" i="2"/>
  <c r="EI29" i="2"/>
  <c r="EH29" i="2"/>
  <c r="EG29" i="2"/>
  <c r="EF29" i="2"/>
  <c r="EE29" i="2"/>
  <c r="ED29" i="2"/>
  <c r="EC29" i="2"/>
  <c r="EB29" i="2"/>
  <c r="DO29" i="2"/>
  <c r="DN29" i="2"/>
  <c r="DM29" i="2"/>
  <c r="DL29" i="2"/>
  <c r="DK29" i="2"/>
  <c r="DI29" i="2"/>
  <c r="DH29" i="2"/>
  <c r="DF29" i="2"/>
  <c r="DE29" i="2"/>
  <c r="CW29" i="2"/>
  <c r="CV29" i="2"/>
  <c r="CI29" i="2"/>
  <c r="CH29" i="2"/>
  <c r="CG29" i="2"/>
  <c r="CB29" i="2"/>
  <c r="CA29" i="2"/>
  <c r="BZ29" i="2"/>
  <c r="BU29" i="2"/>
  <c r="BT29" i="2"/>
  <c r="BS29" i="2"/>
  <c r="BN29" i="2"/>
  <c r="BM29" i="2"/>
  <c r="BL29" i="2"/>
  <c r="AV29" i="2"/>
  <c r="AN29" i="2"/>
  <c r="AE29" i="2"/>
  <c r="R29" i="2"/>
  <c r="G29" i="2"/>
  <c r="A29" i="2"/>
  <c r="IG28" i="2"/>
  <c r="GV28" i="2"/>
  <c r="GP28" i="2"/>
  <c r="GI28" i="2"/>
  <c r="GH28" i="2"/>
  <c r="FN28" i="2"/>
  <c r="GG28" i="2" s="1"/>
  <c r="FH28" i="2"/>
  <c r="GF28" i="2" s="1"/>
  <c r="EG28" i="2"/>
  <c r="EF28" i="2"/>
  <c r="EE28" i="2"/>
  <c r="ED28" i="2"/>
  <c r="EC28" i="2"/>
  <c r="EB28" i="2"/>
  <c r="DO28" i="2"/>
  <c r="DN28" i="2"/>
  <c r="DM28" i="2"/>
  <c r="DL28" i="2"/>
  <c r="DK28" i="2"/>
  <c r="DI28" i="2"/>
  <c r="DH28" i="2"/>
  <c r="DF28" i="2"/>
  <c r="DE28" i="2"/>
  <c r="CV28" i="2"/>
  <c r="CI28" i="2"/>
  <c r="CH28" i="2"/>
  <c r="CG28" i="2"/>
  <c r="CB28" i="2"/>
  <c r="CA28" i="2"/>
  <c r="BZ28" i="2"/>
  <c r="BU28" i="2"/>
  <c r="BT28" i="2"/>
  <c r="BS28" i="2"/>
  <c r="BN28" i="2"/>
  <c r="BM28" i="2"/>
  <c r="BL28" i="2"/>
  <c r="AY28" i="2"/>
  <c r="AV28" i="2"/>
  <c r="AN28" i="2"/>
  <c r="AE28" i="2"/>
  <c r="R28" i="2"/>
  <c r="G28" i="2"/>
  <c r="A28" i="2"/>
  <c r="IG27" i="2"/>
  <c r="GV27" i="2"/>
  <c r="GP27" i="2"/>
  <c r="GI27" i="2"/>
  <c r="FT27" i="2"/>
  <c r="GH27" i="2" s="1"/>
  <c r="FN27" i="2"/>
  <c r="GG27" i="2" s="1"/>
  <c r="FH27" i="2"/>
  <c r="GF27" i="2" s="1"/>
  <c r="GJ27" i="2" s="1"/>
  <c r="EM27" i="2"/>
  <c r="EL27" i="2"/>
  <c r="EK27" i="2"/>
  <c r="EJ27" i="2"/>
  <c r="EI27" i="2"/>
  <c r="EH27" i="2"/>
  <c r="EG27" i="2"/>
  <c r="EF27" i="2"/>
  <c r="EE27" i="2"/>
  <c r="ED27" i="2"/>
  <c r="EC27" i="2"/>
  <c r="EB27" i="2"/>
  <c r="DO27" i="2"/>
  <c r="DN27" i="2"/>
  <c r="DM27" i="2"/>
  <c r="DL27" i="2"/>
  <c r="DK27" i="2"/>
  <c r="DI27" i="2"/>
  <c r="DH27" i="2"/>
  <c r="DF27" i="2"/>
  <c r="DE27" i="2"/>
  <c r="CW27" i="2"/>
  <c r="CV27" i="2"/>
  <c r="CP27" i="2"/>
  <c r="CO27" i="2"/>
  <c r="CN27" i="2"/>
  <c r="CI27" i="2"/>
  <c r="CH27" i="2"/>
  <c r="CG27" i="2"/>
  <c r="CB27" i="2"/>
  <c r="CA27" i="2"/>
  <c r="BZ27" i="2"/>
  <c r="BU27" i="2"/>
  <c r="BT27" i="2"/>
  <c r="BS27" i="2"/>
  <c r="BN27" i="2"/>
  <c r="BM27" i="2"/>
  <c r="BL27" i="2"/>
  <c r="BJ27" i="2"/>
  <c r="AY27" i="2"/>
  <c r="AV27" i="2"/>
  <c r="AN27" i="2"/>
  <c r="AE27" i="2"/>
  <c r="R27" i="2"/>
  <c r="G27" i="2"/>
  <c r="A27" i="2"/>
  <c r="IG26" i="2"/>
  <c r="GV26" i="2"/>
  <c r="GP26" i="2"/>
  <c r="GI26" i="2"/>
  <c r="GH26" i="2"/>
  <c r="GG26" i="2"/>
  <c r="GF26" i="2"/>
  <c r="GJ26" i="2" s="1"/>
  <c r="FN26" i="2"/>
  <c r="FH26" i="2"/>
  <c r="FA26" i="2"/>
  <c r="EZ26" i="2"/>
  <c r="EY26" i="2"/>
  <c r="EX26" i="2"/>
  <c r="EW26" i="2"/>
  <c r="EV26" i="2"/>
  <c r="EU26" i="2"/>
  <c r="ET26" i="2"/>
  <c r="ES26" i="2"/>
  <c r="ER26" i="2"/>
  <c r="EQ26" i="2"/>
  <c r="EP26" i="2"/>
  <c r="EO26" i="2"/>
  <c r="EN26" i="2"/>
  <c r="EM26" i="2"/>
  <c r="EL26" i="2"/>
  <c r="EK26" i="2"/>
  <c r="EJ26" i="2"/>
  <c r="EI26" i="2"/>
  <c r="EH26" i="2"/>
  <c r="EG26" i="2"/>
  <c r="EF26" i="2"/>
  <c r="EE26" i="2"/>
  <c r="ED26" i="2"/>
  <c r="EC26" i="2"/>
  <c r="EB26" i="2"/>
  <c r="DO26" i="2"/>
  <c r="DN26" i="2"/>
  <c r="DM26" i="2"/>
  <c r="DL26" i="2"/>
  <c r="DK26" i="2"/>
  <c r="DI26" i="2"/>
  <c r="DH26" i="2"/>
  <c r="DF26" i="2"/>
  <c r="DE26" i="2"/>
  <c r="CV26" i="2"/>
  <c r="CI26" i="2"/>
  <c r="CH26" i="2"/>
  <c r="CG26" i="2"/>
  <c r="CB26" i="2"/>
  <c r="CA26" i="2"/>
  <c r="BZ26" i="2"/>
  <c r="BU26" i="2"/>
  <c r="BT26" i="2"/>
  <c r="BS26" i="2"/>
  <c r="BN26" i="2"/>
  <c r="BM26" i="2"/>
  <c r="BL26" i="2"/>
  <c r="AV26" i="2"/>
  <c r="AN26" i="2"/>
  <c r="AE26" i="2"/>
  <c r="Y26" i="2"/>
  <c r="R26" i="2"/>
  <c r="G26" i="2"/>
  <c r="A26" i="2"/>
  <c r="IG25" i="2"/>
  <c r="GV25" i="2"/>
  <c r="GP25" i="2"/>
  <c r="GI25" i="2"/>
  <c r="GH25" i="2"/>
  <c r="FN25" i="2"/>
  <c r="GG25" i="2" s="1"/>
  <c r="FH25" i="2"/>
  <c r="GF25" i="2" s="1"/>
  <c r="FC25" i="2"/>
  <c r="FB25" i="2"/>
  <c r="FA25" i="2"/>
  <c r="EZ25" i="2"/>
  <c r="EY25" i="2"/>
  <c r="EX25" i="2"/>
  <c r="EW25" i="2"/>
  <c r="EV25" i="2"/>
  <c r="EU25" i="2"/>
  <c r="ET25" i="2"/>
  <c r="ES25" i="2"/>
  <c r="ER25" i="2"/>
  <c r="EQ25" i="2"/>
  <c r="EP25" i="2"/>
  <c r="EO25" i="2"/>
  <c r="EN25" i="2"/>
  <c r="EM25" i="2"/>
  <c r="EL25" i="2"/>
  <c r="EK25" i="2"/>
  <c r="EJ25" i="2"/>
  <c r="EI25" i="2"/>
  <c r="EH25" i="2"/>
  <c r="EG25" i="2"/>
  <c r="EF25" i="2"/>
  <c r="EE25" i="2"/>
  <c r="ED25" i="2"/>
  <c r="EC25" i="2"/>
  <c r="EB25" i="2"/>
  <c r="DO25" i="2"/>
  <c r="DN25" i="2"/>
  <c r="DM25" i="2"/>
  <c r="DL25" i="2"/>
  <c r="DK25" i="2"/>
  <c r="DI25" i="2"/>
  <c r="DH25" i="2"/>
  <c r="DF25" i="2"/>
  <c r="DE25" i="2"/>
  <c r="CV25" i="2"/>
  <c r="CI25" i="2"/>
  <c r="CH25" i="2"/>
  <c r="CG25" i="2"/>
  <c r="CB25" i="2"/>
  <c r="CA25" i="2"/>
  <c r="BZ25" i="2"/>
  <c r="BU25" i="2"/>
  <c r="BT25" i="2"/>
  <c r="BS25" i="2"/>
  <c r="BN25" i="2"/>
  <c r="BM25" i="2"/>
  <c r="BL25" i="2"/>
  <c r="AV25" i="2"/>
  <c r="AN25" i="2"/>
  <c r="AE25" i="2"/>
  <c r="R25" i="2"/>
  <c r="G25" i="2"/>
  <c r="A25" i="2"/>
  <c r="IG24" i="2"/>
  <c r="GV24" i="2"/>
  <c r="GP24" i="2"/>
  <c r="GI24" i="2"/>
  <c r="GH24" i="2"/>
  <c r="GG24" i="2"/>
  <c r="FN24" i="2"/>
  <c r="FH24" i="2"/>
  <c r="GF24" i="2" s="1"/>
  <c r="GJ24" i="2" s="1"/>
  <c r="FE24" i="2"/>
  <c r="FD24" i="2"/>
  <c r="FC24" i="2"/>
  <c r="FB24" i="2"/>
  <c r="FA24" i="2"/>
  <c r="EZ24" i="2"/>
  <c r="EY24" i="2"/>
  <c r="EX24" i="2"/>
  <c r="EW24" i="2"/>
  <c r="EV24" i="2"/>
  <c r="EU24" i="2"/>
  <c r="ET24" i="2"/>
  <c r="ES24" i="2"/>
  <c r="ER24" i="2"/>
  <c r="EQ24" i="2"/>
  <c r="EP24" i="2"/>
  <c r="EO24" i="2"/>
  <c r="EN24" i="2"/>
  <c r="EM24" i="2"/>
  <c r="EL24" i="2"/>
  <c r="EK24" i="2"/>
  <c r="EJ24" i="2"/>
  <c r="EI24" i="2"/>
  <c r="EH24" i="2"/>
  <c r="EG24" i="2"/>
  <c r="EF24" i="2"/>
  <c r="EE24" i="2"/>
  <c r="ED24" i="2"/>
  <c r="EC24" i="2"/>
  <c r="EB24" i="2"/>
  <c r="DO24" i="2"/>
  <c r="DN24" i="2"/>
  <c r="DM24" i="2"/>
  <c r="DL24" i="2"/>
  <c r="DK24" i="2"/>
  <c r="DI24" i="2"/>
  <c r="DH24" i="2"/>
  <c r="DF24" i="2"/>
  <c r="DE24" i="2"/>
  <c r="CW24" i="2"/>
  <c r="CV24" i="2"/>
  <c r="CI24" i="2"/>
  <c r="CH24" i="2"/>
  <c r="CG24" i="2"/>
  <c r="CB24" i="2"/>
  <c r="CA24" i="2"/>
  <c r="BZ24" i="2"/>
  <c r="BU24" i="2"/>
  <c r="BT24" i="2"/>
  <c r="BS24" i="2"/>
  <c r="BN24" i="2"/>
  <c r="BM24" i="2"/>
  <c r="BL24" i="2"/>
  <c r="AV24" i="2"/>
  <c r="AN24" i="2"/>
  <c r="AM24" i="2"/>
  <c r="AL24" i="2"/>
  <c r="AE24" i="2"/>
  <c r="R24" i="2"/>
  <c r="G24" i="2"/>
  <c r="A24" i="2"/>
  <c r="IG23" i="2"/>
  <c r="GV23" i="2"/>
  <c r="GP23" i="2"/>
  <c r="GI23" i="2"/>
  <c r="GH23" i="2"/>
  <c r="FN23" i="2"/>
  <c r="GG23" i="2" s="1"/>
  <c r="FH23" i="2"/>
  <c r="GF23" i="2" s="1"/>
  <c r="GJ23" i="2" s="1"/>
  <c r="FE23" i="2"/>
  <c r="FD23" i="2"/>
  <c r="FC23" i="2"/>
  <c r="FB23" i="2"/>
  <c r="FA23" i="2"/>
  <c r="EZ23" i="2"/>
  <c r="EY23" i="2"/>
  <c r="EX23" i="2"/>
  <c r="EW23" i="2"/>
  <c r="EV23" i="2"/>
  <c r="EU23" i="2"/>
  <c r="ET23" i="2"/>
  <c r="ES23" i="2"/>
  <c r="ER23" i="2"/>
  <c r="EQ23" i="2"/>
  <c r="EP23" i="2"/>
  <c r="EO23" i="2"/>
  <c r="EN23" i="2"/>
  <c r="EM23" i="2"/>
  <c r="EL23" i="2"/>
  <c r="EK23" i="2"/>
  <c r="EJ23" i="2"/>
  <c r="EI23" i="2"/>
  <c r="EH23" i="2"/>
  <c r="EG23" i="2"/>
  <c r="EF23" i="2"/>
  <c r="EE23" i="2"/>
  <c r="ED23" i="2"/>
  <c r="EC23" i="2"/>
  <c r="EB23" i="2"/>
  <c r="DO23" i="2"/>
  <c r="DN23" i="2"/>
  <c r="DM23" i="2"/>
  <c r="DL23" i="2"/>
  <c r="DK23" i="2"/>
  <c r="DI23" i="2"/>
  <c r="DH23" i="2"/>
  <c r="DF23" i="2"/>
  <c r="DE23" i="2"/>
  <c r="CW23" i="2"/>
  <c r="CV23" i="2"/>
  <c r="CI23" i="2"/>
  <c r="CH23" i="2"/>
  <c r="CG23" i="2"/>
  <c r="CB23" i="2"/>
  <c r="CA23" i="2"/>
  <c r="BZ23" i="2"/>
  <c r="BU23" i="2"/>
  <c r="BT23" i="2"/>
  <c r="BS23" i="2"/>
  <c r="BN23" i="2"/>
  <c r="BM23" i="2"/>
  <c r="BL23" i="2"/>
  <c r="AV23" i="2"/>
  <c r="AN23" i="2"/>
  <c r="AM23" i="2"/>
  <c r="AL23" i="2"/>
  <c r="AE23" i="2"/>
  <c r="R23" i="2"/>
  <c r="G23" i="2"/>
  <c r="A23" i="2"/>
  <c r="IG22" i="2"/>
  <c r="GV22" i="2"/>
  <c r="GP22" i="2"/>
  <c r="FZ22" i="2"/>
  <c r="FT22" i="2"/>
  <c r="GH22" i="2" s="1"/>
  <c r="FN22" i="2"/>
  <c r="GG22" i="2" s="1"/>
  <c r="FH22" i="2"/>
  <c r="GF22" i="2" s="1"/>
  <c r="FE22" i="2"/>
  <c r="FD22" i="2"/>
  <c r="FC22" i="2"/>
  <c r="FB22" i="2"/>
  <c r="FA22" i="2"/>
  <c r="EZ22" i="2"/>
  <c r="EY22" i="2"/>
  <c r="EX22" i="2"/>
  <c r="EW22" i="2"/>
  <c r="EV22" i="2"/>
  <c r="EU22" i="2"/>
  <c r="ET22" i="2"/>
  <c r="ES22" i="2"/>
  <c r="ER22" i="2"/>
  <c r="EQ22" i="2"/>
  <c r="EP22" i="2"/>
  <c r="EO22" i="2"/>
  <c r="EN22" i="2"/>
  <c r="EM22" i="2"/>
  <c r="EL22" i="2"/>
  <c r="EK22" i="2"/>
  <c r="EJ22" i="2"/>
  <c r="EI22" i="2"/>
  <c r="EH22" i="2"/>
  <c r="EG22" i="2"/>
  <c r="EF22" i="2"/>
  <c r="EE22" i="2"/>
  <c r="ED22" i="2"/>
  <c r="EC22" i="2"/>
  <c r="EB22" i="2"/>
  <c r="DO22" i="2"/>
  <c r="DN22" i="2"/>
  <c r="DM22" i="2"/>
  <c r="DL22" i="2"/>
  <c r="DK22" i="2"/>
  <c r="DI22" i="2"/>
  <c r="DH22" i="2"/>
  <c r="DF22" i="2"/>
  <c r="DE22" i="2"/>
  <c r="DA22" i="2"/>
  <c r="CW22" i="2"/>
  <c r="CV22" i="2"/>
  <c r="CI22" i="2"/>
  <c r="CH22" i="2"/>
  <c r="CG22" i="2"/>
  <c r="CB22" i="2"/>
  <c r="CA22" i="2"/>
  <c r="BZ22" i="2"/>
  <c r="BU22" i="2"/>
  <c r="BT22" i="2"/>
  <c r="BS22" i="2"/>
  <c r="BN22" i="2"/>
  <c r="BM22" i="2"/>
  <c r="BL22" i="2"/>
  <c r="AV22" i="2"/>
  <c r="AN22" i="2"/>
  <c r="AM22" i="2"/>
  <c r="AL22" i="2"/>
  <c r="AE22" i="2"/>
  <c r="Y22" i="2"/>
  <c r="R22" i="2"/>
  <c r="G22" i="2"/>
  <c r="A22" i="2"/>
  <c r="IG21" i="2"/>
  <c r="GV21" i="2"/>
  <c r="GP21" i="2"/>
  <c r="GH21" i="2"/>
  <c r="FZ21" i="2"/>
  <c r="FT21" i="2"/>
  <c r="FN21" i="2"/>
  <c r="GG21" i="2" s="1"/>
  <c r="FH21" i="2"/>
  <c r="GF21" i="2" s="1"/>
  <c r="FE21" i="2"/>
  <c r="FD21" i="2"/>
  <c r="FC21" i="2"/>
  <c r="FB21" i="2"/>
  <c r="FA21" i="2"/>
  <c r="EZ21" i="2"/>
  <c r="EY21" i="2"/>
  <c r="EX21" i="2"/>
  <c r="EW21" i="2"/>
  <c r="EV21" i="2"/>
  <c r="EU21" i="2"/>
  <c r="ET21" i="2"/>
  <c r="ES21" i="2"/>
  <c r="ER21" i="2"/>
  <c r="EQ21" i="2"/>
  <c r="EP21" i="2"/>
  <c r="EO21" i="2"/>
  <c r="EN21" i="2"/>
  <c r="EM21" i="2"/>
  <c r="EL21" i="2"/>
  <c r="EK21" i="2"/>
  <c r="EJ21" i="2"/>
  <c r="EI21" i="2"/>
  <c r="EH21" i="2"/>
  <c r="EG21" i="2"/>
  <c r="EF21" i="2"/>
  <c r="EE21" i="2"/>
  <c r="ED21" i="2"/>
  <c r="EC21" i="2"/>
  <c r="EB21" i="2"/>
  <c r="DO21" i="2"/>
  <c r="DN21" i="2"/>
  <c r="DM21" i="2"/>
  <c r="DL21" i="2"/>
  <c r="DK21" i="2"/>
  <c r="DI21" i="2"/>
  <c r="DH21" i="2"/>
  <c r="DF21" i="2"/>
  <c r="DE21" i="2"/>
  <c r="DA21" i="2"/>
  <c r="CW21" i="2"/>
  <c r="CV21" i="2"/>
  <c r="CI21" i="2"/>
  <c r="CH21" i="2"/>
  <c r="CG21" i="2"/>
  <c r="CB21" i="2"/>
  <c r="CA21" i="2"/>
  <c r="BZ21" i="2"/>
  <c r="BU21" i="2"/>
  <c r="BT21" i="2"/>
  <c r="BS21" i="2"/>
  <c r="BN21" i="2"/>
  <c r="BM21" i="2"/>
  <c r="BL21" i="2"/>
  <c r="AV21" i="2"/>
  <c r="AN21" i="2"/>
  <c r="AM21" i="2"/>
  <c r="AL21" i="2"/>
  <c r="AE21" i="2"/>
  <c r="Y21" i="2"/>
  <c r="R21" i="2"/>
  <c r="G21" i="2"/>
  <c r="A21" i="2"/>
  <c r="IG20" i="2"/>
  <c r="GV20" i="2"/>
  <c r="GP20" i="2"/>
  <c r="FZ20" i="2"/>
  <c r="GI20" i="2" s="1"/>
  <c r="FT20" i="2"/>
  <c r="GH20" i="2" s="1"/>
  <c r="FN20" i="2"/>
  <c r="GG20" i="2" s="1"/>
  <c r="FH20" i="2"/>
  <c r="GF20" i="2" s="1"/>
  <c r="FE20" i="2"/>
  <c r="FD20" i="2"/>
  <c r="FC20" i="2"/>
  <c r="FB20" i="2"/>
  <c r="FA20" i="2"/>
  <c r="EZ20" i="2"/>
  <c r="EY20" i="2"/>
  <c r="EX20" i="2"/>
  <c r="EW20" i="2"/>
  <c r="EV20" i="2"/>
  <c r="EU20" i="2"/>
  <c r="ET20" i="2"/>
  <c r="ES20" i="2"/>
  <c r="ER20" i="2"/>
  <c r="EQ20" i="2"/>
  <c r="EP20" i="2"/>
  <c r="EO20" i="2"/>
  <c r="EN20" i="2"/>
  <c r="EM20" i="2"/>
  <c r="EL20" i="2"/>
  <c r="EK20" i="2"/>
  <c r="EJ20" i="2"/>
  <c r="EI20" i="2"/>
  <c r="EH20" i="2"/>
  <c r="EG20" i="2"/>
  <c r="EF20" i="2"/>
  <c r="EE20" i="2"/>
  <c r="ED20" i="2"/>
  <c r="EC20" i="2"/>
  <c r="EB20" i="2"/>
  <c r="DO20" i="2"/>
  <c r="DN20" i="2"/>
  <c r="DM20" i="2"/>
  <c r="DL20" i="2"/>
  <c r="DK20" i="2"/>
  <c r="DI20" i="2"/>
  <c r="DH20" i="2"/>
  <c r="DF20" i="2"/>
  <c r="DE20" i="2"/>
  <c r="DA20" i="2"/>
  <c r="CW20" i="2"/>
  <c r="CV20" i="2"/>
  <c r="CI20" i="2"/>
  <c r="CH20" i="2"/>
  <c r="CG20" i="2"/>
  <c r="CB20" i="2"/>
  <c r="CA20" i="2"/>
  <c r="BZ20" i="2"/>
  <c r="BU20" i="2"/>
  <c r="BT20" i="2"/>
  <c r="BS20" i="2"/>
  <c r="BN20" i="2"/>
  <c r="BM20" i="2"/>
  <c r="BL20" i="2"/>
  <c r="AV20" i="2"/>
  <c r="AN20" i="2"/>
  <c r="AM20" i="2"/>
  <c r="AL20" i="2"/>
  <c r="AE20" i="2"/>
  <c r="Y20" i="2"/>
  <c r="R20" i="2"/>
  <c r="G20" i="2"/>
  <c r="A20" i="2"/>
  <c r="IG19" i="2"/>
  <c r="GV19" i="2"/>
  <c r="GP19" i="2"/>
  <c r="FZ19" i="2"/>
  <c r="FT19" i="2"/>
  <c r="GH19" i="2" s="1"/>
  <c r="FN19" i="2"/>
  <c r="GG19" i="2" s="1"/>
  <c r="FH19" i="2"/>
  <c r="GF19" i="2" s="1"/>
  <c r="FE19" i="2"/>
  <c r="FD19" i="2"/>
  <c r="FC19" i="2"/>
  <c r="FB19" i="2"/>
  <c r="FA19" i="2"/>
  <c r="EZ19" i="2"/>
  <c r="EY19" i="2"/>
  <c r="EX19" i="2"/>
  <c r="EW19" i="2"/>
  <c r="EV19" i="2"/>
  <c r="EU19" i="2"/>
  <c r="ET19" i="2"/>
  <c r="ES19" i="2"/>
  <c r="ER19" i="2"/>
  <c r="EQ19" i="2"/>
  <c r="EP19" i="2"/>
  <c r="EO19" i="2"/>
  <c r="EN19" i="2"/>
  <c r="EM19" i="2"/>
  <c r="EL19" i="2"/>
  <c r="EK19" i="2"/>
  <c r="EJ19" i="2"/>
  <c r="EI19" i="2"/>
  <c r="EH19" i="2"/>
  <c r="EG19" i="2"/>
  <c r="EF19" i="2"/>
  <c r="EE19" i="2"/>
  <c r="ED19" i="2"/>
  <c r="EC19" i="2"/>
  <c r="EB19" i="2"/>
  <c r="DO19" i="2"/>
  <c r="DN19" i="2"/>
  <c r="DM19" i="2"/>
  <c r="DL19" i="2"/>
  <c r="DK19" i="2"/>
  <c r="DI19" i="2"/>
  <c r="DH19" i="2"/>
  <c r="DF19" i="2"/>
  <c r="DE19" i="2"/>
  <c r="DA19" i="2"/>
  <c r="CW19" i="2"/>
  <c r="CV19" i="2"/>
  <c r="CI19" i="2"/>
  <c r="CH19" i="2"/>
  <c r="CG19" i="2"/>
  <c r="CB19" i="2"/>
  <c r="CA19" i="2"/>
  <c r="BZ19" i="2"/>
  <c r="BU19" i="2"/>
  <c r="BT19" i="2"/>
  <c r="BS19" i="2"/>
  <c r="BN19" i="2"/>
  <c r="BM19" i="2"/>
  <c r="BL19" i="2"/>
  <c r="AV19" i="2"/>
  <c r="AN19" i="2"/>
  <c r="AM19" i="2"/>
  <c r="AL19" i="2"/>
  <c r="AE19" i="2"/>
  <c r="Y19" i="2"/>
  <c r="R19" i="2"/>
  <c r="G19" i="2"/>
  <c r="A19" i="2"/>
  <c r="IG18" i="2"/>
  <c r="GV18" i="2"/>
  <c r="GP18" i="2"/>
  <c r="GF18" i="2"/>
  <c r="FZ18" i="2"/>
  <c r="GJ18" i="2" s="1"/>
  <c r="FT18" i="2"/>
  <c r="GH18" i="2" s="1"/>
  <c r="FN18" i="2"/>
  <c r="GG18" i="2" s="1"/>
  <c r="FH18" i="2"/>
  <c r="FE18" i="2"/>
  <c r="FD18" i="2"/>
  <c r="FC18" i="2"/>
  <c r="FB18" i="2"/>
  <c r="FA18" i="2"/>
  <c r="EZ18" i="2"/>
  <c r="EY18" i="2"/>
  <c r="EX18" i="2"/>
  <c r="EW18" i="2"/>
  <c r="EV18" i="2"/>
  <c r="EU18" i="2"/>
  <c r="ET18" i="2"/>
  <c r="ES18" i="2"/>
  <c r="ER18" i="2"/>
  <c r="EQ18" i="2"/>
  <c r="EP18" i="2"/>
  <c r="EO18" i="2"/>
  <c r="EN18" i="2"/>
  <c r="EM18" i="2"/>
  <c r="EL18" i="2"/>
  <c r="EK18" i="2"/>
  <c r="EJ18" i="2"/>
  <c r="EI18" i="2"/>
  <c r="EH18" i="2"/>
  <c r="EG18" i="2"/>
  <c r="EF18" i="2"/>
  <c r="EE18" i="2"/>
  <c r="ED18" i="2"/>
  <c r="EC18" i="2"/>
  <c r="EB18" i="2"/>
  <c r="DO18" i="2"/>
  <c r="DN18" i="2"/>
  <c r="DM18" i="2"/>
  <c r="DL18" i="2"/>
  <c r="DK18" i="2"/>
  <c r="DI18" i="2"/>
  <c r="DH18" i="2"/>
  <c r="DF18" i="2"/>
  <c r="DE18" i="2"/>
  <c r="DA18" i="2"/>
  <c r="CW18" i="2"/>
  <c r="CV18" i="2"/>
  <c r="CI18" i="2"/>
  <c r="CH18" i="2"/>
  <c r="CG18" i="2"/>
  <c r="CB18" i="2"/>
  <c r="CA18" i="2"/>
  <c r="BZ18" i="2"/>
  <c r="BU18" i="2"/>
  <c r="BT18" i="2"/>
  <c r="BS18" i="2"/>
  <c r="BN18" i="2"/>
  <c r="BM18" i="2"/>
  <c r="BL18" i="2"/>
  <c r="AV18" i="2"/>
  <c r="AN18" i="2"/>
  <c r="AM18" i="2"/>
  <c r="AL18" i="2"/>
  <c r="AE18" i="2"/>
  <c r="Y18" i="2"/>
  <c r="R18" i="2"/>
  <c r="G18" i="2"/>
  <c r="A18" i="2"/>
  <c r="IG17" i="2"/>
  <c r="GV17" i="2"/>
  <c r="GP17" i="2"/>
  <c r="GH17" i="2"/>
  <c r="GG17" i="2"/>
  <c r="GF17" i="2"/>
  <c r="FZ17" i="2"/>
  <c r="FT17" i="2"/>
  <c r="FN17" i="2"/>
  <c r="FH17" i="2"/>
  <c r="FE17" i="2"/>
  <c r="FD17" i="2"/>
  <c r="FC17" i="2"/>
  <c r="FB17" i="2"/>
  <c r="FA17" i="2"/>
  <c r="EZ17" i="2"/>
  <c r="EY17" i="2"/>
  <c r="EX17" i="2"/>
  <c r="EW17" i="2"/>
  <c r="EV17" i="2"/>
  <c r="EU17" i="2"/>
  <c r="ET17" i="2"/>
  <c r="ES17" i="2"/>
  <c r="ER17" i="2"/>
  <c r="EQ17" i="2"/>
  <c r="EP17" i="2"/>
  <c r="EO17" i="2"/>
  <c r="EN17" i="2"/>
  <c r="EM17" i="2"/>
  <c r="EL17" i="2"/>
  <c r="EK17" i="2"/>
  <c r="EJ17" i="2"/>
  <c r="EI17" i="2"/>
  <c r="EH17" i="2"/>
  <c r="EG17" i="2"/>
  <c r="EF17" i="2"/>
  <c r="EE17" i="2"/>
  <c r="ED17" i="2"/>
  <c r="EC17" i="2"/>
  <c r="EB17" i="2"/>
  <c r="DO17" i="2"/>
  <c r="DN17" i="2"/>
  <c r="DM17" i="2"/>
  <c r="DL17" i="2"/>
  <c r="DK17" i="2"/>
  <c r="DI17" i="2"/>
  <c r="DH17" i="2"/>
  <c r="DF17" i="2"/>
  <c r="DE17" i="2"/>
  <c r="DA17" i="2"/>
  <c r="CW17" i="2"/>
  <c r="CV17" i="2"/>
  <c r="CI17" i="2"/>
  <c r="CH17" i="2"/>
  <c r="CG17" i="2"/>
  <c r="CB17" i="2"/>
  <c r="CA17" i="2"/>
  <c r="BZ17" i="2"/>
  <c r="BU17" i="2"/>
  <c r="BT17" i="2"/>
  <c r="BS17" i="2"/>
  <c r="BN17" i="2"/>
  <c r="BM17" i="2"/>
  <c r="BL17" i="2"/>
  <c r="AV17" i="2"/>
  <c r="AN17" i="2"/>
  <c r="AM17" i="2"/>
  <c r="AL17" i="2"/>
  <c r="AE17" i="2"/>
  <c r="Y17" i="2"/>
  <c r="R17" i="2"/>
  <c r="G17" i="2"/>
  <c r="A17" i="2"/>
  <c r="IG16" i="2"/>
  <c r="GJ16" i="2"/>
  <c r="AN16" i="2"/>
  <c r="IG15" i="2"/>
  <c r="GV15" i="2"/>
  <c r="GP15" i="2"/>
  <c r="FZ15" i="2"/>
  <c r="FT15" i="2"/>
  <c r="GH15" i="2" s="1"/>
  <c r="FN15" i="2"/>
  <c r="GG15" i="2" s="1"/>
  <c r="FH15" i="2"/>
  <c r="GF15" i="2" s="1"/>
  <c r="EG15" i="2"/>
  <c r="EF15" i="2"/>
  <c r="EE15" i="2"/>
  <c r="ED15" i="2"/>
  <c r="EC15" i="2"/>
  <c r="EB15" i="2"/>
  <c r="DO15" i="2"/>
  <c r="DN15" i="2"/>
  <c r="DM15" i="2"/>
  <c r="DL15" i="2"/>
  <c r="DK15" i="2"/>
  <c r="DI15" i="2"/>
  <c r="DH15" i="2"/>
  <c r="DF15" i="2"/>
  <c r="DE15" i="2"/>
  <c r="CW15" i="2"/>
  <c r="CV15" i="2"/>
  <c r="CI15" i="2"/>
  <c r="CH15" i="2"/>
  <c r="CG15" i="2"/>
  <c r="CB15" i="2"/>
  <c r="CA15" i="2"/>
  <c r="BZ15" i="2"/>
  <c r="BU15" i="2"/>
  <c r="BT15" i="2"/>
  <c r="BS15" i="2"/>
  <c r="BN15" i="2"/>
  <c r="BM15" i="2"/>
  <c r="BL15" i="2"/>
  <c r="AV15" i="2"/>
  <c r="AN15" i="2"/>
  <c r="AE15" i="2"/>
  <c r="Y15" i="2"/>
  <c r="R15" i="2"/>
  <c r="G15" i="2"/>
  <c r="A15" i="2"/>
  <c r="IG14" i="2"/>
  <c r="GJ14" i="2"/>
  <c r="AN14" i="2"/>
  <c r="IG13" i="2"/>
  <c r="GV13" i="2"/>
  <c r="GP13" i="2"/>
  <c r="FZ13" i="2"/>
  <c r="GJ13" i="2" s="1"/>
  <c r="FT13" i="2"/>
  <c r="GH13" i="2" s="1"/>
  <c r="FN13" i="2"/>
  <c r="GG13" i="2" s="1"/>
  <c r="FH13" i="2"/>
  <c r="GF13" i="2" s="1"/>
  <c r="EO13" i="2"/>
  <c r="EN13" i="2"/>
  <c r="EM13" i="2"/>
  <c r="EL13" i="2"/>
  <c r="EK13" i="2"/>
  <c r="EJ13" i="2"/>
  <c r="EI13" i="2"/>
  <c r="EH13" i="2"/>
  <c r="EG13" i="2"/>
  <c r="EF13" i="2"/>
  <c r="EE13" i="2"/>
  <c r="ED13" i="2"/>
  <c r="EC13" i="2"/>
  <c r="EB13" i="2"/>
  <c r="DO13" i="2"/>
  <c r="DN13" i="2"/>
  <c r="DM13" i="2"/>
  <c r="DL13" i="2"/>
  <c r="DK13" i="2"/>
  <c r="DI13" i="2"/>
  <c r="DH13" i="2"/>
  <c r="DF13" i="2"/>
  <c r="DE13" i="2"/>
  <c r="CW13" i="2"/>
  <c r="CV13" i="2"/>
  <c r="CP13" i="2"/>
  <c r="CO13" i="2"/>
  <c r="CN13" i="2"/>
  <c r="CI13" i="2"/>
  <c r="CH13" i="2"/>
  <c r="CG13" i="2"/>
  <c r="CB13" i="2"/>
  <c r="CA13" i="2"/>
  <c r="BZ13" i="2"/>
  <c r="BU13" i="2"/>
  <c r="BT13" i="2"/>
  <c r="BS13" i="2"/>
  <c r="BN13" i="2"/>
  <c r="BM13" i="2"/>
  <c r="BL13" i="2"/>
  <c r="BJ13" i="2"/>
  <c r="AV13" i="2"/>
  <c r="AN13" i="2"/>
  <c r="AE13" i="2"/>
  <c r="R13" i="2"/>
  <c r="G13" i="2"/>
  <c r="A13" i="2"/>
  <c r="IG12" i="2"/>
  <c r="GV12" i="2"/>
  <c r="GP12" i="2"/>
  <c r="GH12" i="2"/>
  <c r="FZ12" i="2"/>
  <c r="GJ12" i="2" s="1"/>
  <c r="FN12" i="2"/>
  <c r="GG12" i="2" s="1"/>
  <c r="FH12" i="2"/>
  <c r="GF12" i="2" s="1"/>
  <c r="ES12" i="2"/>
  <c r="ER12" i="2"/>
  <c r="EQ12" i="2"/>
  <c r="EP12" i="2"/>
  <c r="EO12" i="2"/>
  <c r="EN12" i="2"/>
  <c r="EM12" i="2"/>
  <c r="EL12" i="2"/>
  <c r="EK12" i="2"/>
  <c r="EJ12" i="2"/>
  <c r="EI12" i="2"/>
  <c r="EH12" i="2"/>
  <c r="EG12" i="2"/>
  <c r="EF12" i="2"/>
  <c r="EE12" i="2"/>
  <c r="ED12" i="2"/>
  <c r="EC12" i="2"/>
  <c r="EB12" i="2"/>
  <c r="DO12" i="2"/>
  <c r="DN12" i="2"/>
  <c r="DM12" i="2"/>
  <c r="DL12" i="2"/>
  <c r="DK12" i="2"/>
  <c r="DI12" i="2"/>
  <c r="DH12" i="2"/>
  <c r="DF12" i="2"/>
  <c r="DE12" i="2"/>
  <c r="CW12" i="2"/>
  <c r="CV12" i="2"/>
  <c r="CI12" i="2"/>
  <c r="CH12" i="2"/>
  <c r="CG12" i="2"/>
  <c r="CB12" i="2"/>
  <c r="CA12" i="2"/>
  <c r="BZ12" i="2"/>
  <c r="BU12" i="2"/>
  <c r="BT12" i="2"/>
  <c r="BS12" i="2"/>
  <c r="BN12" i="2"/>
  <c r="BM12" i="2"/>
  <c r="BL12" i="2"/>
  <c r="AV12" i="2"/>
  <c r="AN12" i="2"/>
  <c r="AE12" i="2"/>
  <c r="R12" i="2"/>
  <c r="G12" i="2"/>
  <c r="A12" i="2"/>
  <c r="IG11" i="2"/>
  <c r="GV11" i="2"/>
  <c r="GP11" i="2"/>
  <c r="FZ11" i="2"/>
  <c r="GJ11" i="2" s="1"/>
  <c r="FT11" i="2"/>
  <c r="GH11" i="2" s="1"/>
  <c r="FN11" i="2"/>
  <c r="GG11" i="2" s="1"/>
  <c r="FH11" i="2"/>
  <c r="GF11" i="2" s="1"/>
  <c r="EQ11" i="2"/>
  <c r="EP11" i="2"/>
  <c r="EO11" i="2"/>
  <c r="EN11" i="2"/>
  <c r="EM11" i="2"/>
  <c r="EL11" i="2"/>
  <c r="EK11" i="2"/>
  <c r="EJ11" i="2"/>
  <c r="EI11" i="2"/>
  <c r="EH11" i="2"/>
  <c r="EG11" i="2"/>
  <c r="EF11" i="2"/>
  <c r="EE11" i="2"/>
  <c r="ED11" i="2"/>
  <c r="EC11" i="2"/>
  <c r="EB11" i="2"/>
  <c r="DO11" i="2"/>
  <c r="DN11" i="2"/>
  <c r="DM11" i="2"/>
  <c r="DL11" i="2"/>
  <c r="DK11" i="2"/>
  <c r="DI11" i="2"/>
  <c r="DH11" i="2"/>
  <c r="DF11" i="2"/>
  <c r="DE11" i="2"/>
  <c r="CW11" i="2"/>
  <c r="CV11" i="2"/>
  <c r="CP11" i="2"/>
  <c r="CO11" i="2"/>
  <c r="CN11" i="2"/>
  <c r="CI11" i="2"/>
  <c r="CH11" i="2"/>
  <c r="CG11" i="2"/>
  <c r="CB11" i="2"/>
  <c r="CA11" i="2"/>
  <c r="BZ11" i="2"/>
  <c r="BU11" i="2"/>
  <c r="BT11" i="2"/>
  <c r="BS11" i="2"/>
  <c r="BN11" i="2"/>
  <c r="BM11" i="2"/>
  <c r="BL11" i="2"/>
  <c r="AV11" i="2"/>
  <c r="AN11" i="2"/>
  <c r="AE11" i="2"/>
  <c r="R11" i="2"/>
  <c r="G11" i="2"/>
  <c r="A11" i="2"/>
  <c r="IG10" i="2"/>
  <c r="GV10" i="2"/>
  <c r="GP10" i="2"/>
  <c r="FZ10" i="2"/>
  <c r="FT10" i="2"/>
  <c r="GH10" i="2" s="1"/>
  <c r="FN10" i="2"/>
  <c r="GG10" i="2" s="1"/>
  <c r="FH10" i="2"/>
  <c r="GF10" i="2" s="1"/>
  <c r="EM10" i="2"/>
  <c r="EL10" i="2"/>
  <c r="EK10" i="2"/>
  <c r="EJ10" i="2"/>
  <c r="EI10" i="2"/>
  <c r="EH10" i="2"/>
  <c r="EG10" i="2"/>
  <c r="EF10" i="2"/>
  <c r="EE10" i="2"/>
  <c r="ED10" i="2"/>
  <c r="EC10" i="2"/>
  <c r="EB10" i="2"/>
  <c r="DO10" i="2"/>
  <c r="DN10" i="2"/>
  <c r="DM10" i="2"/>
  <c r="DL10" i="2"/>
  <c r="DK10" i="2"/>
  <c r="DI10" i="2"/>
  <c r="DH10" i="2"/>
  <c r="DF10" i="2"/>
  <c r="DE10" i="2"/>
  <c r="CW10" i="2"/>
  <c r="CV10" i="2"/>
  <c r="CI10" i="2"/>
  <c r="CH10" i="2"/>
  <c r="CG10" i="2"/>
  <c r="CB10" i="2"/>
  <c r="CA10" i="2"/>
  <c r="BZ10" i="2"/>
  <c r="BU10" i="2"/>
  <c r="BT10" i="2"/>
  <c r="BS10" i="2"/>
  <c r="BN10" i="2"/>
  <c r="BM10" i="2"/>
  <c r="BL10" i="2"/>
  <c r="AV10" i="2"/>
  <c r="AN10" i="2"/>
  <c r="AE10" i="2"/>
  <c r="R10" i="2"/>
  <c r="G10" i="2"/>
  <c r="A10" i="2"/>
  <c r="IG9" i="2"/>
  <c r="GJ9" i="2"/>
  <c r="AN9" i="2"/>
  <c r="IG8" i="2"/>
  <c r="GV8" i="2"/>
  <c r="GP8" i="2"/>
  <c r="GI8" i="2"/>
  <c r="GH8" i="2"/>
  <c r="GG8" i="2"/>
  <c r="FT8" i="2"/>
  <c r="FN8" i="2"/>
  <c r="FH8" i="2"/>
  <c r="GF8" i="2" s="1"/>
  <c r="EW8" i="2"/>
  <c r="EV8" i="2"/>
  <c r="EU8" i="2"/>
  <c r="ET8" i="2"/>
  <c r="ES8" i="2"/>
  <c r="ER8" i="2"/>
  <c r="EQ8" i="2"/>
  <c r="EP8" i="2"/>
  <c r="EO8" i="2"/>
  <c r="EN8" i="2"/>
  <c r="EM8" i="2"/>
  <c r="EL8" i="2"/>
  <c r="EK8" i="2"/>
  <c r="EJ8" i="2"/>
  <c r="EI8" i="2"/>
  <c r="EH8" i="2"/>
  <c r="EG8" i="2"/>
  <c r="EF8" i="2"/>
  <c r="EE8" i="2"/>
  <c r="ED8" i="2"/>
  <c r="EC8" i="2"/>
  <c r="EB8" i="2"/>
  <c r="DO8" i="2"/>
  <c r="DN8" i="2"/>
  <c r="DM8" i="2"/>
  <c r="DL8" i="2"/>
  <c r="DK8" i="2"/>
  <c r="DI8" i="2"/>
  <c r="DH8" i="2"/>
  <c r="DF8" i="2"/>
  <c r="DE8" i="2"/>
  <c r="CW8" i="2"/>
  <c r="CV8" i="2"/>
  <c r="CI8" i="2"/>
  <c r="CH8" i="2"/>
  <c r="CG8" i="2"/>
  <c r="CB8" i="2"/>
  <c r="CA8" i="2"/>
  <c r="BZ8" i="2"/>
  <c r="BU8" i="2"/>
  <c r="BT8" i="2"/>
  <c r="BS8" i="2"/>
  <c r="BN8" i="2"/>
  <c r="BM8" i="2"/>
  <c r="BL8" i="2"/>
  <c r="AY8" i="2"/>
  <c r="AV8" i="2"/>
  <c r="AN8" i="2"/>
  <c r="AE8" i="2"/>
  <c r="R8" i="2"/>
  <c r="G8" i="2"/>
  <c r="A8" i="2"/>
  <c r="IG7" i="2"/>
  <c r="GV7" i="2"/>
  <c r="GP7" i="2"/>
  <c r="FZ7" i="2"/>
  <c r="GI7" i="2" s="1"/>
  <c r="FT7" i="2"/>
  <c r="GH7" i="2" s="1"/>
  <c r="FN7" i="2"/>
  <c r="GG7" i="2" s="1"/>
  <c r="FH7" i="2"/>
  <c r="GF7" i="2" s="1"/>
  <c r="ES7" i="2"/>
  <c r="ER7" i="2"/>
  <c r="EQ7" i="2"/>
  <c r="EP7" i="2"/>
  <c r="EO7" i="2"/>
  <c r="EN7" i="2"/>
  <c r="EM7" i="2"/>
  <c r="EL7" i="2"/>
  <c r="EK7" i="2"/>
  <c r="EJ7" i="2"/>
  <c r="EI7" i="2"/>
  <c r="EH7" i="2"/>
  <c r="EG7" i="2"/>
  <c r="EF7" i="2"/>
  <c r="EE7" i="2"/>
  <c r="ED7" i="2"/>
  <c r="EC7" i="2"/>
  <c r="EB7" i="2"/>
  <c r="DO7" i="2"/>
  <c r="DN7" i="2"/>
  <c r="DM7" i="2"/>
  <c r="DL7" i="2"/>
  <c r="DK7" i="2"/>
  <c r="DI7" i="2"/>
  <c r="DH7" i="2"/>
  <c r="DF7" i="2"/>
  <c r="DE7" i="2"/>
  <c r="CW7" i="2"/>
  <c r="CV7" i="2"/>
  <c r="CI7" i="2"/>
  <c r="CH7" i="2"/>
  <c r="CG7" i="2"/>
  <c r="CB7" i="2"/>
  <c r="CA7" i="2"/>
  <c r="BZ7" i="2"/>
  <c r="BU7" i="2"/>
  <c r="BT7" i="2"/>
  <c r="BS7" i="2"/>
  <c r="BN7" i="2"/>
  <c r="BM7" i="2"/>
  <c r="BL7" i="2"/>
  <c r="AY7" i="2"/>
  <c r="AV7" i="2"/>
  <c r="AN7" i="2"/>
  <c r="AE7" i="2"/>
  <c r="R7" i="2"/>
  <c r="G7" i="2"/>
  <c r="A7" i="2"/>
  <c r="IG6" i="2"/>
  <c r="GV6" i="2"/>
  <c r="GP6" i="2"/>
  <c r="FZ6" i="2"/>
  <c r="FT6" i="2"/>
  <c r="GH6" i="2" s="1"/>
  <c r="FN6" i="2"/>
  <c r="GG6" i="2" s="1"/>
  <c r="FH6" i="2"/>
  <c r="GF6" i="2" s="1"/>
  <c r="FE6" i="2"/>
  <c r="FD6" i="2"/>
  <c r="FC6" i="2"/>
  <c r="FB6" i="2"/>
  <c r="FA6" i="2"/>
  <c r="EZ6" i="2"/>
  <c r="EY6" i="2"/>
  <c r="EX6" i="2"/>
  <c r="EW6" i="2"/>
  <c r="EV6" i="2"/>
  <c r="EU6" i="2"/>
  <c r="ET6" i="2"/>
  <c r="ES6" i="2"/>
  <c r="ER6" i="2"/>
  <c r="EQ6" i="2"/>
  <c r="EP6" i="2"/>
  <c r="EO6" i="2"/>
  <c r="EN6" i="2"/>
  <c r="EM6" i="2"/>
  <c r="EL6" i="2"/>
  <c r="EK6" i="2"/>
  <c r="EJ6" i="2"/>
  <c r="EI6" i="2"/>
  <c r="EH6" i="2"/>
  <c r="EG6" i="2"/>
  <c r="EF6" i="2"/>
  <c r="EE6" i="2"/>
  <c r="ED6" i="2"/>
  <c r="EC6" i="2"/>
  <c r="EB6" i="2"/>
  <c r="DO6" i="2"/>
  <c r="DN6" i="2"/>
  <c r="DM6" i="2"/>
  <c r="DL6" i="2"/>
  <c r="DK6" i="2"/>
  <c r="DI6" i="2"/>
  <c r="DH6" i="2"/>
  <c r="DF6" i="2"/>
  <c r="DE6" i="2"/>
  <c r="CW6" i="2"/>
  <c r="CV6" i="2"/>
  <c r="CI6" i="2"/>
  <c r="CH6" i="2"/>
  <c r="CG6" i="2"/>
  <c r="CB6" i="2"/>
  <c r="CA6" i="2"/>
  <c r="BZ6" i="2"/>
  <c r="BU6" i="2"/>
  <c r="BT6" i="2"/>
  <c r="BS6" i="2"/>
  <c r="BN6" i="2"/>
  <c r="BM6" i="2"/>
  <c r="BL6" i="2"/>
  <c r="AY6" i="2"/>
  <c r="AV6" i="2"/>
  <c r="AN6" i="2"/>
  <c r="AM6" i="2"/>
  <c r="AL6" i="2"/>
  <c r="AE6" i="2"/>
  <c r="R6" i="2"/>
  <c r="G6" i="2"/>
  <c r="A6" i="2"/>
  <c r="IG5" i="2"/>
  <c r="GV5" i="2"/>
  <c r="GP5" i="2"/>
  <c r="FZ5" i="2"/>
  <c r="GI5" i="2" s="1"/>
  <c r="FT5" i="2"/>
  <c r="GH5" i="2" s="1"/>
  <c r="FN5" i="2"/>
  <c r="GG5" i="2" s="1"/>
  <c r="FH5" i="2"/>
  <c r="GF5" i="2" s="1"/>
  <c r="FE5" i="2"/>
  <c r="FD5" i="2"/>
  <c r="FC5" i="2"/>
  <c r="FB5" i="2"/>
  <c r="FA5" i="2"/>
  <c r="EZ5" i="2"/>
  <c r="EY5" i="2"/>
  <c r="EX5" i="2"/>
  <c r="EW5" i="2"/>
  <c r="EV5" i="2"/>
  <c r="EU5" i="2"/>
  <c r="ET5" i="2"/>
  <c r="ES5" i="2"/>
  <c r="ER5" i="2"/>
  <c r="EQ5" i="2"/>
  <c r="EP5" i="2"/>
  <c r="EO5" i="2"/>
  <c r="EN5" i="2"/>
  <c r="EM5" i="2"/>
  <c r="EL5" i="2"/>
  <c r="EK5" i="2"/>
  <c r="EJ5" i="2"/>
  <c r="EI5" i="2"/>
  <c r="EH5" i="2"/>
  <c r="EG5" i="2"/>
  <c r="EF5" i="2"/>
  <c r="EE5" i="2"/>
  <c r="ED5" i="2"/>
  <c r="EC5" i="2"/>
  <c r="EB5" i="2"/>
  <c r="DO5" i="2"/>
  <c r="DN5" i="2"/>
  <c r="DM5" i="2"/>
  <c r="DL5" i="2"/>
  <c r="DK5" i="2"/>
  <c r="DI5" i="2"/>
  <c r="DH5" i="2"/>
  <c r="DF5" i="2"/>
  <c r="DE5" i="2"/>
  <c r="CW5" i="2"/>
  <c r="CV5" i="2"/>
  <c r="CI5" i="2"/>
  <c r="CH5" i="2"/>
  <c r="CG5" i="2"/>
  <c r="CB5" i="2"/>
  <c r="CA5" i="2"/>
  <c r="BZ5" i="2"/>
  <c r="BU5" i="2"/>
  <c r="BT5" i="2"/>
  <c r="BS5" i="2"/>
  <c r="BN5" i="2"/>
  <c r="BM5" i="2"/>
  <c r="BL5" i="2"/>
  <c r="AY5" i="2"/>
  <c r="AV5" i="2"/>
  <c r="AN5" i="2"/>
  <c r="AM5" i="2"/>
  <c r="AL5" i="2"/>
  <c r="AE5" i="2"/>
  <c r="R5" i="2"/>
  <c r="G5" i="2"/>
  <c r="A5" i="2"/>
  <c r="AN4" i="2"/>
  <c r="AE2" i="2"/>
  <c r="C83" i="1"/>
  <c r="D81" i="1" s="1"/>
  <c r="F79" i="1"/>
  <c r="G63" i="1"/>
  <c r="D62" i="1"/>
  <c r="D58" i="1"/>
  <c r="D50" i="1"/>
  <c r="D46" i="1"/>
  <c r="S38" i="1"/>
  <c r="J38" i="1"/>
  <c r="GJ50" i="2" l="1"/>
  <c r="GJ123" i="2"/>
  <c r="GJ157" i="2"/>
  <c r="GJ134" i="2"/>
  <c r="GJ28" i="2"/>
  <c r="GJ38" i="2"/>
  <c r="GJ84" i="2"/>
  <c r="GJ125" i="2"/>
  <c r="GJ175" i="2"/>
  <c r="GJ57" i="2"/>
  <c r="GJ138" i="2"/>
  <c r="GJ147" i="2"/>
  <c r="GJ158" i="2"/>
  <c r="GJ166" i="2"/>
  <c r="GJ49" i="2"/>
  <c r="GJ90" i="2"/>
  <c r="GJ150" i="2"/>
  <c r="GJ94" i="2"/>
  <c r="GJ146" i="2"/>
  <c r="GJ168" i="2"/>
  <c r="GJ122" i="2"/>
  <c r="GI125" i="2"/>
  <c r="GJ137" i="2"/>
  <c r="GJ61" i="2"/>
  <c r="GJ96" i="2"/>
  <c r="GJ105" i="2"/>
  <c r="GJ112" i="2"/>
  <c r="GJ115" i="2"/>
  <c r="GJ135" i="2"/>
  <c r="GJ33" i="2"/>
  <c r="GJ46" i="2"/>
  <c r="GJ118" i="2"/>
  <c r="GJ171" i="2"/>
  <c r="GJ25" i="2"/>
  <c r="GJ88" i="2"/>
  <c r="GJ98" i="2"/>
  <c r="GJ108" i="2"/>
  <c r="GI134" i="2"/>
  <c r="GJ8" i="2"/>
  <c r="GJ21" i="2"/>
  <c r="GJ48" i="2"/>
  <c r="GJ81" i="2"/>
  <c r="GJ102" i="2"/>
  <c r="GJ164" i="2"/>
  <c r="GI140" i="2"/>
  <c r="GJ174" i="2"/>
  <c r="GJ17" i="2"/>
  <c r="GJ55" i="2"/>
  <c r="GJ97" i="2"/>
  <c r="GJ127" i="2"/>
  <c r="GJ139" i="2"/>
  <c r="GJ34" i="2"/>
  <c r="GJ47" i="2"/>
  <c r="GJ86" i="2"/>
  <c r="GJ91" i="2"/>
  <c r="GJ52" i="2"/>
  <c r="GJ162" i="2"/>
  <c r="GJ172" i="2"/>
  <c r="GJ101" i="2"/>
  <c r="GJ128" i="2"/>
  <c r="GJ167" i="2"/>
  <c r="GJ145" i="2"/>
  <c r="GJ10" i="2"/>
  <c r="GJ111" i="2"/>
  <c r="GJ120" i="2"/>
  <c r="GJ131" i="2"/>
  <c r="GJ6" i="2"/>
  <c r="GJ20" i="2"/>
  <c r="GJ45" i="2"/>
  <c r="GJ63" i="2"/>
  <c r="GJ103" i="2"/>
  <c r="GJ119" i="2"/>
  <c r="GJ77" i="2"/>
  <c r="GJ79" i="2"/>
  <c r="GJ149" i="2"/>
  <c r="GJ181" i="2"/>
  <c r="GJ53" i="2"/>
  <c r="GJ7" i="2"/>
  <c r="GJ15" i="2"/>
  <c r="GJ22" i="2"/>
  <c r="GJ76" i="2"/>
  <c r="GJ113" i="2"/>
  <c r="GJ143" i="2"/>
  <c r="GJ160" i="2"/>
  <c r="GJ19" i="2"/>
  <c r="GJ35" i="2"/>
  <c r="GJ43" i="2"/>
  <c r="GJ70" i="2"/>
  <c r="GJ75" i="2"/>
  <c r="GJ78" i="2"/>
  <c r="GJ104" i="2"/>
  <c r="GJ110" i="2"/>
  <c r="GJ129" i="2"/>
  <c r="GJ153" i="2"/>
  <c r="GJ170" i="2"/>
  <c r="GJ176" i="2"/>
  <c r="GJ5" i="2"/>
  <c r="GI10" i="2"/>
  <c r="GI11" i="2"/>
  <c r="GI15" i="2"/>
  <c r="GI19" i="2"/>
  <c r="GJ30" i="2"/>
  <c r="GJ66" i="2"/>
  <c r="GJ69" i="2"/>
  <c r="GJ80" i="2"/>
  <c r="GI6" i="2"/>
  <c r="GI108" i="2"/>
  <c r="GI17" i="2"/>
  <c r="GI21" i="2"/>
  <c r="GI49" i="2"/>
  <c r="GI57" i="2"/>
  <c r="GI61" i="2"/>
  <c r="GI81" i="2"/>
  <c r="GI115" i="2"/>
  <c r="GI137" i="2"/>
  <c r="GI138" i="2"/>
  <c r="GI139" i="2"/>
  <c r="GI150" i="2"/>
  <c r="GI79" i="2"/>
  <c r="GI97" i="2"/>
  <c r="GI111" i="2"/>
  <c r="GI131" i="2"/>
  <c r="GI145" i="2"/>
  <c r="GI181" i="2"/>
  <c r="GI53" i="2"/>
  <c r="GI70" i="2"/>
  <c r="GI104" i="2"/>
  <c r="GI117" i="2"/>
  <c r="GI149" i="2"/>
  <c r="GI162" i="2"/>
  <c r="GI172" i="2"/>
  <c r="GI13" i="2"/>
  <c r="GI18" i="2"/>
  <c r="GI22" i="2"/>
  <c r="GI52" i="2"/>
  <c r="GI59" i="2"/>
  <c r="GI128" i="2"/>
  <c r="GI153" i="2"/>
  <c r="GI160" i="2"/>
  <c r="GI171" i="2"/>
  <c r="GI12" i="2"/>
  <c r="GI35" i="2"/>
  <c r="GI63" i="2"/>
  <c r="GI77" i="2"/>
  <c r="GI101" i="2"/>
  <c r="GI103" i="2"/>
  <c r="GI120" i="2"/>
  <c r="D52" i="1"/>
  <c r="D63" i="1"/>
  <c r="D73" i="1"/>
  <c r="D53" i="1"/>
  <c r="D74" i="1"/>
  <c r="D75" i="1"/>
  <c r="D76" i="1"/>
  <c r="D61" i="1"/>
  <c r="D71" i="1"/>
  <c r="D51" i="1"/>
  <c r="D77" i="1"/>
  <c r="D43" i="1"/>
  <c r="D55" i="1"/>
  <c r="D64" i="1"/>
  <c r="D44" i="1"/>
  <c r="D56" i="1"/>
  <c r="D65" i="1"/>
  <c r="D45" i="1"/>
  <c r="D57" i="1"/>
  <c r="D66" i="1"/>
  <c r="D79" i="1"/>
  <c r="D72" i="1"/>
  <c r="D42" i="1"/>
  <c r="D54" i="1"/>
  <c r="D67" i="1"/>
  <c r="D47" i="1"/>
  <c r="D59" i="1"/>
  <c r="D68" i="1"/>
  <c r="D48" i="1"/>
  <c r="D69" i="1"/>
  <c r="D80" i="1"/>
  <c r="D49" i="1"/>
  <c r="D60" i="1"/>
  <c r="D70" i="1"/>
  <c r="D83" i="1" l="1"/>
  <c r="G79" i="1"/>
  <c r="F59" i="1"/>
  <c r="F63" i="1"/>
</calcChain>
</file>

<file path=xl/sharedStrings.xml><?xml version="1.0" encoding="utf-8"?>
<sst xmlns="http://schemas.openxmlformats.org/spreadsheetml/2006/main" count="7126" uniqueCount="1951">
  <si>
    <t>Condition</t>
  </si>
  <si>
    <t>Total CDS</t>
  </si>
  <si>
    <t>100 x significantly enriched in SG over whole body</t>
  </si>
  <si>
    <t>10 x significantly enriched in SG over whole body</t>
  </si>
  <si>
    <t>but not over 5X enriched in either sex</t>
  </si>
  <si>
    <t>5 x significantly enriched in SGF over SGM</t>
  </si>
  <si>
    <t>10 x significantly enriched in SGF over SGM</t>
  </si>
  <si>
    <t>5 x significantly enriched in SGM over SGF</t>
  </si>
  <si>
    <t>10 x significantly enriched in SGM over SGF</t>
  </si>
  <si>
    <t>All genes</t>
  </si>
  <si>
    <t>10 x significantly enriched is SG over whole body</t>
  </si>
  <si>
    <t>Class</t>
  </si>
  <si>
    <t>Average TPM SG male</t>
  </si>
  <si>
    <t xml:space="preserve">SE </t>
  </si>
  <si>
    <t>Average TPM SG female</t>
  </si>
  <si>
    <t>Average TPM 289 Whole adult male</t>
  </si>
  <si>
    <t>Average TPM 925 Whole adult female</t>
  </si>
  <si>
    <t xml:space="preserve">N </t>
  </si>
  <si>
    <t>Cytoskeletal</t>
  </si>
  <si>
    <t>Oxidant metabolism/detoxification</t>
  </si>
  <si>
    <t>Extracellular matrix/cell adhesion</t>
  </si>
  <si>
    <t>Immunity</t>
  </si>
  <si>
    <t>Metabolism</t>
  </si>
  <si>
    <t>Nuclear export</t>
  </si>
  <si>
    <t>Nuclear regulation</t>
  </si>
  <si>
    <t>Protein export machinery</t>
  </si>
  <si>
    <t>Protein modification machinery</t>
  </si>
  <si>
    <t>Proteasome machinery</t>
  </si>
  <si>
    <t>Protein synthesis machinery</t>
  </si>
  <si>
    <t>Secreted</t>
  </si>
  <si>
    <t>Signal transduction</t>
  </si>
  <si>
    <t>Storage</t>
  </si>
  <si>
    <t>Transposable element</t>
  </si>
  <si>
    <t>Transcription factor</t>
  </si>
  <si>
    <t>Transcription machinery</t>
  </si>
  <si>
    <t>Transporters/storage</t>
  </si>
  <si>
    <t>Unknown, conserved</t>
  </si>
  <si>
    <t>Unknown</t>
  </si>
  <si>
    <t>Viral</t>
  </si>
  <si>
    <t>Total</t>
  </si>
  <si>
    <t>Reads from salivary library</t>
  </si>
  <si>
    <t>Percent total reads</t>
  </si>
  <si>
    <t>Putative Secreted Products</t>
  </si>
  <si>
    <t xml:space="preserve">    Antigen 5 family</t>
  </si>
  <si>
    <t xml:space="preserve">    Small molecule binding proteins (lipocalins and OBP's)</t>
  </si>
  <si>
    <t xml:space="preserve">    Immunity</t>
  </si>
  <si>
    <t xml:space="preserve">    Antimicrobial peptides</t>
  </si>
  <si>
    <t xml:space="preserve">    Protease inhibitors</t>
  </si>
  <si>
    <t xml:space="preserve">    Thrombostasin precursor</t>
  </si>
  <si>
    <t xml:space="preserve">    Kazal/vasotab-like possible vasodilator</t>
  </si>
  <si>
    <t xml:space="preserve">    Serpins</t>
  </si>
  <si>
    <t xml:space="preserve">    Enzymes</t>
  </si>
  <si>
    <t xml:space="preserve">    Endonuclease</t>
  </si>
  <si>
    <t xml:space="preserve">    Serine proteases</t>
  </si>
  <si>
    <t xml:space="preserve">    Cysteine proteases (may not be secreted)</t>
  </si>
  <si>
    <t xml:space="preserve">    Nucleotide deaminase</t>
  </si>
  <si>
    <t xml:space="preserve">    Amylase</t>
  </si>
  <si>
    <t xml:space="preserve">    Phospholipase A2</t>
  </si>
  <si>
    <t xml:space="preserve">    Lipase</t>
  </si>
  <si>
    <t xml:space="preserve">    Similar to other secreted protein families</t>
  </si>
  <si>
    <t xml:space="preserve">    Hyp 16 family of mosquito proteins</t>
  </si>
  <si>
    <t xml:space="preserve">    11.4 kDa conserved family</t>
  </si>
  <si>
    <t xml:space="preserve">    Other Secreted proteins</t>
  </si>
  <si>
    <t>Housekeeping products</t>
  </si>
  <si>
    <t xml:space="preserve">    Cytoskeletal proteins</t>
  </si>
  <si>
    <t xml:space="preserve">    Detoxification</t>
  </si>
  <si>
    <t xml:space="preserve">    Oxidant metabolism/Detoxification</t>
  </si>
  <si>
    <t xml:space="preserve">    Extracellular matrix</t>
  </si>
  <si>
    <t xml:space="preserve">    Energy metabolism</t>
  </si>
  <si>
    <t xml:space="preserve">    Intermediary metabolism</t>
  </si>
  <si>
    <t xml:space="preserve">    Nuclear regulation</t>
  </si>
  <si>
    <t xml:space="preserve">    Protein export</t>
  </si>
  <si>
    <t xml:space="preserve">    Protein modification</t>
  </si>
  <si>
    <t xml:space="preserve">    Glycosyl transferases</t>
  </si>
  <si>
    <t xml:space="preserve">    Protein synthesis machinery</t>
  </si>
  <si>
    <t xml:space="preserve">    Signal transduction</t>
  </si>
  <si>
    <t xml:space="preserve">    Transcription factor</t>
  </si>
  <si>
    <t xml:space="preserve">    Transcription machinery</t>
  </si>
  <si>
    <t xml:space="preserve">    Transporters and channels</t>
  </si>
  <si>
    <t xml:space="preserve">    Unknown conserved</t>
  </si>
  <si>
    <t xml:space="preserve">    Unkown conserved membrane protein</t>
  </si>
  <si>
    <t xml:space="preserve">    Unknown product</t>
  </si>
  <si>
    <t>Link to pep</t>
  </si>
  <si>
    <t>First residue</t>
  </si>
  <si>
    <t>Seq size</t>
  </si>
  <si>
    <t>Description</t>
  </si>
  <si>
    <t>DP's</t>
  </si>
  <si>
    <t>mRNA name</t>
  </si>
  <si>
    <t>Link to CDS</t>
  </si>
  <si>
    <t>Locus</t>
  </si>
  <si>
    <t>ATG?</t>
  </si>
  <si>
    <t>*</t>
  </si>
  <si>
    <t>Supercontig</t>
  </si>
  <si>
    <t>N1</t>
  </si>
  <si>
    <t>N2</t>
  </si>
  <si>
    <t>Orientation</t>
  </si>
  <si>
    <t>No. Exons</t>
  </si>
  <si>
    <t>Exons</t>
  </si>
  <si>
    <t>SigP Result</t>
  </si>
  <si>
    <t>Cleavage Position</t>
  </si>
  <si>
    <t>MW</t>
  </si>
  <si>
    <t>pI</t>
  </si>
  <si>
    <t>Mature MW</t>
  </si>
  <si>
    <t xml:space="preserve">pI </t>
  </si>
  <si>
    <t>TMHMM result</t>
  </si>
  <si>
    <t>Predicted helices</t>
  </si>
  <si>
    <t>% membrane</t>
  </si>
  <si>
    <t>% outside</t>
  </si>
  <si>
    <t>% inside</t>
  </si>
  <si>
    <t>Possible GPI?</t>
  </si>
  <si>
    <t xml:space="preserve">Length of peptide after last membrane helix </t>
  </si>
  <si>
    <t>Percent Ser+Thr</t>
  </si>
  <si>
    <t>Percent Gly</t>
  </si>
  <si>
    <t>Percent Pro</t>
  </si>
  <si>
    <t xml:space="preserve">Percent GGY </t>
  </si>
  <si>
    <t xml:space="preserve">ProP furin cleavage predictions </t>
  </si>
  <si>
    <t>SG/(WB+1)</t>
  </si>
  <si>
    <t>Clustered at 95%Sim on 50% of larger length - - Cluster#</t>
  </si>
  <si>
    <t xml:space="preserve"># seqs </t>
  </si>
  <si>
    <t>CDS?</t>
  </si>
  <si>
    <t>Variant?</t>
  </si>
  <si>
    <t>READS SG ALL</t>
  </si>
  <si>
    <t>SG READS EI</t>
  </si>
  <si>
    <t>Avg TPM/SG/WB+.01</t>
  </si>
  <si>
    <t>Contig name</t>
  </si>
  <si>
    <t>Comments</t>
  </si>
  <si>
    <t>DBase</t>
  </si>
  <si>
    <t>Evalue</t>
  </si>
  <si>
    <t>% Coverage</t>
  </si>
  <si>
    <t>Best match to WANG database</t>
  </si>
  <si>
    <t>E value</t>
  </si>
  <si>
    <t>Extent of match</t>
  </si>
  <si>
    <t>Length of best match</t>
  </si>
  <si>
    <t>% identity</t>
  </si>
  <si>
    <t>% similarity</t>
  </si>
  <si>
    <t>Superclass</t>
  </si>
  <si>
    <t>Subclass</t>
  </si>
  <si>
    <t>Order number</t>
  </si>
  <si>
    <t>Salivary motifs</t>
  </si>
  <si>
    <t>Non promiscuous motifs</t>
  </si>
  <si>
    <t>Best match to NR-LIGHT protein database</t>
  </si>
  <si>
    <t>Match</t>
  </si>
  <si>
    <t xml:space="preserve">Species of best match </t>
  </si>
  <si>
    <t>Best match to SWISSP protein database</t>
  </si>
  <si>
    <t>Best match to REFSEQ-INVERTEBRATE protein database</t>
  </si>
  <si>
    <t>Species of best match</t>
  </si>
  <si>
    <t>Best match to DIPTERA protein database</t>
  </si>
  <si>
    <t>Best match to VIRUS protein database</t>
  </si>
  <si>
    <t>Best match to GO database</t>
  </si>
  <si>
    <t>GO function</t>
  </si>
  <si>
    <t>Function</t>
  </si>
  <si>
    <t>Definition</t>
  </si>
  <si>
    <t>Synonym</t>
  </si>
  <si>
    <t>EC number</t>
  </si>
  <si>
    <t>KEGG</t>
  </si>
  <si>
    <t>GO function eval 1e-4 &gt; 75% length</t>
  </si>
  <si>
    <t>Best match to CDD database</t>
  </si>
  <si>
    <t xml:space="preserve">All CDD domains </t>
  </si>
  <si>
    <t>Best match to KOG database</t>
  </si>
  <si>
    <t>General class</t>
  </si>
  <si>
    <t xml:space="preserve">Best match </t>
  </si>
  <si>
    <t>Best match to PFAM database</t>
  </si>
  <si>
    <t xml:space="preserve">E value </t>
  </si>
  <si>
    <t>Best match to SMART database</t>
  </si>
  <si>
    <t>Best match to REPBASE-RPS database</t>
  </si>
  <si>
    <t>Name</t>
  </si>
  <si>
    <t>Family</t>
  </si>
  <si>
    <t>Subfamily</t>
  </si>
  <si>
    <t>KW</t>
  </si>
  <si>
    <t>Annotation</t>
  </si>
  <si>
    <t>Organism</t>
  </si>
  <si>
    <t>Clustered at 25%Sim on 50% of larger length - - Cluster#</t>
  </si>
  <si>
    <t>Clustered at 30%Sim on 50% of larger length - - Cluster#</t>
  </si>
  <si>
    <t>Clustered at 35%Sim on 50% of larger length - - Cluster#</t>
  </si>
  <si>
    <t>Clustered at 40%Sim on 50% of larger length - - Cluster#</t>
  </si>
  <si>
    <t>Clustered at 45%Sim on 50% of larger length - - Cluster#</t>
  </si>
  <si>
    <t>Clustered at 50%Sim on 50% of larger length - - Cluster#</t>
  </si>
  <si>
    <t>Clustered at 55%Sim on 50% of larger length - - Cluster#</t>
  </si>
  <si>
    <t>Clustered at 60%Sim on 50% of larger length - - Cluster#</t>
  </si>
  <si>
    <t>Clustered at 65%Sim on 50% of larger length - - Cluster#</t>
  </si>
  <si>
    <t>Clustered at 70%Sim on 50% of larger length - - Cluster#</t>
  </si>
  <si>
    <t>Clustered at 75%Sim on 50% of larger length - - Cluster#</t>
  </si>
  <si>
    <t>Clustered at 80%Sim on 50% of larger length - - Cluster#</t>
  </si>
  <si>
    <t>Clustered at 85%Sim on 50% of larger length - - Cluster#</t>
  </si>
  <si>
    <t>Clustered at 90%Sim on 50% of larger length - - Cluster#</t>
  </si>
  <si>
    <t>Index to map reads</t>
  </si>
  <si>
    <t>Number of reads to SG_male-stripped_temp-95-h10-1gap and link to read file</t>
  </si>
  <si>
    <t>Linear coverage %</t>
  </si>
  <si>
    <t>Average coverage depth</t>
  </si>
  <si>
    <t>Min coverage depth</t>
  </si>
  <si>
    <t>Max coverage depth</t>
  </si>
  <si>
    <t xml:space="preserve">Average read length match </t>
  </si>
  <si>
    <t>Number of reads to SG_female-stripped_temp-95-h10-1gap and link to read file</t>
  </si>
  <si>
    <t>Number of reads to SRR694289-stripped_temp-95-h10-1gap and link to read file</t>
  </si>
  <si>
    <t>Number of reads to SRR694925-stripped_temp-95-h10-1gap and link to read file</t>
  </si>
  <si>
    <t>Reads SG male</t>
  </si>
  <si>
    <t>Reads SG female</t>
  </si>
  <si>
    <t>Reads 289 Whole adult male</t>
  </si>
  <si>
    <t>Reads 925 Whole adult female</t>
  </si>
  <si>
    <t>READS EI</t>
  </si>
  <si>
    <t>RPKM SG male</t>
  </si>
  <si>
    <t>RPKM SG female</t>
  </si>
  <si>
    <t>RPKM 289 Whole adult male</t>
  </si>
  <si>
    <t>RPKM 925 Whole adult female</t>
  </si>
  <si>
    <t>Max RPKM</t>
  </si>
  <si>
    <t>TPM SG male</t>
  </si>
  <si>
    <t>TPM SG female</t>
  </si>
  <si>
    <t>TPM 289 Whole adult male</t>
  </si>
  <si>
    <t>TPM 925 Whole adult female</t>
  </si>
  <si>
    <t>Max TPM</t>
  </si>
  <si>
    <t>All salivary</t>
  </si>
  <si>
    <t>All body</t>
  </si>
  <si>
    <t>Sum of reads</t>
  </si>
  <si>
    <t>Expected First</t>
  </si>
  <si>
    <t>Expected Second</t>
  </si>
  <si>
    <t>X2 First</t>
  </si>
  <si>
    <t>X2 Second</t>
  </si>
  <si>
    <t>Sum X2</t>
  </si>
  <si>
    <t>P</t>
  </si>
  <si>
    <t>Min Expected</t>
  </si>
  <si>
    <t>Min Exp &gt; 5?</t>
  </si>
  <si>
    <t>P&lt;0.05?</t>
  </si>
  <si>
    <t>Sum</t>
  </si>
  <si>
    <t>FDR</t>
  </si>
  <si>
    <t>Significant?</t>
  </si>
  <si>
    <t>First/(Second+1)</t>
  </si>
  <si>
    <t>Second/(First+1)</t>
  </si>
  <si>
    <t>SG male</t>
  </si>
  <si>
    <t>SG female</t>
  </si>
  <si>
    <t>Larger</t>
  </si>
  <si>
    <t>Larger than 5?</t>
  </si>
  <si>
    <t xml:space="preserve">   Antigen 5 family</t>
  </si>
  <si>
    <t>M</t>
  </si>
  <si>
    <t xml:space="preserve">venom allergen 5.02-like </t>
  </si>
  <si>
    <t>XM_013260789</t>
  </si>
  <si>
    <t xml:space="preserve">LOC106093675 </t>
  </si>
  <si>
    <t>ATG</t>
  </si>
  <si>
    <t>NW_013173729.1</t>
  </si>
  <si>
    <t>-</t>
  </si>
  <si>
    <t>25326-25457 24875-25269 24565-24820</t>
  </si>
  <si>
    <t xml:space="preserve"> 20-21</t>
  </si>
  <si>
    <t>ExpAA=1.10 First60=1.10 PredHel=0 Topology=o</t>
  </si>
  <si>
    <t xml:space="preserve"> </t>
  </si>
  <si>
    <t xml:space="preserve">. </t>
  </si>
  <si>
    <t/>
  </si>
  <si>
    <t>XP_013116243.1</t>
  </si>
  <si>
    <t>antigen 5 precursor - signalP detected</t>
  </si>
  <si>
    <t>s/antigen5</t>
  </si>
  <si>
    <t>Putative secreted proteins</t>
  </si>
  <si>
    <t xml:space="preserve"> Antigen 5 family</t>
  </si>
  <si>
    <t>antigen 5 precursor II</t>
  </si>
  <si>
    <t>Musca domestica</t>
  </si>
  <si>
    <t>Solenopsis invicta</t>
  </si>
  <si>
    <t>Stomoxys calcitrans</t>
  </si>
  <si>
    <t>Antigen 5-related 2 - Drosophila melanogaster - extracellular region - biological_process - molecular_function</t>
  </si>
  <si>
    <t>molecular_function</t>
  </si>
  <si>
    <t>Elemental activities, such as catalysis or binding, describing the actions of a gene product at the molecular level. A given gene product may exhibit one or more molecular functions.  [GOC:go_curators]</t>
  </si>
  <si>
    <t>molecular function  EXACT []</t>
  </si>
  <si>
    <t xml:space="preserve">GO:0003674; </t>
  </si>
  <si>
    <t>SCP_euk 1e-034| SCP 5e-024| SCP_GLIPR-1_like 2e-013| CAP 4e-013| SCP_HrTT-1 5e-011| SCP 2e-009| SCP_GAPR-1_like 3e-009| SCP_CRISP 3e-009| SCP_PRY1_like 2e-007| SCP_PR-1_like 1e-004|</t>
  </si>
  <si>
    <t>Function unknown</t>
  </si>
  <si>
    <t>XM_013260789_1</t>
  </si>
  <si>
    <t>Y</t>
  </si>
  <si>
    <t xml:space="preserve">venom allergen 3-like </t>
  </si>
  <si>
    <t>XM_013260788</t>
  </si>
  <si>
    <t xml:space="preserve">LOC106093674 </t>
  </si>
  <si>
    <t>71877-72008 71426-71820 71116-71371</t>
  </si>
  <si>
    <t>ExpAA=0.31 First60=0.31 PredHel=0 Topology=o</t>
  </si>
  <si>
    <t>XP_013116242.1</t>
  </si>
  <si>
    <t>antigen 5 precursor</t>
  </si>
  <si>
    <t>SCP_euk 3e-035| SCP 1e-024| SCP_GLIPR-1_like 9e-014| CAP 1e-013| SCP_HrTT-1 2e-011| SCP_GAPR-1_like 2e-010| SCP 7e-010| SCP_CRISP 8e-010| SCP_PRY1_like 4e-008| SCP_PR-1_like 1e-004|</t>
  </si>
  <si>
    <t>XM_013260788_1</t>
  </si>
  <si>
    <t xml:space="preserve">venom allergen 5-like </t>
  </si>
  <si>
    <t>XM_013242432</t>
  </si>
  <si>
    <t xml:space="preserve">LOC106080844 </t>
  </si>
  <si>
    <t>NW_013171932.1</t>
  </si>
  <si>
    <t>+</t>
  </si>
  <si>
    <t>200620-200739 204849-205243 205302-205548</t>
  </si>
  <si>
    <t xml:space="preserve"> 19-20</t>
  </si>
  <si>
    <t>ExpAA=0.91 First60=0.01 PredHel=0 Topology=o</t>
  </si>
  <si>
    <t>XP_013097886.1</t>
  </si>
  <si>
    <t>SCP-like extracellular protein domain - signalP detected</t>
  </si>
  <si>
    <t>Dolichovespula arenaria</t>
  </si>
  <si>
    <t>Antigen 5-related - Drosophila melanogaster - extracellular region - molecular_function - biological_process</t>
  </si>
  <si>
    <t>SCP_euk 4e-027| SCP 8e-016| CAP 3e-010| SCP_CRISP 1e-008| SCP 6e-008| SCP_GLIPR-1_like 3e-007| SCP_PR-1_like 7e-006| SCP_HrTT-1 3e-005| SCP_GAPR-1_like 2e-004| SCP_PRY1_like 0.009|</t>
  </si>
  <si>
    <t>XM_013242432_1</t>
  </si>
  <si>
    <t>XM_013242422</t>
  </si>
  <si>
    <t xml:space="preserve">LOC106080835 </t>
  </si>
  <si>
    <t>254609-254734 254795-255189 255262-255517</t>
  </si>
  <si>
    <t>ExpAA=3.02 First60=3.00 PredHel=0 Topology=o</t>
  </si>
  <si>
    <t>XP_013097876.1</t>
  </si>
  <si>
    <t>SCP_euk 1e-027| SCP 7e-020| CAP 5e-009| SCP 1e-007| SCP_GLIPR-1_like 3e-007| SCP_CRISP 8e-007| SCP_PRY1_like 1e-005| SCP_HrTT-1 5e-005| SCP_PR-1_like 8e-005| SCP_GAPR-1_like 1e-004|</t>
  </si>
  <si>
    <t>XM_013242422_1</t>
  </si>
  <si>
    <t xml:space="preserve">   Small molecule binding proteins (lipocalins and OBP's)</t>
  </si>
  <si>
    <t xml:space="preserve">general odorant-binding protein 99b </t>
  </si>
  <si>
    <t>XM_013242045</t>
  </si>
  <si>
    <t xml:space="preserve">LOC106080630 </t>
  </si>
  <si>
    <t>NW_013171924.1</t>
  </si>
  <si>
    <t>850723-850761 850842-851306</t>
  </si>
  <si>
    <t xml:space="preserve"> 16-17</t>
  </si>
  <si>
    <t>ExpAA=0.01 First60=0.01 PredHel=0 Topology=o</t>
  </si>
  <si>
    <t>XP_013097499.1</t>
  </si>
  <si>
    <t>general odorant-binding protein 99b precursor - signalP detected OBP</t>
  </si>
  <si>
    <t>s/OBP</t>
  </si>
  <si>
    <t>Drosophila melanogaster</t>
  </si>
  <si>
    <t>Odorant-binding protein 99b - Drosophila melanogaster - odorant binding - sensory perception of chemical stimulus - salivary gland cell autophagic cell death - autophagic cell death - olfactory behavior - extracellular region - response to pheromone</t>
  </si>
  <si>
    <t>odorant binding</t>
  </si>
  <si>
    <t>Interacting selectively and non-covalently with an odorant, any substance capable of stimulating the sense of smell.  [GOC:jl, ISBN:0721662544]</t>
  </si>
  <si>
    <t xml:space="preserve">GO:0005549; </t>
  </si>
  <si>
    <t>PBP_GOBP 1e-022| PhBP 2e-017| znuA 0.004| PRK10019 0.008| ZnuA 0.035| DUF2796 0.040| ZnuA 0.075| TIGR03943 0.093| COG2738 | PRK07376 |</t>
  </si>
  <si>
    <t>Intracellular trafficking, secretion, and vesicular transport</t>
  </si>
  <si>
    <t>XM_013242045_1</t>
  </si>
  <si>
    <t xml:space="preserve">apolipoprotein D-like </t>
  </si>
  <si>
    <t>XM_013251408</t>
  </si>
  <si>
    <t xml:space="preserve">LOC106086657 </t>
  </si>
  <si>
    <t>NW_013172272.1</t>
  </si>
  <si>
    <t>625802-625815 625879-626124 626178-626359 626440-626576</t>
  </si>
  <si>
    <t xml:space="preserve"> 21-22</t>
  </si>
  <si>
    <t>ExpAA=0.97 First60=0.93 PredHel=0 Topology=o</t>
  </si>
  <si>
    <t xml:space="preserve">1 | 160    TRERIPR|SS  0.580 *ProP*  | </t>
  </si>
  <si>
    <t>XP_013106862.1</t>
  </si>
  <si>
    <t>Lipocalin-like protein - signalP detected lipocalin</t>
  </si>
  <si>
    <t>s/lipocalin</t>
  </si>
  <si>
    <t>Cavia porcellus</t>
  </si>
  <si>
    <t>Acanthamoeba polyphaga mimivirus</t>
  </si>
  <si>
    <t>Neural Lazarillo - Drosophila melanogaster - extracellular space - lipid binding - pigment binding - carbohydrate homeostasis - triglyceride homeostasis - response to oxidative stress - determination of adult lifespan - multicellular organism reproduction</t>
  </si>
  <si>
    <t>lipid binding</t>
  </si>
  <si>
    <t>Interacting selectively and non-covalently with a lipid.  [GOC:ai]</t>
  </si>
  <si>
    <t>Lipocalin_2 5e-019| Blc 1e-018| Lipocalin 4e-015| PRK10477 5e-012| Triabin 2e-005| TbpA | ABC_transporter_ATP-binding_protein | PRK09970 | Amino-acid_acetyltransferase | ABC_tran |</t>
  </si>
  <si>
    <t>Cell wall/membrane/envelope biogenesis</t>
  </si>
  <si>
    <t>XM_013251408_1</t>
  </si>
  <si>
    <t xml:space="preserve">general odorant-binding protein 56d-like </t>
  </si>
  <si>
    <t>XM_013254504</t>
  </si>
  <si>
    <t xml:space="preserve">LOC106088814 </t>
  </si>
  <si>
    <t>NW_013172485.1</t>
  </si>
  <si>
    <t>65643-65702 65233-65583</t>
  </si>
  <si>
    <t xml:space="preserve"> 18-19</t>
  </si>
  <si>
    <t>ExpAA=0.28 First60=0.28 PredHel=0 Topology=o</t>
  </si>
  <si>
    <t>XP_013109958.1</t>
  </si>
  <si>
    <t>general odorant-binding protein 56d-like - signalP detected OBP</t>
  </si>
  <si>
    <t>Odorant-binding protein 56d - Drosophila melanogaster - odorant binding - sensory perception of chemical stimulus - extracellular region - olfactory behavior - response to pheromone</t>
  </si>
  <si>
    <t>PBP_GOBP 5e-018| PhBP 3e-009| Polyadenylate-binding_protein_3 | PRK15490 | Secretion_system_apparatus_protein_Ssa...    27   5.7   | RRM_scw1_like | Oligoendopeptidase_F_homolog |</t>
  </si>
  <si>
    <t>General function prediction only</t>
  </si>
  <si>
    <t>XM_013254504_1</t>
  </si>
  <si>
    <t>XM_013259881</t>
  </si>
  <si>
    <t xml:space="preserve">LOC106092925 </t>
  </si>
  <si>
    <t>NW_013173382.1</t>
  </si>
  <si>
    <t>30359-30366 30176-30290 29979-30109 29831-29913 21343-21441 21039-21178</t>
  </si>
  <si>
    <t>ExpAA=0.98 First60=0.33 PredHel=0 Topology=o</t>
  </si>
  <si>
    <t>XP_013115335.1</t>
  </si>
  <si>
    <t>Lipocalin- apolipo D</t>
  </si>
  <si>
    <t>extmat</t>
  </si>
  <si>
    <t>Ixodegrin_cys_pattern |</t>
  </si>
  <si>
    <t>Homo sapiens</t>
  </si>
  <si>
    <t>Blc 1e-019| Lipocalin_2 8e-017| Lipocalin 8e-013| PRK10477 4e-012| AhpA | PRK14061 | Triabin | PRK11246 | AroG | COG1094 |</t>
  </si>
  <si>
    <t>XM_013259881_1</t>
  </si>
  <si>
    <t xml:space="preserve">   Immunity</t>
  </si>
  <si>
    <t xml:space="preserve">GILT-like protein C02D5.2 </t>
  </si>
  <si>
    <t>XM_013246286</t>
  </si>
  <si>
    <t xml:space="preserve">LOC106083344 </t>
  </si>
  <si>
    <t>NW_013172044.1</t>
  </si>
  <si>
    <t>360174-360233 374969-375103 375194-375553 375620-375799</t>
  </si>
  <si>
    <t>ExpAA=33.58 First60=22.18 PredHel=1 Topology=i5-27o</t>
  </si>
  <si>
    <t>XP_013101740.1</t>
  </si>
  <si>
    <t>Gamma-interferon inducible lysosomal thiol reductase - signalP detected</t>
  </si>
  <si>
    <t>imm/secreted Gamma-interferon</t>
  </si>
  <si>
    <t>Caenorhabditis elegans</t>
  </si>
  <si>
    <t>Gamma-interferon-inducible lysosomal thiol reductase 1 - Drosophila melanogaster - plasma membrane - disulfide oxidoreductase activity - oxidation-reduction process - positive regulation of defense response to bacterium</t>
  </si>
  <si>
    <t>disulfide oxidoreductase activity</t>
  </si>
  <si>
    <t>Catalysis of the reaction: substrate with reduced sulfide groups = substrate with oxidized disulfide bonds.  [MetaCyc:DISULFOXRED-RXN]</t>
  </si>
  <si>
    <t>disulphide oxidoreductase activity  EXACT []</t>
  </si>
  <si>
    <t xml:space="preserve">GO:0015036; </t>
  </si>
  <si>
    <t>GILT 3e-029| dapD | SLC5sbd_SGLT5 | frhA | Endosomal/prevacuolar_sodium/hydrogen_...    27   8.2   | ushA |</t>
  </si>
  <si>
    <t>Posttranslational modification, protein turnover, chaperones</t>
  </si>
  <si>
    <t>XM_013246286_1</t>
  </si>
  <si>
    <t xml:space="preserve">lysozyme c-1-like </t>
  </si>
  <si>
    <t>XM_013256299</t>
  </si>
  <si>
    <t xml:space="preserve">LOC106090188 </t>
  </si>
  <si>
    <t>NW_013172683.1</t>
  </si>
  <si>
    <t>278230-278392 279362-279538 279606-279808</t>
  </si>
  <si>
    <t xml:space="preserve"> 29-30</t>
  </si>
  <si>
    <t>ExpAA=16.01 First60=15.98 PredHel=1 Topology=o10-29i</t>
  </si>
  <si>
    <t>XP_013111753.1</t>
  </si>
  <si>
    <t>lysozyme c-1-like - signalP detected</t>
  </si>
  <si>
    <t>imm/secreted lysozyme</t>
  </si>
  <si>
    <t>Anopheles gambiae</t>
  </si>
  <si>
    <t>Drosophila melanogaster - defense response - antimicrobial humoral response - lysozyme activity</t>
  </si>
  <si>
    <t>lysozyme activity</t>
  </si>
  <si>
    <t>Catalysis of the hydrolysis of the beta-(1-&gt;4) linkages between N-acetylmuramic acid and N-acetyl-D-glucosamine residues in a peptidoglycan and between N-acetyl-D-glucosamine residues in chitodextrins.  [EC:3.2.1.17]</t>
  </si>
  <si>
    <t>1,4-N-acetylmuramidase activity  EXACT []</t>
  </si>
  <si>
    <t xml:space="preserve">GO:0003796; GO:0003796; GO:0003796; </t>
  </si>
  <si>
    <t>LYZ1 2e-035| LYZ1 2e-030| Lys 1e-026| AddB | Orbi_VP6 | TroR | UPF0066 | PRK06231 | PRK04023 |</t>
  </si>
  <si>
    <t>Transcription</t>
  </si>
  <si>
    <t>XM_013256299_1</t>
  </si>
  <si>
    <t>XM_013256300</t>
  </si>
  <si>
    <t>XP_013111754.1</t>
  </si>
  <si>
    <t>XM_013256300_1</t>
  </si>
  <si>
    <t>XM_013256301</t>
  </si>
  <si>
    <t>XP_013111755.1</t>
  </si>
  <si>
    <t>LYZ1 6e-028| LYZ1 3e-024| Lys 3e-021| AddB | Orbi_VP6 | TroR | PRK06231 | PRK04023 | UPF0066 |</t>
  </si>
  <si>
    <t>XM_013256301_1</t>
  </si>
  <si>
    <t>XM_013256302</t>
  </si>
  <si>
    <t>XP_013111756.1</t>
  </si>
  <si>
    <t>XM_013256302_1</t>
  </si>
  <si>
    <t>XM_013256303</t>
  </si>
  <si>
    <t>XP_013111757.1</t>
  </si>
  <si>
    <t>XM_013256303_1</t>
  </si>
  <si>
    <t>XM_013256304</t>
  </si>
  <si>
    <t>XP_013111758.1</t>
  </si>
  <si>
    <t>XM_013256304_1</t>
  </si>
  <si>
    <t xml:space="preserve">attacin-A-like </t>
  </si>
  <si>
    <t>XM_013261400</t>
  </si>
  <si>
    <t xml:space="preserve">LOC106094198 </t>
  </si>
  <si>
    <t>NW_013174052.1</t>
  </si>
  <si>
    <t>649-862 934-1333</t>
  </si>
  <si>
    <t>ExpAA=5.22 First60=5.16 PredHel=0 Topology=o</t>
  </si>
  <si>
    <t>XP_013116854.1</t>
  </si>
  <si>
    <t>attacin-A-like - signalP detected</t>
  </si>
  <si>
    <t>s/</t>
  </si>
  <si>
    <t>Glossina morsitans morsitans</t>
  </si>
  <si>
    <t>Attacin-A - Glossina morsitans morsitans - molecular_function - extracellular region - antibacterial humoral response - defense response to Gram-negative bacterium</t>
  </si>
  <si>
    <t>Attacin_C 3e-032| Attacin_N 2e-009| PBP2_Cysteine | PBP2_BsGlnH | PRK11447 | PBP2_SMa0082_like | fruK | APP | flgF |</t>
  </si>
  <si>
    <t>Cytoskeleton</t>
  </si>
  <si>
    <t>XM_013261400_1</t>
  </si>
  <si>
    <t>XM_013261401</t>
  </si>
  <si>
    <t xml:space="preserve">LOC106094200 </t>
  </si>
  <si>
    <t>7650-7876 7178-7577</t>
  </si>
  <si>
    <t>ExpAA=13.24 First60=13.12 PredHel=0 Topology=o</t>
  </si>
  <si>
    <t>XP_013116855.1</t>
  </si>
  <si>
    <t>Attacin_C 1e-032| Attacin_N 1e-009| PBP2_Cysteine | PRK11447 | PBP2_BsGlnH | flgF | fruK | APP |</t>
  </si>
  <si>
    <t>XM_013261401_1</t>
  </si>
  <si>
    <t xml:space="preserve">phormicin-like </t>
  </si>
  <si>
    <t>XM_013263664</t>
  </si>
  <si>
    <t xml:space="preserve">LOC106096095 </t>
  </si>
  <si>
    <t>NW_013171913.1</t>
  </si>
  <si>
    <t>307279-307545</t>
  </si>
  <si>
    <t>ExpAA=8.43 First60=8.36 PredHel=0 Topology=o</t>
  </si>
  <si>
    <t xml:space="preserve">1 | 48    LHGRYKR|AT  0.733 *ProP*  | </t>
  </si>
  <si>
    <t>XP_013119118.1</t>
  </si>
  <si>
    <t>defensin precursor - signalP detected</t>
  </si>
  <si>
    <t>imm/secreted defensin</t>
  </si>
  <si>
    <t>Protophormia terraenovae</t>
  </si>
  <si>
    <t>Defensin - Drosophila melanogaster - antibacterial humoral response - defense response to Gram-positive bacterium - defense response to bacterium - positive regulation of biosynthetic process of antibacterial peptides active against Gram-positive bacteria - response to bacterium - humoral immune response - extracellular space</t>
  </si>
  <si>
    <t>Defensin_2 4e-007| Knot1 0.058| Ttg2D | hypothetical_protein_HMPREF1015_01194 | HAD-SF-IA-v2 | DUF3617 | PRK05697 | Knot1 | Med | TauD |</t>
  </si>
  <si>
    <t>Carbohydrate transport and metabolism</t>
  </si>
  <si>
    <t>XM_013263664_1</t>
  </si>
  <si>
    <t>XM_013263660</t>
  </si>
  <si>
    <t xml:space="preserve">LOC106096093 </t>
  </si>
  <si>
    <t>319215-319487</t>
  </si>
  <si>
    <t>ExpAA=20.87 First60=20.83 PredHel=1 Topology=o4-23i</t>
  </si>
  <si>
    <t xml:space="preserve">1 | 50    VHARYKR|AT  0.703 *ProP*  | </t>
  </si>
  <si>
    <t>XP_013119114.1</t>
  </si>
  <si>
    <t>Defensin_2 7e-007| Knot1 0.071| PRK05346 | LolE | mltA | TauD | Nramp | Knot1 |</t>
  </si>
  <si>
    <t>XM_013263660_1</t>
  </si>
  <si>
    <t xml:space="preserve">prismalin-14 </t>
  </si>
  <si>
    <t>XM_013245565</t>
  </si>
  <si>
    <t xml:space="preserve">LOC106082835 </t>
  </si>
  <si>
    <t>NW_013172023.1</t>
  </si>
  <si>
    <t>344993-345244</t>
  </si>
  <si>
    <t>ExpAA=19.53 First60=13.37 PredHel=0 Topology=o</t>
  </si>
  <si>
    <t>.</t>
  </si>
  <si>
    <t xml:space="preserve">1 | 37    ELLREKR|QF  0.536 *ProP*  | </t>
  </si>
  <si>
    <t>XP_013101019.1</t>
  </si>
  <si>
    <t>GGY antimicrobial peptide</t>
  </si>
  <si>
    <t>s/ggy</t>
  </si>
  <si>
    <t xml:space="preserve"> Antimicrobial peptides</t>
  </si>
  <si>
    <t>hypothetical secreted peptide wity GGY motifs</t>
  </si>
  <si>
    <t>GGY_REPEATS |</t>
  </si>
  <si>
    <t>Arabidopsis thaliana</t>
  </si>
  <si>
    <t>Helicoverpa zea nudivirus 2</t>
  </si>
  <si>
    <t>Listericin - Drosophila melanogaster - molecular_function - defense response to virus - defense response to Gram-negative bacterium - defense response to Gram-positive bacterium - peptidoglycan recognition protein signaling pathway - extracellular space - positive regulation of peptidoglycan recognition protein signaling pathway</t>
  </si>
  <si>
    <t>PTZ00146 5e-004| API5 0.001| PTZ00110 0.004| PLN03138 0.014| PRK14279 0.022| DUF1517 0.059| Keratin 0.078| PRK14289 | PRK14276 | PRK07772 |</t>
  </si>
  <si>
    <t>XM_013245565_1</t>
  </si>
  <si>
    <t>s/hormone</t>
  </si>
  <si>
    <t xml:space="preserve">diptericin-D-like </t>
  </si>
  <si>
    <t>XM_013250888</t>
  </si>
  <si>
    <t xml:space="preserve">LOC106086283 </t>
  </si>
  <si>
    <t>NW_013172242.1</t>
  </si>
  <si>
    <t>406546-406632 406728-406931</t>
  </si>
  <si>
    <t>ExpAA=5.71 First60=5.71 PredHel=0 Topology=o</t>
  </si>
  <si>
    <t>XP_013106342.1</t>
  </si>
  <si>
    <t>diptericin A - signalP detected</t>
  </si>
  <si>
    <t>diptericin A</t>
  </si>
  <si>
    <t>Diptericin B - Drosophila melanogaster - antibacterial humoral response - extracellular space - humoral immune response - defense response to Gram-positive bacterium</t>
  </si>
  <si>
    <t>Attacin_C 8e-020| hypothetical_protein | T4_gp9_10 | halo_surf_glyco |</t>
  </si>
  <si>
    <t>Nuclear structure, Intracellular trafficking, secretion, and vesicular transport</t>
  </si>
  <si>
    <t>XM_013250888_1</t>
  </si>
  <si>
    <t xml:space="preserve">sarcotoxin II-1-like </t>
  </si>
  <si>
    <t>XM_013251133</t>
  </si>
  <si>
    <t xml:space="preserve">LOC106086450 </t>
  </si>
  <si>
    <t>NW_013172255.1</t>
  </si>
  <si>
    <t>457729-457898 457960-458515</t>
  </si>
  <si>
    <t xml:space="preserve"> 22-23</t>
  </si>
  <si>
    <t>ExpAA=5.05 First60=5.05 PredHel=0 Topology=o</t>
  </si>
  <si>
    <t xml:space="preserve">1 | 49    RPIRVRR|SP  0.796 *ProP*  | </t>
  </si>
  <si>
    <t>XP_013106587.1</t>
  </si>
  <si>
    <t>sarcotoxin II-1-like - signalP detected</t>
  </si>
  <si>
    <t>s/toxin</t>
  </si>
  <si>
    <t>Sarcophaga peregrina</t>
  </si>
  <si>
    <t>Attacin-C - Drosophila melanogaster - antibacterial humoral response - defense response - extracellular region - defense response to bacterium - molecular_function - response to bacterium - extracellular space - humoral immune response - defense response to Gram-positive bacterium</t>
  </si>
  <si>
    <t>Attacin_C 1e-020| MAP65_ASE1 | PRK06175 | STKc_GRK3 | PHA03247 | OYE_like_FMN_family | DCR_FMN | PHA03231 | DUF1421 | PHA02798 |</t>
  </si>
  <si>
    <t>XM_013251133_1</t>
  </si>
  <si>
    <t xml:space="preserve">uncharacterized protein LOC106091327 </t>
  </si>
  <si>
    <t>XM_013257811</t>
  </si>
  <si>
    <t xml:space="preserve">LOC106091327 </t>
  </si>
  <si>
    <t>NW_013172886.1</t>
  </si>
  <si>
    <t>23548-23598 23669-24241</t>
  </si>
  <si>
    <t>ExpAA=1.59 First60=1.59 PredHel=0 Topology=o</t>
  </si>
  <si>
    <t>XP_013113265.1</t>
  </si>
  <si>
    <t>Antimicrobial peptide resistance and lipid A acylation protein PagP - signalP detected</t>
  </si>
  <si>
    <t>imm/secreted Antimicrobial</t>
  </si>
  <si>
    <t>Neurospora crassa (strain ATCC 24698 / 74-OR23-1A / CBS 708.71 / DSM 1257 / FGSC 987)</t>
  </si>
  <si>
    <t>DUF3414 | COG2357 | T-complex_protein_1_subunit_epsilon | PRK09104 | S1_Rrp5_repeat_sc11 | PRK12746 | PRK00802 | API5 | Cygb | PqqD |</t>
  </si>
  <si>
    <t>Replication, recombination and repair</t>
  </si>
  <si>
    <t>XM_013257811_1</t>
  </si>
  <si>
    <t xml:space="preserve">   Protease inhibitors</t>
  </si>
  <si>
    <t xml:space="preserve">antichymotrypsin-2-like isoform X1 </t>
  </si>
  <si>
    <t>XM_013249230</t>
  </si>
  <si>
    <t xml:space="preserve">LOC106085160 </t>
  </si>
  <si>
    <t>NW_013172152.1</t>
  </si>
  <si>
    <t>15712-15724 5684-6594 5484-5622 5270-5394</t>
  </si>
  <si>
    <t>ExpAA=8.95 First60=8.73 PredHel=0 Topology=o</t>
  </si>
  <si>
    <t>XP_013104684.1</t>
  </si>
  <si>
    <t>antichymotrypsin-2-like isoform X2</t>
  </si>
  <si>
    <t>pm/protease</t>
  </si>
  <si>
    <t>Bombyx mori</t>
  </si>
  <si>
    <t>Variola virus</t>
  </si>
  <si>
    <t>Serpin 42Da - Drosophila melanogaster - serine-type endopeptidase inhibitor activity - endoplasmic reticulum - extracellular region - regulation of proteolysis - negative regulation of endopeptidase activity - negative regulation of protein processing - negative regulation of peptide hormone processing - cysteine-type endopeptidase inhibitor activity - extracellular space - sensory perception of pain</t>
  </si>
  <si>
    <t>serine-type endopeptidase inhibitor activity</t>
  </si>
  <si>
    <t>Stops, prevents or reduces the activity of serine-type endopeptidases, enzymes that catalyze the hydrolysis of nonterminal peptide bonds in a polypeptide chain; a serine residue (and a histidine residue) are at the active center of the enzyme.  [GOC:ai]</t>
  </si>
  <si>
    <t>serine protease inhibitor activity  NARROW []</t>
  </si>
  <si>
    <t xml:space="preserve">GO:0004867; GO:0004869; </t>
  </si>
  <si>
    <t>Serpin 8e-098| SERPIN 7e-096| SERPIN 2e-077| PAI-2 1e-060| ovalbumin_like 1e-057| bacterial_SERPIN 2e-055| PAI-1_nexin-1 4e-054| ov-serpin 4e-054| neuroserpin 2e-053| COG4826 3e-053|</t>
  </si>
  <si>
    <t>Defense mechanisms</t>
  </si>
  <si>
    <t>XM_013249230_1</t>
  </si>
  <si>
    <t xml:space="preserve">serpin B4-like isoform X2 </t>
  </si>
  <si>
    <t>XM_013249231</t>
  </si>
  <si>
    <t>5684-6448 5484-5622 5270-5394</t>
  </si>
  <si>
    <t>ExpAA=0.04 First60=0.00 PredHel=0 Topology=o</t>
  </si>
  <si>
    <t>XP_013104685.1</t>
  </si>
  <si>
    <t>antitrypsin-like isoform X3</t>
  </si>
  <si>
    <t>Serpin 2e-091| SERPIN 2e-090| SERPIN 3e-073| PAI-2 8e-057| ovalbumin_like 2e-054| bacterial_SERPIN 3e-051| ov-serpin 4e-050| neuroserpin 1e-049| COG4826 4e-049| PAI-1_nexin-1 2e-048|</t>
  </si>
  <si>
    <t>XM_013249231_1</t>
  </si>
  <si>
    <t xml:space="preserve">antichymotrypsin-2-like </t>
  </si>
  <si>
    <t>XM_013249229</t>
  </si>
  <si>
    <t xml:space="preserve">LOC106085159 </t>
  </si>
  <si>
    <t>32855-33847 32656-32794 27379-27509</t>
  </si>
  <si>
    <t>ExpAA=22.14 First60=22.13 PredHel=1 Topology=i5-27o</t>
  </si>
  <si>
    <t>XP_013104683.1</t>
  </si>
  <si>
    <t>Serpin - signalP detected</t>
  </si>
  <si>
    <t>imm/secreted Serpin</t>
  </si>
  <si>
    <t>Vaccinia virus</t>
  </si>
  <si>
    <t>SERPIN e-123| Serpin e-119| SERPIN 1e-092| PAI-2 3e-079| bacterial_SERPIN 1e-074| ovalbumin_like 6e-071| neuroserpin 6e-069| COG4826 7e-069| ov-serpin 7e-067| plant_SERPIN 3e-064|</t>
  </si>
  <si>
    <t>XM_013249229_1</t>
  </si>
  <si>
    <t xml:space="preserve">uncharacterized protein LOC106085242 </t>
  </si>
  <si>
    <t>XM_013249383</t>
  </si>
  <si>
    <t xml:space="preserve">LOC106085242 </t>
  </si>
  <si>
    <t>NW_013172155.1</t>
  </si>
  <si>
    <t>579199-579255 578265-579137</t>
  </si>
  <si>
    <t>ExpAA=0.09 First60=0.09 PredHel=0 Topology=o</t>
  </si>
  <si>
    <t xml:space="preserve">3 | 97    EDSRPAR|SL  0.677 *ProP*  | 136    DRRRPQR|SF  0.565 *ProP*  | 259    GESRPIR|SN  0.711 *ProP*  | </t>
  </si>
  <si>
    <t>XP_013104837.1</t>
  </si>
  <si>
    <t>Thrombostasin</t>
  </si>
  <si>
    <t>s/thrombostasin</t>
  </si>
  <si>
    <t xml:space="preserve"> Thrombostasin</t>
  </si>
  <si>
    <t>Anopheles gambiae str. PEST</t>
  </si>
  <si>
    <t>Human herpesvirus 8 type P (isolate GK18)</t>
  </si>
  <si>
    <t>Sulfolobus monocaudavirus SMV1</t>
  </si>
  <si>
    <t>trichohyalin - Rattus norvegicus - protein binding, bridging - intermediate filament organization</t>
  </si>
  <si>
    <t>calcium ion binding</t>
  </si>
  <si>
    <t>Interacting selectively and non-covalently with calcium ions (Ca2+).  [GOC:ai]</t>
  </si>
  <si>
    <t>calcium ion storage activity  RELATED []</t>
  </si>
  <si>
    <t>PRK12678 0.017| SSM4 0.022| Paf1 0.058| Plasmodium_falciparum | PTZ00441 | PRK12288 | hypothetical_protein_PPSIR1_38941 | PRK10263 | rne | Gag_spuma |</t>
  </si>
  <si>
    <t>XM_013249383_1</t>
  </si>
  <si>
    <t>s/uk</t>
  </si>
  <si>
    <t xml:space="preserve">protein starmaker-like </t>
  </si>
  <si>
    <t>XM_013258709</t>
  </si>
  <si>
    <t xml:space="preserve">LOC106091981 </t>
  </si>
  <si>
    <t>NW_013173061.1</t>
  </si>
  <si>
    <t>148449-148505 147944-148392 146648-146969</t>
  </si>
  <si>
    <t>ExpAA=0.11 First60=0.11 PredHel=0 Topology=o</t>
  </si>
  <si>
    <t>XP_013114163.1</t>
  </si>
  <si>
    <t>Thrombostasin-3</t>
  </si>
  <si>
    <t>pe</t>
  </si>
  <si>
    <t>Staphylococcus epidermidis (strain ATCC 12228)</t>
  </si>
  <si>
    <t>Ateline herpesvirus 3</t>
  </si>
  <si>
    <t>Uncharacterized protein - Plasmodium falciparum 3D7 - apicoplast</t>
  </si>
  <si>
    <t>MDN1 2e-019| retinal_rod 2e-018| PTZ00341 6e-012| Nop14 2e-008| BMS1 5e-007| CobT 2e-006| PHA03169 7e-006| Utp14 2e-005| PTZ00121 4e-005| Daxx 5e-005|</t>
  </si>
  <si>
    <t>Helitron-1_SP</t>
  </si>
  <si>
    <t>CLASS II</t>
  </si>
  <si>
    <t>DNA TRANSPOSON</t>
  </si>
  <si>
    <t>Helitron</t>
  </si>
  <si>
    <t>Helitron-1_SP Autonomous Helitron transposon - a consensus sequence.</t>
  </si>
  <si>
    <t>Helitron; DNA transposon; Transposable Element; Helitron-N1_SP; Helitron-1_SP.</t>
  </si>
  <si>
    <t>Strongylocentrotus purpuratus</t>
  </si>
  <si>
    <t>XM_013258709_1</t>
  </si>
  <si>
    <t xml:space="preserve">uncharacterized protein LOC106089851 </t>
  </si>
  <si>
    <t>XM_013255848</t>
  </si>
  <si>
    <t xml:space="preserve">LOC106089851 </t>
  </si>
  <si>
    <t>NW_013172627.1</t>
  </si>
  <si>
    <t>185402-185591 185299-185339</t>
  </si>
  <si>
    <t>ExpAA=5.44 First60=5.44 PredHel=0 Topology=o</t>
  </si>
  <si>
    <t>XP_013111302.1</t>
  </si>
  <si>
    <t>Vasotab-like</t>
  </si>
  <si>
    <t>s/vasod</t>
  </si>
  <si>
    <t xml:space="preserve"> Kazal family</t>
  </si>
  <si>
    <t>putative 6.3 kDa secreted salivary gland protein</t>
  </si>
  <si>
    <t>Xenopus laevis</t>
  </si>
  <si>
    <t>KAZAL | MepB | MOT2 | RNAP_II_Rpb1_C | PLN02159 | COX2 | Vps16_N |</t>
  </si>
  <si>
    <t>XM_013255848_1</t>
  </si>
  <si>
    <t xml:space="preserve">   Enzymes</t>
  </si>
  <si>
    <t xml:space="preserve">transmembrane protease serine 11A </t>
  </si>
  <si>
    <t>XM_013242050</t>
  </si>
  <si>
    <t xml:space="preserve">LOC106080635 </t>
  </si>
  <si>
    <t>552932-553046 553120-553267 557172-557296 557371-557555 557631-557789</t>
  </si>
  <si>
    <t xml:space="preserve"> 23-24</t>
  </si>
  <si>
    <t>ExpAA=10.84 First60=10.46 PredHel=0 Topology=o</t>
  </si>
  <si>
    <t>XP_013097504.1</t>
  </si>
  <si>
    <t>serine protease 11A - signalP detected</t>
  </si>
  <si>
    <t>pm</t>
  </si>
  <si>
    <t>Mus musculus</t>
  </si>
  <si>
    <t>Neodiprion lecontei nucleopolyhedrovirus</t>
  </si>
  <si>
    <t>Drosophila melanogaster - proteolysis - serine-type endopeptidase activity</t>
  </si>
  <si>
    <t>serine-type endopeptidase activity</t>
  </si>
  <si>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  [GOC:mah, http://merops.sanger.ac.uk/about/glossary.htm#CATTYPE, ISBN:0716720094]</t>
  </si>
  <si>
    <t>blood coagulation factor activity  RELATED []</t>
  </si>
  <si>
    <t xml:space="preserve">GO:0004252; </t>
  </si>
  <si>
    <t>Tryp_SPc 5e-039| Tryp_SPc 2e-036| Trypsin 1e-030| COG5640 3e-013| COG3591 0.029| COG2939 | GvpL_GvpF | SNC1 | MMS22L_N | PLN02653 |</t>
  </si>
  <si>
    <t>Amino acid transport and metabolism</t>
  </si>
  <si>
    <t>XM_013242050_1</t>
  </si>
  <si>
    <t xml:space="preserve">trypsin-like </t>
  </si>
  <si>
    <t>XM_013242009</t>
  </si>
  <si>
    <t xml:space="preserve">LOC106080592 </t>
  </si>
  <si>
    <t>1339766-1340578</t>
  </si>
  <si>
    <t xml:space="preserve"> 38-39</t>
  </si>
  <si>
    <t>ExpAA=19.90 First60=19.56 PredHel=1 Topology=o15-37i</t>
  </si>
  <si>
    <t>XP_013097463.1</t>
  </si>
  <si>
    <t>vitellin-degrading protease-like - signalP detected</t>
  </si>
  <si>
    <t xml:space="preserve"> Serine proteases</t>
  </si>
  <si>
    <t>Trypsin - truncated at 5 prime</t>
  </si>
  <si>
    <t>Neodiprion sertifer nucleopolyhedrovirus</t>
  </si>
  <si>
    <t>Drosophila melanogaster - serine-type endopeptidase activity - proteolysis</t>
  </si>
  <si>
    <t xml:space="preserve">GO:0004252; GO:0004252; </t>
  </si>
  <si>
    <t>Tryp_SPc 1e-061| Tryp_SPc 6e-060| Trypsin 8e-045| COG5640 7e-027| Trypsin_2 | phosphate_transporter | COG3591 | Nuc_sug_transp | PRK10881 | hydrogenase_maturation_GTPase_HydF |</t>
  </si>
  <si>
    <t>XM_013242009_1</t>
  </si>
  <si>
    <t xml:space="preserve">trypsin alpha-3-like </t>
  </si>
  <si>
    <t>XM_013241988</t>
  </si>
  <si>
    <t xml:space="preserve">LOC106080570 </t>
  </si>
  <si>
    <t>1343636-1344400</t>
  </si>
  <si>
    <t>ExpAA=0.51 First60=0.05 PredHel=0 Topology=o</t>
  </si>
  <si>
    <t>XP_013097442.1</t>
  </si>
  <si>
    <t>s/protease</t>
  </si>
  <si>
    <t>Tryp_SPc 9e-054| Tryp_SPc 1e-051| Trypsin 3e-041| COG5640 3e-018| COG3591 | DUF1986 | HDAC10 | DNA_topoisomerase_4_subunit_A | PLN02309 | APS_reductase |</t>
  </si>
  <si>
    <t>XM_013241988_1</t>
  </si>
  <si>
    <t>XM_013241996</t>
  </si>
  <si>
    <t xml:space="preserve">LOC106080578 </t>
  </si>
  <si>
    <t>1409616-1410383</t>
  </si>
  <si>
    <t xml:space="preserve"> 26-27</t>
  </si>
  <si>
    <t>ExpAA=0.23 First60=0.17 PredHel=0 Topology=o</t>
  </si>
  <si>
    <t>XP_013097450.1</t>
  </si>
  <si>
    <t>trypsin delta/gamma-like - signalP detected</t>
  </si>
  <si>
    <t>Neodiprion abietis NPV</t>
  </si>
  <si>
    <t>Tryp_SPc 9e-057| Tryp_SPc 2e-056| Trypsin 4e-043| COG5640 2e-020| DUF1986 0.009| COG3591 0.028| mat 0.068| Trypsin_2 | PRK14147 | DnaB_C |</t>
  </si>
  <si>
    <t>XM_013241996_1</t>
  </si>
  <si>
    <t>XM_013242008</t>
  </si>
  <si>
    <t xml:space="preserve">LOC106080591 </t>
  </si>
  <si>
    <t>1422666-1423436</t>
  </si>
  <si>
    <t xml:space="preserve"> 24-25</t>
  </si>
  <si>
    <t>ExpAA=10.52 First60=8.89 PredHel=0 Topology=o</t>
  </si>
  <si>
    <t>XP_013097462.1</t>
  </si>
  <si>
    <t>trypsin 3A1-like - signalP detected</t>
  </si>
  <si>
    <t>Tryp_SPc 8e-037| Tryp_SPc 2e-036| Trypsin 6e-029| COG5640 1e-011| nikC | PHA03342 | DUF1986 | PRK06843 | glgC | NAD_binding_5 |</t>
  </si>
  <si>
    <t>XM_013242008_1</t>
  </si>
  <si>
    <t xml:space="preserve">brachyurin </t>
  </si>
  <si>
    <t>XM_013252020</t>
  </si>
  <si>
    <t xml:space="preserve">LOC106087102 </t>
  </si>
  <si>
    <t>NW_013172309.1</t>
  </si>
  <si>
    <t>379766-379843 379902-380624</t>
  </si>
  <si>
    <t>ExpAA=4.42 First60=4.36 PredHel=0 Topology=o</t>
  </si>
  <si>
    <t>XP_013107474.1</t>
  </si>
  <si>
    <t>Trypsin - signalP detected</t>
  </si>
  <si>
    <t>met/aa/secreted Trypsin</t>
  </si>
  <si>
    <t>Trypsin</t>
  </si>
  <si>
    <t>Hypoderma lineatum</t>
  </si>
  <si>
    <t xml:space="preserve">GO:0004252; GO:0004252; GO:0004252; </t>
  </si>
  <si>
    <t>Tryp_SPc 7e-052| Tryp_SPc 1e-051| Trypsin 1e-040| COG5640 2e-016| Trypsin_2 0.061| DUF1986 | COG3009 | COG3591 | DUF2026 | Probable_periplasmic_serine_protease_d...    28   3.9   |</t>
  </si>
  <si>
    <t>XM_013252020_1</t>
  </si>
  <si>
    <t xml:space="preserve">serine protease SP24D-like </t>
  </si>
  <si>
    <t>XM_013254852</t>
  </si>
  <si>
    <t xml:space="preserve">LOC106089087 </t>
  </si>
  <si>
    <t>NW_013172521.1</t>
  </si>
  <si>
    <t>325718-325962 326029-326551</t>
  </si>
  <si>
    <t>ExpAA=1.22 First60=1.22 PredHel=0 Topology=o</t>
  </si>
  <si>
    <t>XP_013110306.1</t>
  </si>
  <si>
    <t>serine protease SP24D-like - signalP detected</t>
  </si>
  <si>
    <t>serine protease Ssp3-2 precursor</t>
  </si>
  <si>
    <t xml:space="preserve">GO:0004252; GO:0008236; GO:0004252; GO:0004252; </t>
  </si>
  <si>
    <t>Tryp_SPc 3e-051| Tryp_SPc 1e-049| Trypsin 2e-042| COG5640 1e-019| Trypsin_2 4e-004| COG3591 0.016| Peptidase_S46 | Glyco_hydro_88 | Csm4_III-A | UPF0506 |</t>
  </si>
  <si>
    <t>XM_013254852_1</t>
  </si>
  <si>
    <t xml:space="preserve">lectizyme-like </t>
  </si>
  <si>
    <t>XM_013256584</t>
  </si>
  <si>
    <t xml:space="preserve">LOC106090416 </t>
  </si>
  <si>
    <t>NW_013172718.1</t>
  </si>
  <si>
    <t>44613-45440</t>
  </si>
  <si>
    <t>ExpAA=21.23 First60=19.60 PredHel=1 Topology=i7-29o</t>
  </si>
  <si>
    <t xml:space="preserve">1 | 36    PEQRMGR|VV  0.520 *ProP*  | </t>
  </si>
  <si>
    <t>XP_013112038.1</t>
  </si>
  <si>
    <t>trypsin-like - 11 OH-glycosylation sites - signalP detected</t>
  </si>
  <si>
    <t>s/mucin</t>
  </si>
  <si>
    <t>chymotrypsin</t>
  </si>
  <si>
    <t>Glossina fuscipes fuscipes</t>
  </si>
  <si>
    <t>Phaedra 1 - Drosophila melanogaster - metalloendopeptidase activity - proteolysis - serine-type endopeptidase activity</t>
  </si>
  <si>
    <t xml:space="preserve">GO:0004222; GO:0004252; GO:0004222; GO:0004252; </t>
  </si>
  <si>
    <t>Tryp_SPc 1e-054| Tryp_SPc 5e-051| Trypsin 3e-041| COG5640 4e-019| DUF1986 0.044| Hydantoinase_B | DUF316 | COG3591 |</t>
  </si>
  <si>
    <t>XM_013256584_1</t>
  </si>
  <si>
    <t xml:space="preserve">digestive cysteine proteinase 3-like </t>
  </si>
  <si>
    <t>XM_013245856</t>
  </si>
  <si>
    <t xml:space="preserve">LOC106083039 </t>
  </si>
  <si>
    <t>NW_013172030.1</t>
  </si>
  <si>
    <t>705749-705787 703165-703365</t>
  </si>
  <si>
    <t>ExpAA=0.00 First60=0.00 PredHel=0 Topology=o</t>
  </si>
  <si>
    <t>XP_013101310.1</t>
  </si>
  <si>
    <t>digestive cysteine proteinase 3-like</t>
  </si>
  <si>
    <t>Homarus americanus</t>
  </si>
  <si>
    <t>crammer - Drosophila melanogaster - long-term memory - cysteine-type peptidase activity - cysteine-type endopeptidase inhibitor activity - short-term memory - inhibition of cysteine-type endopeptidase activity - lysosome - endomembrane system</t>
  </si>
  <si>
    <t>cysteine-type peptidase activity</t>
  </si>
  <si>
    <t>Catalysis of the hydrolysis of peptide bonds in a polypeptide chain by a mechanism in which the sulfhydryl group of a cysteine residue at the active center acts as a nucleophile.  [GOC:mah, http://merops.sanger.ac.uk/about/glossary.htm#CATTYPE]</t>
  </si>
  <si>
    <t>cysteine protease activity  NARROW []</t>
  </si>
  <si>
    <t xml:space="preserve">GO:0008234; GO:0004869; </t>
  </si>
  <si>
    <t>Inhibitor_I29 3e-007| Inhibitor_I29 4e-007| PRK15446 | MopB_Formate-Dh-H | nSMase | pcnB | PRK07318 | dnd_assoc_3 |</t>
  </si>
  <si>
    <t>XM_013245856_1</t>
  </si>
  <si>
    <t xml:space="preserve">digestive cysteine proteinase 2-like </t>
  </si>
  <si>
    <t>XM_013245861</t>
  </si>
  <si>
    <t xml:space="preserve">LOC106083044 </t>
  </si>
  <si>
    <t>721853-721891 721444-721662</t>
  </si>
  <si>
    <t>XP_013101315.1</t>
  </si>
  <si>
    <t>digestive cysteine proteinase 2-like</t>
  </si>
  <si>
    <t>Ceratitis capitata</t>
  </si>
  <si>
    <t>Inhibitor_I29 7e-010| Inhibitor_I29 2e-009| PTZ00200 0.005| PRK07475 | PBP2_AlgQ_like_2 | PRK14715 | six-Cys-in-45_modification_radical_SAM...    27   1.8   | PLN03116 | PRK11166 | DUF2058 |</t>
  </si>
  <si>
    <t>XM_013245861_1</t>
  </si>
  <si>
    <t xml:space="preserve">tRNA-specific adenosine deaminase 2 </t>
  </si>
  <si>
    <t>XM_013242033</t>
  </si>
  <si>
    <t xml:space="preserve">LOC106080617 </t>
  </si>
  <si>
    <t>NW_013171872.1</t>
  </si>
  <si>
    <t>1204497-1204982</t>
  </si>
  <si>
    <t>ExpAA=0.04 First60=0.01 PredHel=0 Topology=o</t>
  </si>
  <si>
    <t>XP_013097487.1</t>
  </si>
  <si>
    <t>Cytosine deaminase FCY1</t>
  </si>
  <si>
    <t>met/nuc</t>
  </si>
  <si>
    <t>Drosophila melanogaster - cytosine deaminase activity - zinc ion binding</t>
  </si>
  <si>
    <t>tRNA-specific adenosine-34 deaminase activity</t>
  </si>
  <si>
    <t>Catalysis of the reaction: adenosine-34 + H2O = inosine-34 + NH3, in a tRNA-Ala molecule.  [PMID:17875641]</t>
  </si>
  <si>
    <t>tRNA(Ala)-A34 deaminase activity  EXACT []</t>
  </si>
  <si>
    <t xml:space="preserve">GO:0004131; GO:0008270; GO:0052717; </t>
  </si>
  <si>
    <t>CumB 3e-027| nucleoside_deaminase 7e-026| PRK10860 1e-016| dCMP_cyt_deam_1 3e-015| RibD 2e-005| eubact_ribD 6e-004| Riboflavin_deaminase-reductase 0.002| cytidine_deaminase-like 0.015| ComEB 0.024| deoxycytidylate_deaminase |</t>
  </si>
  <si>
    <t>Nucleotide transport and metabolism</t>
  </si>
  <si>
    <t>XM_013242033_1</t>
  </si>
  <si>
    <t xml:space="preserve">uncharacterized protein LOC106084323 </t>
  </si>
  <si>
    <t>XM_013247911</t>
  </si>
  <si>
    <t xml:space="preserve">LOC106084323 </t>
  </si>
  <si>
    <t>NW_013172095.1</t>
  </si>
  <si>
    <t>465966-466008 463966-464448 463213-463904</t>
  </si>
  <si>
    <t>ExpAA=3.54 First60=3.54 PredHel=0 Topology=o</t>
  </si>
  <si>
    <t xml:space="preserve">1 | 213    QVERFKK|FF  0.584 *ProP*  | </t>
  </si>
  <si>
    <t>XP_013103365.1</t>
  </si>
  <si>
    <t>DNA/RNA non-specific endonuclease - signalP detected</t>
  </si>
  <si>
    <t>s/met/nuc DNA/RNA</t>
  </si>
  <si>
    <t xml:space="preserve"> Endonuclease</t>
  </si>
  <si>
    <t>Salivary endonuclease - truncated at 3 prime</t>
  </si>
  <si>
    <t>Drosophila melanogaster - nucleic acid binding - hydrolase activity - metal ion binding</t>
  </si>
  <si>
    <t>metal ion binding</t>
  </si>
  <si>
    <t>Interacting selectively and non-covalently with any metal ion.  [GOC:ai]</t>
  </si>
  <si>
    <t>heavy metal binding  NARROW []</t>
  </si>
  <si>
    <t xml:space="preserve">GO:0003676; GO:0016787; GO:0046872; GO:0016787; GO:0003676; GO:0046872; </t>
  </si>
  <si>
    <t>Endonuclease_NS 2e-025| Endonuclease_NS 6e-024| NUC 4e-019| NUC1 5e-008| NUC 6e-007| PTZ00259 0.002| PRK12363 | Microcin_B17-processing_protein_McbB | PRK11409 | PHA00540 |</t>
  </si>
  <si>
    <t>XM_013247911_1</t>
  </si>
  <si>
    <t xml:space="preserve">alpha-amylase B-like </t>
  </si>
  <si>
    <t>XM_013263922</t>
  </si>
  <si>
    <t xml:space="preserve">LOC106096269 </t>
  </si>
  <si>
    <t>NW_013171916.1</t>
  </si>
  <si>
    <t>66224-66397 65585-66168 64773-65514</t>
  </si>
  <si>
    <t xml:space="preserve"> 17-18</t>
  </si>
  <si>
    <t>ExpAA=0.04 First60=0.03 PredHel=0 Topology=o</t>
  </si>
  <si>
    <t>XP_013119376.1</t>
  </si>
  <si>
    <t>Alpha-amylase - signalP detected</t>
  </si>
  <si>
    <t>met/carb/secreted Alpha-amylase</t>
  </si>
  <si>
    <t>Drosophila yakuba</t>
  </si>
  <si>
    <t>Amylase proximal - Drosophila melanogaster - alpha-amylase activity - catalytic activity - cation binding - carbohydrate metabolic process - extracellular region</t>
  </si>
  <si>
    <t>alpha-amylase activity</t>
  </si>
  <si>
    <t>Catalysis of the endohydrolysis of (1-&gt;4)-alpha-D-glucosidic linkages in polysaccharides containing three or more alpha-(1-&gt;4)-linked D-glucose units.  [EC:3.2.1.1]</t>
  </si>
  <si>
    <t>1,4-alpha-D-glucan glucanohydrolase activity  EXACT [EC:3.2.1.1]</t>
  </si>
  <si>
    <t xml:space="preserve">GO:0004556; GO:0003824; GO:0043169; </t>
  </si>
  <si>
    <t>AmyAc_bac_euk_AmyA | AmyAc_bac1_AmyA 2e-048| Aamy 4e-025| Aamy_C 7e-025| Alpha-amylase 4e-021| AmyAc_AmyMalt_CGTase_like 1e-018| AmyAc_euk_AmyA 2e-018| AmyA 9e-015| Alpha-amylase_C 2e-012| AmyAc_family 1e-011|</t>
  </si>
  <si>
    <t>XM_013263922_1</t>
  </si>
  <si>
    <t xml:space="preserve">uncharacterized protein LOC106083384 </t>
  </si>
  <si>
    <t>XM_013246331</t>
  </si>
  <si>
    <t xml:space="preserve">LOC106083384 </t>
  </si>
  <si>
    <t>NW_013172046.1</t>
  </si>
  <si>
    <t>775863-776413 775592-775795 771396-771819</t>
  </si>
  <si>
    <t>ExpAA=2.50 First60=2.50 PredHel=0 Topology=o</t>
  </si>
  <si>
    <t>XP_013101785.1</t>
  </si>
  <si>
    <t>Phospholipase A2</t>
  </si>
  <si>
    <t>met/lipd</t>
  </si>
  <si>
    <t>Bungarus fasciatus</t>
  </si>
  <si>
    <t>Drosophila melanogaster - phospholipase A2 activity - calcium ion binding - lipid catabolic process - phospholipid metabolic process</t>
  </si>
  <si>
    <t>phospholipase A2 activity</t>
  </si>
  <si>
    <t>Catalysis of the reaction: phosphatidylcholine + H2O = 1-acylglycerophosphocholine + a carboxylate.  [EC:3.1.1.4]</t>
  </si>
  <si>
    <t>cytosolic phospholipase A2 activity  NARROW []</t>
  </si>
  <si>
    <t xml:space="preserve">GO:0004623; GO:0005509; GO:0004623; GO:0005509; GO:0004623; GO:0005509; GO:0016787; </t>
  </si>
  <si>
    <t>PLA2c 4e-030| Phospholip_A2_1 2e-019| PA2c 1e-016| PLA2_like 1e-013| otoconin_90 4e-012| PLA2_plant 0.004| Peptidase_M29 | PRK07865 | Mod_r | PLA2G12 |</t>
  </si>
  <si>
    <t>Lipid transport and metabolism</t>
  </si>
  <si>
    <t>XM_013246331_1</t>
  </si>
  <si>
    <t xml:space="preserve">vitellogenin-1-like </t>
  </si>
  <si>
    <t>XM_013258529</t>
  </si>
  <si>
    <t xml:space="preserve">LOC106091847 </t>
  </si>
  <si>
    <t>NW_013173026.1</t>
  </si>
  <si>
    <t>172717-172957 158962-159218 158225-158902</t>
  </si>
  <si>
    <t>ExpAA=6.58 First60=5.73 PredHel=0 Topology=o</t>
  </si>
  <si>
    <t>XP_013113983.1</t>
  </si>
  <si>
    <t>Lipase</t>
  </si>
  <si>
    <t>Trichoplusia ni ascovirus 2c</t>
  </si>
  <si>
    <t>Drosophila melanogaster - carboxylic ester hydrolase activity - lipid catabolic process - lipase activity - extracellular space - multicellular organism reproduction</t>
  </si>
  <si>
    <t>carboxylic ester hydrolase activity</t>
  </si>
  <si>
    <t>Catalysis of the hydrolysis of a carboxylic ester bond.  [EC:3.1.1, EC:3.1.1.1, GOC:curators]</t>
  </si>
  <si>
    <t>Ali-esterase activity  RELATED [EC:3.1.1.1]</t>
  </si>
  <si>
    <t xml:space="preserve">GO:0052689; GO:0016298; </t>
  </si>
  <si>
    <t>Pancreat_lipase_like 7e-066| Lipase 7e-042| Lipoprotein_lipase 5e-026| Lipase 2e-013| PLN02511 0.078| Abhydrolase_1 | PLN02260 | Abhydrolase_6 | PDZ_2 | menH_SHCHC |</t>
  </si>
  <si>
    <t>XM_013258529_1</t>
  </si>
  <si>
    <t>storage/</t>
  </si>
  <si>
    <t xml:space="preserve">   Similar to other secreted protein families</t>
  </si>
  <si>
    <t xml:space="preserve">uncharacterized protein LOC106083544 </t>
  </si>
  <si>
    <t>XM_013246634</t>
  </si>
  <si>
    <t xml:space="preserve">LOC106083544 </t>
  </si>
  <si>
    <t>NW_013172054.1</t>
  </si>
  <si>
    <t>952100-952205 951722-952035</t>
  </si>
  <si>
    <t>ExpAA=14.88 First60=14.88 PredHel=1 Topology=i7-29o</t>
  </si>
  <si>
    <t>XP_013102088.1</t>
  </si>
  <si>
    <t>putative 13.7 kDa secreted salivary gland protein</t>
  </si>
  <si>
    <t xml:space="preserve"> Hyp 16 family of mosquito proteins (see Diptera matches)</t>
  </si>
  <si>
    <t>ManY | EII-Sor | ATP-dependent_RNA_helicase_HrpA | PRK08204 | COG5062 | PTZ00319 | PBP1_ABC_ligand_binding_like_6 | MipZ | tRNA_lig_CPD | Peptidase_M6 |</t>
  </si>
  <si>
    <t>XM_013246634_1</t>
  </si>
  <si>
    <t xml:space="preserve">uncharacterized protein LOC106083545 </t>
  </si>
  <si>
    <t>XM_013246635</t>
  </si>
  <si>
    <t xml:space="preserve">LOC106083545 </t>
  </si>
  <si>
    <t>954481-954574 954630-955012</t>
  </si>
  <si>
    <t>ExpAA=3.01 First60=3.01 PredHel=0 Topology=o</t>
  </si>
  <si>
    <t>XP_013102089.1</t>
  </si>
  <si>
    <t>putative 15.6 kDa secreted salivary gland protein</t>
  </si>
  <si>
    <t xml:space="preserve"> Hyp 16 family of mosquito proteins</t>
  </si>
  <si>
    <t>flgE | PAT1 | PRK10708 | UPF0160 | PRK06490 | conserved_hypothetical_protein | SURF1 | DUF935 | PRK13914 | acid_phos_Burk |</t>
  </si>
  <si>
    <t>XM_013246635_1</t>
  </si>
  <si>
    <t xml:space="preserve">uncharacterized protein LOC106089098 </t>
  </si>
  <si>
    <t>XM_013254863</t>
  </si>
  <si>
    <t xml:space="preserve">LOC106089098 </t>
  </si>
  <si>
    <t>NW_013172522.1</t>
  </si>
  <si>
    <t>167325-167498 162678-162854</t>
  </si>
  <si>
    <t>ExpAA=14.52 First60=14.15 PredHel=0 Topology=o</t>
  </si>
  <si>
    <t>XP_013110317.1</t>
  </si>
  <si>
    <t>probable salivary secreted peptide - signalP detected</t>
  </si>
  <si>
    <t xml:space="preserve"> 11.4 kDa conserved family</t>
  </si>
  <si>
    <t>hypothetical conserved secreted protein</t>
  </si>
  <si>
    <t>Conserved_secreted_triatoma_peptide |</t>
  </si>
  <si>
    <t>Bombus ignitus</t>
  </si>
  <si>
    <t>Drosophila melanogaster - molecular_function - biological_process - cellular_component</t>
  </si>
  <si>
    <t>aroD | mrcB | PBP1_ABC_ligand_binding_like_5 | MDR_yhdh | PLN03195 |</t>
  </si>
  <si>
    <t>Energy production and conversion</t>
  </si>
  <si>
    <t>XM_013254863_1</t>
  </si>
  <si>
    <t xml:space="preserve">uncharacterized protein LOC106089093 </t>
  </si>
  <si>
    <t>XM_013254858</t>
  </si>
  <si>
    <t xml:space="preserve">LOC106089093 </t>
  </si>
  <si>
    <t>246936-247121 246673-246858</t>
  </si>
  <si>
    <t>ExpAA=22.43 First60=22.42 PredHel=1 Topology=i7-29o</t>
  </si>
  <si>
    <t>XP_013110312.1</t>
  </si>
  <si>
    <t>putative 11.4 kDa secreted salivary gland protein</t>
  </si>
  <si>
    <t>Drosophila melanogaster - molecular_function - cellular_component - biological_process</t>
  </si>
  <si>
    <t>PRK15248 | PilV | probable_type-4_fimbrial_biogenesis_pr...    27   1.4   | COG3837 | petB | PRK10270 | Pantothenate_synthetase | Folate_carrier | Influenza_NA | PI3Kc_II |</t>
  </si>
  <si>
    <t>XM_013254858_1</t>
  </si>
  <si>
    <t xml:space="preserve">   Other Secreted proteins</t>
  </si>
  <si>
    <t>uncharacterized protein LOC106082280 isoform X2</t>
  </si>
  <si>
    <t>XM_013244675</t>
  </si>
  <si>
    <t xml:space="preserve">LOC106082280 </t>
  </si>
  <si>
    <t>NW_013171995.1</t>
  </si>
  <si>
    <t>1050417-1050448 1074167-1074201 1074327-1074619</t>
  </si>
  <si>
    <t>ExpAA=10.43 First60=2.12 PredHel=0 Topology=o</t>
  </si>
  <si>
    <t>XP_013100129.1</t>
  </si>
  <si>
    <t>hypothetical secreted protein precursor</t>
  </si>
  <si>
    <t>Daphnia pulex</t>
  </si>
  <si>
    <t>Saccharomyces cerevisiae (strain ATCC 204508 / S288c)</t>
  </si>
  <si>
    <t>PRK10263 | PRK12757 | DUF2076 | PRK01741 | PRK07334 | PKS_KR | PRK08198 | KR | KR_2_SDR_x | COG3889 |</t>
  </si>
  <si>
    <t>XM_013244675_1</t>
  </si>
  <si>
    <t xml:space="preserve">fibrous sheath CABYR-binding protein-like </t>
  </si>
  <si>
    <t>XM_013263463</t>
  </si>
  <si>
    <t xml:space="preserve">LOC106095977 </t>
  </si>
  <si>
    <t>NW_013171908.1</t>
  </si>
  <si>
    <t>996196-996291 996328-996702</t>
  </si>
  <si>
    <t>XP_013118917.1</t>
  </si>
  <si>
    <t>Bos taurus</t>
  </si>
  <si>
    <t>Aureococcus anophagefferens virus</t>
  </si>
  <si>
    <t>Uncharacterized protein - Aspergillus nidulans FGSC A4 - molecular_function - cellular_component - biological_process</t>
  </si>
  <si>
    <t>predic_Ig_block 4e-008| PRK12678 8e-007| PRK07994 1e-006| PRK14950 2e-005| rne 2e-005| PRK07764 6e-005| bchD 7e-005| retinal_rod 4e-004| PHA03247 7e-004| PTZ00441 0.003|</t>
  </si>
  <si>
    <t>Inorganic ion transport and metabolism, Signal transduction mechanisms</t>
  </si>
  <si>
    <t>XM_013263463_1</t>
  </si>
  <si>
    <t xml:space="preserve">uncharacterized protein LOC106082279 </t>
  </si>
  <si>
    <t>XM_013244673</t>
  </si>
  <si>
    <t xml:space="preserve">LOC106082279 </t>
  </si>
  <si>
    <t>1076677-1076743 1076869-1077137</t>
  </si>
  <si>
    <t>ExpAA=16.80 First60=4.22 PredHel=0 Topology=o</t>
  </si>
  <si>
    <t>XP_013100127.1</t>
  </si>
  <si>
    <t>PHA03231 | DUF2076 | Glycoprotein_B | PLN02221 | PRK10263 | PRK11100 | PRK12757 | TcdA_TcdB_pore | PRK07334 | Med15 |</t>
  </si>
  <si>
    <t>Chromatin structure and dynamics, Transcription</t>
  </si>
  <si>
    <t>XM_013244673_1</t>
  </si>
  <si>
    <t xml:space="preserve">uncharacterized protein LOC106086016 </t>
  </si>
  <si>
    <t>XM_013250517</t>
  </si>
  <si>
    <t xml:space="preserve">LOC106086016 </t>
  </si>
  <si>
    <t>NW_013172224.1</t>
  </si>
  <si>
    <t>408951-409029 404792-404912 404564-404723</t>
  </si>
  <si>
    <t>ExpAA=20.35 First60=20.35 PredHel=1 Topology=i7-26o</t>
  </si>
  <si>
    <t>XP_013105971.1</t>
  </si>
  <si>
    <t>RGD_cys_disintegrin |</t>
  </si>
  <si>
    <t>Drosophila melanogaster - extracellular space</t>
  </si>
  <si>
    <t>SVWC 8e-008| Hemolysin_secretion_protein_D_plasmid | PRK11883 | COG3631 | PRK08360 | PDDEXK_2 |</t>
  </si>
  <si>
    <t>RNA processing and modification, Chromatin structure and dynamics, Posttranslational modification, protein turnover, chaperones</t>
  </si>
  <si>
    <t>XM_013250517_1</t>
  </si>
  <si>
    <t xml:space="preserve">uncharacterized protein LOC106086203 </t>
  </si>
  <si>
    <t>XM_013250771</t>
  </si>
  <si>
    <t xml:space="preserve">LOC106086203 </t>
  </si>
  <si>
    <t>NW_013172237.1</t>
  </si>
  <si>
    <t>215630-215692 215257-215565</t>
  </si>
  <si>
    <t>ExpAA=10.64 First60=10.56 PredHel=0 Topology=o</t>
  </si>
  <si>
    <t>XP_013106225.1</t>
  </si>
  <si>
    <t xml:space="preserve"> Orphan secreted peptides</t>
  </si>
  <si>
    <t>putative 11.5 kDa secreted salivary gland protein</t>
  </si>
  <si>
    <t>STKc_AMPK_alpha | STKc_AMPK-like | PRK06954 | DRE_TIM_CMS | STKc_NUAK | PRK01345 | STKc_SIK | PRK11070 | PRK10525 | SLC5sbd_u1 |</t>
  </si>
  <si>
    <t>XM_013250771_1</t>
  </si>
  <si>
    <t xml:space="preserve">uncharacterized protein LOC106087125 </t>
  </si>
  <si>
    <t>XM_013252046</t>
  </si>
  <si>
    <t xml:space="preserve">LOC106087125 </t>
  </si>
  <si>
    <t>NW_013172310.1</t>
  </si>
  <si>
    <t>173060-173338</t>
  </si>
  <si>
    <t>ExpAA=21.73 First60=21.73 PredHel=1 Topology=i7-29o</t>
  </si>
  <si>
    <t>XP_013107500.1</t>
  </si>
  <si>
    <t xml:space="preserve"> Q-rich secreted protein</t>
  </si>
  <si>
    <t>putative 7.4 kDa secreted salivary gland protein 2</t>
  </si>
  <si>
    <t>Dictyostelium discoideum</t>
  </si>
  <si>
    <t>Stenotrophomonas phage phiSMA9</t>
  </si>
  <si>
    <t>Uncharacterized protein - Magnaporthe oryzae 70-15 - molecular_function - cellular_component - biological_process</t>
  </si>
  <si>
    <t>DUF4175 0.021| PRK12678 0.023| BAF1_ABF1 0.053| rne | RAM | EscV | PRK07772 | GRA6 | III | fliF |</t>
  </si>
  <si>
    <t>Replication, recombination and repair, RNA processing and modification</t>
  </si>
  <si>
    <t>XM_013252046_1</t>
  </si>
  <si>
    <t xml:space="preserve">uncharacterized protein LOC106088557 </t>
  </si>
  <si>
    <t>XM_013254134</t>
  </si>
  <si>
    <t xml:space="preserve">LOC106088557 </t>
  </si>
  <si>
    <t>NW_013172450.1</t>
  </si>
  <si>
    <t>14790-15131</t>
  </si>
  <si>
    <t>ExpAA=0.93 First60=0.93 PredHel=0 Topology=o</t>
  </si>
  <si>
    <t xml:space="preserve">1 | 48    HLSRHAR|SP  0.673 *ProP*  | </t>
  </si>
  <si>
    <t>XP_013109588.1</t>
  </si>
  <si>
    <t>hypothetical conserved Diptera protein</t>
  </si>
  <si>
    <t>elevated during infection - Drosophila melanogaster - molecular_function - extracellular space - humoral immune response - defense response to Gram-positive bacterium - defense response to Gram-negative bacterium - extracellular region</t>
  </si>
  <si>
    <t>PRK08411 | Attacin_C | sensor_protein_TorS | PRK15090 | PRK15213 | GlcNAc_2-epim | biotin_synthase | PRK12726 | PRK08508 | PRK13795 |</t>
  </si>
  <si>
    <t>XM_013254134_1</t>
  </si>
  <si>
    <t xml:space="preserve">uncharacterized protein LOC106089856 </t>
  </si>
  <si>
    <t>XM_013255851</t>
  </si>
  <si>
    <t xml:space="preserve">LOC106089856 </t>
  </si>
  <si>
    <t>246274-246493 246563-246783</t>
  </si>
  <si>
    <t>ExpAA=3.23 First60=3.23 PredHel=0 Topology=o</t>
  </si>
  <si>
    <t>XP_013111305.1</t>
  </si>
  <si>
    <t>double-headed protease inhibitor submandibular gland-like - signalP detected</t>
  </si>
  <si>
    <t>s/protinh</t>
  </si>
  <si>
    <t>RTS_cys_disintegrin |</t>
  </si>
  <si>
    <t>Felis catus</t>
  </si>
  <si>
    <t>Drosophila melanogaster - molecular_function - multicellular organism reproduction - extracellular space</t>
  </si>
  <si>
    <t>TOMM_kin_cyc | PRK00058 | hypothetical_protein | DASH_Ask1 | ThiH | KAZAL_FS | COG4277 | KAZAL | NA37 |</t>
  </si>
  <si>
    <t>XM_013255851_1</t>
  </si>
  <si>
    <t xml:space="preserve">uncharacterized protein LOC106089960 </t>
  </si>
  <si>
    <t>XM_013255971</t>
  </si>
  <si>
    <t xml:space="preserve">LOC106089960 </t>
  </si>
  <si>
    <t>NW_013172636.1</t>
  </si>
  <si>
    <t>175141-175302</t>
  </si>
  <si>
    <t>ExpAA=22.40 First60=22.40 PredHel=1 Topology=i7-29o</t>
  </si>
  <si>
    <t>XP_013111425.1</t>
  </si>
  <si>
    <t>DUF4538 2e-008| CdaR | PRK13474 | PRK06222 | cobS |</t>
  </si>
  <si>
    <t>XM_013255971_1</t>
  </si>
  <si>
    <t xml:space="preserve">uncharacterized protein LOC106092429 </t>
  </si>
  <si>
    <t>XM_013259298</t>
  </si>
  <si>
    <t xml:space="preserve">LOC106092429 </t>
  </si>
  <si>
    <t>NW_013173192.1</t>
  </si>
  <si>
    <t>22390-22423 22483-23078</t>
  </si>
  <si>
    <t>ExpAA=17.96 First60=17.96 PredHel=1 Topology=i7-29o</t>
  </si>
  <si>
    <t>XP_013114752.1</t>
  </si>
  <si>
    <t>European mountain ash ringspot-associated virus (isolate Sorbus aucuparia)</t>
  </si>
  <si>
    <t>PRK09866 | MAP2_projctn | Replication_protein_A_70_kDa_DNA-bindi...    28   2.7   | PRK06195 | HTH_3 | Glm_e | PTZ00322 | DHR2_DOCK | PUB_RNF31 | PRK14902 |</t>
  </si>
  <si>
    <t>XM_013259298_1</t>
  </si>
  <si>
    <t xml:space="preserve">   Cytoskeletal proteins</t>
  </si>
  <si>
    <t xml:space="preserve">dynein light chain roadblock-type 2 </t>
  </si>
  <si>
    <t>XM_013242525</t>
  </si>
  <si>
    <t xml:space="preserve">LOC106080919 </t>
  </si>
  <si>
    <t>NW_013171935.1</t>
  </si>
  <si>
    <t>1402532-1402534 1402595-1402673 1402817-1403028</t>
  </si>
  <si>
    <t>XP_013097979.1</t>
  </si>
  <si>
    <t>dynein light chain roadblock-type 2</t>
  </si>
  <si>
    <t>cs</t>
  </si>
  <si>
    <t>roadblock - Drosophila melanogaster - axonemal dynein complex - motor activity - cytoplasmic dynein complex - microtubule-based movement - dynein complex - ATPase activity, coupled - microtubule associated complex - mushroom body development - dendrite morphogenesis</t>
  </si>
  <si>
    <t>motor activity</t>
  </si>
  <si>
    <t>Catalysis of the generation of force resulting either in movement along a microfilament or microtubule, or in torque resulting in membrane scission, coupled to the hydrolysis of a nucleoside triphosphate.  [GOC:mah, GOC:vw, ISBN:0815316194, PMID:11242086]</t>
  </si>
  <si>
    <t xml:space="preserve">GO:0003774; GO:0042623; </t>
  </si>
  <si>
    <t>Robl_LC7 4e-018| Robl_LC7 5e-018| 17beta-HSDXI-like_SDR_c | MDH-like_SDR_c | DUF3352 | PRK08085 | BKR_SDR_c | 3alpha_HSD_SDR_c | adh_short | 3-oxoacyl-_reductase_FabG |</t>
  </si>
  <si>
    <t>Cell cycle control, cell division, chromosome partitioning, Cell motility</t>
  </si>
  <si>
    <t>XM_013242525_1</t>
  </si>
  <si>
    <t xml:space="preserve">   Detoxification</t>
  </si>
  <si>
    <t xml:space="preserve">farnesol dehydrogenase-like </t>
  </si>
  <si>
    <t>XM_013259648</t>
  </si>
  <si>
    <t xml:space="preserve">LOC106092732 </t>
  </si>
  <si>
    <t>NW_013173305.1</t>
  </si>
  <si>
    <t>86184-86753 86822-86998</t>
  </si>
  <si>
    <t>ExpAA=7.39 First60=7.14 PredHel=0 Topology=o</t>
  </si>
  <si>
    <t>XP_013115102.1</t>
  </si>
  <si>
    <t>Predicted dehydrogenase</t>
  </si>
  <si>
    <t>detox</t>
  </si>
  <si>
    <t xml:space="preserve"> Detoxication metabolism</t>
  </si>
  <si>
    <t>Aedes aegypti</t>
  </si>
  <si>
    <t>Drosophila melanogaster - oxidoreductase activity - metabolic process - neurogenesis</t>
  </si>
  <si>
    <t>carbonyl reductase (NADPH) activity</t>
  </si>
  <si>
    <t>Catalysis of the reaction: R-CHOH-R' + NADP+ = R-CO-R' + NADPH + H+.  [EC:1.1.1.184]</t>
  </si>
  <si>
    <t>aldehyde reductase 1  RELATED [EC:1.1.1.184]</t>
  </si>
  <si>
    <t xml:space="preserve">GO:0016491; GO:0016616; GO:0016491; GO:0004090; GO:0016491; </t>
  </si>
  <si>
    <t>Mgc4172-like_SDR_c 3e-065| COG4221 6e-047| SDR_c 6e-043| SDR_c5 5e-040| 17beta-HSD-like_SDR_c 3e-039| DltE 1e-036| CAD_SDR_c 2e-036| FabG 3e-034| fabG 1e-033| fabG 6e-033|</t>
  </si>
  <si>
    <t>Secondary metabolites biosynthesis, transport and catabolism</t>
  </si>
  <si>
    <t>DNA8-8B_Mad</t>
  </si>
  <si>
    <t>DNA transposon</t>
  </si>
  <si>
    <t>DNA8-8B_Mad DNA transposons from the apple genome.</t>
  </si>
  <si>
    <t>DNA transposon; Transposable Element; Nonautonomous; DNA8-8B_Mad.</t>
  </si>
  <si>
    <t>Malus x domestica</t>
  </si>
  <si>
    <t>XM_013259648_1</t>
  </si>
  <si>
    <t xml:space="preserve">   Oxidant metabolism/Detoxification</t>
  </si>
  <si>
    <t xml:space="preserve">probable cytochrome P450 308a1 </t>
  </si>
  <si>
    <t>XM_013259872</t>
  </si>
  <si>
    <t xml:space="preserve">LOC106092917 </t>
  </si>
  <si>
    <t>NW_013173377.1</t>
  </si>
  <si>
    <t>131124-131308 130776-131016 130578-130673 122743-122930 122083-122344 117596-117722 117333-117477 115230-115348 114934-115103</t>
  </si>
  <si>
    <t>ExpAA=26.45 First60=20.66 PredHel=1 Topology=o4-26i</t>
  </si>
  <si>
    <t>XP_013115326.1</t>
  </si>
  <si>
    <t>probable cytochrome P450 308a1</t>
  </si>
  <si>
    <t>detox/ox</t>
  </si>
  <si>
    <t>Pandoravirus dulcis</t>
  </si>
  <si>
    <t>Cyp308a1 - Drosophila melanogaster - intracellular membrane-bounded organelle - electron carrier activity - membrane - insecticide metabolic process - oxidation-reduction process - iron ion binding - heme binding - oxidoreductase activity, acting on paired donors, with incorporation or reduction of molecular oxygen</t>
  </si>
  <si>
    <t>electron carrier activity</t>
  </si>
  <si>
    <t>Any molecular entity that serves as an electron acceptor and electron donor in an electron transport chain. An electron transport chain is a process in which a series of electron carriers operate together to transfer electrons from donors to any of several different terminal electron acceptors to generate a transmembrane electrochemical gradient.  [ISBN:0198506732]</t>
  </si>
  <si>
    <t>2Fe-2S electron transfer carrier  NARROW []</t>
  </si>
  <si>
    <t xml:space="preserve">GO:0009055; GO:0005506; GO:0020037; GO:0016705; </t>
  </si>
  <si>
    <t>p450 7e-053| PLN02290 3e-028| CypX 7e-027| PLN02183 2e-019| PLN02774 8e-016| PLN03112 4e-015| PTZ00404 4e-015| PLN02936 2e-014| PLN00110 2e-013| PLN02687 2e-013|</t>
  </si>
  <si>
    <t>XM_013259872_1</t>
  </si>
  <si>
    <t xml:space="preserve">   Extracellular matrix</t>
  </si>
  <si>
    <t xml:space="preserve">shematrin-like protein 2 </t>
  </si>
  <si>
    <t>XM_013262996</t>
  </si>
  <si>
    <t xml:space="preserve">LOC106095698 </t>
  </si>
  <si>
    <t>NW_013171871.1</t>
  </si>
  <si>
    <t>1097779-1098525</t>
  </si>
  <si>
    <t>ExpAA=32.05 First60=15.51 PredHel=0 Topology=o</t>
  </si>
  <si>
    <t>XP_013118450.1</t>
  </si>
  <si>
    <t>pupal cuticle protein Edg-91 - signalP detected</t>
  </si>
  <si>
    <t>Synechococcus phage S-CAM8</t>
  </si>
  <si>
    <t>Ecdysone-dependent gene 91 - Drosophila melanogaster - structural constituent of pupal chitin-based cuticle</t>
  </si>
  <si>
    <t xml:space="preserve">GO:0008011; </t>
  </si>
  <si>
    <t>PTZ00110 0.005| DUF1517 0.027| PRK06958 0.068| DUF1421 | PTZ00146 | GRP | PRP | DUF1183 | COG4371 | RCR |</t>
  </si>
  <si>
    <t>XM_013262996_1</t>
  </si>
  <si>
    <t xml:space="preserve">glycine-rich cell wall structural protein-like </t>
  </si>
  <si>
    <t>XM_013246486</t>
  </si>
  <si>
    <t xml:space="preserve">LOC106083456 </t>
  </si>
  <si>
    <t>NW_013172049.1</t>
  </si>
  <si>
    <t>769348-769887</t>
  </si>
  <si>
    <t>ExpAA=15.33 First60=0.00 PredHel=0 Topology=o</t>
  </si>
  <si>
    <t>XP_013101940.1</t>
  </si>
  <si>
    <t>glycine-rich cell wall structural protein-like</t>
  </si>
  <si>
    <t>Hydra vulgaris</t>
  </si>
  <si>
    <t>Hordeum vulgare</t>
  </si>
  <si>
    <t>Paramecium bursaria Chlorella virus NY2A</t>
  </si>
  <si>
    <t>Uncharacterized protein - Ornithorhynchus anatinus - ATP-dependent RNA helicase activity - RNA processing - intracellular ribonucleoprotein complex - poly(A) RNA binding</t>
  </si>
  <si>
    <t>ATP-dependent RNA helicase activity</t>
  </si>
  <si>
    <t>Catalysis of the reaction: ATP + H2O = ADP + phosphate; this reaction drives the unwinding of an RNA helix.  [EC:3.6.1.3, GOC:jl]</t>
  </si>
  <si>
    <t>PTZ00110 2e-004| DUF1517 8e-004| COG4371 0.001| PRK14276 0.010| PRK14289 0.013| PTZ00146 0.061| PRK14280 | Chaperone_protein_DnaJ | PRK14291 | PRK14284 |</t>
  </si>
  <si>
    <t>XM_013246486_1</t>
  </si>
  <si>
    <t xml:space="preserve">   Energy metabolism</t>
  </si>
  <si>
    <t xml:space="preserve">cytochrome c1-like isoform X1 </t>
  </si>
  <si>
    <t>XM_013263461</t>
  </si>
  <si>
    <t xml:space="preserve">LOC106095976 </t>
  </si>
  <si>
    <t>1577636-1577903 1577934-1578247</t>
  </si>
  <si>
    <t>ExpAA=0.32 First60=0.32 PredHel=0 Topology=o</t>
  </si>
  <si>
    <t>XP_013118915.1</t>
  </si>
  <si>
    <t>cytochrome c1-like isoform X2 - 13 OH-glycosylation sites - signalP detected</t>
  </si>
  <si>
    <t>met/energy</t>
  </si>
  <si>
    <t>Saimiriine herpesvirus 2 (strain 11)</t>
  </si>
  <si>
    <t>Saimiriine herpesvirus 2</t>
  </si>
  <si>
    <t>Putative uncharacterized protein - Candida parapsilosis CDC317 - molecular_function - cellular_component - biological_process</t>
  </si>
  <si>
    <t>rne 1e-006| CheA 8e-005| MDN1 2e-004| PRK13108 0.002| Nop14 0.004| retinal_rod 0.017| Daxx 0.018| CobT 0.021| PRK10819 0.059| PHA03169 |</t>
  </si>
  <si>
    <t>Signal transduction mechanisms</t>
  </si>
  <si>
    <t>XM_013263461_1</t>
  </si>
  <si>
    <t xml:space="preserve">cytochrome c1-like isoform X2 </t>
  </si>
  <si>
    <t>XM_013263462</t>
  </si>
  <si>
    <t>1577636-1577911 1577942-1578247</t>
  </si>
  <si>
    <t>XP_013118916.1</t>
  </si>
  <si>
    <t>XM_013263462_1</t>
  </si>
  <si>
    <t xml:space="preserve">protein PET117 homolog, mitochondrial </t>
  </si>
  <si>
    <t>XM_013255278</t>
  </si>
  <si>
    <t xml:space="preserve">LOC106089432 </t>
  </si>
  <si>
    <t>NW_013171886.1</t>
  </si>
  <si>
    <t>1936444-1936535 1936598-1936754</t>
  </si>
  <si>
    <t xml:space="preserve"> 25-26</t>
  </si>
  <si>
    <t>ExpAA=15.74 First60=15.74 PredHel=1 Topology=i7-25o</t>
  </si>
  <si>
    <t>XP_013110732.1</t>
  </si>
  <si>
    <t>protein PET117 homolog mitochondrial - signalP detected</t>
  </si>
  <si>
    <t>Drosophila melanogaster - biological_process - molecular_function - mitochondrion</t>
  </si>
  <si>
    <t>SLC5sbd_CHT | Probable_cobyrinic_acid_AC-diamide_syn...    28   0.92  | ileS | PRK10869 | PRK08289 | PTZ00327 |</t>
  </si>
  <si>
    <t>XM_013255278_1</t>
  </si>
  <si>
    <t>mitochondrial import receptor subunit TOM7 homolog</t>
  </si>
  <si>
    <t>XM_013242619</t>
  </si>
  <si>
    <t xml:space="preserve">LOC106080971 </t>
  </si>
  <si>
    <t>NW_013171937.1</t>
  </si>
  <si>
    <t>249320-249419 249180-249244</t>
  </si>
  <si>
    <t>ExpAA=11.24 First60=11.24 PredHel=0 Topology=o</t>
  </si>
  <si>
    <t>XP_013098073.1</t>
  </si>
  <si>
    <t>AGAP010227-PA - Anopheles gambiae - mitochondrial outer membrane translocase complex - protein import into mitochondrial matrix - integral component of mitochondrial outer membrane - protein import into mitochondrial outer membrane - protein channel activity</t>
  </si>
  <si>
    <t>protein channel activity</t>
  </si>
  <si>
    <t>Enables the energy-independent facilitated diffusion, mediated by passage of proteins through a transmembrane aqueous pore or channel.  [GOC:rb]</t>
  </si>
  <si>
    <t xml:space="preserve">GO:0015266; </t>
  </si>
  <si>
    <t>Tom7 9e-009| photo_TT_lyase | PRK12316 | PRK01816 |</t>
  </si>
  <si>
    <t>XM_013242619_1</t>
  </si>
  <si>
    <t xml:space="preserve">protein PET100 homolog, mitochondrial </t>
  </si>
  <si>
    <t>XM_013247914</t>
  </si>
  <si>
    <t xml:space="preserve">LOC106084325 </t>
  </si>
  <si>
    <t>459887-460135</t>
  </si>
  <si>
    <t>ExpAA=3.31 First60=3.31 PredHel=0 Topology=o</t>
  </si>
  <si>
    <t>XP_013103368.1</t>
  </si>
  <si>
    <t>protein PET100 homolog mitochondrial</t>
  </si>
  <si>
    <t>Drosophila melanogaster - molecular_function - cellular_component - biological_process - mitochondrion - mitochondrial respiratory chain complex IV assembly</t>
  </si>
  <si>
    <t>DUF2346 5e-022| gid_trmFO | SAM_WDSUB1 | G6PD_bact | PRK14488 | Smc | Phage_min_cap2 |</t>
  </si>
  <si>
    <t>XM_013247914_1</t>
  </si>
  <si>
    <t xml:space="preserve">uncharacterized protein LOC106089999 </t>
  </si>
  <si>
    <t>XM_013256027</t>
  </si>
  <si>
    <t xml:space="preserve">LOC106089999 </t>
  </si>
  <si>
    <t>NW_013172640.1</t>
  </si>
  <si>
    <t>228651-228762 228828-228868</t>
  </si>
  <si>
    <t>ExpAA=18.40 First60=18.40 PredHel=1 Topology=i21-43o</t>
  </si>
  <si>
    <t>XP_013111481.1</t>
  </si>
  <si>
    <t>mitochondrial import receptor subunit TOM5 homolog</t>
  </si>
  <si>
    <t>TOM_sub5 | PTZ00243 | PRK06923 | TIGR03987_family_protein | trio_acet_GNAT |</t>
  </si>
  <si>
    <t>XM_013256027_1</t>
  </si>
  <si>
    <t>cytochrome b-c1 complex subunit 6, mitochondrial</t>
  </si>
  <si>
    <t>XM_013261071</t>
  </si>
  <si>
    <t xml:space="preserve">LOC106093904 </t>
  </si>
  <si>
    <t>NW_013173848.1</t>
  </si>
  <si>
    <t>76146-76244 75909-76082</t>
  </si>
  <si>
    <t>XP_013116525.1</t>
  </si>
  <si>
    <t>cytochrome b-c1 complex subunit 6 mitochondrial</t>
  </si>
  <si>
    <t>Ubiquinol-cytochrome c reductase 11 kDa subunit - Drosophila melanogaster - mitochondrial respiratory chain complex III - ubiquinol-cytochrome-c reductase activity - mitochondrial electron transport, ubiquinol to cytochrome c</t>
  </si>
  <si>
    <t>ubiquinol-cytochrome-c reductase activity</t>
  </si>
  <si>
    <t>Catalysis of the transfer of a solute or solutes from one side of a membrane to the other according to the reaction: CoQH2 + 2 ferricytochrome c = CoQ + 2 ferrocytochrome c + 2 H+.  [EC:1.10.2.2, ISBN:0198547684]</t>
  </si>
  <si>
    <t>coenzyme Q-cytochrome c reductase activity  EXACT [EC:1.10.2.2]</t>
  </si>
  <si>
    <t xml:space="preserve">GO:0008121; </t>
  </si>
  <si>
    <t>UCR_hinge 4e-020| PRK09103 |</t>
  </si>
  <si>
    <t>XM_013261071_1</t>
  </si>
  <si>
    <t xml:space="preserve">   Intermediary metabolism</t>
  </si>
  <si>
    <t>farnesyl pyrophosphate synthase-like isoform X1</t>
  </si>
  <si>
    <t>XM_013249631</t>
  </si>
  <si>
    <t xml:space="preserve">LOC106085402 </t>
  </si>
  <si>
    <t>NW_013172173.1</t>
  </si>
  <si>
    <t>528159-528177 527842-528037 525916-525995 523511-523581 522748-523250 522462-522688 519730-519911</t>
  </si>
  <si>
    <t>ExpAA=1.72 First60=0.01 PredHel=0 Topology=o</t>
  </si>
  <si>
    <t>XP_013105085.1</t>
  </si>
  <si>
    <t>Polyprenyl synthetase</t>
  </si>
  <si>
    <t>met/int</t>
  </si>
  <si>
    <t>Gallus gallus</t>
  </si>
  <si>
    <t>Farnesyl pyrophosphate synthase - Drosophila melanogaster - geranyltranstransferase activity - dimethylallyltranstransferase activity - farnesyl diphosphate biosynthetic process - isoprenoid biosynthetic process - germ cell migration - wing disc development</t>
  </si>
  <si>
    <t>dimethylallyltranstransferase activity</t>
  </si>
  <si>
    <t>Catalysis of the reaction: dimethylallyl diphosphate + isopentenyl diphosphate = diphosphate + geranyl diphosphate.  [EC:2.5.1.1]</t>
  </si>
  <si>
    <t>(2E,6E)-farnesyl diphosphate synthetase activity  EXACT [EC:2.5.1.1]</t>
  </si>
  <si>
    <t xml:space="preserve">GO:0004337; GO:0004161; GO:0004161; GO:0004337; </t>
  </si>
  <si>
    <t>polyprenyl_synt 1e-045| Trans_IPPS_HT 1e-043| IspA 3e-038| Trans_IPPS 7e-036| Isoprenoid_Biosyn_C1 5e-019| preA 8e-004| Prenyl_transferase 0.007| PRK10888 0.043| PLN02857 | pneumococcal_histidine_triad_A_protein...    30   1.9   |</t>
  </si>
  <si>
    <t>Coenzyme transport and metabolism</t>
  </si>
  <si>
    <t>XM_013249631_1</t>
  </si>
  <si>
    <t>farnesyl pyrophosphate synthase-like isoform X2</t>
  </si>
  <si>
    <t>XM_013249632</t>
  </si>
  <si>
    <t>527842-527996 525916-525995 523511-523581 522748-523250 522462-522688 519730-519911</t>
  </si>
  <si>
    <t>ExpAA=2.68 First60=0.00 PredHel=0 Topology=o</t>
  </si>
  <si>
    <t>XP_013105086.1</t>
  </si>
  <si>
    <t>polyprenyl_synt 2e-045| Trans_IPPS_HT 1e-043| IspA 3e-038| Trans_IPPS 6e-036| Isoprenoid_Biosyn_C1 4e-019| preA 9e-004| Prenyl_transferase 0.006| PRK10888 0.054| PLN02857 | pneumococcal_histidine_triad_A_protein...    30   2.1   |</t>
  </si>
  <si>
    <t>XM_013249632_1</t>
  </si>
  <si>
    <t>farnesyl pyrophosphate synthase-like isoform X3</t>
  </si>
  <si>
    <t>XM_013249633</t>
  </si>
  <si>
    <t>526168-526181 525916-525995 523511-523581 522748-523250 522462-522688 519730-519911</t>
  </si>
  <si>
    <t>ExpAA=6.69 First60=0.00 PredHel=0 Topology=o</t>
  </si>
  <si>
    <t>XP_013105087.1</t>
  </si>
  <si>
    <t>polyprenyl_synt 2e-045| Trans_IPPS_HT 2e-043| IspA 3e-038| Trans_IPPS 5e-036| Isoprenoid_Biosyn_C1 3e-019| preA 6e-004| Prenyl_transferase 0.005| PRK10888 0.039| PLN02857 | PRK10581 |</t>
  </si>
  <si>
    <t>XM_013249633_1</t>
  </si>
  <si>
    <t>farnesyl pyrophosphate synthase-like isoform X4</t>
  </si>
  <si>
    <t>XM_013249634</t>
  </si>
  <si>
    <t>525916-525931 523511-523581 522748-523250 522462-522688 519730-519911</t>
  </si>
  <si>
    <t>ExpAA=5.37 First60=0.00 PredHel=0 Topology=o</t>
  </si>
  <si>
    <t>XP_013105088.1</t>
  </si>
  <si>
    <t xml:space="preserve">GO:0004337; GO:0004161; </t>
  </si>
  <si>
    <t>polyprenyl_synt 2e-045| Trans_IPPS_HT 1e-043| IspA 3e-038| Trans_IPPS 4e-036| Isoprenoid_Biosyn_C1 3e-019| preA 5e-004| Prenyl_transferase 0.004| PRK10888 0.035| PLN02857 | PRK10581 |</t>
  </si>
  <si>
    <t>XM_013249634_1</t>
  </si>
  <si>
    <t xml:space="preserve">farnesyl pyrophosphate synthase-like </t>
  </si>
  <si>
    <t>XM_013249636</t>
  </si>
  <si>
    <t xml:space="preserve">LOC106085405 </t>
  </si>
  <si>
    <t>534427-534926 534124-534350 533888-534069</t>
  </si>
  <si>
    <t>ExpAA=1.23 First60=0.34 PredHel=0 Topology=o</t>
  </si>
  <si>
    <t>XP_013105090.1</t>
  </si>
  <si>
    <t>polyprenyl_synt 3e-045| Trans_IPPS_HT 3e-043| Trans_IPPS 1e-035| IspA 5e-032| Isoprenoid_Biosyn_C1 4e-018| Prenyl_transferase 1e-006| PRK10581 3e-004| preA 4e-004| PRK10888 0.001| PLN02857 0.042|</t>
  </si>
  <si>
    <t>XM_013249636_1</t>
  </si>
  <si>
    <t>XM_013252857</t>
  </si>
  <si>
    <t xml:space="preserve">LOC106087717 </t>
  </si>
  <si>
    <t>NW_013172362.1</t>
  </si>
  <si>
    <t>216848-216914 216706-216779 209717-210219 209430-209656 209183-209367</t>
  </si>
  <si>
    <t>ExpAA=3.54 First60=0.00 PredHel=0 Topology=o</t>
  </si>
  <si>
    <t>XP_013108311.1</t>
  </si>
  <si>
    <t>Rattus norvegicus</t>
  </si>
  <si>
    <t>polyprenyl_synt 2e-037| Trans_IPPS_HT 4e-031| Trans_IPPS 3e-026| IspA 3e-020| Isoprenoid_Biosyn_C1 3e-014| PTS_system_glucose-specific_IIBC_compo...    33   0.16  | dnaK | SMC_N | PRK14905 | PTZ00454 |</t>
  </si>
  <si>
    <t>XM_013252857_1</t>
  </si>
  <si>
    <t xml:space="preserve">   Nuclear regulation</t>
  </si>
  <si>
    <t xml:space="preserve">chromatin accessibility complex protein 1 </t>
  </si>
  <si>
    <t>XM_013249614</t>
  </si>
  <si>
    <t xml:space="preserve">LOC106085391 </t>
  </si>
  <si>
    <t>415738-415842 415909-416121</t>
  </si>
  <si>
    <t>XP_013105068.1</t>
  </si>
  <si>
    <t>chromatin accessibility complex protein 1</t>
  </si>
  <si>
    <t>nr</t>
  </si>
  <si>
    <t>Chromatin accessibility complex 16kD protein - Drosophila melanogaster - CHRAC - nucleosome mobilization - protein heterodimerization activity - nucleosome-dependent ATPase activity - cellular response to DNA damage stimulus</t>
  </si>
  <si>
    <t>protein heterodimerization activity</t>
  </si>
  <si>
    <t>Interacting selectively and non-covalently with a nonidentical protein to form a heterodimer.  [GOC:ai]</t>
  </si>
  <si>
    <t xml:space="preserve">GO:0046982; GO:0070615; </t>
  </si>
  <si>
    <t>CBFD_NFYB_HMF 5e-009| HAP5 9e-006| BUR6 9e-004| PLN02737 | UPF0061 | PRK00784 | HSPA12_like_NBD | PLN02208 | PLN00149 | DNA_pol_phi |</t>
  </si>
  <si>
    <t>XM_013249614_1</t>
  </si>
  <si>
    <t xml:space="preserve">   Protein export</t>
  </si>
  <si>
    <t xml:space="preserve">signal recognition particle 14 kDa protein </t>
  </si>
  <si>
    <t>XM_013263892</t>
  </si>
  <si>
    <t xml:space="preserve">LOC106096244 </t>
  </si>
  <si>
    <t>NW_013171915.1</t>
  </si>
  <si>
    <t>543689-543712 543557-543629 537184-537284 536989-537120</t>
  </si>
  <si>
    <t>XP_013119346.1</t>
  </si>
  <si>
    <t>signal recognition particle 14 kDa protein</t>
  </si>
  <si>
    <t>Canis lupus familiaris</t>
  </si>
  <si>
    <t>Signal recognition particle protein 14 - Drosophila melanogaster - signal recognition particle, endoplasmic reticulum targeting - mRNA binding - SRP-dependent cotranslational protein targeting to membrane - 7S RNA binding - endoplasmic reticulum signal peptide binding</t>
  </si>
  <si>
    <t>mRNA binding</t>
  </si>
  <si>
    <t>Interacting selectively and non-covalently with messenger RNA (mRNA), an intermediate molecule between DNA and protein. mRNA includes UTR and coding sequences, but does not contain introns.  [GOC:kmv, SO:0000234]</t>
  </si>
  <si>
    <t xml:space="preserve">GO:0003729; GO:0008312; GO:0030942; </t>
  </si>
  <si>
    <t>SRP14 2e-026| PBP2_iGluR_Kainate | Imm35 | prostaglandin_endoperoxide_synthase | PF_Nei_N |</t>
  </si>
  <si>
    <t>XM_013263892_1</t>
  </si>
  <si>
    <t xml:space="preserve">protein transport protein SFT2 </t>
  </si>
  <si>
    <t>XM_013248681</t>
  </si>
  <si>
    <t xml:space="preserve">LOC106084768 </t>
  </si>
  <si>
    <t>NW_013172118.1</t>
  </si>
  <si>
    <t>542956-543141 542442-542879</t>
  </si>
  <si>
    <t>ExpAA=87.40 First60=0.00 PredHel=4 Topology=i70-92o102-124i133-155o160-182i</t>
  </si>
  <si>
    <t xml:space="preserve">1 | 67    KLSRLQR|IV  0.599 *ProP*  | </t>
  </si>
  <si>
    <t>XP_013104135.1</t>
  </si>
  <si>
    <t>vesicle transport protein SFT2C - Membrane anchor detected - 4 predicted membrane helices</t>
  </si>
  <si>
    <t>pe membrAnchor membrane</t>
  </si>
  <si>
    <t>Drosophila melanogaster - integral component of membrane - identical protein binding - Golgi to endosome transport - Golgi membrane</t>
  </si>
  <si>
    <t>identical protein binding</t>
  </si>
  <si>
    <t>Interacting selectively and non-covalently with an identical protein or proteins.  [GOC:jl]</t>
  </si>
  <si>
    <t>isoform-specific homophilic binding  EXACT [PMID:17889655]</t>
  </si>
  <si>
    <t xml:space="preserve">GO:0042802; </t>
  </si>
  <si>
    <t>SFT2 6e-023| Got1 7e-022| TehA 0.038| PSN | TMEM37 | ALG3 | SLAC1 | NolL |</t>
  </si>
  <si>
    <t>XM_013248681_1</t>
  </si>
  <si>
    <t xml:space="preserve">coatomer subunit zeta-1 </t>
  </si>
  <si>
    <t>XM_013258495</t>
  </si>
  <si>
    <t xml:space="preserve">LOC106091820 </t>
  </si>
  <si>
    <t>NW_013173020.1</t>
  </si>
  <si>
    <t>97762-97779 97858-98225 102269-102359 102845-102892</t>
  </si>
  <si>
    <t>ExpAA=0.43 First60=0.01 PredHel=0 Topology=o</t>
  </si>
  <si>
    <t>XP_013113949.1</t>
  </si>
  <si>
    <t>Vesicle coat complex COPI zeta subunit</t>
  </si>
  <si>
    <t>Pongo abelii</t>
  </si>
  <si>
    <t>coatomer protein complex, subunit zeta 1 - Danio rerio - transport - protein transport - lens development in camera-type eye - vesicle-mediated transport - intracellular protein transport - membrane coat</t>
  </si>
  <si>
    <t>Clat_adaptor_s 3e-023| RET3 2e-020| APS2 0.092| PRK06965 | PTZ00395 | COG2380 | CbiO | HemeO | Ets |</t>
  </si>
  <si>
    <t>XM_013258495_1</t>
  </si>
  <si>
    <t xml:space="preserve">signal peptidase complex subunit 3 </t>
  </si>
  <si>
    <t>XM_013262124</t>
  </si>
  <si>
    <t xml:space="preserve">LOC106094889 </t>
  </si>
  <si>
    <t>NW_013174917.1</t>
  </si>
  <si>
    <t>7406-7548 7624-7890 25843-25972</t>
  </si>
  <si>
    <t xml:space="preserve"> 33-34</t>
  </si>
  <si>
    <t>ExpAA=25.84 First60=22.58 PredHel=1 Topology=o10-32i</t>
  </si>
  <si>
    <t>XP_013117578.1</t>
  </si>
  <si>
    <t>signal peptidase complex subunit 3 - signalP detected</t>
  </si>
  <si>
    <t>Spase 22/23-subunit - Drosophila melanogaster - signal peptidase complex - signal peptide processing - peptidase activity - integral component of membrane</t>
  </si>
  <si>
    <t>peptidase activity</t>
  </si>
  <si>
    <t>Catalysis of the hydrolysis of a peptide bond. A peptide bond is a covalent bond formed when the carbon atom from the carboxyl group of one amino acid shares electrons with the nitrogen atom from the amino group of a second amino acid.  [GOC:jl, ISBN:0815332181]</t>
  </si>
  <si>
    <t>hydrolase, acting on peptide bonds  EXACT []</t>
  </si>
  <si>
    <t xml:space="preserve">GO:0008233; </t>
  </si>
  <si>
    <t>SPC22 2e-068| PTZ00116 7e-016| COX6A | psbC | Poly-beta-hydroxybutyrate_polymerase | RRM1_RAVER2 |</t>
  </si>
  <si>
    <t>XM_013262124_1</t>
  </si>
  <si>
    <t xml:space="preserve">   Protein modification</t>
  </si>
  <si>
    <t xml:space="preserve">ubiquitin-fold modifier 1 </t>
  </si>
  <si>
    <t>XM_013263961</t>
  </si>
  <si>
    <t xml:space="preserve">LOC106096293 </t>
  </si>
  <si>
    <t>378423-378677</t>
  </si>
  <si>
    <t>XP_013119415.1</t>
  </si>
  <si>
    <t>Urm1-like ubiquitin domain</t>
  </si>
  <si>
    <t>prot</t>
  </si>
  <si>
    <t xml:space="preserve"> Protein modification machinery</t>
  </si>
  <si>
    <t>ubiquitin-fold modifier 1</t>
  </si>
  <si>
    <t>Drosophila pseudoobscura pseudoobscura</t>
  </si>
  <si>
    <t>Drosophila melanogaster - molecular_function - response to endoplasmic reticulum stress - cytoplasm - nucleus</t>
  </si>
  <si>
    <t>Ufm1 1e-048| Ufm1 9e-042| hemoglobin-haptoglobin-binding_protein...    31   0.054 0.054| PLN03187 | PRK15346 | PLN02779 | APG12 | PRK14714 | RnfC | PRK08666 |</t>
  </si>
  <si>
    <t>XM_013263961_1</t>
  </si>
  <si>
    <t xml:space="preserve">prolyl 4-hydroxylase subunit alpha-2-like </t>
  </si>
  <si>
    <t>XM_013245392</t>
  </si>
  <si>
    <t xml:space="preserve">LOC106082714 </t>
  </si>
  <si>
    <t>NW_013172016.1</t>
  </si>
  <si>
    <t>932350-932452 932533-933530 933591-933650 938445-938610 938677-938783</t>
  </si>
  <si>
    <t>ExpAA=0.02 First60=0.00 PredHel=0 Topology=o</t>
  </si>
  <si>
    <t xml:space="preserve">1 | 210    SRDRFRR|KV  0.657 *ProP*  | </t>
  </si>
  <si>
    <t>XP_013100846.1</t>
  </si>
  <si>
    <t>prolyl 4-hydroxylase subunit alpha-2 (will make collagen-like peptides)</t>
  </si>
  <si>
    <t>Cafeteria roenbergensis virus BV-PW1</t>
  </si>
  <si>
    <t>prolyl-4-hydroxylase-alpha SG1 - Drosophila melanogaster - peptidyl-proline hydroxylation to 4-hydroxy-L-proline - procollagen-proline 4-dioxygenase complex - procollagen-proline 4-dioxygenase activity - iron ion binding - oxidoreductase activity, acting on single donors with incorporation of molecular oxygen, incorporation of two atoms of oxygen - L-ascorbic acid binding - oxidation-reduction process - endoplasmic reticulum - salivary gland morphogenesis</t>
  </si>
  <si>
    <t>procollagen-proline 4-dioxygenase activity</t>
  </si>
  <si>
    <t>Catalysis of the reaction: procollagen L-proline + 2-oxoglutarate + O2 = procollagen trans-4-hydroxy-L-proline + succinate + CO2.  [EC:1.14.11.2]</t>
  </si>
  <si>
    <t>collagen proline hydroxylase activity  EXACT [EC:1.14.11.2]</t>
  </si>
  <si>
    <t xml:space="preserve">GO:0004656; GO:0005506; GO:0016702; GO:0031418; </t>
  </si>
  <si>
    <t>P4Hc 2e-034| PLN00052 7e-023| P4Ha_N 2e-009| 2OG-FeII_Oxy 4e-005| 2OG-FeII_Oxy_3 0.020| PRK14974 | Prenyltrans_2 | Aspartate_ammonia-lyase | PRK13353 | MAM33 |</t>
  </si>
  <si>
    <t>XM_013245392_1</t>
  </si>
  <si>
    <t xml:space="preserve">ubiquitin-related modifier 1 homolog </t>
  </si>
  <si>
    <t>XM_013251345</t>
  </si>
  <si>
    <t xml:space="preserve">LOC106086605 </t>
  </si>
  <si>
    <t>NW_013172269.1</t>
  </si>
  <si>
    <t>520238-520317 520108-520178 519964-520049</t>
  </si>
  <si>
    <t>ExpAA=0.03 First60=0.03 PredHel=0 Topology=i</t>
  </si>
  <si>
    <t>XP_013106799.1</t>
  </si>
  <si>
    <t>ubiquitin-related modifier 1 homolog</t>
  </si>
  <si>
    <t>Drosophila melanogaster - serine-type endopeptidase activity - extracellular region - proteolysis - tRNA thio-modification - cytoplasm</t>
  </si>
  <si>
    <t>Urm1 7e-016| Urm1 4e-011| Peptidase_S37 | glycine_radical_enzyme_activase_YjjW_f...    26   2.8   | Plasmodium_exported_protein_hyp11_unkn...    26   5.6   | GST_N_GDAP1 | PLN02819 | STKc_MASTL | Adenylation_RNA_ligase | PHA02713 |</t>
  </si>
  <si>
    <t>XM_013251345_1</t>
  </si>
  <si>
    <t xml:space="preserve">dnaJ homolog subfamily C member 25 homolog </t>
  </si>
  <si>
    <t>XM_013254449</t>
  </si>
  <si>
    <t xml:space="preserve">LOC106088775 </t>
  </si>
  <si>
    <t>NW_013172482.1</t>
  </si>
  <si>
    <t>6616-7635</t>
  </si>
  <si>
    <t>ExpAA=59.72 First60=21.67 PredHel=3 Topology=o10-32i126-148o224-246i</t>
  </si>
  <si>
    <t>XP_013109903.1</t>
  </si>
  <si>
    <t>Molecular chaperone (DnaJ superfamily) - signalP detected - 3 predicted membrane helices</t>
  </si>
  <si>
    <t>pm membrane</t>
  </si>
  <si>
    <t>Drosophila melanogaster - biological_process - molecular_function - endomembrane system</t>
  </si>
  <si>
    <t>DnaJ 9e-018| Chaperone_protein_DnaJ 1e-017| PRK10767 1e-016| DnaJ 5e-015| PRK14293 6e-015| PRK14277 1e-014| PRK14280 2e-014| PRK14291 5e-014| PRK14281 6e-014| PRK14294 7e-014|</t>
  </si>
  <si>
    <t>XM_013254449_1</t>
  </si>
  <si>
    <t xml:space="preserve">ubiquitin-like protein 5 </t>
  </si>
  <si>
    <t>XM_013255869</t>
  </si>
  <si>
    <t xml:space="preserve">LOC106089879 </t>
  </si>
  <si>
    <t>NW_013172630.1</t>
  </si>
  <si>
    <t>184539-184577 184341-184479 182976-183019</t>
  </si>
  <si>
    <t>XP_013111323.1</t>
  </si>
  <si>
    <t>Ubiquitin-like protein</t>
  </si>
  <si>
    <t>AGAP011251-PA - Anopheles gambiae - mRNA splicing, via spliceosome - nucleus - cytoplasm - cellular protein modification process - protein tag</t>
  </si>
  <si>
    <t>protein tag</t>
  </si>
  <si>
    <t>Acting as an indicator or marker to facilitate recognition by other molecules in the cell. Recognition of the tag, which can be covalently attached to the target molecule, may result in modification, sequestration, transport or degradation of the molecule in question.  [GOC:go_curators]</t>
  </si>
  <si>
    <t>covalent modifier  RELATED [GOC:vw]</t>
  </si>
  <si>
    <t xml:space="preserve">GO:0031386; </t>
  </si>
  <si>
    <t>Ubl5 1e-033| UBL 1e-010| UBQ 3e-005| Ubiquitin_2 0.012| UV_excision_repair_protein_RAD23_homol...    33   0.026 0.026| ubiquitin 0.044| RAD23_N 0.067| UBQ | psaB | PTZ00044 |</t>
  </si>
  <si>
    <t>XM_013255869_1</t>
  </si>
  <si>
    <t xml:space="preserve">probable prefoldin subunit 6 </t>
  </si>
  <si>
    <t>XM_013257606</t>
  </si>
  <si>
    <t xml:space="preserve">LOC106091168 </t>
  </si>
  <si>
    <t>NW_013172863.1</t>
  </si>
  <si>
    <t>28079-28151 28228-28532</t>
  </si>
  <si>
    <t>XP_013113060.1</t>
  </si>
  <si>
    <t>Prefoldin subunit 6 KE2 family</t>
  </si>
  <si>
    <t>Drosophila melanogaster - chaperone binding - 'de novo' protein folding - prefoldin complex - protein folding - unfolded protein binding - neurogenesis</t>
  </si>
  <si>
    <t>chaperone binding</t>
  </si>
  <si>
    <t>Interacting selectively and non-covalently with a chaperone protein, a class of proteins that bind to nascent or unfolded polypeptides and ensure correct folding or transport.  [http://www.onelook.com]</t>
  </si>
  <si>
    <t>chaperone protein binding  EXACT []</t>
  </si>
  <si>
    <t xml:space="preserve">GO:0051087; GO:0051082; </t>
  </si>
  <si>
    <t>Prefoldin_2 1e-015| Prefoldin_beta 2e-015| GimC 3e-009| PRK09343 3e-004| Prefoldin_subunit_beta 3e-004| Prefoldin 0.019| Hemolysin_secretion_protein_D_plasmid | PRK03947 | Chromosome_partition_protein_Smc | Smc |</t>
  </si>
  <si>
    <t>XM_013257606_1</t>
  </si>
  <si>
    <t>dolichyl-diphosphooligosaccharide--protein</t>
  </si>
  <si>
    <t>XM_013241903</t>
  </si>
  <si>
    <t xml:space="preserve">LOC106080508 </t>
  </si>
  <si>
    <t>2087292-2087395 2087452-2087473</t>
  </si>
  <si>
    <t xml:space="preserve"> 30-31</t>
  </si>
  <si>
    <t>XP_013097357.1</t>
  </si>
  <si>
    <t>dolichyl-diphosphooligosaccharide--protein glycosyltransferase subunit 4 - signalP detected</t>
  </si>
  <si>
    <t>met/carb</t>
  </si>
  <si>
    <t>Drosophila mojavensis</t>
  </si>
  <si>
    <t>Dolichyl-diphosphooligosaccharide--protein glycosyltransferase subunit 4 - Drosophila mojavensis - dolichyl-diphosphooligosaccharide-protein glycotransferase activity - protein N-linked glycosylation - oligosaccharyltransferase complex</t>
  </si>
  <si>
    <t>dolichyl-diphosphooligosaccharide-protein glycotransferase activity</t>
  </si>
  <si>
    <t>Catalysis of the reaction: dolichyl diphosphooligosaccharide + protein L-asparagine = dolichyl diphosphate + a glycoprotein with the oligosaccharide chain attached by glycosylamine linkage to protein L-asparagine.  [EC:2.4.1.119]</t>
  </si>
  <si>
    <t>asparagine N-glycosyltransferase activity  EXACT [EC:2.4.1.119]</t>
  </si>
  <si>
    <t xml:space="preserve">GO:0004579; </t>
  </si>
  <si>
    <t>Ost4 2e-006|</t>
  </si>
  <si>
    <t>XM_013241903_1</t>
  </si>
  <si>
    <t>XM_013241911</t>
  </si>
  <si>
    <t>XP_013097365.1</t>
  </si>
  <si>
    <t>XM_013241911_1</t>
  </si>
  <si>
    <t>dolichol-phosphate mannosyltransferase subunit 3</t>
  </si>
  <si>
    <t>XM_013247050</t>
  </si>
  <si>
    <t xml:space="preserve">LOC106083800 </t>
  </si>
  <si>
    <t>NW_013172063.1</t>
  </si>
  <si>
    <t>703671-703820 703892-704026</t>
  </si>
  <si>
    <t>ExpAA=41.65 First60=40.70 PredHel=2 Topology=i7-26o36-58i</t>
  </si>
  <si>
    <t>XP_013102504.1</t>
  </si>
  <si>
    <t>dolichol-phosphate mannosyltransferase subunit 3 - signalP detected - 2 predicted membrane helices</t>
  </si>
  <si>
    <t>met/carb membrane</t>
  </si>
  <si>
    <t>Drosophila melanogaster - molecular_function - GPI anchor biosynthetic process - endoplasmic reticulum</t>
  </si>
  <si>
    <t>DPM3 4e-018| GltP | rimM | cytochrome_aa3_quinol_oxidase_subunit_...    26   5.7   |</t>
  </si>
  <si>
    <t>Posttranslational modification, protein turnover, chaperones, Signal transduction mechanisms</t>
  </si>
  <si>
    <t>XM_013247050_1</t>
  </si>
  <si>
    <t>XM_013261663</t>
  </si>
  <si>
    <t xml:space="preserve">LOC106094445 </t>
  </si>
  <si>
    <t>NW_013174267.1</t>
  </si>
  <si>
    <t>48312-48641</t>
  </si>
  <si>
    <t>ExpAA=57.03 First60=31.93 PredHel=3 Topology=o25-47i52-74o89-108i</t>
  </si>
  <si>
    <t>XP_013117117.1</t>
  </si>
  <si>
    <t>dolichyl-diphosphooligosaccharide--protein glycosyltransferase subunit DAD1 - Membrane anchor detected - 3 predicted membrane helices</t>
  </si>
  <si>
    <t>met/carb membrAnchor membrane</t>
  </si>
  <si>
    <t>lethal (2) k12914 - Drosophila melanogaster - oligosaccharyl transferase activity - oligosaccharyltransferase complex - negative regulation of apoptotic process - plasma membrane - integral component of membrane - dolichyl-diphosphooligosaccharide-protein glycotransferase activity - endomembrane system</t>
  </si>
  <si>
    <t>oligosaccharyl transferase activity</t>
  </si>
  <si>
    <t>Catalysis of the transfer of a oligosaccharyl group to an acceptor molecule, typically another carbohydrate or a lipid.  [GOC:ai]</t>
  </si>
  <si>
    <t>oligosaccharide transferase activity  EXACT [EC:2.4.1.119, GOC:mah]</t>
  </si>
  <si>
    <t xml:space="preserve">GO:0004576; GO:0004579; </t>
  </si>
  <si>
    <t>DAD 1e-041| PRK09521 | SBF2 | PBP1_ribose_binding | cond_enzymes | SLC5sbd_NIS-like_u3 |</t>
  </si>
  <si>
    <t>Cell cycle control, cell division, chromosome partitioning, Posttranslational modification, protein turnover, chaperones</t>
  </si>
  <si>
    <t>XM_013261663_1</t>
  </si>
  <si>
    <t xml:space="preserve">   Protein synthesis machinery</t>
  </si>
  <si>
    <t xml:space="preserve">40S ribosomal protein S21 </t>
  </si>
  <si>
    <t>XM_013242896</t>
  </si>
  <si>
    <t xml:space="preserve">LOC106081114 </t>
  </si>
  <si>
    <t>NW_013171869.1</t>
  </si>
  <si>
    <t>3194464-3194513 3194175-3194366 3194087-3194096</t>
  </si>
  <si>
    <t>XP_013098350.1</t>
  </si>
  <si>
    <t>40S ribosomal protein S21</t>
  </si>
  <si>
    <t>ps</t>
  </si>
  <si>
    <t>Drosophila willistoni</t>
  </si>
  <si>
    <t>40S ribosomal protein S21 - Drosophila pseudoobscura pseudoobscura - ribosome - regulation of cell proliferation - ribosome binding</t>
  </si>
  <si>
    <t>ribosome binding</t>
  </si>
  <si>
    <t>Interacting selectively and non-covalently with any part of a ribosome.  [GOC:go_curators]</t>
  </si>
  <si>
    <t>ribosome receptor activity  NARROW []</t>
  </si>
  <si>
    <t xml:space="preserve">GO:0043022; </t>
  </si>
  <si>
    <t>Ribosomal_S21e 2e-039| DUF4450 | PRK10985 | TPK_B1_binding | sdhA | PRK12775 |</t>
  </si>
  <si>
    <t>Translation, ribosomal structure and biogenesis</t>
  </si>
  <si>
    <t>XM_013242896_1</t>
  </si>
  <si>
    <t xml:space="preserve">40S ribosomal protein S16 </t>
  </si>
  <si>
    <t>XM_013245108</t>
  </si>
  <si>
    <t xml:space="preserve">LOC106082539 </t>
  </si>
  <si>
    <t>NW_013172009.1</t>
  </si>
  <si>
    <t>168022-168033 167914-167955 167540-167671 167222-167336 166054-166199</t>
  </si>
  <si>
    <t>ExpAA=0.02 First60=0.00 PredHel=0 Topology=i</t>
  </si>
  <si>
    <t>XP_013100562.1</t>
  </si>
  <si>
    <t>40S ribosomal protein S16</t>
  </si>
  <si>
    <t>Ribosomal protein S16 - Drosophila melanogaster - translation - cytosolic small ribosomal subunit - structural constituent of ribosome - ribosome - mitotic spindle organization - mitotic spindle elongation</t>
  </si>
  <si>
    <t>structural constituent of ribosome</t>
  </si>
  <si>
    <t>The action of a molecule that contributes to the structural integrity of the ribosome.  [GOC:mah]</t>
  </si>
  <si>
    <t>ribosomal protein  BROAD []</t>
  </si>
  <si>
    <t xml:space="preserve">GO:0003735; </t>
  </si>
  <si>
    <t>PTZ00086 5e-064| PLN00210 3e-062| rps9p 4e-041| Ribosomal_S9 2e-036| uS9_arch 8e-035| RpsI 2e-034| rpsI 1e-016| rps9 2e-008| PRK11174 | TTL |</t>
  </si>
  <si>
    <t>XM_013245108_1</t>
  </si>
  <si>
    <t xml:space="preserve">60S ribosomal protein L29 </t>
  </si>
  <si>
    <t>XM_013252792</t>
  </si>
  <si>
    <t xml:space="preserve">LOC106087667 </t>
  </si>
  <si>
    <t>NW_013172360.1</t>
  </si>
  <si>
    <t>433325-433426 433114-433248</t>
  </si>
  <si>
    <t>ExpAA=0.00 First60=0.00 PredHel=0 Topology=i</t>
  </si>
  <si>
    <t>XP_013108246.1</t>
  </si>
  <si>
    <t>60S ribosomal protein L29</t>
  </si>
  <si>
    <t>Ribosomal protein L29 - Drosophila melanogaster - structural constituent of ribosome - cytosolic large ribosomal subunit - translation - ribosome - chromatin binding</t>
  </si>
  <si>
    <t xml:space="preserve">GO:0003735; GO:0003682; </t>
  </si>
  <si>
    <t>Ribosomal_L29e 2e-009| PTZ00190 9e-004| coaE | coaE | PRK12267 | DPCK | CoaE | PRK10381 | PTZ00451 | GlyS |</t>
  </si>
  <si>
    <t>XM_013252792_1</t>
  </si>
  <si>
    <t xml:space="preserve">   Signal transduction</t>
  </si>
  <si>
    <t xml:space="preserve">uncharacterized protein LOC106082645 </t>
  </si>
  <si>
    <t>XM_013245272</t>
  </si>
  <si>
    <t xml:space="preserve">LOC106082645 </t>
  </si>
  <si>
    <t>NW_013172013.1</t>
  </si>
  <si>
    <t>988452-989003</t>
  </si>
  <si>
    <t>XP_013100726.1</t>
  </si>
  <si>
    <t>Adenylyl cyclase</t>
  </si>
  <si>
    <t>st</t>
  </si>
  <si>
    <t>Pediococcus pentosaceus (strain ATCC 25745 / 183-1w)</t>
  </si>
  <si>
    <t>CYTH-like_AC_IV-like 4e-032| CYTH 3e-013| CyaB 1e-012| STKc_SBK1 | Putative_adenylate_cyclase_MJ0240 | FHY3 | apcE | FkbH | DUF3414 | DUF499 |</t>
  </si>
  <si>
    <t>XM_013245272_1</t>
  </si>
  <si>
    <t xml:space="preserve">rhythmically expressed gene 2 protein </t>
  </si>
  <si>
    <t>XM_013263089</t>
  </si>
  <si>
    <t xml:space="preserve">LOC106095762 </t>
  </si>
  <si>
    <t>NW_013171902.1</t>
  </si>
  <si>
    <t>1790713-1791474</t>
  </si>
  <si>
    <t>ExpAA=0.01 First60=0.00 PredHel=0 Topology=o</t>
  </si>
  <si>
    <t>XP_013118543.1</t>
  </si>
  <si>
    <t>rhythmically expressed gene 2 protein</t>
  </si>
  <si>
    <t>Drosophila melanogaster - metabolic process - hydrolase activity</t>
  </si>
  <si>
    <t>hydrolase activity</t>
  </si>
  <si>
    <t>Catalysis of the hydrolysis of various bonds, e.g. C-O, C-N, C-C, phosphoric anhydride bonds, etc. Hydrolase is the systematic name for any enzyme of EC class 3.  [ISBN:0198506732]</t>
  </si>
  <si>
    <t xml:space="preserve">GO:0016787; GO:0016787; GO:0016787; </t>
  </si>
  <si>
    <t>Rhythmically_expressed_gene_2_protein 4e-052| COG1011 6e-023| HAD_2 2e-013| hydrolase_haloacid_dehalogenase-like_f...    71   6e-013 6e-013| Gph 1e-011| HAD-SF-IA-v3 9e-011| Hydrolase 5e-010| HAD-SF-IA-v1 9e-010| Uncharacterized_HAD-hydrolase_PYRAB051...    59   1e-009 1e-009| NagD 6e-008|</t>
  </si>
  <si>
    <t>XM_013263089_1</t>
  </si>
  <si>
    <t>uc</t>
  </si>
  <si>
    <t xml:space="preserve">   Transcription factor</t>
  </si>
  <si>
    <t xml:space="preserve">transcription factor MafK isoform X1 </t>
  </si>
  <si>
    <t>XM_013245340</t>
  </si>
  <si>
    <t xml:space="preserve">LOC106082681 </t>
  </si>
  <si>
    <t>NW_013172014.1</t>
  </si>
  <si>
    <t>980293-980358 979612-979977</t>
  </si>
  <si>
    <t>XP_013100794.1</t>
  </si>
  <si>
    <t>transcription factor MafK isoform X1</t>
  </si>
  <si>
    <t>tf</t>
  </si>
  <si>
    <t>maf-S - Drosophila melanogaster - nucleus - transcription from RNA polymerase II promoter - transcription factor activity, sequence-specific DNA binding - transcription, DNA-templated - head development - protein heterodimerization activity - positive regulation of transcription from RNA polymerase II promoter - protein homodimerization activity - autophagic cell death - salivary gland cell autophagic cell death - sequence-specific DNA binding - regulation of glucose metabolic process</t>
  </si>
  <si>
    <t>transcription factor activity, sequence-specific DNA binding</t>
  </si>
  <si>
    <t>Interacting selectively and non-covalently with a specific DNA sequence in order to modulate transcription. The transcription factor may or may not also interact selectively with a protein or macromolecular complex.  [GOC:curators, GOC:txnOH]</t>
  </si>
  <si>
    <t>sequence-specific DNA binding transcription factor activity  EXACT []</t>
  </si>
  <si>
    <t xml:space="preserve">GO:0003700; GO:0046982; GO:0042803; GO:0043565; </t>
  </si>
  <si>
    <t>bZIP_Maf_small 5e-029| bZIP_Maf 6e-026| bZIP_Maf_large 3e-021| bZIP_Maf 3e-017| BRLZ 4e-006| bZIP_CNC 0.031| bZIP_Fos_like 0.091| bZIP_NFE2-like | chromosome_segregation_protein_related...    30   0.42  | bZIP |</t>
  </si>
  <si>
    <t>XM_013245340_1</t>
  </si>
  <si>
    <t>XM_013245341</t>
  </si>
  <si>
    <t>XP_013100795.1</t>
  </si>
  <si>
    <t>XM_013245341_1</t>
  </si>
  <si>
    <t xml:space="preserve">transcription factor MafK isoform X2 </t>
  </si>
  <si>
    <t>XM_013245342</t>
  </si>
  <si>
    <t>980311-980358 979612-979977</t>
  </si>
  <si>
    <t>XP_013100796.1</t>
  </si>
  <si>
    <t>transcription factor MafK isoform X2</t>
  </si>
  <si>
    <t>bZIP_Maf_small 2e-028| bZIP_Maf 2e-025| bZIP_Maf_large 7e-021| bZIP_Maf 7e-017| BRLZ 1e-005| bZIP_CNC 0.038| bZIP_Fos_like | bZIP_NFE2-like | bZIP | bZIP_ATF4 |</t>
  </si>
  <si>
    <t>XM_013245342_1</t>
  </si>
  <si>
    <t>XM_013245343</t>
  </si>
  <si>
    <t>XP_013100797.1</t>
  </si>
  <si>
    <t>XM_013245343_1</t>
  </si>
  <si>
    <t xml:space="preserve">enhancer of yellow 2 transcription factor </t>
  </si>
  <si>
    <t>XM_013257389</t>
  </si>
  <si>
    <t xml:space="preserve">LOC106091002 </t>
  </si>
  <si>
    <t>NW_013171888.1</t>
  </si>
  <si>
    <t>524197-524291 523109-523334</t>
  </si>
  <si>
    <t>XP_013112843.1</t>
  </si>
  <si>
    <t>enhancer of yellow 2 transcription factor</t>
  </si>
  <si>
    <t>Enhancer of yellow 2 transcription factor - Drosophila mojavensis - SAGA complex - nuclear pore - mRNA export from nucleus - chromatin insulator sequence binding - positive regulation of transcription from RNA polymerase II promoter</t>
  </si>
  <si>
    <t>chromatin insulator sequence binding</t>
  </si>
  <si>
    <t>Interacting selectively and non-covalently and stoichiometrically with a chromatin insulator sequence, a DNA sequence that prevents enhancer-mediated activation or repression of transcription.  [GOC:jl, PMID:12783795]</t>
  </si>
  <si>
    <t xml:space="preserve">GO:0043035; </t>
  </si>
  <si>
    <t>EnY2 3e-022| PLN03077 | ED_3B_N_AMMECR1 | COG5545 | PRK15198 | DUF3668 | PHA03296 | PLN03069 | COG3614 | LipA |</t>
  </si>
  <si>
    <t>XM_013257389_1</t>
  </si>
  <si>
    <t>XM_013257398</t>
  </si>
  <si>
    <t>XP_013112852.1</t>
  </si>
  <si>
    <t>XM_013257398_1</t>
  </si>
  <si>
    <t xml:space="preserve">transcription factor MafK isoform X4 </t>
  </si>
  <si>
    <t>XM_013245346</t>
  </si>
  <si>
    <t>980311-980313 979612-979977</t>
  </si>
  <si>
    <t>XP_013100800.1</t>
  </si>
  <si>
    <t>bZIP_Maf_small 3e-022| bZIP_Maf 1e-020| bZIP_Maf_large 1e-016| bZIP_Maf 2e-013| BRLZ 2e-004| bZIP_CNC | bZIP_NFE2-like | bZIP_Fos_like | Kinesin-related | chromosome_segregation_protein_related...    26   3.4   |</t>
  </si>
  <si>
    <t>XM_013245346_1</t>
  </si>
  <si>
    <t xml:space="preserve">transcription factor MafK isoform X3 </t>
  </si>
  <si>
    <t>XM_013245344</t>
  </si>
  <si>
    <t>980293-980313 979612-979977</t>
  </si>
  <si>
    <t>XP_013100798.1</t>
  </si>
  <si>
    <t>bZIP_Maf_small 1e-022| bZIP_Maf 5e-021| bZIP_Maf_large 7e-017| bZIP_Maf 9e-014| BRLZ 7e-005| bZIP_CNC 0.093| bZIP_Fos_like | chromosome_segregation_protein_related...    30   0.30  | bZIP_NFE2-like | bZIP |</t>
  </si>
  <si>
    <t>XM_013245344_1</t>
  </si>
  <si>
    <t xml:space="preserve">   Transcription machinery</t>
  </si>
  <si>
    <t xml:space="preserve">DNA-directed RNA polymerase III subunit RPC9 </t>
  </si>
  <si>
    <t>XM_013263469</t>
  </si>
  <si>
    <t xml:space="preserve">LOC106095984 </t>
  </si>
  <si>
    <t>465031-465038 465104-465473</t>
  </si>
  <si>
    <t>XP_013118923.1</t>
  </si>
  <si>
    <t>DNA-directed RNA polymerase III subunit RPC9</t>
  </si>
  <si>
    <t>tm</t>
  </si>
  <si>
    <t>Receptor component protein - Drosophila melanogaster - G-protein coupled receptor activity - nucleotide binding - DNA-directed RNA polymerase activity - transcription, DNA-templated - positive regulation of G-protein coupled receptor protein signaling pathway - neuron projection morphogenesis - sensory perception of pain</t>
  </si>
  <si>
    <t>RNA polymerase III activity</t>
  </si>
  <si>
    <t>Catalysis of the reaction: nucleoside triphosphate + RNA(n) = diphosphate + RNA(n+1). Utilizes a DNA template that contains an RNA polymerase III specific promoter to direct initiation and catalyses DNA-template-directed extension of the 3'-end of an RNA strand by one nucleotide at a time. Can initiate a chain 'de novo'.  [GOC:txnOH]</t>
  </si>
  <si>
    <t>DNA-directed RNA polymerase activity involved in transcription from RNA polymerase III promoter  EXACT []</t>
  </si>
  <si>
    <t xml:space="preserve">GO:0001056; </t>
  </si>
  <si>
    <t>RNA_pol_Rpb4 5e-016| RPOL4c 3e-008| PRK13983 | Herpes_UL74 | Citrate_synt | Glyco_hydro_97 | MCM2 | RAB3GAP2_C | PEPcase | PRMT5 |</t>
  </si>
  <si>
    <t>XM_013263469_1</t>
  </si>
  <si>
    <t>DNA-directed RNA polymerases I, II, and III subunit</t>
  </si>
  <si>
    <t>XM_013244802</t>
  </si>
  <si>
    <t xml:space="preserve">LOC106082351 </t>
  </si>
  <si>
    <t>NW_013171999.1</t>
  </si>
  <si>
    <t>266462-266522 266208-266300 266120-266142</t>
  </si>
  <si>
    <t xml:space="preserve">1 | 51    YKKRTKR|LV  0.551 *ProP*  | </t>
  </si>
  <si>
    <t>XP_013100256.1</t>
  </si>
  <si>
    <t>DNA-directed RNA polymerases I II and III subunit RPABC4</t>
  </si>
  <si>
    <t>Rpb12 - Drosophila melanogaster - transcription from RNA polymerase II promoter - DNA-directed RNA polymerase activity - DNA-directed RNA polymerase II, core complex - DNA binding</t>
  </si>
  <si>
    <t>DNA-directed RNA polymerase activity</t>
  </si>
  <si>
    <t>Catalysis of the reaction: nucleoside triphosphate + RNA(n) = diphosphate + RNA(n+1). Utilizes a DNA template, i.e. the catalysis of DNA-template-directed extension of the 3'-end of an RNA strand by one nucleotide at a time. Can initiate a chain 'de novo'.  [EC:2.7.7.6]</t>
  </si>
  <si>
    <t>C ribonucleic acid formation factors  RELATED [EC:2.7.7.6]</t>
  </si>
  <si>
    <t xml:space="preserve">GO:0003899; GO:0003677; </t>
  </si>
  <si>
    <t>RPOLCX 4e-012| DNA_RNApol_7kD 2e-009| RPC10 0.002| Cytochrom_C3 | rpoP | hypothetical_protein | Gp49 |</t>
  </si>
  <si>
    <t>XM_013244802_1</t>
  </si>
  <si>
    <t>putative RNA polymerase II subunit B1 CTD phosphatase</t>
  </si>
  <si>
    <t>XM_013246629</t>
  </si>
  <si>
    <t xml:space="preserve">LOC106083540 </t>
  </si>
  <si>
    <t>NW_013172053.1</t>
  </si>
  <si>
    <t>684089-684126 684566-684680 684758-684855 690185-690368</t>
  </si>
  <si>
    <t>XP_013102083.1</t>
  </si>
  <si>
    <t>RNA polymerase II subunit B1 CTD phosphatase RPAP2 homolog</t>
  </si>
  <si>
    <t>Drosophila melanogaster - cytoplasm - snRNA transcription - dephosphorylation of RNA polymerase II C-terminal domain - CTD phosphatase activity - nucleus</t>
  </si>
  <si>
    <t>CTD phosphatase activity</t>
  </si>
  <si>
    <t>Catalysis of the reaction: phospho-(DNA-directed RNA polymerase) + H2O = (DNA-directed RNA polymerase) + phosphate.  [EC:3.1.3.16]</t>
  </si>
  <si>
    <t xml:space="preserve">GO:0008420; </t>
  </si>
  <si>
    <t>RPAP2_Rtr1 4e-018| PRK13805 0.087| PRK07352 | PRK11904 | AAD_C | SH2 | Atx10homo_assoc | PTZ00342 |</t>
  </si>
  <si>
    <t>XM_013246629_1</t>
  </si>
  <si>
    <t xml:space="preserve">probable splicing factor 3B subunit 5 </t>
  </si>
  <si>
    <t>XM_013246727</t>
  </si>
  <si>
    <t xml:space="preserve">LOC106083597 </t>
  </si>
  <si>
    <t>NW_013172056.1</t>
  </si>
  <si>
    <t>836588-836845</t>
  </si>
  <si>
    <t>ExpAA=0.11 First60=0.11 PredHel=0 Topology=i</t>
  </si>
  <si>
    <t>XP_013102181.1</t>
  </si>
  <si>
    <t>Splicing factor 3B subunit 10</t>
  </si>
  <si>
    <t>Drosophila melanogaster - nucleus - mRNA splicing, via spliceosome - molecular_function - mitotic spindle organization - precatalytic spliceosome - U2 snRNP</t>
  </si>
  <si>
    <t>SF3b10 3e-048| PRK15129 | PLN02972 | PKc_DYRK_like | GlmU | PldA | PLN03049 |</t>
  </si>
  <si>
    <t>XM_013246727_1</t>
  </si>
  <si>
    <t xml:space="preserve">zinc finger protein sens </t>
  </si>
  <si>
    <t>XM_013248504</t>
  </si>
  <si>
    <t xml:space="preserve">LOC106084650 </t>
  </si>
  <si>
    <t>NW_013172110.1</t>
  </si>
  <si>
    <t>309336-309480 303915-305047 287956-288106 282806-283047</t>
  </si>
  <si>
    <t>ExpAA=0.03 First60=0.01 PredHel=0 Topology=o</t>
  </si>
  <si>
    <t xml:space="preserve">1 | 531    RRHRESR|HE  0.532 *ProP*  | </t>
  </si>
  <si>
    <t>XP_013103958.1</t>
  </si>
  <si>
    <t>Ovo - probable fragment</t>
  </si>
  <si>
    <t>senseless - Drosophila melanogaster - peripheral nervous system development - regulation of transcription, DNA-templated - nucleus - photoreceptor cell morphogenesis - R8 cell differentiation - transcription factor activity, sequence-specific DNA binding - R8 cell fate specification - negative regulation of epidermal growth factor receptor signaling pathway - compound eye photoreceptor development - zinc ion binding - sensory organ development - chaeta morphogenesis - bHLH transcription factor binding - sensory organ precursor cell fate determination - dendrite morphogenesis - neuron development - negative regulation of transcription from RNA polymerase II promoter - sequence-specific DNA binding - transcription factor activity, RNA polymerase II distal enhancer sequence-specific binding - negative regulation of apoptotic process - axon guidance - transcriptional activator activity, RNA polymerase II core promoter proximal region sequence-specific binding - polytene chromosome - positive regulation of rhodopsin gene expression - photoreceptor cell differentiation</t>
  </si>
  <si>
    <t xml:space="preserve">GO:0003700; GO:0008270; GO:0043425; GO:0043565; GO:0003705; GO:0001077; </t>
  </si>
  <si>
    <t>ZF_C2H2 2e-029| ZF_C2H2 9e-017| zf-H2C2_2 0.001| ZF_C2H2 0.002| zf-C2H2 0.015| ZnF_C2H2 | PHA00733 | ZF_C2H2 | PLN03209 | PLN03174 |</t>
  </si>
  <si>
    <t>EnSpm-2_NV</t>
  </si>
  <si>
    <t>EnSpm</t>
  </si>
  <si>
    <t>EnSpm-2_NV Starlet sea anemone EnSpm-2_NV autonomous DNA transposon - consensus.</t>
  </si>
  <si>
    <t>EnSpm; DNA transposon; Transposable Element; EnSpm-2_NV.</t>
  </si>
  <si>
    <t>Nematostella vectensis</t>
  </si>
  <si>
    <t>XM_013248504_1</t>
  </si>
  <si>
    <t xml:space="preserve">U6 snRNA-associated Sm-like protein LSm3 </t>
  </si>
  <si>
    <t>XM_013248890</t>
  </si>
  <si>
    <t xml:space="preserve">LOC106084921 </t>
  </si>
  <si>
    <t>NW_013172132.1</t>
  </si>
  <si>
    <t>426545-426565 426362-426472 421991-422167</t>
  </si>
  <si>
    <t>ExpAA=0.10 First60=0.00 PredHel=0 Topology=o</t>
  </si>
  <si>
    <t>XP_013104344.1</t>
  </si>
  <si>
    <t>Small nuclear ribonucleoprotein (snRNP) LSM3</t>
  </si>
  <si>
    <t>Drosophila melanogaster - mRNA splicing, via spliceosome - U6 snRNP - small nuclear ribonucleoprotein complex - mRNA binding - cytoplasmic mRNA processing body assembly - catalytic step 2 spliceosome - precatalytic spliceosome</t>
  </si>
  <si>
    <t xml:space="preserve">GO:0003729; </t>
  </si>
  <si>
    <t>LSm3 1e-040| archaeal_Sm1 1e-015| Sm 1e-012| LSM 2e-012| LSM1 6e-012| PRK00737 3e-010| Sm_D2 4e-010| Sm_like 1e-008| LSm7 4e-006| Sm_B 6e-006|</t>
  </si>
  <si>
    <t>RNA processing and modification</t>
  </si>
  <si>
    <t>XM_013248890_1</t>
  </si>
  <si>
    <t xml:space="preserve">uncharacterized protein LOC106085905 </t>
  </si>
  <si>
    <t>XM_013250373</t>
  </si>
  <si>
    <t xml:space="preserve">LOC106085905 </t>
  </si>
  <si>
    <t>NW_013172214.1</t>
  </si>
  <si>
    <t>513120-513741 500777-500909 500447-500708</t>
  </si>
  <si>
    <t>XP_013105827.1</t>
  </si>
  <si>
    <t>Transcription factor HAND2/Transcription factor TAL1/TAL2/LYL1</t>
  </si>
  <si>
    <t>salivary gland-expressed bHLH - Drosophila melanogaster - nucleus - transcription factor activity, sequence-specific DNA binding - regulation of transcription, DNA-templated - protein dimerization activity - positive regulation of transcription from RNA polymerase II promoter - salivary gland development - polytene chromosome</t>
  </si>
  <si>
    <t>HLH 6e-013| HLH 1e-011| HLH 1e-010| CHBPH_aldolase | NN'-diacetylchitobiose_permease_IIC_co...    30   1.7   | NN'-diacetylchitobiose_permease_IIC_co...    30   1.7   | Herpes_UL36 | COG5177 | RNA_lig_partner | APP |</t>
  </si>
  <si>
    <t>XM_013250373_1</t>
  </si>
  <si>
    <t xml:space="preserve">U6 snRNA-associated Sm-like protein LSm5 </t>
  </si>
  <si>
    <t>XM_013251930</t>
  </si>
  <si>
    <t xml:space="preserve">LOC106087047 </t>
  </si>
  <si>
    <t>NW_013172306.1</t>
  </si>
  <si>
    <t>227793-227841 227954-228150 228349-228378</t>
  </si>
  <si>
    <t>ExpAA=0.02 First60=0.01 PredHel=0 Topology=o</t>
  </si>
  <si>
    <t>XP_013107384.1</t>
  </si>
  <si>
    <t>U6 snRNA-associated Sm-like protein</t>
  </si>
  <si>
    <t>Drosophila melanogaster - U6 snRNP - spliceosomal complex - mRNA splicing, via spliceosome - small nuclear ribonucleoprotein complex - RNA binding</t>
  </si>
  <si>
    <t>RNA binding</t>
  </si>
  <si>
    <t>Interacting selectively and non-covalently with an RNA molecule or a portion thereof.  [GOC:mah]</t>
  </si>
  <si>
    <t xml:space="preserve">GO:0003723; </t>
  </si>
  <si>
    <t>LSm5 6e-050| LSM 2e-017| Sm 3e-017| Sm_like 4e-015| LSM1 1e-013| Sm_E 2e-009| archaeal_LSm 2e-009| LSm3 1e-008| archaeal_Sm1 3e-008| PTZ00138 5e-008|</t>
  </si>
  <si>
    <t>XM_013251930_1</t>
  </si>
  <si>
    <t xml:space="preserve">transcription elongation factor 1 homolog </t>
  </si>
  <si>
    <t>XM_013261440</t>
  </si>
  <si>
    <t xml:space="preserve">LOC106094238 </t>
  </si>
  <si>
    <t>NW_013174087.1</t>
  </si>
  <si>
    <t>75593-75841</t>
  </si>
  <si>
    <t>XP_013116894.1</t>
  </si>
  <si>
    <t>transcription elongation factor 1 homolog</t>
  </si>
  <si>
    <t>Drosophila melanogaster - biological_process - cellular_component - molecular_function</t>
  </si>
  <si>
    <t>Elf1 2e-025| COG4888 9e-018| PRK14892 7e-007| NUP170 | rpsA | AAA_13 | RasGAP_IQGAP1 | MNNL | SIR2 | LIGANc |</t>
  </si>
  <si>
    <t>XM_013261440_1</t>
  </si>
  <si>
    <t xml:space="preserve">   Transporters and channels</t>
  </si>
  <si>
    <t xml:space="preserve">aquaporin-4-like </t>
  </si>
  <si>
    <t>XM_013248577</t>
  </si>
  <si>
    <t xml:space="preserve">LOC106084700 </t>
  </si>
  <si>
    <t>NW_013172114.1</t>
  </si>
  <si>
    <t>678786-679301 686028-686222</t>
  </si>
  <si>
    <t>ExpAA=129.19 First60=38.11 PredHel=6 Topology=i12-31o41-63i70-92o122-144i157-179o199-216i</t>
  </si>
  <si>
    <t>XP_013104031.1</t>
  </si>
  <si>
    <t>salivary aquaporin-4-like - signalP detected - 6 predicted membrane helices</t>
  </si>
  <si>
    <t>tr membrane</t>
  </si>
  <si>
    <t>Drosophila melanogaster - water channel activity - channel activity - integral component of membrane - transmembrane transport - renal system process</t>
  </si>
  <si>
    <t>water channel activity</t>
  </si>
  <si>
    <t>Transport systems of this type enable facilitated diffusion of water (by an energy-independent process) by passage through a transmembrane aqueous pore or channel without evidence for a carrier-mediated mechanism.  [GOC:mtg_transport, ISBN:0815340729]</t>
  </si>
  <si>
    <t>aquaporin  NARROW []</t>
  </si>
  <si>
    <t>MIP 8e-037| MIP 1e-034| Glycerol_uptake_facilitator_protein 7e-033| GlpF 3e-025| PLN00184 1e-024| PLN00182 4e-024| PLN00026 1e-023| PLN00166 3e-023| PLN00027 4e-022| PLN00183 5e-022|</t>
  </si>
  <si>
    <t>XM_013248577_1</t>
  </si>
  <si>
    <t xml:space="preserve">   Unknown conserved</t>
  </si>
  <si>
    <t xml:space="preserve">uncharacterized protein LOC106096350 </t>
  </si>
  <si>
    <t>XM_013264053</t>
  </si>
  <si>
    <t xml:space="preserve">LOC106096350 </t>
  </si>
  <si>
    <t>NW_013171918.1</t>
  </si>
  <si>
    <t>71575-71683 71740-72113</t>
  </si>
  <si>
    <t>XP_013119507.1</t>
  </si>
  <si>
    <t>uncharacterized protein LOC106096350</t>
  </si>
  <si>
    <t>NtpD | NUP170 | Pescadillo_N | MOR2-PAG1_mid | FCP1 | V-type_ATP_synthase_subunit_D | PHA02869 |</t>
  </si>
  <si>
    <t>XM_013264053_1</t>
  </si>
  <si>
    <t xml:space="preserve">small integral membrane protein 12-A </t>
  </si>
  <si>
    <t>XM_013246583</t>
  </si>
  <si>
    <t xml:space="preserve">LOC106083505 </t>
  </si>
  <si>
    <t>NW_013172051.1</t>
  </si>
  <si>
    <t>284886-285015 285411-285541</t>
  </si>
  <si>
    <t>ExpAA=21.03 First60=21.03 PredHel=1 Topology=i13-35o</t>
  </si>
  <si>
    <t>XP_013102037.1</t>
  </si>
  <si>
    <t>small integral membrane protein 12-A</t>
  </si>
  <si>
    <t>Small integral membrane protein 12 - Bos taurus - integral component of membrane</t>
  </si>
  <si>
    <t>malonate_transporter 0.084| PRK08125 | etp | SEC62 | Epimerase | XdhC | Mrr | PRK09631 | MadM |</t>
  </si>
  <si>
    <t>XM_013246583_1</t>
  </si>
  <si>
    <t xml:space="preserve">tetratricopeptide repeat protein 36 homolog </t>
  </si>
  <si>
    <t>XM_013248512</t>
  </si>
  <si>
    <t xml:space="preserve">LOC106084652 </t>
  </si>
  <si>
    <t>460760-461096 458470-458714</t>
  </si>
  <si>
    <t>XP_013103966.1</t>
  </si>
  <si>
    <t>tetratricopeptide repeat protein 36 homolog</t>
  </si>
  <si>
    <t>Drosophila melanogaster - cellular_component - molecular_function - biological_process</t>
  </si>
  <si>
    <t>TPR 9e-009| TPR_11 6e-005| TPR_12 0.002| PLN03088 0.002| Mitochondrial_import_receptor_subunit_...    36   0.009 0.009| SLC6sbd_SBAT1 0.032| TPR_1 0.099| TPR_domain_protein | TPR | TPR_2 |</t>
  </si>
  <si>
    <t>XM_013248512_1</t>
  </si>
  <si>
    <t>immediate early response 3-interacting protein 1</t>
  </si>
  <si>
    <t>XM_013249707</t>
  </si>
  <si>
    <t xml:space="preserve">LOC106085453 </t>
  </si>
  <si>
    <t>NW_013172176.1</t>
  </si>
  <si>
    <t>117002-117089 116851-116949 116720-116775</t>
  </si>
  <si>
    <t>ExpAA=18.29 First60=4.80 PredHel=0 Topology=o</t>
  </si>
  <si>
    <t>XP_013105161.1</t>
  </si>
  <si>
    <t>Drosophila melanogaster - neurogenesis - endomembrane system</t>
  </si>
  <si>
    <t>Yos1 2e-022| hypothetical_protein_AaLAA1DRAFT_1703 | Csx17_I-U | DUF2009 | COG4172 | PBP1_GGBP | PRK01033 | PRK10955 |</t>
  </si>
  <si>
    <t>XM_013249707_1</t>
  </si>
  <si>
    <t>single-pass membrane and coiled-coil domain-containing</t>
  </si>
  <si>
    <t>XM_013251705</t>
  </si>
  <si>
    <t xml:space="preserve">LOC106086882 </t>
  </si>
  <si>
    <t>NW_013172287.1</t>
  </si>
  <si>
    <t>561896-562075</t>
  </si>
  <si>
    <t>ExpAA=19.63 First60=19.63 PredHel=1 Topology=i31-50o</t>
  </si>
  <si>
    <t>XP_013107159.1</t>
  </si>
  <si>
    <t>Conserved protein with signal anchor - Membrane anchor detected</t>
  </si>
  <si>
    <t>uc/anchor membrAnchor</t>
  </si>
  <si>
    <t>DUF4519 2e-011| PLN02946 | Probable_cytochrome_c_oxidase_subunit_...    26   3.7   |</t>
  </si>
  <si>
    <t>XM_013251705_1</t>
  </si>
  <si>
    <t xml:space="preserve">U1 small nuclear ribonucleoprotein C </t>
  </si>
  <si>
    <t>XM_013256079</t>
  </si>
  <si>
    <t xml:space="preserve">LOC106090034 </t>
  </si>
  <si>
    <t>NW_013172645.1</t>
  </si>
  <si>
    <t>19809-20273</t>
  </si>
  <si>
    <t>ExpAA=0.19 First60=0.00 PredHel=0 Topology=o</t>
  </si>
  <si>
    <t>XP_013111533.1</t>
  </si>
  <si>
    <t>U1 small nuclear ribonucleoprotein C</t>
  </si>
  <si>
    <t>Emiliania huxleyi virus 86</t>
  </si>
  <si>
    <t>small ribonucleoprotein particle U1 subunit C - Drosophila melanogaster - small nuclear ribonucleoprotein complex - nucleus - mRNA binding - mRNA splicing, via spliceosome - U11 snRNP - U1 snRNP - zinc ion binding - spliceosomal snRNP assembly - regulation of alternative mRNA splicing, via spliceosome - mitotic spindle organization - neurogenesis</t>
  </si>
  <si>
    <t xml:space="preserve">GO:0003729; GO:0008270; </t>
  </si>
  <si>
    <t>zf-U1 1e-016| COG5136 1e-011| ZnF_U1 4e-007| PAT1 3e-006| PHA03247 0.023| PRK12323 0.032| Totivirus_coat 0.033| SOBP | PHA03378 | Cytadhesin_P30 |</t>
  </si>
  <si>
    <t>XM_013256079_1</t>
  </si>
  <si>
    <t xml:space="preserve">uncharacterized protein LOC106093233 </t>
  </si>
  <si>
    <t>XM_013260258</t>
  </si>
  <si>
    <t xml:space="preserve">LOC106093233 </t>
  </si>
  <si>
    <t>NW_013173521.1</t>
  </si>
  <si>
    <t>16182-16334 16403-16759</t>
  </si>
  <si>
    <t>ExpAA=27.85 First60=0.00 PredHel=1 Topology=i97-119o</t>
  </si>
  <si>
    <t xml:space="preserve">2 | 16    AYRRRKR|RE  0.517 *ProP*  | 17    YRRRKRR|EE  0.620 *ProP*  | </t>
  </si>
  <si>
    <t>XP_013115712.1</t>
  </si>
  <si>
    <t>Unknown product - 2 predicted membrane helices</t>
  </si>
  <si>
    <t>uk membrane</t>
  </si>
  <si>
    <t>Protein Saysd1 - Rattus norvegicus - integral component of membrane - intracellular membrane-bounded organelle</t>
  </si>
  <si>
    <t>SAYSvFN 3e-023| CbiM | PRK06277 | Anoctamin | NMN_transporter | PRK15462 | PRK11175 | H_PPase | hppA | ssDNA-exonuc_C |</t>
  </si>
  <si>
    <t>XM_013260258_1</t>
  </si>
  <si>
    <t xml:space="preserve">enhancer of split malpha protein </t>
  </si>
  <si>
    <t>XM_013262262</t>
  </si>
  <si>
    <t xml:space="preserve">LOC106095017 </t>
  </si>
  <si>
    <t>NW_013175150.1</t>
  </si>
  <si>
    <t>37450-37926</t>
  </si>
  <si>
    <t>XP_013117716.1</t>
  </si>
  <si>
    <t>enhancer of split malpha protein</t>
  </si>
  <si>
    <t>Twin of m4 - Drosophila melanogaster - sensory organ precursor cell fate determination - sensory organ development - cell fate specification - Notch signaling pathway - cytoplasm - establishment of planar polarity - negative regulation of Notch signaling pathway - protein binding</t>
  </si>
  <si>
    <t>protein binding</t>
  </si>
  <si>
    <t>Interacting selectively and non-covalently with any protein or protein complex (a complex of two or more proteins that may include other nonprotein molecules).  [GOC:go_curators]</t>
  </si>
  <si>
    <t>alpha-2 macroglobulin receptor-associated protein activity  RELATED []</t>
  </si>
  <si>
    <t xml:space="preserve">GO:0005515; </t>
  </si>
  <si>
    <t>ProRS_anticodon_zinc | PTZ00082 | TIGR03545 | nadE | PLN02318 | Prp18 | PRK15321 | PRK12806 | aceE | ErythrP_dh |</t>
  </si>
  <si>
    <t>XM_013262262_1</t>
  </si>
  <si>
    <t xml:space="preserve">   Unkown conserved membrane protein</t>
  </si>
  <si>
    <t xml:space="preserve">protein KRTCAP2 homolog </t>
  </si>
  <si>
    <t>XM_013242586</t>
  </si>
  <si>
    <t xml:space="preserve">LOC106080955 </t>
  </si>
  <si>
    <t>NW_013171873.1</t>
  </si>
  <si>
    <t>1015947-1015956 1013784-1014069 1013585-1013708</t>
  </si>
  <si>
    <t>ExpAA=67.74 First60=42.82 PredHel=3 Topology=o10-29i36-58o88-110i</t>
  </si>
  <si>
    <t>XP_013098040.1</t>
  </si>
  <si>
    <t>Conserved plasma membrane protein - 3 predicted membrane helices</t>
  </si>
  <si>
    <t>uc/memb</t>
  </si>
  <si>
    <t>Protein KRTCAP2 homolog - Drosophila pseudoobscura pseudoobscura - molecular_function - cellular_component - biological_process</t>
  </si>
  <si>
    <t>Keratin_assoc 3e-034| Hsm3_like 0.022| COG2194 0.058| Sugar_transferase. | Cyclin | Hpre_diP_synt_I |</t>
  </si>
  <si>
    <t>XM_013242586_1</t>
  </si>
  <si>
    <t xml:space="preserve">protein kish </t>
  </si>
  <si>
    <t>XM_013249988</t>
  </si>
  <si>
    <t xml:space="preserve">LOC106085662 </t>
  </si>
  <si>
    <t>NW_013172191.1</t>
  </si>
  <si>
    <t>636730-636732 636792-636901 636965-637070</t>
  </si>
  <si>
    <t>ExpAA=39.04 First60=28.59 PredHel=2 Topology=o5-27i54-71o</t>
  </si>
  <si>
    <t>XP_013105442.1</t>
  </si>
  <si>
    <t>protein kish - signalP detected - 3 predicted membrane helices</t>
  </si>
  <si>
    <t>kish - Drosophila melanogaster - molecular_function - intracellular transport - Golgi apparatus - endoplasmic reticulum</t>
  </si>
  <si>
    <t>DUF1242 4e-009| Jag_N | ubiA |</t>
  </si>
  <si>
    <t>XM_013249988_1</t>
  </si>
  <si>
    <t xml:space="preserve">TM2 domain-containing protein almondex </t>
  </si>
  <si>
    <t>XM_013253322</t>
  </si>
  <si>
    <t xml:space="preserve">LOC106088036 </t>
  </si>
  <si>
    <t>NW_013172388.1</t>
  </si>
  <si>
    <t>404206-404913</t>
  </si>
  <si>
    <t>ExpAA=42.74 First60=0.87 PredHel=2 Topology=i171-189o204-226i</t>
  </si>
  <si>
    <t>XP_013108776.1</t>
  </si>
  <si>
    <t>tm2 domain-containing protein almondex - signalP detected - 2 predicted membrane helices</t>
  </si>
  <si>
    <t>almondex - Drosophila melanogaster - mesoderm development - ectoderm development - molecular_function - ectodermal cell fate determination - positive regulation of Notch signaling pathway - spanning component of plasma membrane - Notch receptor processing - lateral inhibition</t>
  </si>
  <si>
    <t>TM2 9e-012| PHA01886 4e-004| XynA 0.027| DUF2339 | TNFRSF19 | DUF1175 | tyrA | bPH_5 | PBP1_GPC6A_like |</t>
  </si>
  <si>
    <t>XM_013253322_1</t>
  </si>
  <si>
    <t xml:space="preserve">uncharacterized protein LOC106092484 </t>
  </si>
  <si>
    <t>XM_013259369</t>
  </si>
  <si>
    <t xml:space="preserve">LOC106092484 </t>
  </si>
  <si>
    <t>NW_013173206.1</t>
  </si>
  <si>
    <t>153000-153096 152168-152877</t>
  </si>
  <si>
    <t xml:space="preserve"> 28-29</t>
  </si>
  <si>
    <t>ExpAA=37.20 First60=19.24 PredHel=2 Topology=o10-29i245-267o</t>
  </si>
  <si>
    <t>XP_013114823.1</t>
  </si>
  <si>
    <t xml:space="preserve"> Conserved proteins of unknown function</t>
  </si>
  <si>
    <t>putative 26.4 kDa membrane protein</t>
  </si>
  <si>
    <t>COG3378 |</t>
  </si>
  <si>
    <t>XM_013259369_1</t>
  </si>
  <si>
    <t xml:space="preserve">transmembrane protein 258 homolog </t>
  </si>
  <si>
    <t>XM_013261816</t>
  </si>
  <si>
    <t xml:space="preserve">LOC106094594 </t>
  </si>
  <si>
    <t>NW_013174424.1</t>
  </si>
  <si>
    <t>46152-46394</t>
  </si>
  <si>
    <t>ExpAA=45.46 First60=27.61 PredHel=2 Topology=o15-37i57-79o</t>
  </si>
  <si>
    <t>XP_013117270.1</t>
  </si>
  <si>
    <t>transmembrane protein 258 homolog - Membrane anchor detected - 3 predicted membrane helices</t>
  </si>
  <si>
    <t>uc/memb membrAnchor</t>
  </si>
  <si>
    <t>UPF0197 8e-023| PLN02255 | Cation_efflux | DUF4010 |</t>
  </si>
  <si>
    <t>XM_013261816_1</t>
  </si>
  <si>
    <t xml:space="preserve">   Unknown product</t>
  </si>
  <si>
    <t xml:space="preserve">uncharacterized protein LOC106094948 </t>
  </si>
  <si>
    <t>XM_013262191</t>
  </si>
  <si>
    <t xml:space="preserve">LOC106094948 </t>
  </si>
  <si>
    <t>NW_013175011.1</t>
  </si>
  <si>
    <t>22583-22750</t>
  </si>
  <si>
    <t>ExpAA=20.71 First60=20.71 PredHel=1 Topology=i26-45o</t>
  </si>
  <si>
    <t>XP_013117645.1</t>
  </si>
  <si>
    <t>Unknown product</t>
  </si>
  <si>
    <t>uk</t>
  </si>
  <si>
    <t>Ehrlichia chaffeensis (strain ATCC CRL-10679 / Arkansas)</t>
  </si>
  <si>
    <t>XM_013262191_1</t>
  </si>
  <si>
    <t>XM_013262192</t>
  </si>
  <si>
    <t>XP_013117646.1</t>
  </si>
  <si>
    <t>XM_013262192_1</t>
  </si>
  <si>
    <t xml:space="preserve">uncharacterized protein LOC106096319 </t>
  </si>
  <si>
    <t>XM_013264004</t>
  </si>
  <si>
    <t xml:space="preserve">LOC106096319 </t>
  </si>
  <si>
    <t>NW_013171917.1</t>
  </si>
  <si>
    <t>437007-437064 437190-437369 442292-442500</t>
  </si>
  <si>
    <t>ExpAA=35.30 First60=17.68 PredHel=2 Topology=i7-26o130-147i</t>
  </si>
  <si>
    <t>XP_013119458.1</t>
  </si>
  <si>
    <t>Unknown product - signalP detected - 2 predicted membrane helices</t>
  </si>
  <si>
    <t>Schizosaccharomyces pombe (strain 972 / ATCC 24843)</t>
  </si>
  <si>
    <t>Drosophila melanogaster - cellular_component - biological_process - molecular_function</t>
  </si>
  <si>
    <t>nrdC.11 | Two_Component_Transcriptional_Regulato...    27   3.3   | PRK05707 | lamB | sporulation_specific_penicillin-bindin...    26   5.6   | V-ATPase_H_N | KRAP_IP3R_bind |</t>
  </si>
  <si>
    <t>XM_013264004_1</t>
  </si>
  <si>
    <t xml:space="preserve">uncharacterized protein LOC106080598 </t>
  </si>
  <si>
    <t>XM_013242015</t>
  </si>
  <si>
    <t xml:space="preserve">LOC106080598 </t>
  </si>
  <si>
    <t>780550-780900</t>
  </si>
  <si>
    <t>XP_013097469.1</t>
  </si>
  <si>
    <t>MRG | Bap31 | WzzB | PBP1_ycjW_transcription_regulator_like | PRK08939 | PRK01156 | DUF4268 |</t>
  </si>
  <si>
    <t>XM_013242015_1</t>
  </si>
  <si>
    <t xml:space="preserve">uncharacterized protein LOC106081835 </t>
  </si>
  <si>
    <t>XM_013244050</t>
  </si>
  <si>
    <t xml:space="preserve">LOC106081835 </t>
  </si>
  <si>
    <t>NW_013171977.1</t>
  </si>
  <si>
    <t>387012-387173 387498-387569</t>
  </si>
  <si>
    <t>ExpAA=19.04 First60=19.04 PredHel=1 Topology=o15-32i</t>
  </si>
  <si>
    <t>XP_013099504.1</t>
  </si>
  <si>
    <t>Chondrus crispus</t>
  </si>
  <si>
    <t>aminotransferase_class_I_and_II | PRK04972 | urea_trans_UrtC | NarK | Innexin | DUF4235 | EcCorA_ZntB-like_u2 | complement_C3_C4_C5 | pntB | SLC5sbd_YidK |</t>
  </si>
  <si>
    <t>XM_013244050_1</t>
  </si>
  <si>
    <t xml:space="preserve">uncharacterized protein CG3556-like </t>
  </si>
  <si>
    <t>XM_013251270</t>
  </si>
  <si>
    <t xml:space="preserve">LOC106086544 </t>
  </si>
  <si>
    <t>NW_013172262.1</t>
  </si>
  <si>
    <t>516733-517016 516584-516661 514789-514871 514464-514546</t>
  </si>
  <si>
    <t xml:space="preserve"> 44-45</t>
  </si>
  <si>
    <t>ExpAA=4.56 First60=4.18 PredHel=0 Topology=o</t>
  </si>
  <si>
    <t>XP_013106724.1</t>
  </si>
  <si>
    <t>Drosophila melanogaster - cellular_component - cobalamin binding - cobalamin transport</t>
  </si>
  <si>
    <t>cobalamin binding</t>
  </si>
  <si>
    <t>Interacting selectively and non-covalently with cobalamin (vitamin B12), a water-soluble vitamin characterized by possession of a corrin nucleus containing a cobalt atom.  [GOC:mah]</t>
  </si>
  <si>
    <t>vitamin B12 binding  EXACT []</t>
  </si>
  <si>
    <t>DUF4430 1e-009| PRK13209 0.032| secA | HSDR_N_2 | Phytase-like | Tmemb_cc2 | repair_system | Fb_sc_TIGR02171 | Cyclic_pyranopterin_monophosphate_synt...    27   7.9   | ABCC_SUR1_N |</t>
  </si>
  <si>
    <t>XM_013251270_1</t>
  </si>
  <si>
    <t xml:space="preserve">uncharacterized protein LOC106087802 </t>
  </si>
  <si>
    <t>XM_013252975</t>
  </si>
  <si>
    <t xml:space="preserve">LOC106087802 </t>
  </si>
  <si>
    <t>NW_013172372.1</t>
  </si>
  <si>
    <t>465968-466612</t>
  </si>
  <si>
    <t>XP_013108429.1</t>
  </si>
  <si>
    <t>Drosophila melanogaster - cellular_component - molecular_function - sensory perception of pain</t>
  </si>
  <si>
    <t>pupylate_PafA2 | CorC | Ornithine_decarboxylase_inducible | Met_dep_hydrolase_B | PRK12575 | DUF3540 | BAR_Endophilin_B |</t>
  </si>
  <si>
    <t>XM_013252975_1</t>
  </si>
  <si>
    <t xml:space="preserve">uncharacterized protein LOC106088026 </t>
  </si>
  <si>
    <t>XM_013253309</t>
  </si>
  <si>
    <t xml:space="preserve">LOC106088026 </t>
  </si>
  <si>
    <t>938-1153 1241-1393</t>
  </si>
  <si>
    <t>ExpAA=0.12 First60=0.00 PredHel=0 Topology=o</t>
  </si>
  <si>
    <t>XP_013108763.1</t>
  </si>
  <si>
    <t>Buchnera aphidicola subsp. Schizaphis graminum (strain Sg)</t>
  </si>
  <si>
    <t>DUF1091 5e-008| DM8 9e-008| KAP95 | Env-gp36 | PRK08045 | PLN03169 | PP_M1 | ATG11 | LBP_BPI_CETP | CIN1 |</t>
  </si>
  <si>
    <t>Cell cycle control, cell division, chromosome partitioning</t>
  </si>
  <si>
    <t>XM_013253309_1</t>
  </si>
  <si>
    <t xml:space="preserve">uncharacterized protein LOC106089824 </t>
  </si>
  <si>
    <t>XM_013255816</t>
  </si>
  <si>
    <t xml:space="preserve">LOC106089824 </t>
  </si>
  <si>
    <t>NW_013172624.1</t>
  </si>
  <si>
    <t>322406-322470 322230-322323</t>
  </si>
  <si>
    <t>ExpAA=6.27 First60=6.27 PredHel=0 Topology=i</t>
  </si>
  <si>
    <t>XP_013111270.1</t>
  </si>
  <si>
    <t>Ehrlichia ruminantium (strain Welgevonden)</t>
  </si>
  <si>
    <t>SEA |</t>
  </si>
  <si>
    <t>XM_013255816_1</t>
  </si>
  <si>
    <t xml:space="preserve">uncharacterized protein LOC106092485 </t>
  </si>
  <si>
    <t>XM_013259370</t>
  </si>
  <si>
    <t xml:space="preserve">LOC106092485 </t>
  </si>
  <si>
    <t>158312-158420 157850-158247</t>
  </si>
  <si>
    <t>ExpAA=32.44 First60=14.89 PredHel=1 Topology=i145-167o</t>
  </si>
  <si>
    <t>XP_013114824.1</t>
  </si>
  <si>
    <t>Pectobacterium carotovorum subsp. carotovorum (strain PC1)</t>
  </si>
  <si>
    <t>Rick_17kDa_Anti | DUF3999 | Caprin-1_C | COG4395 | Thioredoxin_6 | PBP1_ABC_ligand_binding_like_4 | PRK10441 | PDDEXK_4 | DUF2777 | M13 |</t>
  </si>
  <si>
    <t>XM_013259370_1</t>
  </si>
  <si>
    <t xml:space="preserve">uncharacterized protein LOC106092486 </t>
  </si>
  <si>
    <t>XM_013259371</t>
  </si>
  <si>
    <t xml:space="preserve">LOC106092486 </t>
  </si>
  <si>
    <t>162041-162134 165071-165627</t>
  </si>
  <si>
    <t>ExpAA=15.59 First60=11.46 PredHel=1 Topology=i9-26o</t>
  </si>
  <si>
    <t>XP_013114825.1</t>
  </si>
  <si>
    <t>Candida glabrata (strain ATCC 2001 / CBS 138 / JCM 3761 / NBRC 0622 / NRRL Y-65)</t>
  </si>
  <si>
    <t>PLN02399 | Polyadenylate-binding_protein_3 | SunT | PHA03419 | RCR | PHA03398 | TrbL |</t>
  </si>
  <si>
    <t>XM_013259371_1</t>
  </si>
  <si>
    <t xml:space="preserve">uncharacterized protein LOC106094917 </t>
  </si>
  <si>
    <t>XM_013262155</t>
  </si>
  <si>
    <t xml:space="preserve">LOC106094917 </t>
  </si>
  <si>
    <t>NW_013174949.1</t>
  </si>
  <si>
    <t>6459-6552 6631-6830</t>
  </si>
  <si>
    <t>XP_013117609.1</t>
  </si>
  <si>
    <t>DUF2462 0.005| PRK15471 | BMS1 | Orbi_VP5 | motB |</t>
  </si>
  <si>
    <t>XM_013262155_1</t>
  </si>
  <si>
    <t>Stomoxys salivary gland RNA-seq analysis output</t>
  </si>
  <si>
    <t>Stomoxys non-redundant salivary gland transcripts overexpressed 100-fold relative to whole bodies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</si>
</sst>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font>
      <sz val="12"/>
      <color theme="1"/>
      <name val="Calibri"/>
      <family val="2"/>
      <scheme val="minor"/>
    </font>
    <font>
      <b/>
      <sz val="11"/>
      <color theme="3"/>
      <name val="Calibri"/>
      <family val="2"/>
      <scheme val="minor"/>
    </font>
    <font>
      <sz val="11"/>
      <color theme="1"/>
      <name val="Calibri"/>
      <family val="2"/>
    </font>
    <font>
      <b/>
      <sz val="11"/>
      <color rgb="FF3176C9"/>
      <name val="Calibri"/>
      <family val="2"/>
    </font>
    <font>
      <b/>
      <sz val="11"/>
      <color rgb="FF000000"/>
      <name val="Calibri"/>
      <family val="2"/>
    </font>
    <font>
      <b/>
      <sz val="11"/>
      <color rgb="FF3176C9"/>
      <name val="Calibri"/>
      <family val="2"/>
      <scheme val="minor"/>
    </font>
    <font>
      <u/>
      <sz val="11"/>
      <color theme="10"/>
      <name val="Calibri"/>
      <family val="2"/>
      <scheme val="minor"/>
    </font>
    <font>
      <b/>
      <sz val="16"/>
      <color theme="1"/>
      <name val="Calibri"/>
      <family val="2"/>
      <scheme val="minor"/>
    </font>
  </fonts>
  <fills count="7">
    <fill>
      <patternFill patternType="none"/>
    </fill>
    <fill>
      <patternFill patternType="gray125"/>
    </fill>
    <fill>
      <patternFill patternType="solid">
        <fgColor rgb="FFBEDBFE"/>
        <bgColor rgb="FF000000"/>
      </patternFill>
    </fill>
    <fill>
      <patternFill patternType="solid">
        <fgColor rgb="FFBEDBFE"/>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00"/>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6" fillId="0" borderId="0" applyNumberFormat="0" applyFill="0" applyBorder="0" applyAlignment="0" applyProtection="0"/>
  </cellStyleXfs>
  <cellXfs count="51">
    <xf numFmtId="0" fontId="0" fillId="0" borderId="0" xfId="0"/>
    <xf numFmtId="0" fontId="2" fillId="0" borderId="0" xfId="0" applyFont="1"/>
    <xf numFmtId="0" fontId="3" fillId="2" borderId="4" xfId="0" applyFont="1" applyFill="1" applyBorder="1" applyAlignment="1">
      <alignment horizontal="center" wrapText="1"/>
    </xf>
    <xf numFmtId="0" fontId="4" fillId="0" borderId="0" xfId="0" applyFont="1"/>
    <xf numFmtId="3" fontId="2" fillId="0" borderId="0" xfId="0" applyNumberFormat="1" applyFont="1"/>
    <xf numFmtId="164" fontId="4" fillId="0" borderId="0" xfId="0" applyNumberFormat="1" applyFont="1"/>
    <xf numFmtId="164" fontId="2" fillId="0" borderId="0" xfId="0" applyNumberFormat="1" applyFont="1"/>
    <xf numFmtId="0" fontId="2" fillId="0" borderId="0" xfId="0" applyFont="1" applyAlignment="1">
      <alignment horizontal="left" indent="1"/>
    </xf>
    <xf numFmtId="0" fontId="5" fillId="3" borderId="5" xfId="0" applyFont="1" applyFill="1" applyBorder="1" applyAlignment="1">
      <alignment horizontal="center" wrapText="1"/>
    </xf>
    <xf numFmtId="0" fontId="5" fillId="3" borderId="5" xfId="0" applyFont="1" applyFill="1" applyBorder="1" applyAlignment="1">
      <alignment horizontal="left" wrapText="1"/>
    </xf>
    <xf numFmtId="0" fontId="5" fillId="4" borderId="5" xfId="0" applyFont="1" applyFill="1" applyBorder="1" applyAlignment="1">
      <alignment horizontal="center" wrapText="1"/>
    </xf>
    <xf numFmtId="164" fontId="5" fillId="4" borderId="5" xfId="0" applyNumberFormat="1" applyFont="1" applyFill="1" applyBorder="1" applyAlignment="1">
      <alignment horizontal="center" wrapText="1"/>
    </xf>
    <xf numFmtId="3" fontId="5" fillId="4" borderId="5" xfId="0" applyNumberFormat="1" applyFont="1" applyFill="1" applyBorder="1" applyAlignment="1">
      <alignment horizontal="center" wrapText="1"/>
    </xf>
    <xf numFmtId="0" fontId="5" fillId="4" borderId="6" xfId="0" applyFont="1" applyFill="1" applyBorder="1" applyAlignment="1">
      <alignment horizontal="center" wrapText="1"/>
    </xf>
    <xf numFmtId="0" fontId="5" fillId="4" borderId="7" xfId="0" applyFont="1" applyFill="1" applyBorder="1" applyAlignment="1">
      <alignment horizontal="center" wrapText="1"/>
    </xf>
    <xf numFmtId="0" fontId="5" fillId="3" borderId="6" xfId="0" applyFont="1" applyFill="1" applyBorder="1" applyAlignment="1">
      <alignment horizontal="center" wrapText="1"/>
    </xf>
    <xf numFmtId="0" fontId="5" fillId="3" borderId="7" xfId="0" applyFont="1" applyFill="1" applyBorder="1" applyAlignment="1">
      <alignment horizontal="center" wrapText="1"/>
    </xf>
    <xf numFmtId="0" fontId="5" fillId="3" borderId="5" xfId="0" applyFont="1" applyFill="1" applyBorder="1" applyAlignment="1">
      <alignment horizontal="right" wrapText="1"/>
    </xf>
    <xf numFmtId="0" fontId="5" fillId="3" borderId="7" xfId="0" applyFont="1" applyFill="1" applyBorder="1" applyAlignment="1">
      <alignment horizontal="right" wrapText="1"/>
    </xf>
    <xf numFmtId="0" fontId="5" fillId="3" borderId="6" xfId="0" applyFont="1" applyFill="1" applyBorder="1" applyAlignment="1">
      <alignment horizontal="right" wrapText="1"/>
    </xf>
    <xf numFmtId="0" fontId="5" fillId="5" borderId="5" xfId="0" applyFont="1" applyFill="1" applyBorder="1" applyAlignment="1">
      <alignment horizontal="center" wrapText="1"/>
    </xf>
    <xf numFmtId="0" fontId="5" fillId="5" borderId="7" xfId="0" applyFont="1" applyFill="1" applyBorder="1" applyAlignment="1">
      <alignment horizontal="center" wrapText="1"/>
    </xf>
    <xf numFmtId="0" fontId="1" fillId="6" borderId="1" xfId="0" applyFont="1" applyFill="1" applyBorder="1" applyAlignment="1">
      <alignment horizontal="left"/>
    </xf>
    <xf numFmtId="0" fontId="0" fillId="6" borderId="2" xfId="0" applyFill="1" applyBorder="1" applyAlignment="1">
      <alignment horizontal="center"/>
    </xf>
    <xf numFmtId="0" fontId="0" fillId="6" borderId="2" xfId="0" applyFill="1" applyBorder="1"/>
    <xf numFmtId="0" fontId="0" fillId="6" borderId="2" xfId="0" applyFill="1" applyBorder="1" applyAlignment="1">
      <alignment horizontal="left"/>
    </xf>
    <xf numFmtId="164" fontId="0" fillId="6" borderId="2" xfId="0" applyNumberFormat="1" applyFill="1" applyBorder="1"/>
    <xf numFmtId="3" fontId="0" fillId="6" borderId="2" xfId="0" applyNumberFormat="1" applyFill="1" applyBorder="1"/>
    <xf numFmtId="11" fontId="0" fillId="6" borderId="2" xfId="0" applyNumberFormat="1" applyFill="1" applyBorder="1"/>
    <xf numFmtId="0" fontId="0" fillId="6" borderId="2" xfId="0" applyFill="1" applyBorder="1" applyAlignment="1">
      <alignment horizontal="right"/>
    </xf>
    <xf numFmtId="0" fontId="0" fillId="0" borderId="0" xfId="0" applyAlignment="1">
      <alignment horizontal="center"/>
    </xf>
    <xf numFmtId="0" fontId="0" fillId="0" borderId="0" xfId="0" applyAlignment="1">
      <alignment horizontal="left"/>
    </xf>
    <xf numFmtId="0" fontId="0" fillId="3" borderId="8" xfId="0" applyFill="1" applyBorder="1" applyAlignment="1">
      <alignment horizontal="center"/>
    </xf>
    <xf numFmtId="0" fontId="0" fillId="3" borderId="8" xfId="0" applyFill="1" applyBorder="1"/>
    <xf numFmtId="164" fontId="0" fillId="0" borderId="0" xfId="0" applyNumberFormat="1"/>
    <xf numFmtId="3" fontId="0" fillId="0" borderId="0" xfId="0" applyNumberFormat="1"/>
    <xf numFmtId="0" fontId="0" fillId="4" borderId="8" xfId="0" applyFill="1" applyBorder="1"/>
    <xf numFmtId="11" fontId="0" fillId="0" borderId="0" xfId="0" applyNumberFormat="1"/>
    <xf numFmtId="0" fontId="0" fillId="3" borderId="8" xfId="0" applyFill="1" applyBorder="1" applyAlignment="1">
      <alignment horizontal="right"/>
    </xf>
    <xf numFmtId="0" fontId="0" fillId="0" borderId="0" xfId="0" applyAlignment="1">
      <alignment horizontal="right"/>
    </xf>
    <xf numFmtId="0" fontId="6" fillId="0" borderId="0" xfId="1"/>
    <xf numFmtId="0" fontId="1" fillId="6" borderId="9" xfId="0" applyFont="1" applyFill="1" applyBorder="1" applyAlignment="1">
      <alignment horizontal="left"/>
    </xf>
    <xf numFmtId="0" fontId="5" fillId="6" borderId="10" xfId="0" applyFont="1" applyFill="1" applyBorder="1" applyAlignment="1">
      <alignment horizontal="center" wrapText="1"/>
    </xf>
    <xf numFmtId="0" fontId="5" fillId="6" borderId="10" xfId="0" applyFont="1" applyFill="1" applyBorder="1" applyAlignment="1">
      <alignment horizontal="left" wrapText="1"/>
    </xf>
    <xf numFmtId="164" fontId="5" fillId="6" borderId="10" xfId="0" applyNumberFormat="1" applyFont="1" applyFill="1" applyBorder="1" applyAlignment="1">
      <alignment horizontal="center" wrapText="1"/>
    </xf>
    <xf numFmtId="3" fontId="5" fillId="6" borderId="10" xfId="0" applyNumberFormat="1" applyFont="1" applyFill="1" applyBorder="1" applyAlignment="1">
      <alignment horizontal="center" wrapText="1"/>
    </xf>
    <xf numFmtId="0" fontId="5" fillId="6" borderId="10" xfId="0" applyFont="1" applyFill="1" applyBorder="1" applyAlignment="1">
      <alignment horizontal="right"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7"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7A4F5-0FED-2641-B6A5-D6CEBB021B55}">
  <dimension ref="A1:S83"/>
  <sheetViews>
    <sheetView workbookViewId="0">
      <selection activeCell="A10" sqref="A10"/>
    </sheetView>
  </sheetViews>
  <sheetFormatPr baseColWidth="10" defaultColWidth="8.83203125" defaultRowHeight="15"/>
  <cols>
    <col min="1" max="1" width="52.83203125" style="1" customWidth="1"/>
    <col min="2" max="2" width="8.83203125" style="1"/>
    <col min="3" max="3" width="29.6640625" style="1" bestFit="1" customWidth="1"/>
    <col min="4" max="16384" width="8.83203125" style="1"/>
  </cols>
  <sheetData>
    <row r="1" spans="1:19" ht="21">
      <c r="A1" s="50" t="s">
        <v>1949</v>
      </c>
    </row>
    <row r="2" spans="1:19">
      <c r="A2" s="1" t="s">
        <v>0</v>
      </c>
    </row>
    <row r="3" spans="1:19">
      <c r="A3" s="1" t="s">
        <v>1</v>
      </c>
      <c r="B3" s="1">
        <v>22450</v>
      </c>
    </row>
    <row r="4" spans="1:19">
      <c r="A4" s="1" t="s">
        <v>2</v>
      </c>
      <c r="B4" s="1">
        <v>114</v>
      </c>
    </row>
    <row r="5" spans="1:19">
      <c r="A5" s="1" t="s">
        <v>3</v>
      </c>
      <c r="B5" s="1">
        <v>752</v>
      </c>
      <c r="C5" s="1" t="s">
        <v>4</v>
      </c>
      <c r="D5" s="1">
        <v>745</v>
      </c>
    </row>
    <row r="6" spans="1:19">
      <c r="A6" s="1" t="s">
        <v>5</v>
      </c>
      <c r="B6" s="1">
        <v>114</v>
      </c>
    </row>
    <row r="7" spans="1:19">
      <c r="A7" s="1" t="s">
        <v>6</v>
      </c>
      <c r="B7" s="1">
        <v>38</v>
      </c>
    </row>
    <row r="8" spans="1:19">
      <c r="A8" s="1" t="s">
        <v>7</v>
      </c>
      <c r="B8" s="1">
        <v>53</v>
      </c>
    </row>
    <row r="9" spans="1:19">
      <c r="A9" s="1" t="s">
        <v>8</v>
      </c>
      <c r="B9" s="1">
        <v>15</v>
      </c>
    </row>
    <row r="13" spans="1:19">
      <c r="B13" s="47" t="s">
        <v>9</v>
      </c>
      <c r="C13" s="48"/>
      <c r="D13" s="48"/>
      <c r="E13" s="48"/>
      <c r="F13" s="48"/>
      <c r="G13" s="48"/>
      <c r="H13" s="48"/>
      <c r="I13" s="48"/>
      <c r="J13" s="49"/>
      <c r="K13" s="47" t="s">
        <v>10</v>
      </c>
      <c r="L13" s="48"/>
      <c r="M13" s="48"/>
      <c r="N13" s="48"/>
      <c r="O13" s="48"/>
      <c r="P13" s="48"/>
      <c r="Q13" s="48"/>
      <c r="R13" s="48"/>
      <c r="S13" s="49"/>
    </row>
    <row r="14" spans="1:19" s="2" customFormat="1" ht="80">
      <c r="A14" s="2" t="s">
        <v>11</v>
      </c>
      <c r="B14" s="2" t="s">
        <v>12</v>
      </c>
      <c r="C14" s="2" t="s">
        <v>13</v>
      </c>
      <c r="D14" s="2" t="s">
        <v>14</v>
      </c>
      <c r="E14" s="2" t="s">
        <v>13</v>
      </c>
      <c r="F14" s="2" t="s">
        <v>15</v>
      </c>
      <c r="G14" s="2" t="s">
        <v>13</v>
      </c>
      <c r="H14" s="2" t="s">
        <v>16</v>
      </c>
      <c r="I14" s="2" t="s">
        <v>13</v>
      </c>
      <c r="J14" s="2" t="s">
        <v>17</v>
      </c>
      <c r="K14" s="2" t="s">
        <v>12</v>
      </c>
      <c r="L14" s="2" t="s">
        <v>13</v>
      </c>
      <c r="M14" s="2" t="s">
        <v>14</v>
      </c>
      <c r="N14" s="2" t="s">
        <v>13</v>
      </c>
      <c r="O14" s="2" t="s">
        <v>15</v>
      </c>
      <c r="P14" s="2" t="s">
        <v>13</v>
      </c>
      <c r="Q14" s="2" t="s">
        <v>16</v>
      </c>
      <c r="R14" s="2" t="s">
        <v>13</v>
      </c>
      <c r="S14" s="2" t="s">
        <v>17</v>
      </c>
    </row>
    <row r="15" spans="1:19">
      <c r="A15" s="1" t="s">
        <v>18</v>
      </c>
      <c r="B15" s="1">
        <v>3.9015883068776001</v>
      </c>
      <c r="C15" s="1">
        <v>0.64495692797442405</v>
      </c>
      <c r="D15" s="1">
        <v>4.6247573492590099</v>
      </c>
      <c r="E15" s="1">
        <v>0.86433669697870896</v>
      </c>
      <c r="F15" s="1">
        <v>332.77085583847798</v>
      </c>
      <c r="G15" s="1">
        <v>59.663184707401399</v>
      </c>
      <c r="H15" s="1">
        <v>316.45952664857703</v>
      </c>
      <c r="I15" s="1">
        <v>51.798758129184698</v>
      </c>
      <c r="J15" s="1">
        <v>915</v>
      </c>
      <c r="K15" s="1">
        <v>24.242148429749999</v>
      </c>
      <c r="L15" s="1">
        <v>14.638545475486399</v>
      </c>
      <c r="M15" s="1">
        <v>15.132014359999999</v>
      </c>
      <c r="N15" s="1">
        <v>8.1871397334898202</v>
      </c>
      <c r="O15" s="1">
        <v>1.17393969375</v>
      </c>
      <c r="P15" s="1">
        <v>0.55528582697933904</v>
      </c>
      <c r="Q15" s="1">
        <v>0.99420359049999996</v>
      </c>
      <c r="R15" s="1">
        <v>0.35448300961069501</v>
      </c>
      <c r="S15" s="1">
        <v>4</v>
      </c>
    </row>
    <row r="16" spans="1:19">
      <c r="A16" s="1" t="s">
        <v>19</v>
      </c>
      <c r="B16" s="1">
        <v>3.8297926058215701</v>
      </c>
      <c r="C16" s="1">
        <v>0.71828949777866302</v>
      </c>
      <c r="D16" s="1">
        <v>3.3127127070902</v>
      </c>
      <c r="E16" s="1">
        <v>0.61945580354749497</v>
      </c>
      <c r="F16" s="1">
        <v>58.347051631652903</v>
      </c>
      <c r="G16" s="1">
        <v>27.534093388808699</v>
      </c>
      <c r="H16" s="1">
        <v>63.565976814809801</v>
      </c>
      <c r="I16" s="1">
        <v>31.059199156872499</v>
      </c>
      <c r="J16" s="1">
        <v>510</v>
      </c>
      <c r="K16" s="1">
        <v>33.810604851826099</v>
      </c>
      <c r="L16" s="1">
        <v>10.414810965506399</v>
      </c>
      <c r="M16" s="1">
        <v>31.619861219434799</v>
      </c>
      <c r="N16" s="1">
        <v>10.3495413937416</v>
      </c>
      <c r="O16" s="1">
        <v>2.5109103307826102</v>
      </c>
      <c r="P16" s="1">
        <v>0.920942791204441</v>
      </c>
      <c r="Q16" s="1">
        <v>2.4514374083913002</v>
      </c>
      <c r="R16" s="1">
        <v>0.78643809584239799</v>
      </c>
      <c r="S16" s="1">
        <v>23</v>
      </c>
    </row>
    <row r="17" spans="1:19">
      <c r="A17" s="1" t="s">
        <v>20</v>
      </c>
      <c r="B17" s="1">
        <v>2.0303948951686501</v>
      </c>
      <c r="C17" s="1">
        <v>0.74095621324842798</v>
      </c>
      <c r="D17" s="1">
        <v>2.0775133766116398</v>
      </c>
      <c r="E17" s="1">
        <v>0.50305369907675301</v>
      </c>
      <c r="F17" s="1">
        <v>26.2345526321675</v>
      </c>
      <c r="G17" s="1">
        <v>4.7806021464335799</v>
      </c>
      <c r="H17" s="1">
        <v>27.538657985773199</v>
      </c>
      <c r="I17" s="1">
        <v>4.2462450284552498</v>
      </c>
      <c r="J17" s="1">
        <v>842</v>
      </c>
      <c r="K17" s="1">
        <v>90.428430830285706</v>
      </c>
      <c r="L17" s="1">
        <v>83.794480762726806</v>
      </c>
      <c r="M17" s="1">
        <v>56.909736000000002</v>
      </c>
      <c r="N17" s="1">
        <v>52.051019597577898</v>
      </c>
      <c r="O17" s="1">
        <v>1.00594138142857</v>
      </c>
      <c r="P17" s="1">
        <v>0.79250348235822499</v>
      </c>
      <c r="Q17" s="1">
        <v>0.77945320685714303</v>
      </c>
      <c r="R17" s="1">
        <v>0.58741058083632003</v>
      </c>
      <c r="S17" s="1">
        <v>7</v>
      </c>
    </row>
    <row r="18" spans="1:19">
      <c r="A18" s="1" t="s">
        <v>21</v>
      </c>
      <c r="B18" s="1">
        <v>6.0381976830616502</v>
      </c>
      <c r="C18" s="1">
        <v>2.1393828611730399</v>
      </c>
      <c r="D18" s="1">
        <v>5.2145238177853903</v>
      </c>
      <c r="E18" s="1">
        <v>1.7711771660789499</v>
      </c>
      <c r="F18" s="1">
        <v>8.3347986763881199</v>
      </c>
      <c r="G18" s="1">
        <v>1.30331490145843</v>
      </c>
      <c r="H18" s="1">
        <v>10.064819845223701</v>
      </c>
      <c r="I18" s="1">
        <v>1.73237992622489</v>
      </c>
      <c r="J18" s="1">
        <v>438</v>
      </c>
      <c r="K18" s="1">
        <v>104.90100898999999</v>
      </c>
      <c r="L18" s="1">
        <v>39.3841933220477</v>
      </c>
      <c r="M18" s="1">
        <v>88.299897127571398</v>
      </c>
      <c r="N18" s="1">
        <v>32.428237942011798</v>
      </c>
      <c r="O18" s="1">
        <v>2.3452435076190499</v>
      </c>
      <c r="P18" s="1">
        <v>0.90507335765645802</v>
      </c>
      <c r="Q18" s="1">
        <v>1.7607105215238099</v>
      </c>
      <c r="R18" s="1">
        <v>0.76857369667424502</v>
      </c>
      <c r="S18" s="1">
        <v>21</v>
      </c>
    </row>
    <row r="19" spans="1:19">
      <c r="A19" s="1" t="s">
        <v>22</v>
      </c>
      <c r="B19" s="1">
        <v>9.0341405444912795</v>
      </c>
      <c r="C19" s="1">
        <v>0.84660140632200298</v>
      </c>
      <c r="D19" s="1">
        <v>7.78795078107904</v>
      </c>
      <c r="E19" s="1">
        <v>0.68040840072923703</v>
      </c>
      <c r="F19" s="1">
        <v>77.455836386845306</v>
      </c>
      <c r="G19" s="1">
        <v>8.1979930416045406</v>
      </c>
      <c r="H19" s="1">
        <v>72.084486587395006</v>
      </c>
      <c r="I19" s="1">
        <v>7.01686568081898</v>
      </c>
      <c r="J19" s="1">
        <v>2632</v>
      </c>
      <c r="K19" s="1">
        <v>74.844450820462995</v>
      </c>
      <c r="L19" s="1">
        <v>14.517476091333499</v>
      </c>
      <c r="M19" s="1">
        <v>52.814111389212997</v>
      </c>
      <c r="N19" s="1">
        <v>11.005376879358</v>
      </c>
      <c r="O19" s="1">
        <v>6.2343209679999996</v>
      </c>
      <c r="P19" s="1">
        <v>1.5953976795812701</v>
      </c>
      <c r="Q19" s="1">
        <v>4.5844439795555596</v>
      </c>
      <c r="R19" s="1">
        <v>1.1016147975652899</v>
      </c>
      <c r="S19" s="1">
        <v>108</v>
      </c>
    </row>
    <row r="20" spans="1:19">
      <c r="A20" s="1" t="s">
        <v>23</v>
      </c>
      <c r="B20" s="1">
        <v>0.98132926630645201</v>
      </c>
      <c r="C20" s="1">
        <v>0.341690704401652</v>
      </c>
      <c r="D20" s="1">
        <v>1.0400046032419401</v>
      </c>
      <c r="E20" s="1">
        <v>0.33648746765061499</v>
      </c>
      <c r="F20" s="1">
        <v>18.2118503468065</v>
      </c>
      <c r="G20" s="1">
        <v>5.8421391324546397</v>
      </c>
      <c r="H20" s="1">
        <v>24.099770868806502</v>
      </c>
      <c r="I20" s="1">
        <v>7.7020692016929804</v>
      </c>
      <c r="J20" s="1">
        <v>62</v>
      </c>
      <c r="K20" s="1">
        <v>19.26105536</v>
      </c>
      <c r="L20" s="1">
        <v>0</v>
      </c>
      <c r="M20" s="1">
        <v>19.231979899999999</v>
      </c>
      <c r="N20" s="1">
        <v>0</v>
      </c>
      <c r="O20" s="1">
        <v>1.503641869</v>
      </c>
      <c r="P20" s="1">
        <v>0</v>
      </c>
      <c r="Q20" s="1">
        <v>2.2886454129999998</v>
      </c>
      <c r="R20" s="1">
        <v>0</v>
      </c>
      <c r="S20" s="1">
        <v>1</v>
      </c>
    </row>
    <row r="21" spans="1:19">
      <c r="A21" s="1" t="s">
        <v>24</v>
      </c>
      <c r="B21" s="1">
        <v>2.7654316099812402</v>
      </c>
      <c r="C21" s="1">
        <v>0.78700020848200003</v>
      </c>
      <c r="D21" s="1">
        <v>2.3227407496666701</v>
      </c>
      <c r="E21" s="1">
        <v>0.55670924300764602</v>
      </c>
      <c r="F21" s="1">
        <v>13.9282700475556</v>
      </c>
      <c r="G21" s="1">
        <v>1.68327068010929</v>
      </c>
      <c r="H21" s="1">
        <v>19.1105917770318</v>
      </c>
      <c r="I21" s="1">
        <v>2.5084274011533298</v>
      </c>
      <c r="J21" s="1">
        <v>693</v>
      </c>
      <c r="K21" s="1">
        <v>41.735363998312501</v>
      </c>
      <c r="L21" s="1">
        <v>26.347066936543602</v>
      </c>
      <c r="M21" s="1">
        <v>27.6515110379375</v>
      </c>
      <c r="N21" s="1">
        <v>17.436849109086999</v>
      </c>
      <c r="O21" s="1">
        <v>3.7401642745624999</v>
      </c>
      <c r="P21" s="1">
        <v>2.7384260045719899</v>
      </c>
      <c r="Q21" s="1">
        <v>2.84118549575</v>
      </c>
      <c r="R21" s="1">
        <v>1.61061644368872</v>
      </c>
      <c r="S21" s="1">
        <v>16</v>
      </c>
    </row>
    <row r="22" spans="1:19">
      <c r="A22" s="1" t="s">
        <v>25</v>
      </c>
      <c r="B22" s="1">
        <v>59.9915217998321</v>
      </c>
      <c r="C22" s="1">
        <v>52.854905242365099</v>
      </c>
      <c r="D22" s="1">
        <v>83.413616084816994</v>
      </c>
      <c r="E22" s="1">
        <v>76.541435104710999</v>
      </c>
      <c r="F22" s="1">
        <v>42.202223333011297</v>
      </c>
      <c r="G22" s="1">
        <v>4.4830794408729799</v>
      </c>
      <c r="H22" s="1">
        <v>45.220812007810601</v>
      </c>
      <c r="I22" s="1">
        <v>4.3833679414122502</v>
      </c>
      <c r="J22" s="1">
        <v>792</v>
      </c>
      <c r="K22" s="1">
        <v>812.94232245105604</v>
      </c>
      <c r="L22" s="1">
        <v>774.59084562354406</v>
      </c>
      <c r="M22" s="1">
        <v>1151.19275826185</v>
      </c>
      <c r="N22" s="1">
        <v>1122.17446584294</v>
      </c>
      <c r="O22" s="1">
        <v>6.3578560607592598</v>
      </c>
      <c r="P22" s="1">
        <v>3.61762893549994</v>
      </c>
      <c r="Q22" s="1">
        <v>7.3046712903333297</v>
      </c>
      <c r="R22" s="1">
        <v>4.7928066399481004</v>
      </c>
      <c r="S22" s="1">
        <v>54</v>
      </c>
    </row>
    <row r="23" spans="1:19">
      <c r="A23" s="1" t="s">
        <v>26</v>
      </c>
      <c r="B23" s="1">
        <v>11.667962292531801</v>
      </c>
      <c r="C23" s="1">
        <v>3.1852691689588499</v>
      </c>
      <c r="D23" s="1">
        <v>11.350996690294</v>
      </c>
      <c r="E23" s="1">
        <v>2.6982081166488499</v>
      </c>
      <c r="F23" s="1">
        <v>35.975714690435602</v>
      </c>
      <c r="G23" s="1">
        <v>5.8293853218362797</v>
      </c>
      <c r="H23" s="1">
        <v>40.553448034317597</v>
      </c>
      <c r="I23" s="1">
        <v>7.0628409320649599</v>
      </c>
      <c r="J23" s="1">
        <v>551</v>
      </c>
      <c r="K23" s="1">
        <v>76.831134244534894</v>
      </c>
      <c r="L23" s="1">
        <v>37.4166107033912</v>
      </c>
      <c r="M23" s="1">
        <v>59.323478154860403</v>
      </c>
      <c r="N23" s="1">
        <v>28.012869571102598</v>
      </c>
      <c r="O23" s="1">
        <v>8.9109842448837195</v>
      </c>
      <c r="P23" s="1">
        <v>6.3521738060770199</v>
      </c>
      <c r="Q23" s="1">
        <v>7.1863367638139497</v>
      </c>
      <c r="R23" s="1">
        <v>4.7002076230868504</v>
      </c>
      <c r="S23" s="1">
        <v>43</v>
      </c>
    </row>
    <row r="24" spans="1:19">
      <c r="A24" s="1" t="s">
        <v>27</v>
      </c>
      <c r="B24" s="1">
        <v>6.4844567848004298</v>
      </c>
      <c r="C24" s="1">
        <v>2.9800525056491698</v>
      </c>
      <c r="D24" s="1">
        <v>4.7187212233297204</v>
      </c>
      <c r="E24" s="1">
        <v>1.66358293492742</v>
      </c>
      <c r="F24" s="1">
        <v>21.818077118583499</v>
      </c>
      <c r="G24" s="1">
        <v>2.70916724709185</v>
      </c>
      <c r="H24" s="1">
        <v>26.468724500149602</v>
      </c>
      <c r="I24" s="1">
        <v>3.5587577193062399</v>
      </c>
      <c r="J24" s="1">
        <v>461</v>
      </c>
      <c r="K24" s="1">
        <v>110.896877671333</v>
      </c>
      <c r="L24" s="1">
        <v>89.915253509761101</v>
      </c>
      <c r="M24" s="1">
        <v>63.446103855399997</v>
      </c>
      <c r="N24" s="1">
        <v>49.727862216707898</v>
      </c>
      <c r="O24" s="1">
        <v>8.0895972560666696</v>
      </c>
      <c r="P24" s="1">
        <v>6.6450112928202403</v>
      </c>
      <c r="Q24" s="1">
        <v>5.8555546074666696</v>
      </c>
      <c r="R24" s="1">
        <v>4.5765376133012703</v>
      </c>
      <c r="S24" s="1">
        <v>15</v>
      </c>
    </row>
    <row r="25" spans="1:19">
      <c r="A25" s="1" t="s">
        <v>28</v>
      </c>
      <c r="B25" s="1">
        <v>180.55829117772799</v>
      </c>
      <c r="C25" s="1">
        <v>17.9564335724505</v>
      </c>
      <c r="D25" s="1">
        <v>122.891067957226</v>
      </c>
      <c r="E25" s="1">
        <v>11.302740409350699</v>
      </c>
      <c r="F25" s="1">
        <v>134.04314101020199</v>
      </c>
      <c r="G25" s="1">
        <v>22.9962861266619</v>
      </c>
      <c r="H25" s="1">
        <v>118.21493478620199</v>
      </c>
      <c r="I25" s="1">
        <v>18.054040779263701</v>
      </c>
      <c r="J25" s="1">
        <v>411</v>
      </c>
      <c r="K25" s="1">
        <v>556.00303570793005</v>
      </c>
      <c r="L25" s="1">
        <v>65.832329708309103</v>
      </c>
      <c r="M25" s="1">
        <v>327.00182168302803</v>
      </c>
      <c r="N25" s="1">
        <v>36.528046807916098</v>
      </c>
      <c r="O25" s="1">
        <v>48.802016423140898</v>
      </c>
      <c r="P25" s="1">
        <v>7.8168874260215899</v>
      </c>
      <c r="Q25" s="1">
        <v>32.548009327915501</v>
      </c>
      <c r="R25" s="1">
        <v>5.0933105067915196</v>
      </c>
      <c r="S25" s="1">
        <v>71</v>
      </c>
    </row>
    <row r="26" spans="1:19">
      <c r="A26" s="1" t="s">
        <v>29</v>
      </c>
      <c r="B26" s="1">
        <v>428.69215932495001</v>
      </c>
      <c r="C26" s="1">
        <v>213.85485693729501</v>
      </c>
      <c r="D26" s="1">
        <v>435.70719140795399</v>
      </c>
      <c r="E26" s="1">
        <v>223.928786122644</v>
      </c>
      <c r="F26" s="1">
        <v>15.5687700988518</v>
      </c>
      <c r="G26" s="1">
        <v>1.39776499156484</v>
      </c>
      <c r="H26" s="1">
        <v>15.589080144298601</v>
      </c>
      <c r="I26" s="1">
        <v>1.3815228251941301</v>
      </c>
      <c r="J26" s="1">
        <v>1849</v>
      </c>
      <c r="K26" s="1">
        <v>10012.2449717785</v>
      </c>
      <c r="L26" s="1">
        <v>4912.2591218655398</v>
      </c>
      <c r="M26" s="1">
        <v>10177.8105139616</v>
      </c>
      <c r="N26" s="1">
        <v>5151.1942747816802</v>
      </c>
      <c r="O26" s="1">
        <v>16.461208850075899</v>
      </c>
      <c r="P26" s="1">
        <v>7.5311318012341797</v>
      </c>
      <c r="Q26" s="1">
        <v>27.2135091478481</v>
      </c>
      <c r="R26" s="1">
        <v>13.3291509135694</v>
      </c>
      <c r="S26" s="1">
        <v>79</v>
      </c>
    </row>
    <row r="27" spans="1:19">
      <c r="A27" s="1" t="s">
        <v>30</v>
      </c>
      <c r="B27" s="1">
        <v>2.2579423605442202</v>
      </c>
      <c r="C27" s="1">
        <v>0.23664601105038699</v>
      </c>
      <c r="D27" s="1">
        <v>2.3205444374381101</v>
      </c>
      <c r="E27" s="1">
        <v>0.242904338881239</v>
      </c>
      <c r="F27" s="1">
        <v>19.830002507371901</v>
      </c>
      <c r="G27" s="1">
        <v>1.1229516866932601</v>
      </c>
      <c r="H27" s="1">
        <v>22.3083297516424</v>
      </c>
      <c r="I27" s="1">
        <v>1.1830613501148599</v>
      </c>
      <c r="J27" s="1">
        <v>3789</v>
      </c>
      <c r="K27" s="1">
        <v>38.949104455097597</v>
      </c>
      <c r="L27" s="1">
        <v>11.134904629082101</v>
      </c>
      <c r="M27" s="1">
        <v>39.0158511140976</v>
      </c>
      <c r="N27" s="1">
        <v>13.818599989000599</v>
      </c>
      <c r="O27" s="1">
        <v>4.7868988731219497</v>
      </c>
      <c r="P27" s="1">
        <v>2.3711837757905099</v>
      </c>
      <c r="Q27" s="1">
        <v>4.5452544870975604</v>
      </c>
      <c r="R27" s="1">
        <v>2.2017198955550201</v>
      </c>
      <c r="S27" s="1">
        <v>41</v>
      </c>
    </row>
    <row r="28" spans="1:19">
      <c r="A28" s="1" t="s">
        <v>31</v>
      </c>
      <c r="B28" s="1">
        <v>42.2343420262034</v>
      </c>
      <c r="C28" s="1">
        <v>24.342696238146601</v>
      </c>
      <c r="D28" s="1">
        <v>35.360931008305101</v>
      </c>
      <c r="E28" s="1">
        <v>19.295556365101501</v>
      </c>
      <c r="F28" s="1">
        <v>108.869647989814</v>
      </c>
      <c r="G28" s="1">
        <v>38.5988331237279</v>
      </c>
      <c r="H28" s="1">
        <v>125.693431689051</v>
      </c>
      <c r="I28" s="1">
        <v>44.801357924685497</v>
      </c>
      <c r="J28" s="1">
        <v>59</v>
      </c>
      <c r="K28" s="1">
        <v>699.28814220000004</v>
      </c>
      <c r="L28" s="1">
        <v>327.26139793941002</v>
      </c>
      <c r="M28" s="1">
        <v>561.56990129999997</v>
      </c>
      <c r="N28" s="1">
        <v>250.696351602547</v>
      </c>
      <c r="O28" s="1">
        <v>18.480715102000001</v>
      </c>
      <c r="P28" s="1">
        <v>12.084515676437301</v>
      </c>
      <c r="Q28" s="1">
        <v>22.132498142666702</v>
      </c>
      <c r="R28" s="1">
        <v>14.1689010316022</v>
      </c>
      <c r="S28" s="1">
        <v>3</v>
      </c>
    </row>
    <row r="29" spans="1:19">
      <c r="A29" s="1" t="s">
        <v>32</v>
      </c>
      <c r="B29" s="1">
        <v>2.09943885934545</v>
      </c>
      <c r="C29" s="1">
        <v>0.68781031781662605</v>
      </c>
      <c r="D29" s="1">
        <v>2.1889727358030302</v>
      </c>
      <c r="E29" s="1">
        <v>0.73140270785769701</v>
      </c>
      <c r="F29" s="1">
        <v>15.6504352279606</v>
      </c>
      <c r="G29" s="1">
        <v>6.7883414728288098</v>
      </c>
      <c r="H29" s="1">
        <v>20.782414037084799</v>
      </c>
      <c r="I29" s="1">
        <v>9.905271328545</v>
      </c>
      <c r="J29" s="1">
        <v>330</v>
      </c>
      <c r="K29" s="1">
        <v>7.0735275399999997</v>
      </c>
      <c r="L29" s="1">
        <v>0</v>
      </c>
      <c r="M29" s="1">
        <v>5.4388255550000002</v>
      </c>
      <c r="N29" s="1">
        <v>0</v>
      </c>
      <c r="O29" s="1">
        <v>0.89783340300000003</v>
      </c>
      <c r="P29" s="1">
        <v>0</v>
      </c>
      <c r="Q29" s="1">
        <v>0.926346169</v>
      </c>
      <c r="R29" s="1">
        <v>0</v>
      </c>
      <c r="S29" s="1">
        <v>1</v>
      </c>
    </row>
    <row r="30" spans="1:19">
      <c r="A30" s="1" t="s">
        <v>33</v>
      </c>
      <c r="B30" s="1">
        <v>1.66991083209335</v>
      </c>
      <c r="C30" s="1">
        <v>0.23822673327244301</v>
      </c>
      <c r="D30" s="1">
        <v>1.5573308983012699</v>
      </c>
      <c r="E30" s="1">
        <v>0.22319522859917501</v>
      </c>
      <c r="F30" s="1">
        <v>13.262443162875501</v>
      </c>
      <c r="G30" s="1">
        <v>1.96123937990266</v>
      </c>
      <c r="H30" s="1">
        <v>15.637692635449801</v>
      </c>
      <c r="I30" s="1">
        <v>2.1675282598254402</v>
      </c>
      <c r="J30" s="1">
        <v>707</v>
      </c>
      <c r="K30" s="1">
        <v>15.132158045764699</v>
      </c>
      <c r="L30" s="1">
        <v>2.7213769843153601</v>
      </c>
      <c r="M30" s="1">
        <v>9.7066617851176495</v>
      </c>
      <c r="N30" s="1">
        <v>1.75813248738742</v>
      </c>
      <c r="O30" s="1">
        <v>0.46652942782352902</v>
      </c>
      <c r="P30" s="1">
        <v>0.120903642973181</v>
      </c>
      <c r="Q30" s="1">
        <v>0.52970045711764702</v>
      </c>
      <c r="R30" s="1">
        <v>0.127402370741624</v>
      </c>
      <c r="S30" s="1">
        <v>17</v>
      </c>
    </row>
    <row r="31" spans="1:19">
      <c r="A31" s="1" t="s">
        <v>34</v>
      </c>
      <c r="B31" s="1">
        <v>2.3805587967435802</v>
      </c>
      <c r="C31" s="1">
        <v>0.29334316964933599</v>
      </c>
      <c r="D31" s="1">
        <v>2.1049825231196602</v>
      </c>
      <c r="E31" s="1">
        <v>0.260014125089432</v>
      </c>
      <c r="F31" s="1">
        <v>16.3398989102255</v>
      </c>
      <c r="G31" s="1">
        <v>1.5359069976411299</v>
      </c>
      <c r="H31" s="1">
        <v>20.122597834232099</v>
      </c>
      <c r="I31" s="1">
        <v>1.9993093685757899</v>
      </c>
      <c r="J31" s="1">
        <v>1521</v>
      </c>
      <c r="K31" s="1">
        <v>20.866051670915301</v>
      </c>
      <c r="L31" s="1">
        <v>6.6986886386813502</v>
      </c>
      <c r="M31" s="1">
        <v>14.204914650338999</v>
      </c>
      <c r="N31" s="1">
        <v>5.80035304348245</v>
      </c>
      <c r="O31" s="1">
        <v>0.88809696488135603</v>
      </c>
      <c r="P31" s="1">
        <v>0.22690586978900301</v>
      </c>
      <c r="Q31" s="1">
        <v>1.1172610826101701</v>
      </c>
      <c r="R31" s="1">
        <v>0.30812133140482301</v>
      </c>
      <c r="S31" s="1">
        <v>59</v>
      </c>
    </row>
    <row r="32" spans="1:19">
      <c r="A32" s="1" t="s">
        <v>35</v>
      </c>
      <c r="B32" s="1">
        <v>5.6325499282083804</v>
      </c>
      <c r="C32" s="1">
        <v>0.703845259836819</v>
      </c>
      <c r="D32" s="1">
        <v>6.3526836233147401</v>
      </c>
      <c r="E32" s="1">
        <v>0.84561027959552004</v>
      </c>
      <c r="F32" s="1">
        <v>60.326921332853601</v>
      </c>
      <c r="G32" s="1">
        <v>16.384715018249999</v>
      </c>
      <c r="H32" s="1">
        <v>57.057285890537997</v>
      </c>
      <c r="I32" s="1">
        <v>13.9003227148037</v>
      </c>
      <c r="J32" s="1">
        <v>1147</v>
      </c>
      <c r="K32" s="1">
        <v>40.662518814347798</v>
      </c>
      <c r="L32" s="1">
        <v>6.25934927640228</v>
      </c>
      <c r="M32" s="1">
        <v>36.506008150260897</v>
      </c>
      <c r="N32" s="1">
        <v>5.4590700582556098</v>
      </c>
      <c r="O32" s="1">
        <v>4.0100000903912996</v>
      </c>
      <c r="P32" s="1">
        <v>0.58321712894976596</v>
      </c>
      <c r="Q32" s="1">
        <v>4.7386946158695702</v>
      </c>
      <c r="R32" s="1">
        <v>0.71074329581576601</v>
      </c>
      <c r="S32" s="1">
        <v>23</v>
      </c>
    </row>
    <row r="33" spans="1:19">
      <c r="A33" s="1" t="s">
        <v>36</v>
      </c>
      <c r="B33" s="1">
        <v>5.2795377661046397</v>
      </c>
      <c r="C33" s="1">
        <v>0.93425369460177299</v>
      </c>
      <c r="D33" s="1">
        <v>4.33111227911178</v>
      </c>
      <c r="E33" s="1">
        <v>0.69630800824498995</v>
      </c>
      <c r="F33" s="1">
        <v>18.7678216550296</v>
      </c>
      <c r="G33" s="1">
        <v>3.3222930642332398</v>
      </c>
      <c r="H33" s="1">
        <v>22.4842107469388</v>
      </c>
      <c r="I33" s="1">
        <v>4.14354169993201</v>
      </c>
      <c r="J33" s="1">
        <v>1959</v>
      </c>
      <c r="K33" s="1">
        <v>63.289416714659801</v>
      </c>
      <c r="L33" s="1">
        <v>17.709614253521998</v>
      </c>
      <c r="M33" s="1">
        <v>44.733731230391797</v>
      </c>
      <c r="N33" s="1">
        <v>13.151203137614599</v>
      </c>
      <c r="O33" s="1">
        <v>2.6552300421443298</v>
      </c>
      <c r="P33" s="1">
        <v>0.51520517940713895</v>
      </c>
      <c r="Q33" s="1">
        <v>2.21008085291753</v>
      </c>
      <c r="R33" s="1">
        <v>0.41826734824589801</v>
      </c>
      <c r="S33" s="1">
        <v>97</v>
      </c>
    </row>
    <row r="34" spans="1:19">
      <c r="A34" s="1" t="s">
        <v>37</v>
      </c>
      <c r="B34" s="1">
        <v>2.6025438891252701</v>
      </c>
      <c r="C34" s="1">
        <v>0.47995995667679597</v>
      </c>
      <c r="D34" s="1">
        <v>2.0066174113128201</v>
      </c>
      <c r="E34" s="1">
        <v>0.31422609933589501</v>
      </c>
      <c r="F34" s="1">
        <v>18.455486707961199</v>
      </c>
      <c r="G34" s="1">
        <v>5.28464777385968</v>
      </c>
      <c r="H34" s="1">
        <v>17.3602658943887</v>
      </c>
      <c r="I34" s="1">
        <v>3.3020172700539598</v>
      </c>
      <c r="J34" s="1">
        <v>2778</v>
      </c>
      <c r="K34" s="1">
        <v>59.974150755608697</v>
      </c>
      <c r="L34" s="1">
        <v>17.513794617637402</v>
      </c>
      <c r="M34" s="1">
        <v>36.362853571376803</v>
      </c>
      <c r="N34" s="1">
        <v>11.022173446472101</v>
      </c>
      <c r="O34" s="1">
        <v>3.8309553067826099</v>
      </c>
      <c r="P34" s="1">
        <v>1.3223826908479399</v>
      </c>
      <c r="Q34" s="1">
        <v>2.6163722301594201</v>
      </c>
      <c r="R34" s="1">
        <v>0.90307016426632203</v>
      </c>
      <c r="S34" s="1">
        <v>69</v>
      </c>
    </row>
    <row r="35" spans="1:19">
      <c r="A35" s="1" t="s">
        <v>38</v>
      </c>
      <c r="B35" s="1">
        <v>0</v>
      </c>
      <c r="C35" s="1">
        <v>0</v>
      </c>
      <c r="D35" s="1">
        <v>0</v>
      </c>
      <c r="E35" s="1">
        <v>0</v>
      </c>
      <c r="F35" s="1">
        <v>1.2996828945000001</v>
      </c>
      <c r="G35" s="1">
        <v>0.86649521723783296</v>
      </c>
      <c r="H35" s="1">
        <v>1.8754833355</v>
      </c>
      <c r="I35" s="1">
        <v>1.33137113992185</v>
      </c>
      <c r="J35" s="1">
        <v>4</v>
      </c>
      <c r="K35" s="1">
        <v>0</v>
      </c>
      <c r="L35" s="1">
        <v>0</v>
      </c>
      <c r="M35" s="1">
        <v>0</v>
      </c>
      <c r="N35" s="1">
        <v>0</v>
      </c>
      <c r="O35" s="1">
        <v>0</v>
      </c>
      <c r="P35" s="1">
        <v>0</v>
      </c>
      <c r="Q35" s="1">
        <v>0</v>
      </c>
      <c r="R35" s="1">
        <v>0</v>
      </c>
    </row>
    <row r="38" spans="1:19">
      <c r="A38" s="1" t="s">
        <v>39</v>
      </c>
      <c r="J38" s="1">
        <f>SUM(J15:J36)</f>
        <v>22450</v>
      </c>
      <c r="S38" s="1">
        <f>SUM(S15:S36)</f>
        <v>752</v>
      </c>
    </row>
    <row r="40" spans="1:19" s="2" customFormat="1" ht="48">
      <c r="A40" s="2" t="s">
        <v>11</v>
      </c>
      <c r="B40" s="2" t="s">
        <v>1</v>
      </c>
      <c r="C40" s="2" t="s">
        <v>40</v>
      </c>
      <c r="D40" s="2" t="s">
        <v>41</v>
      </c>
    </row>
    <row r="41" spans="1:19">
      <c r="A41" s="3" t="s">
        <v>42</v>
      </c>
    </row>
    <row r="42" spans="1:19">
      <c r="A42" s="1" t="s">
        <v>43</v>
      </c>
      <c r="B42" s="1">
        <v>4</v>
      </c>
      <c r="C42" s="4">
        <v>51246681</v>
      </c>
      <c r="D42" s="5">
        <f>IF(C42&gt;0,100*C42/C$83,"")</f>
        <v>61.514623158979155</v>
      </c>
    </row>
    <row r="43" spans="1:19">
      <c r="A43" s="1" t="s">
        <v>44</v>
      </c>
      <c r="B43" s="1">
        <v>4</v>
      </c>
      <c r="C43" s="4">
        <v>154985</v>
      </c>
      <c r="D43" s="6">
        <f t="shared" ref="D43:D77" si="0">IF(C43&gt;0,100*C43/C$83,"")</f>
        <v>0.18603826987926075</v>
      </c>
    </row>
    <row r="44" spans="1:19">
      <c r="A44" s="1" t="s">
        <v>45</v>
      </c>
      <c r="B44" s="1">
        <v>1</v>
      </c>
      <c r="C44" s="4">
        <v>62349</v>
      </c>
      <c r="D44" s="6">
        <f t="shared" si="0"/>
        <v>7.4841436840352479E-2</v>
      </c>
    </row>
    <row r="45" spans="1:19">
      <c r="A45" s="1" t="s">
        <v>46</v>
      </c>
      <c r="B45" s="1">
        <v>9</v>
      </c>
      <c r="C45" s="4">
        <v>242638</v>
      </c>
      <c r="D45" s="6">
        <f t="shared" si="0"/>
        <v>0.29125369375722859</v>
      </c>
    </row>
    <row r="46" spans="1:19">
      <c r="A46" s="3" t="s">
        <v>47</v>
      </c>
      <c r="C46" s="4"/>
      <c r="D46" s="6" t="str">
        <f t="shared" si="0"/>
        <v/>
      </c>
    </row>
    <row r="47" spans="1:19">
      <c r="A47" s="7" t="s">
        <v>48</v>
      </c>
      <c r="B47" s="1">
        <v>2</v>
      </c>
      <c r="C47" s="4">
        <v>24319550</v>
      </c>
      <c r="D47" s="5">
        <f t="shared" si="0"/>
        <v>29.192289616686622</v>
      </c>
    </row>
    <row r="48" spans="1:19">
      <c r="A48" s="7" t="s">
        <v>49</v>
      </c>
      <c r="B48" s="1">
        <v>1</v>
      </c>
      <c r="C48" s="4">
        <v>214502</v>
      </c>
      <c r="D48" s="6">
        <f t="shared" si="0"/>
        <v>0.25748027851496075</v>
      </c>
    </row>
    <row r="49" spans="1:7">
      <c r="A49" s="7" t="s">
        <v>50</v>
      </c>
      <c r="B49" s="1">
        <v>2</v>
      </c>
      <c r="C49" s="4">
        <v>4198</v>
      </c>
      <c r="D49" s="6">
        <f t="shared" si="0"/>
        <v>5.0391241536480091E-3</v>
      </c>
    </row>
    <row r="50" spans="1:7">
      <c r="A50" s="3" t="s">
        <v>51</v>
      </c>
      <c r="C50" s="4"/>
      <c r="D50" s="6" t="str">
        <f t="shared" si="0"/>
        <v/>
      </c>
    </row>
    <row r="51" spans="1:7">
      <c r="A51" s="7" t="s">
        <v>52</v>
      </c>
      <c r="B51" s="1">
        <v>1</v>
      </c>
      <c r="C51" s="4">
        <v>979918</v>
      </c>
      <c r="D51" s="5">
        <f t="shared" si="0"/>
        <v>1.1762573755108265</v>
      </c>
    </row>
    <row r="52" spans="1:7">
      <c r="A52" s="7" t="s">
        <v>53</v>
      </c>
      <c r="B52" s="1">
        <v>8</v>
      </c>
      <c r="C52" s="4">
        <v>530966</v>
      </c>
      <c r="D52" s="6">
        <f t="shared" si="0"/>
        <v>0.63735197602807736</v>
      </c>
    </row>
    <row r="53" spans="1:7">
      <c r="A53" s="7" t="s">
        <v>54</v>
      </c>
      <c r="B53" s="1">
        <v>2</v>
      </c>
      <c r="C53" s="4">
        <v>3147</v>
      </c>
      <c r="D53" s="6">
        <f t="shared" si="0"/>
        <v>3.7775425706360849E-3</v>
      </c>
    </row>
    <row r="54" spans="1:7">
      <c r="A54" s="7" t="s">
        <v>55</v>
      </c>
      <c r="B54" s="1">
        <v>1</v>
      </c>
      <c r="C54" s="4">
        <v>60</v>
      </c>
      <c r="D54" s="6">
        <f t="shared" si="0"/>
        <v>7.2021783996874833E-5</v>
      </c>
    </row>
    <row r="55" spans="1:7">
      <c r="A55" s="7" t="s">
        <v>56</v>
      </c>
      <c r="B55" s="1">
        <v>1</v>
      </c>
      <c r="C55" s="4">
        <v>127040</v>
      </c>
      <c r="D55" s="6">
        <f t="shared" si="0"/>
        <v>0.15249412398271631</v>
      </c>
    </row>
    <row r="56" spans="1:7">
      <c r="A56" s="7" t="s">
        <v>57</v>
      </c>
      <c r="B56" s="1">
        <v>1</v>
      </c>
      <c r="C56" s="4">
        <v>567</v>
      </c>
      <c r="D56" s="6">
        <f t="shared" si="0"/>
        <v>6.806058587704671E-4</v>
      </c>
    </row>
    <row r="57" spans="1:7">
      <c r="A57" s="7" t="s">
        <v>58</v>
      </c>
      <c r="B57" s="1">
        <v>1</v>
      </c>
      <c r="C57" s="4">
        <v>84622</v>
      </c>
      <c r="D57" s="6">
        <f t="shared" si="0"/>
        <v>0.10157712342305904</v>
      </c>
    </row>
    <row r="58" spans="1:7">
      <c r="A58" s="3" t="s">
        <v>59</v>
      </c>
      <c r="C58" s="4"/>
      <c r="D58" s="6" t="str">
        <f t="shared" si="0"/>
        <v/>
      </c>
    </row>
    <row r="59" spans="1:7">
      <c r="A59" s="7" t="s">
        <v>60</v>
      </c>
      <c r="B59" s="1">
        <v>2</v>
      </c>
      <c r="C59" s="4">
        <v>4059818</v>
      </c>
      <c r="D59" s="5">
        <f t="shared" si="0"/>
        <v>4.8732555843770733</v>
      </c>
      <c r="F59" s="6">
        <f>D59+D51+D47+D42</f>
        <v>96.756425735553677</v>
      </c>
    </row>
    <row r="60" spans="1:7">
      <c r="A60" s="7" t="s">
        <v>61</v>
      </c>
      <c r="B60" s="1">
        <v>2</v>
      </c>
      <c r="C60" s="4">
        <v>323477</v>
      </c>
      <c r="D60" s="6">
        <f t="shared" si="0"/>
        <v>0.38828984369928465</v>
      </c>
    </row>
    <row r="61" spans="1:7">
      <c r="A61" s="7" t="s">
        <v>62</v>
      </c>
      <c r="B61" s="1">
        <v>10</v>
      </c>
      <c r="C61" s="4">
        <v>602520</v>
      </c>
      <c r="D61" s="6">
        <f t="shared" si="0"/>
        <v>0.72324275489661705</v>
      </c>
    </row>
    <row r="62" spans="1:7">
      <c r="A62" s="3" t="s">
        <v>63</v>
      </c>
      <c r="C62" s="4"/>
      <c r="D62" s="6" t="str">
        <f t="shared" si="0"/>
        <v/>
      </c>
    </row>
    <row r="63" spans="1:7">
      <c r="A63" s="1" t="s">
        <v>64</v>
      </c>
      <c r="B63" s="1">
        <v>1</v>
      </c>
      <c r="C63" s="4">
        <v>1727</v>
      </c>
      <c r="D63" s="6">
        <f t="shared" si="0"/>
        <v>2.0730270160433805E-3</v>
      </c>
      <c r="F63" s="6">
        <f>SUM(D63:D77)</f>
        <v>0.23166527040434759</v>
      </c>
      <c r="G63" s="1">
        <f>SUM(B63:B77)</f>
        <v>45</v>
      </c>
    </row>
    <row r="64" spans="1:7">
      <c r="A64" s="1" t="s">
        <v>65</v>
      </c>
      <c r="B64" s="1">
        <v>1</v>
      </c>
      <c r="C64" s="4">
        <v>13286</v>
      </c>
      <c r="D64" s="6">
        <f t="shared" si="0"/>
        <v>1.5948023703041318E-2</v>
      </c>
    </row>
    <row r="65" spans="1:7">
      <c r="A65" s="1" t="s">
        <v>66</v>
      </c>
      <c r="B65" s="1">
        <v>1</v>
      </c>
      <c r="C65" s="4">
        <v>26006</v>
      </c>
      <c r="D65" s="6">
        <f t="shared" si="0"/>
        <v>3.1216641910378779E-2</v>
      </c>
    </row>
    <row r="66" spans="1:7">
      <c r="A66" s="1" t="s">
        <v>67</v>
      </c>
      <c r="B66" s="1">
        <v>2</v>
      </c>
      <c r="C66" s="4">
        <v>246</v>
      </c>
      <c r="D66" s="6">
        <f t="shared" si="0"/>
        <v>2.9528931438718681E-4</v>
      </c>
    </row>
    <row r="67" spans="1:7">
      <c r="A67" s="1" t="s">
        <v>68</v>
      </c>
      <c r="B67" s="1">
        <v>6</v>
      </c>
      <c r="C67" s="4">
        <v>10752</v>
      </c>
      <c r="D67" s="6">
        <f t="shared" si="0"/>
        <v>1.2906303692239969E-2</v>
      </c>
    </row>
    <row r="68" spans="1:7">
      <c r="A68" s="1" t="s">
        <v>69</v>
      </c>
      <c r="B68" s="1">
        <v>3</v>
      </c>
      <c r="C68" s="4">
        <v>6154</v>
      </c>
      <c r="D68" s="6">
        <f t="shared" si="0"/>
        <v>7.3870343119461284E-3</v>
      </c>
    </row>
    <row r="69" spans="1:7">
      <c r="A69" s="1" t="s">
        <v>70</v>
      </c>
      <c r="B69" s="1">
        <v>1</v>
      </c>
      <c r="C69" s="4">
        <v>402</v>
      </c>
      <c r="D69" s="6">
        <f t="shared" si="0"/>
        <v>4.8254595277906134E-4</v>
      </c>
    </row>
    <row r="70" spans="1:7">
      <c r="A70" s="1" t="s">
        <v>71</v>
      </c>
      <c r="B70" s="1">
        <v>4</v>
      </c>
      <c r="C70" s="4">
        <v>12063</v>
      </c>
      <c r="D70" s="6">
        <f t="shared" si="0"/>
        <v>1.4479979672571685E-2</v>
      </c>
    </row>
    <row r="71" spans="1:7">
      <c r="A71" s="1" t="s">
        <v>72</v>
      </c>
      <c r="B71" s="1">
        <v>6</v>
      </c>
      <c r="C71" s="4">
        <v>14189</v>
      </c>
      <c r="D71" s="6">
        <f t="shared" si="0"/>
        <v>1.7031951552194283E-2</v>
      </c>
    </row>
    <row r="72" spans="1:7">
      <c r="A72" s="1" t="s">
        <v>73</v>
      </c>
      <c r="B72" s="1">
        <v>3</v>
      </c>
      <c r="C72" s="4">
        <v>4091</v>
      </c>
      <c r="D72" s="6">
        <f t="shared" si="0"/>
        <v>4.9106853055202486E-3</v>
      </c>
    </row>
    <row r="73" spans="1:7">
      <c r="A73" s="1" t="s">
        <v>74</v>
      </c>
      <c r="B73" s="1">
        <v>3</v>
      </c>
      <c r="C73" s="4">
        <v>89248</v>
      </c>
      <c r="D73" s="6">
        <f t="shared" si="0"/>
        <v>0.10713000296921808</v>
      </c>
    </row>
    <row r="74" spans="1:7">
      <c r="A74" s="1" t="s">
        <v>75</v>
      </c>
      <c r="B74" s="1">
        <v>2</v>
      </c>
      <c r="C74" s="4">
        <v>518</v>
      </c>
      <c r="D74" s="6">
        <f t="shared" si="0"/>
        <v>6.2178806850635268E-4</v>
      </c>
    </row>
    <row r="75" spans="1:7">
      <c r="A75" s="1" t="s">
        <v>76</v>
      </c>
      <c r="B75" s="1">
        <v>2</v>
      </c>
      <c r="C75" s="4">
        <v>4138</v>
      </c>
      <c r="D75" s="6">
        <f t="shared" si="0"/>
        <v>4.9671023696511345E-3</v>
      </c>
    </row>
    <row r="76" spans="1:7">
      <c r="A76" s="1" t="s">
        <v>77</v>
      </c>
      <c r="B76" s="1">
        <v>9</v>
      </c>
      <c r="C76" s="4">
        <v>9267</v>
      </c>
      <c r="D76" s="6">
        <f t="shared" si="0"/>
        <v>1.1123764538317317E-2</v>
      </c>
    </row>
    <row r="77" spans="1:7">
      <c r="A77" s="1" t="s">
        <v>78</v>
      </c>
      <c r="B77" s="1">
        <v>1</v>
      </c>
      <c r="C77" s="4">
        <v>909</v>
      </c>
      <c r="D77" s="6">
        <f t="shared" si="0"/>
        <v>1.0911300275526538E-3</v>
      </c>
    </row>
    <row r="78" spans="1:7">
      <c r="A78" s="3" t="s">
        <v>37</v>
      </c>
      <c r="C78" s="4"/>
      <c r="D78" s="6"/>
    </row>
    <row r="79" spans="1:7">
      <c r="A79" s="1" t="s">
        <v>79</v>
      </c>
      <c r="B79" s="1">
        <v>8</v>
      </c>
      <c r="C79" s="4">
        <v>14566</v>
      </c>
      <c r="D79" s="6">
        <f>IF(C79&gt;0,100*C79/C$83,"")</f>
        <v>1.7484488428307979E-2</v>
      </c>
      <c r="F79" s="1">
        <f>SUM(B79:B81)</f>
        <v>24</v>
      </c>
      <c r="G79" s="6">
        <f>SUM(D79:D81)</f>
        <v>0.18977019865336547</v>
      </c>
    </row>
    <row r="80" spans="1:7">
      <c r="A80" s="1" t="s">
        <v>80</v>
      </c>
      <c r="B80" s="1">
        <v>5</v>
      </c>
      <c r="C80" s="4">
        <v>79987</v>
      </c>
      <c r="D80" s="6">
        <f>IF(C80&gt;0,100*C80/C$83,"")</f>
        <v>9.6013440609300449E-2</v>
      </c>
    </row>
    <row r="81" spans="1:4">
      <c r="A81" s="1" t="s">
        <v>81</v>
      </c>
      <c r="B81" s="1">
        <v>11</v>
      </c>
      <c r="C81" s="4">
        <v>63541</v>
      </c>
      <c r="D81" s="6">
        <f>IF(C81&gt;0,100*C81/C$83,"")</f>
        <v>7.627226961575706E-2</v>
      </c>
    </row>
    <row r="82" spans="1:4">
      <c r="C82" s="4"/>
    </row>
    <row r="83" spans="1:4">
      <c r="A83" s="3" t="s">
        <v>39</v>
      </c>
      <c r="B83" s="1">
        <v>121</v>
      </c>
      <c r="C83" s="4">
        <f>SUM(C42:C81)</f>
        <v>83308128</v>
      </c>
      <c r="D83" s="1">
        <f>SUM(D42:D81)</f>
        <v>99.999999999999972</v>
      </c>
    </row>
  </sheetData>
  <mergeCells count="2">
    <mergeCell ref="B13:J13"/>
    <mergeCell ref="K13:S13"/>
  </mergeCells>
  <conditionalFormatting sqref="B15:B35">
    <cfRule type="colorScale" priority="8">
      <colorScale>
        <cfvo type="min"/>
        <cfvo type="percentile" val="50"/>
        <cfvo type="max"/>
        <color rgb="FF8DB4E2"/>
        <color rgb="FFFFEB84"/>
        <color rgb="FFFF0000"/>
      </colorScale>
    </cfRule>
  </conditionalFormatting>
  <conditionalFormatting sqref="D15:D35">
    <cfRule type="colorScale" priority="7">
      <colorScale>
        <cfvo type="min"/>
        <cfvo type="percentile" val="50"/>
        <cfvo type="max"/>
        <color rgb="FF8DB4E2"/>
        <color rgb="FFFFEB84"/>
        <color rgb="FFFF0000"/>
      </colorScale>
    </cfRule>
  </conditionalFormatting>
  <conditionalFormatting sqref="F15:F35">
    <cfRule type="colorScale" priority="6">
      <colorScale>
        <cfvo type="min"/>
        <cfvo type="percentile" val="50"/>
        <cfvo type="max"/>
        <color rgb="FF8DB4E2"/>
        <color rgb="FFFFEB84"/>
        <color rgb="FFFF0000"/>
      </colorScale>
    </cfRule>
  </conditionalFormatting>
  <conditionalFormatting sqref="H15:H35">
    <cfRule type="colorScale" priority="5">
      <colorScale>
        <cfvo type="min"/>
        <cfvo type="percentile" val="50"/>
        <cfvo type="max"/>
        <color rgb="FF8DB4E2"/>
        <color rgb="FFFFEB84"/>
        <color rgb="FFFF0000"/>
      </colorScale>
    </cfRule>
  </conditionalFormatting>
  <conditionalFormatting sqref="K15:K35">
    <cfRule type="colorScale" priority="4">
      <colorScale>
        <cfvo type="min"/>
        <cfvo type="percentile" val="50"/>
        <cfvo type="max"/>
        <color rgb="FF8DB4E2"/>
        <color rgb="FFFFEB84"/>
        <color rgb="FFFF0000"/>
      </colorScale>
    </cfRule>
  </conditionalFormatting>
  <conditionalFormatting sqref="M15:M35">
    <cfRule type="colorScale" priority="3">
      <colorScale>
        <cfvo type="min"/>
        <cfvo type="percentile" val="50"/>
        <cfvo type="max"/>
        <color rgb="FF8DB4E2"/>
        <color rgb="FFFFEB84"/>
        <color rgb="FFFF0000"/>
      </colorScale>
    </cfRule>
  </conditionalFormatting>
  <conditionalFormatting sqref="O15:O35">
    <cfRule type="colorScale" priority="2">
      <colorScale>
        <cfvo type="min"/>
        <cfvo type="percentile" val="50"/>
        <cfvo type="max"/>
        <color rgb="FF8DB4E2"/>
        <color rgb="FFFFEB84"/>
        <color rgb="FFFF0000"/>
      </colorScale>
    </cfRule>
  </conditionalFormatting>
  <conditionalFormatting sqref="Q15:Q35">
    <cfRule type="colorScale" priority="1">
      <colorScale>
        <cfvo type="min"/>
        <cfvo type="percentile" val="50"/>
        <cfvo type="max"/>
        <color rgb="FF8DB4E2"/>
        <color rgb="FFFFEB84"/>
        <color rgb="FFFF0000"/>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1FED7-73F9-C048-8124-9D5D5ABDDE85}">
  <dimension ref="A1:IG181"/>
  <sheetViews>
    <sheetView tabSelected="1" workbookViewId="0">
      <selection activeCell="A2" sqref="A2"/>
    </sheetView>
  </sheetViews>
  <sheetFormatPr baseColWidth="10" defaultRowHeight="16"/>
  <cols>
    <col min="1" max="1" width="44.5" bestFit="1" customWidth="1"/>
    <col min="2" max="2" width="10.6640625" bestFit="1" customWidth="1"/>
    <col min="3" max="3" width="7.1640625" bestFit="1" customWidth="1"/>
    <col min="4" max="4" width="49.1640625" bestFit="1" customWidth="1"/>
    <col min="5" max="5" width="4.5" bestFit="1" customWidth="1"/>
    <col min="6" max="6" width="13.83203125" bestFit="1" customWidth="1"/>
    <col min="7" max="7" width="15.83203125" bestFit="1" customWidth="1"/>
    <col min="8" max="8" width="7.1640625" bestFit="1" customWidth="1"/>
    <col min="9" max="9" width="13.83203125" bestFit="1" customWidth="1"/>
    <col min="10" max="10" width="5.1640625" bestFit="1" customWidth="1"/>
    <col min="11" max="11" width="2.1640625" bestFit="1" customWidth="1"/>
    <col min="12" max="12" width="15.83203125" bestFit="1" customWidth="1"/>
    <col min="13" max="14" width="8.1640625" bestFit="1" customWidth="1"/>
    <col min="15" max="15" width="10.1640625" bestFit="1" customWidth="1"/>
    <col min="16" max="16" width="8.5" bestFit="1" customWidth="1"/>
    <col min="17" max="17" width="122.6640625" bestFit="1" customWidth="1"/>
    <col min="18" max="18" width="9.5" bestFit="1" customWidth="1"/>
    <col min="19" max="19" width="8" bestFit="1" customWidth="1"/>
    <col min="20" max="20" width="7.1640625" bestFit="1" customWidth="1"/>
    <col min="21" max="21" width="6.1640625" bestFit="1" customWidth="1"/>
    <col min="22" max="22" width="10.6640625" bestFit="1" customWidth="1"/>
    <col min="23" max="23" width="6.1640625" bestFit="1" customWidth="1"/>
    <col min="24" max="24" width="83.5" bestFit="1" customWidth="1"/>
    <col min="25" max="25" width="8.83203125" bestFit="1" customWidth="1"/>
    <col min="26" max="26" width="9.6640625" bestFit="1" customWidth="1"/>
    <col min="27" max="27" width="8.6640625" bestFit="1" customWidth="1"/>
    <col min="28" max="29" width="7.5" bestFit="1" customWidth="1"/>
    <col min="30" max="30" width="9.6640625" bestFit="1" customWidth="1"/>
    <col min="31" max="31" width="8.33203125" bestFit="1" customWidth="1"/>
    <col min="32" max="32" width="7.33203125" bestFit="1" customWidth="1"/>
    <col min="33" max="33" width="10.1640625" bestFit="1" customWidth="1"/>
    <col min="34" max="34" width="10.33203125" bestFit="1" customWidth="1"/>
    <col min="35" max="35" width="7.33203125" bestFit="1" customWidth="1"/>
    <col min="36" max="36" width="95.5" bestFit="1" customWidth="1"/>
    <col min="37" max="37" width="12.1640625" bestFit="1" customWidth="1"/>
    <col min="38" max="38" width="10.5" bestFit="1" customWidth="1"/>
    <col min="39" max="39" width="5.6640625" bestFit="1" customWidth="1"/>
    <col min="40" max="40" width="5" bestFit="1" customWidth="1"/>
    <col min="41" max="41" width="7.6640625" bestFit="1" customWidth="1"/>
    <col min="42" max="42" width="9.1640625" bestFit="1" customWidth="1"/>
    <col min="43" max="43" width="10.1640625" bestFit="1" customWidth="1"/>
    <col min="44" max="44" width="10" bestFit="1" customWidth="1"/>
    <col min="45" max="45" width="14.6640625" bestFit="1" customWidth="1"/>
    <col min="46" max="46" width="118" bestFit="1" customWidth="1"/>
    <col min="47" max="47" width="31" bestFit="1" customWidth="1"/>
    <col min="48" max="48" width="21.1640625" bestFit="1" customWidth="1"/>
    <col min="49" max="49" width="12.1640625" bestFit="1" customWidth="1"/>
    <col min="50" max="50" width="10" bestFit="1" customWidth="1"/>
    <col min="51" max="51" width="13.1640625" bestFit="1" customWidth="1"/>
    <col min="52" max="52" width="7.1640625" bestFit="1" customWidth="1"/>
    <col min="53" max="53" width="8" bestFit="1" customWidth="1"/>
    <col min="54" max="54" width="9.6640625" bestFit="1" customWidth="1"/>
    <col min="55" max="55" width="9" bestFit="1" customWidth="1"/>
    <col min="56" max="57" width="10" bestFit="1" customWidth="1"/>
    <col min="58" max="58" width="22.83203125" bestFit="1" customWidth="1"/>
    <col min="59" max="59" width="50.1640625" bestFit="1" customWidth="1"/>
    <col min="60" max="60" width="42.33203125" bestFit="1" customWidth="1"/>
    <col min="61" max="61" width="7.33203125" bestFit="1" customWidth="1"/>
    <col min="62" max="63" width="35" bestFit="1" customWidth="1"/>
    <col min="64" max="64" width="72.1640625" bestFit="1" customWidth="1"/>
    <col min="65" max="65" width="6.83203125" bestFit="1" customWidth="1"/>
    <col min="66" max="66" width="12.6640625" bestFit="1" customWidth="1"/>
    <col min="67" max="67" width="9" bestFit="1" customWidth="1"/>
    <col min="68" max="69" width="10" bestFit="1" customWidth="1"/>
    <col min="70" max="70" width="26.1640625" bestFit="1" customWidth="1"/>
    <col min="71" max="71" width="65.6640625" bestFit="1" customWidth="1"/>
    <col min="72" max="72" width="6.83203125" bestFit="1" customWidth="1"/>
    <col min="73" max="73" width="8.83203125" bestFit="1" customWidth="1"/>
    <col min="74" max="74" width="9" bestFit="1" customWidth="1"/>
    <col min="75" max="76" width="10" bestFit="1" customWidth="1"/>
    <col min="77" max="77" width="77.6640625" bestFit="1" customWidth="1"/>
    <col min="78" max="78" width="65.5" bestFit="1" customWidth="1"/>
    <col min="79" max="79" width="6.83203125" bestFit="1" customWidth="1"/>
    <col min="80" max="80" width="12.6640625" bestFit="1" customWidth="1"/>
    <col min="81" max="81" width="9" bestFit="1" customWidth="1"/>
    <col min="82" max="83" width="10" bestFit="1" customWidth="1"/>
    <col min="84" max="84" width="17.5" bestFit="1" customWidth="1"/>
    <col min="85" max="85" width="65.5" bestFit="1" customWidth="1"/>
    <col min="86" max="86" width="6.83203125" bestFit="1" customWidth="1"/>
    <col min="87" max="87" width="12.6640625" bestFit="1" customWidth="1"/>
    <col min="88" max="88" width="9" bestFit="1" customWidth="1"/>
    <col min="89" max="90" width="10" bestFit="1" customWidth="1"/>
    <col min="91" max="91" width="17.5" bestFit="1" customWidth="1"/>
    <col min="92" max="92" width="63.83203125" bestFit="1" customWidth="1"/>
    <col min="93" max="93" width="6.83203125" bestFit="1" customWidth="1"/>
    <col min="94" max="94" width="12.6640625" bestFit="1" customWidth="1"/>
    <col min="95" max="95" width="9" bestFit="1" customWidth="1"/>
    <col min="96" max="97" width="10" bestFit="1" customWidth="1"/>
    <col min="98" max="98" width="36.33203125" bestFit="1" customWidth="1"/>
    <col min="99" max="99" width="255.83203125" bestFit="1" customWidth="1"/>
    <col min="100" max="100" width="12.1640625" bestFit="1" customWidth="1"/>
    <col min="101" max="101" width="11.33203125" bestFit="1" customWidth="1"/>
    <col min="102" max="102" width="57.1640625" bestFit="1" customWidth="1"/>
    <col min="103" max="103" width="255.83203125" bestFit="1" customWidth="1"/>
    <col min="104" max="104" width="92" bestFit="1" customWidth="1"/>
    <col min="105" max="105" width="11.1640625" bestFit="1" customWidth="1"/>
    <col min="106" max="106" width="12.5" bestFit="1" customWidth="1"/>
    <col min="107" max="107" width="81.5" bestFit="1" customWidth="1"/>
    <col min="108" max="108" width="12.1640625" bestFit="1" customWidth="1"/>
    <col min="109" max="109" width="16.83203125" bestFit="1" customWidth="1"/>
    <col min="110" max="110" width="6.83203125" bestFit="1" customWidth="1"/>
    <col min="111" max="111" width="255.83203125" bestFit="1" customWidth="1"/>
    <col min="112" max="112" width="97" bestFit="1" customWidth="1"/>
    <col min="113" max="113" width="6.83203125" bestFit="1" customWidth="1"/>
    <col min="114" max="114" width="110.6640625" bestFit="1" customWidth="1"/>
    <col min="115" max="115" width="9.6640625" bestFit="1" customWidth="1"/>
    <col min="116" max="116" width="17" bestFit="1" customWidth="1"/>
    <col min="117" max="117" width="6.83203125" bestFit="1" customWidth="1"/>
    <col min="118" max="118" width="15.6640625" bestFit="1" customWidth="1"/>
    <col min="119" max="119" width="6.83203125" bestFit="1" customWidth="1"/>
    <col min="120" max="120" width="14.1640625" bestFit="1" customWidth="1"/>
    <col min="121" max="121" width="6.83203125" bestFit="1" customWidth="1"/>
    <col min="122" max="122" width="9" bestFit="1" customWidth="1"/>
    <col min="123" max="124" width="10" bestFit="1" customWidth="1"/>
    <col min="125" max="125" width="13.33203125" bestFit="1" customWidth="1"/>
    <col min="126" max="126" width="7.6640625" bestFit="1" customWidth="1"/>
    <col min="127" max="127" width="17.1640625" bestFit="1" customWidth="1"/>
    <col min="128" max="128" width="14.33203125" bestFit="1" customWidth="1"/>
    <col min="129" max="129" width="77.6640625" bestFit="1" customWidth="1"/>
    <col min="130" max="130" width="69" bestFit="1" customWidth="1"/>
    <col min="131" max="131" width="26.1640625" bestFit="1" customWidth="1"/>
    <col min="132" max="132" width="10.5" bestFit="1" customWidth="1"/>
    <col min="133" max="133" width="5.6640625" bestFit="1" customWidth="1"/>
    <col min="134" max="134" width="10.5" bestFit="1" customWidth="1"/>
    <col min="135" max="135" width="5.6640625" bestFit="1" customWidth="1"/>
    <col min="136" max="136" width="10.5" bestFit="1" customWidth="1"/>
    <col min="137" max="137" width="5.6640625" bestFit="1" customWidth="1"/>
    <col min="138" max="138" width="10.5" bestFit="1" customWidth="1"/>
    <col min="139" max="139" width="5.6640625" bestFit="1" customWidth="1"/>
    <col min="140" max="140" width="10.5" bestFit="1" customWidth="1"/>
    <col min="141" max="141" width="5.6640625" bestFit="1" customWidth="1"/>
    <col min="142" max="142" width="10.5" bestFit="1" customWidth="1"/>
    <col min="143" max="143" width="5.6640625" bestFit="1" customWidth="1"/>
    <col min="144" max="144" width="10.5" bestFit="1" customWidth="1"/>
    <col min="145" max="145" width="5.6640625" bestFit="1" customWidth="1"/>
    <col min="146" max="146" width="10.5" bestFit="1" customWidth="1"/>
    <col min="147" max="147" width="5.6640625" bestFit="1" customWidth="1"/>
    <col min="148" max="148" width="10.5" bestFit="1" customWidth="1"/>
    <col min="149" max="149" width="5.6640625" bestFit="1" customWidth="1"/>
    <col min="150" max="150" width="10.5" bestFit="1" customWidth="1"/>
    <col min="151" max="151" width="5.6640625" bestFit="1" customWidth="1"/>
    <col min="152" max="152" width="10.5" bestFit="1" customWidth="1"/>
    <col min="153" max="153" width="5.6640625" bestFit="1" customWidth="1"/>
    <col min="154" max="154" width="10.5" bestFit="1" customWidth="1"/>
    <col min="155" max="155" width="5.6640625" bestFit="1" customWidth="1"/>
    <col min="156" max="156" width="10.5" bestFit="1" customWidth="1"/>
    <col min="157" max="157" width="5.6640625" bestFit="1" customWidth="1"/>
    <col min="158" max="158" width="10.5" bestFit="1" customWidth="1"/>
    <col min="159" max="159" width="5.6640625" bestFit="1" customWidth="1"/>
    <col min="160" max="160" width="10.5" bestFit="1" customWidth="1"/>
    <col min="161" max="161" width="5.6640625" bestFit="1" customWidth="1"/>
    <col min="162" max="162" width="15.83203125" bestFit="1" customWidth="1"/>
    <col min="163" max="163" width="9" bestFit="1" customWidth="1"/>
    <col min="164" max="164" width="10.1640625" bestFit="1" customWidth="1"/>
    <col min="165" max="166" width="12.1640625" bestFit="1" customWidth="1"/>
    <col min="167" max="168" width="8.1640625" bestFit="1" customWidth="1"/>
    <col min="169" max="169" width="12.1640625" bestFit="1" customWidth="1"/>
    <col min="170" max="170" width="10.1640625" bestFit="1" customWidth="1"/>
    <col min="171" max="172" width="12.1640625" bestFit="1" customWidth="1"/>
    <col min="173" max="174" width="8.1640625" bestFit="1" customWidth="1"/>
    <col min="175" max="175" width="12.1640625" bestFit="1" customWidth="1"/>
    <col min="176" max="176" width="10.5" bestFit="1" customWidth="1"/>
    <col min="177" max="178" width="12.1640625" bestFit="1" customWidth="1"/>
    <col min="179" max="180" width="8.1640625" bestFit="1" customWidth="1"/>
    <col min="181" max="181" width="12.1640625" bestFit="1" customWidth="1"/>
    <col min="182" max="182" width="10.5" bestFit="1" customWidth="1"/>
    <col min="183" max="184" width="12.1640625" bestFit="1" customWidth="1"/>
    <col min="185" max="186" width="8.1640625" bestFit="1" customWidth="1"/>
    <col min="187" max="187" width="12.1640625" bestFit="1" customWidth="1"/>
    <col min="188" max="188" width="8.1640625" bestFit="1" customWidth="1"/>
    <col min="189" max="189" width="9.1640625" bestFit="1" customWidth="1"/>
    <col min="190" max="191" width="10.6640625" bestFit="1" customWidth="1"/>
    <col min="192" max="192" width="9.1640625" bestFit="1" customWidth="1"/>
    <col min="193" max="193" width="7.83203125" bestFit="1" customWidth="1"/>
    <col min="194" max="198" width="12.1640625" bestFit="1" customWidth="1"/>
    <col min="199" max="199" width="31" bestFit="1" customWidth="1"/>
    <col min="200" max="205" width="12.1640625" bestFit="1" customWidth="1"/>
    <col min="206" max="206" width="9.33203125" bestFit="1" customWidth="1"/>
    <col min="207" max="207" width="7.5" bestFit="1" customWidth="1"/>
    <col min="209" max="215" width="12.1640625" bestFit="1" customWidth="1"/>
    <col min="216" max="216" width="10.6640625" bestFit="1" customWidth="1"/>
    <col min="217" max="217" width="7.33203125" bestFit="1" customWidth="1"/>
    <col min="218" max="218" width="4.5" bestFit="1" customWidth="1"/>
    <col min="219" max="219" width="8.33203125" bestFit="1" customWidth="1"/>
    <col min="220" max="220" width="10" bestFit="1" customWidth="1"/>
    <col min="221" max="222" width="12.1640625" bestFit="1" customWidth="1"/>
    <col min="223" max="223" width="8.1640625" bestFit="1" customWidth="1"/>
    <col min="224" max="224" width="9.1640625" bestFit="1" customWidth="1"/>
    <col min="226" max="232" width="12.1640625" bestFit="1" customWidth="1"/>
    <col min="233" max="233" width="10.6640625" bestFit="1" customWidth="1"/>
    <col min="234" max="234" width="7.33203125" bestFit="1" customWidth="1"/>
    <col min="235" max="235" width="4.5" bestFit="1" customWidth="1"/>
    <col min="236" max="236" width="12.1640625" bestFit="1" customWidth="1"/>
    <col min="237" max="237" width="10" bestFit="1" customWidth="1"/>
    <col min="238" max="240" width="12.1640625" bestFit="1" customWidth="1"/>
    <col min="241" max="241" width="9.83203125" bestFit="1" customWidth="1"/>
  </cols>
  <sheetData>
    <row r="1" spans="1:241" ht="21">
      <c r="A1" s="50" t="s">
        <v>1950</v>
      </c>
    </row>
    <row r="2" spans="1:241" ht="30" customHeight="1">
      <c r="A2" s="8" t="s">
        <v>82</v>
      </c>
      <c r="B2" s="8" t="s">
        <v>83</v>
      </c>
      <c r="C2" s="8" t="s">
        <v>84</v>
      </c>
      <c r="D2" s="8" t="s">
        <v>85</v>
      </c>
      <c r="E2" s="8" t="s">
        <v>86</v>
      </c>
      <c r="F2" s="8" t="s">
        <v>87</v>
      </c>
      <c r="G2" s="8" t="s">
        <v>88</v>
      </c>
      <c r="H2" s="8" t="s">
        <v>84</v>
      </c>
      <c r="I2" s="8" t="s">
        <v>89</v>
      </c>
      <c r="J2" s="8" t="s">
        <v>90</v>
      </c>
      <c r="K2" s="8" t="s">
        <v>91</v>
      </c>
      <c r="L2" s="9" t="s">
        <v>92</v>
      </c>
      <c r="M2" s="8" t="s">
        <v>93</v>
      </c>
      <c r="N2" s="8" t="s">
        <v>94</v>
      </c>
      <c r="O2" s="8" t="s">
        <v>95</v>
      </c>
      <c r="P2" s="8" t="s">
        <v>96</v>
      </c>
      <c r="Q2" s="9" t="s">
        <v>97</v>
      </c>
      <c r="R2" s="8" t="s">
        <v>98</v>
      </c>
      <c r="S2" s="8" t="s">
        <v>99</v>
      </c>
      <c r="T2" s="8" t="s">
        <v>100</v>
      </c>
      <c r="U2" s="8" t="s">
        <v>101</v>
      </c>
      <c r="V2" s="8" t="s">
        <v>102</v>
      </c>
      <c r="W2" s="8" t="s">
        <v>103</v>
      </c>
      <c r="X2" s="8" t="s">
        <v>104</v>
      </c>
      <c r="Y2" s="8" t="s">
        <v>105</v>
      </c>
      <c r="Z2" s="8" t="s">
        <v>106</v>
      </c>
      <c r="AA2" s="8" t="s">
        <v>107</v>
      </c>
      <c r="AB2" s="8" t="s">
        <v>108</v>
      </c>
      <c r="AC2" s="8" t="s">
        <v>109</v>
      </c>
      <c r="AD2" s="8" t="s">
        <v>110</v>
      </c>
      <c r="AE2" s="8" t="str">
        <f>HYPERLINK("http://www.cbs.dtu.dk/services/NetOGlyc/","No. potential glyc sites")</f>
        <v>No. potential glyc sites</v>
      </c>
      <c r="AF2" s="8" t="s">
        <v>111</v>
      </c>
      <c r="AG2" s="8" t="s">
        <v>112</v>
      </c>
      <c r="AH2" s="8" t="s">
        <v>113</v>
      </c>
      <c r="AI2" s="8" t="s">
        <v>114</v>
      </c>
      <c r="AJ2" s="8" t="s">
        <v>115</v>
      </c>
      <c r="AK2" s="8" t="s">
        <v>116</v>
      </c>
      <c r="AL2" s="8" t="s">
        <v>117</v>
      </c>
      <c r="AM2" s="8" t="s">
        <v>118</v>
      </c>
      <c r="AN2" s="8" t="s">
        <v>119</v>
      </c>
      <c r="AO2" s="8" t="s">
        <v>120</v>
      </c>
      <c r="AP2" s="10" t="s">
        <v>121</v>
      </c>
      <c r="AQ2" s="11" t="s">
        <v>122</v>
      </c>
      <c r="AR2" s="12" t="s">
        <v>123</v>
      </c>
      <c r="AS2" s="13" t="s">
        <v>124</v>
      </c>
      <c r="AT2" s="10" t="s">
        <v>125</v>
      </c>
      <c r="AU2" s="14" t="s">
        <v>11</v>
      </c>
      <c r="AV2" s="10" t="s">
        <v>126</v>
      </c>
      <c r="AW2" s="10" t="s">
        <v>127</v>
      </c>
      <c r="AX2" s="10" t="s">
        <v>128</v>
      </c>
      <c r="AY2" s="8" t="s">
        <v>129</v>
      </c>
      <c r="AZ2" s="8" t="s">
        <v>130</v>
      </c>
      <c r="BA2" s="8" t="s">
        <v>131</v>
      </c>
      <c r="BB2" s="8" t="s">
        <v>132</v>
      </c>
      <c r="BC2" s="8" t="s">
        <v>133</v>
      </c>
      <c r="BD2" s="8" t="s">
        <v>134</v>
      </c>
      <c r="BE2" s="8" t="s">
        <v>128</v>
      </c>
      <c r="BF2" s="8" t="s">
        <v>135</v>
      </c>
      <c r="BG2" s="9" t="s">
        <v>136</v>
      </c>
      <c r="BH2" s="8" t="s">
        <v>125</v>
      </c>
      <c r="BI2" s="8" t="s">
        <v>137</v>
      </c>
      <c r="BJ2" s="8" t="s">
        <v>138</v>
      </c>
      <c r="BK2" s="8" t="s">
        <v>139</v>
      </c>
      <c r="BL2" s="8" t="s">
        <v>140</v>
      </c>
      <c r="BM2" s="8" t="s">
        <v>130</v>
      </c>
      <c r="BN2" s="8" t="s">
        <v>141</v>
      </c>
      <c r="BO2" s="8" t="s">
        <v>133</v>
      </c>
      <c r="BP2" s="8" t="s">
        <v>134</v>
      </c>
      <c r="BQ2" s="8" t="s">
        <v>128</v>
      </c>
      <c r="BR2" s="8" t="s">
        <v>142</v>
      </c>
      <c r="BS2" s="8" t="s">
        <v>143</v>
      </c>
      <c r="BT2" s="8" t="s">
        <v>130</v>
      </c>
      <c r="BU2" s="8" t="s">
        <v>141</v>
      </c>
      <c r="BV2" s="8" t="s">
        <v>133</v>
      </c>
      <c r="BW2" s="8" t="s">
        <v>134</v>
      </c>
      <c r="BX2" s="8" t="s">
        <v>128</v>
      </c>
      <c r="BY2" s="8" t="s">
        <v>142</v>
      </c>
      <c r="BZ2" s="8" t="s">
        <v>144</v>
      </c>
      <c r="CA2" s="8" t="s">
        <v>130</v>
      </c>
      <c r="CB2" s="8" t="s">
        <v>141</v>
      </c>
      <c r="CC2" s="8" t="s">
        <v>133</v>
      </c>
      <c r="CD2" s="8" t="s">
        <v>134</v>
      </c>
      <c r="CE2" s="8" t="s">
        <v>128</v>
      </c>
      <c r="CF2" s="8" t="s">
        <v>145</v>
      </c>
      <c r="CG2" s="8" t="s">
        <v>146</v>
      </c>
      <c r="CH2" s="8" t="s">
        <v>130</v>
      </c>
      <c r="CI2" s="8" t="s">
        <v>141</v>
      </c>
      <c r="CJ2" s="8" t="s">
        <v>133</v>
      </c>
      <c r="CK2" s="8" t="s">
        <v>134</v>
      </c>
      <c r="CL2" s="8" t="s">
        <v>128</v>
      </c>
      <c r="CM2" s="8" t="s">
        <v>142</v>
      </c>
      <c r="CN2" s="8" t="s">
        <v>147</v>
      </c>
      <c r="CO2" s="8" t="s">
        <v>130</v>
      </c>
      <c r="CP2" s="8" t="s">
        <v>141</v>
      </c>
      <c r="CQ2" s="8" t="s">
        <v>133</v>
      </c>
      <c r="CR2" s="8" t="s">
        <v>134</v>
      </c>
      <c r="CS2" s="8" t="s">
        <v>128</v>
      </c>
      <c r="CT2" s="15" t="s">
        <v>142</v>
      </c>
      <c r="CU2" s="8" t="s">
        <v>148</v>
      </c>
      <c r="CV2" s="8" t="s">
        <v>130</v>
      </c>
      <c r="CW2" s="8" t="s">
        <v>149</v>
      </c>
      <c r="CX2" s="8" t="s">
        <v>150</v>
      </c>
      <c r="CY2" s="8" t="s">
        <v>151</v>
      </c>
      <c r="CZ2" s="8" t="s">
        <v>152</v>
      </c>
      <c r="DA2" s="8" t="s">
        <v>153</v>
      </c>
      <c r="DB2" s="8" t="s">
        <v>154</v>
      </c>
      <c r="DC2" s="8" t="s">
        <v>155</v>
      </c>
      <c r="DD2" s="8" t="s">
        <v>130</v>
      </c>
      <c r="DE2" s="8" t="s">
        <v>156</v>
      </c>
      <c r="DF2" s="8" t="s">
        <v>130</v>
      </c>
      <c r="DG2" s="8" t="s">
        <v>157</v>
      </c>
      <c r="DH2" s="8" t="s">
        <v>158</v>
      </c>
      <c r="DI2" s="8" t="s">
        <v>130</v>
      </c>
      <c r="DJ2" s="8" t="s">
        <v>159</v>
      </c>
      <c r="DK2" s="8" t="s">
        <v>160</v>
      </c>
      <c r="DL2" s="8" t="s">
        <v>161</v>
      </c>
      <c r="DM2" s="8" t="s">
        <v>162</v>
      </c>
      <c r="DN2" s="8" t="s">
        <v>163</v>
      </c>
      <c r="DO2" s="8" t="s">
        <v>162</v>
      </c>
      <c r="DP2" s="8" t="s">
        <v>164</v>
      </c>
      <c r="DQ2" s="16" t="s">
        <v>130</v>
      </c>
      <c r="DR2" s="8" t="s">
        <v>133</v>
      </c>
      <c r="DS2" s="8" t="s">
        <v>134</v>
      </c>
      <c r="DT2" s="8" t="s">
        <v>128</v>
      </c>
      <c r="DU2" s="10" t="s">
        <v>165</v>
      </c>
      <c r="DV2" s="10" t="s">
        <v>11</v>
      </c>
      <c r="DW2" s="10" t="s">
        <v>166</v>
      </c>
      <c r="DX2" s="10" t="s">
        <v>167</v>
      </c>
      <c r="DY2" s="10" t="s">
        <v>168</v>
      </c>
      <c r="DZ2" s="10" t="s">
        <v>169</v>
      </c>
      <c r="EA2" s="10" t="s">
        <v>170</v>
      </c>
      <c r="EB2" s="8" t="s">
        <v>171</v>
      </c>
      <c r="EC2" s="8" t="s">
        <v>118</v>
      </c>
      <c r="ED2" s="8" t="s">
        <v>172</v>
      </c>
      <c r="EE2" s="8" t="s">
        <v>118</v>
      </c>
      <c r="EF2" s="8" t="s">
        <v>173</v>
      </c>
      <c r="EG2" s="8" t="s">
        <v>118</v>
      </c>
      <c r="EH2" s="8" t="s">
        <v>174</v>
      </c>
      <c r="EI2" s="8" t="s">
        <v>118</v>
      </c>
      <c r="EJ2" s="8" t="s">
        <v>175</v>
      </c>
      <c r="EK2" s="8" t="s">
        <v>118</v>
      </c>
      <c r="EL2" s="8" t="s">
        <v>176</v>
      </c>
      <c r="EM2" s="8" t="s">
        <v>118</v>
      </c>
      <c r="EN2" s="8" t="s">
        <v>177</v>
      </c>
      <c r="EO2" s="8" t="s">
        <v>118</v>
      </c>
      <c r="EP2" s="8" t="s">
        <v>178</v>
      </c>
      <c r="EQ2" s="8" t="s">
        <v>118</v>
      </c>
      <c r="ER2" s="8" t="s">
        <v>179</v>
      </c>
      <c r="ES2" s="8" t="s">
        <v>118</v>
      </c>
      <c r="ET2" s="8" t="s">
        <v>180</v>
      </c>
      <c r="EU2" s="8" t="s">
        <v>118</v>
      </c>
      <c r="EV2" s="8" t="s">
        <v>181</v>
      </c>
      <c r="EW2" s="8" t="s">
        <v>118</v>
      </c>
      <c r="EX2" s="8" t="s">
        <v>182</v>
      </c>
      <c r="EY2" s="8" t="s">
        <v>118</v>
      </c>
      <c r="EZ2" s="8" t="s">
        <v>183</v>
      </c>
      <c r="FA2" s="8" t="s">
        <v>118</v>
      </c>
      <c r="FB2" s="8" t="s">
        <v>184</v>
      </c>
      <c r="FC2" s="8" t="s">
        <v>118</v>
      </c>
      <c r="FD2" s="8" t="s">
        <v>117</v>
      </c>
      <c r="FE2" s="8" t="s">
        <v>118</v>
      </c>
      <c r="FF2" s="8" t="s">
        <v>87</v>
      </c>
      <c r="FG2" s="15" t="s">
        <v>185</v>
      </c>
      <c r="FH2" s="17" t="s">
        <v>186</v>
      </c>
      <c r="FI2" s="18" t="s">
        <v>187</v>
      </c>
      <c r="FJ2" s="17" t="s">
        <v>188</v>
      </c>
      <c r="FK2" s="17" t="s">
        <v>189</v>
      </c>
      <c r="FL2" s="17" t="s">
        <v>190</v>
      </c>
      <c r="FM2" s="19" t="s">
        <v>191</v>
      </c>
      <c r="FN2" s="17" t="s">
        <v>192</v>
      </c>
      <c r="FO2" s="18" t="s">
        <v>187</v>
      </c>
      <c r="FP2" s="17" t="s">
        <v>188</v>
      </c>
      <c r="FQ2" s="17" t="s">
        <v>189</v>
      </c>
      <c r="FR2" s="17" t="s">
        <v>190</v>
      </c>
      <c r="FS2" s="19" t="s">
        <v>191</v>
      </c>
      <c r="FT2" s="17" t="s">
        <v>193</v>
      </c>
      <c r="FU2" s="18" t="s">
        <v>187</v>
      </c>
      <c r="FV2" s="17" t="s">
        <v>188</v>
      </c>
      <c r="FW2" s="17" t="s">
        <v>189</v>
      </c>
      <c r="FX2" s="17" t="s">
        <v>190</v>
      </c>
      <c r="FY2" s="19" t="s">
        <v>191</v>
      </c>
      <c r="FZ2" s="17" t="s">
        <v>194</v>
      </c>
      <c r="GA2" s="18" t="s">
        <v>187</v>
      </c>
      <c r="GB2" s="17" t="s">
        <v>188</v>
      </c>
      <c r="GC2" s="17" t="s">
        <v>189</v>
      </c>
      <c r="GD2" s="17" t="s">
        <v>190</v>
      </c>
      <c r="GE2" s="17" t="s">
        <v>191</v>
      </c>
      <c r="GF2" s="10" t="s">
        <v>195</v>
      </c>
      <c r="GG2" s="10" t="s">
        <v>196</v>
      </c>
      <c r="GH2" s="10" t="s">
        <v>197</v>
      </c>
      <c r="GI2" s="10" t="s">
        <v>198</v>
      </c>
      <c r="GJ2" s="10" t="s">
        <v>121</v>
      </c>
      <c r="GK2" s="11" t="s">
        <v>199</v>
      </c>
      <c r="GL2" s="20" t="s">
        <v>200</v>
      </c>
      <c r="GM2" s="20" t="s">
        <v>201</v>
      </c>
      <c r="GN2" s="20" t="s">
        <v>202</v>
      </c>
      <c r="GO2" s="20" t="s">
        <v>203</v>
      </c>
      <c r="GP2" s="21" t="s">
        <v>204</v>
      </c>
      <c r="GQ2" s="14" t="s">
        <v>11</v>
      </c>
      <c r="GR2" s="10" t="s">
        <v>205</v>
      </c>
      <c r="GS2" s="10" t="s">
        <v>206</v>
      </c>
      <c r="GT2" s="10" t="s">
        <v>207</v>
      </c>
      <c r="GU2" s="10" t="s">
        <v>208</v>
      </c>
      <c r="GV2" s="10" t="s">
        <v>209</v>
      </c>
      <c r="GW2" s="10" t="s">
        <v>123</v>
      </c>
      <c r="GX2" s="8" t="s">
        <v>210</v>
      </c>
      <c r="GY2" s="8" t="s">
        <v>211</v>
      </c>
      <c r="GZ2" s="8" t="s">
        <v>212</v>
      </c>
      <c r="HA2" s="8" t="s">
        <v>213</v>
      </c>
      <c r="HB2" s="8" t="s">
        <v>214</v>
      </c>
      <c r="HC2" s="8" t="s">
        <v>215</v>
      </c>
      <c r="HD2" s="8" t="s">
        <v>216</v>
      </c>
      <c r="HE2" s="8" t="s">
        <v>217</v>
      </c>
      <c r="HF2" s="8" t="s">
        <v>218</v>
      </c>
      <c r="HG2" s="8" t="s">
        <v>219</v>
      </c>
      <c r="HH2" s="8" t="s">
        <v>220</v>
      </c>
      <c r="HI2" s="8" t="s">
        <v>221</v>
      </c>
      <c r="HJ2" s="8" t="s">
        <v>222</v>
      </c>
      <c r="HK2" s="8" t="s">
        <v>223</v>
      </c>
      <c r="HL2" s="8" t="s">
        <v>224</v>
      </c>
      <c r="HM2" s="8" t="s">
        <v>225</v>
      </c>
      <c r="HN2" s="8" t="s">
        <v>226</v>
      </c>
      <c r="HO2" s="10" t="s">
        <v>227</v>
      </c>
      <c r="HP2" s="10" t="s">
        <v>228</v>
      </c>
      <c r="HQ2" s="10" t="s">
        <v>212</v>
      </c>
      <c r="HR2" s="10" t="s">
        <v>213</v>
      </c>
      <c r="HS2" s="10" t="s">
        <v>214</v>
      </c>
      <c r="HT2" s="10" t="s">
        <v>215</v>
      </c>
      <c r="HU2" s="10" t="s">
        <v>216</v>
      </c>
      <c r="HV2" s="10" t="s">
        <v>217</v>
      </c>
      <c r="HW2" s="10" t="s">
        <v>218</v>
      </c>
      <c r="HX2" s="10" t="s">
        <v>219</v>
      </c>
      <c r="HY2" s="10" t="s">
        <v>220</v>
      </c>
      <c r="HZ2" s="10" t="s">
        <v>221</v>
      </c>
      <c r="IA2" s="10" t="s">
        <v>222</v>
      </c>
      <c r="IB2" s="10" t="s">
        <v>223</v>
      </c>
      <c r="IC2" s="10" t="s">
        <v>224</v>
      </c>
      <c r="ID2" s="10" t="s">
        <v>225</v>
      </c>
      <c r="IE2" s="10" t="s">
        <v>226</v>
      </c>
      <c r="IF2" s="10" t="s">
        <v>229</v>
      </c>
      <c r="IG2" s="10" t="s">
        <v>230</v>
      </c>
    </row>
    <row r="3" spans="1:241">
      <c r="A3" s="22" t="s">
        <v>42</v>
      </c>
      <c r="B3" s="23"/>
      <c r="C3" s="24"/>
      <c r="D3" s="24"/>
      <c r="E3" s="24"/>
      <c r="F3" s="24"/>
      <c r="G3" s="24"/>
      <c r="H3" s="24"/>
      <c r="I3" s="24"/>
      <c r="J3" s="23"/>
      <c r="K3" s="23"/>
      <c r="L3" s="25"/>
      <c r="M3" s="23"/>
      <c r="N3" s="23"/>
      <c r="O3" s="23"/>
      <c r="P3" s="23"/>
      <c r="Q3" s="25"/>
      <c r="R3" s="23"/>
      <c r="S3" s="24"/>
      <c r="T3" s="24"/>
      <c r="U3" s="24"/>
      <c r="V3" s="24"/>
      <c r="W3" s="24"/>
      <c r="X3" s="24"/>
      <c r="Y3" s="23"/>
      <c r="Z3" s="24"/>
      <c r="AA3" s="24"/>
      <c r="AB3" s="24"/>
      <c r="AC3" s="24"/>
      <c r="AD3" s="24"/>
      <c r="AE3" s="23"/>
      <c r="AF3" s="24"/>
      <c r="AG3" s="24"/>
      <c r="AH3" s="24"/>
      <c r="AI3" s="24"/>
      <c r="AJ3" s="24"/>
      <c r="AK3" s="24"/>
      <c r="AL3" s="24"/>
      <c r="AM3" s="24"/>
      <c r="AN3" s="23"/>
      <c r="AO3" s="23"/>
      <c r="AP3" s="24"/>
      <c r="AQ3" s="26"/>
      <c r="AR3" s="27"/>
      <c r="AS3" s="24"/>
      <c r="AT3" s="24"/>
      <c r="AU3" s="24"/>
      <c r="AV3" s="24"/>
      <c r="AW3" s="28"/>
      <c r="AX3" s="24"/>
      <c r="AY3" s="24"/>
      <c r="AZ3" s="24"/>
      <c r="BA3" s="24"/>
      <c r="BB3" s="24"/>
      <c r="BC3" s="24"/>
      <c r="BD3" s="24"/>
      <c r="BE3" s="24"/>
      <c r="BF3" s="24"/>
      <c r="BG3" s="25"/>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8"/>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9"/>
      <c r="FI3" s="29"/>
      <c r="FJ3" s="29"/>
      <c r="FK3" s="29"/>
      <c r="FL3" s="29"/>
      <c r="FM3" s="29"/>
      <c r="FN3" s="29"/>
      <c r="FO3" s="29"/>
      <c r="FP3" s="29"/>
      <c r="FQ3" s="29"/>
      <c r="FR3" s="29"/>
      <c r="FS3" s="29"/>
      <c r="FT3" s="29"/>
      <c r="FU3" s="29"/>
      <c r="FV3" s="29"/>
      <c r="FW3" s="29"/>
      <c r="FX3" s="29"/>
      <c r="FY3" s="29"/>
      <c r="FZ3" s="29"/>
      <c r="GA3" s="29"/>
      <c r="GB3" s="29"/>
      <c r="GC3" s="29"/>
      <c r="GD3" s="29"/>
      <c r="GE3" s="29"/>
      <c r="GF3" s="24"/>
      <c r="GG3" s="24"/>
      <c r="GH3" s="24"/>
      <c r="GI3" s="24"/>
      <c r="GJ3" s="24"/>
      <c r="GK3" s="26"/>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3"/>
      <c r="HM3" s="24"/>
      <c r="HN3" s="24"/>
      <c r="HO3" s="24"/>
      <c r="HP3" s="24"/>
      <c r="HQ3" s="24"/>
      <c r="HR3" s="24"/>
      <c r="HS3" s="24"/>
      <c r="HT3" s="24"/>
      <c r="HU3" s="24"/>
      <c r="HV3" s="24"/>
      <c r="HW3" s="24"/>
      <c r="HX3" s="24"/>
      <c r="HY3" s="24"/>
      <c r="HZ3" s="24"/>
      <c r="IA3" s="24"/>
      <c r="IB3" s="24"/>
      <c r="IC3" s="23"/>
      <c r="ID3" s="24"/>
      <c r="IE3" s="24"/>
      <c r="IF3" s="24"/>
      <c r="IG3" s="24"/>
    </row>
    <row r="4" spans="1:241">
      <c r="A4" s="22" t="s">
        <v>231</v>
      </c>
      <c r="B4" s="23"/>
      <c r="C4" s="24"/>
      <c r="D4" s="24"/>
      <c r="E4" s="24"/>
      <c r="F4" s="24"/>
      <c r="G4" s="24"/>
      <c r="H4" s="24"/>
      <c r="I4" s="24"/>
      <c r="J4" s="23"/>
      <c r="K4" s="23"/>
      <c r="L4" s="25"/>
      <c r="M4" s="23"/>
      <c r="N4" s="23"/>
      <c r="O4" s="23"/>
      <c r="P4" s="23"/>
      <c r="Q4" s="25"/>
      <c r="R4" s="23"/>
      <c r="S4" s="24"/>
      <c r="T4" s="24"/>
      <c r="U4" s="24"/>
      <c r="V4" s="24"/>
      <c r="W4" s="24"/>
      <c r="X4" s="24"/>
      <c r="Y4" s="23"/>
      <c r="Z4" s="24"/>
      <c r="AA4" s="24"/>
      <c r="AB4" s="24"/>
      <c r="AC4" s="24"/>
      <c r="AD4" s="24"/>
      <c r="AE4" s="23"/>
      <c r="AF4" s="24"/>
      <c r="AG4" s="24"/>
      <c r="AH4" s="24"/>
      <c r="AI4" s="24"/>
      <c r="AJ4" s="24"/>
      <c r="AK4" s="24"/>
      <c r="AL4" s="24"/>
      <c r="AM4" s="24"/>
      <c r="AN4" s="23" t="str">
        <f>IF(C4*1&gt;0,1,"")</f>
        <v/>
      </c>
      <c r="AO4" s="23"/>
      <c r="AP4" s="24"/>
      <c r="AQ4" s="26"/>
      <c r="AR4" s="27"/>
      <c r="AS4" s="24"/>
      <c r="AT4" s="24"/>
      <c r="AU4" s="24"/>
      <c r="AV4" s="24"/>
      <c r="AW4" s="28"/>
      <c r="AX4" s="24"/>
      <c r="AY4" s="24"/>
      <c r="AZ4" s="24"/>
      <c r="BA4" s="24"/>
      <c r="BB4" s="24"/>
      <c r="BC4" s="24"/>
      <c r="BD4" s="24"/>
      <c r="BE4" s="24"/>
      <c r="BF4" s="24"/>
      <c r="BG4" s="25"/>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8"/>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9"/>
      <c r="FI4" s="29"/>
      <c r="FJ4" s="29"/>
      <c r="FK4" s="29"/>
      <c r="FL4" s="29"/>
      <c r="FM4" s="29"/>
      <c r="FN4" s="29"/>
      <c r="FO4" s="29"/>
      <c r="FP4" s="29"/>
      <c r="FQ4" s="29"/>
      <c r="FR4" s="29"/>
      <c r="FS4" s="29"/>
      <c r="FT4" s="29"/>
      <c r="FU4" s="29"/>
      <c r="FV4" s="29"/>
      <c r="FW4" s="29"/>
      <c r="FX4" s="29"/>
      <c r="FY4" s="29"/>
      <c r="FZ4" s="29"/>
      <c r="GA4" s="29"/>
      <c r="GB4" s="29"/>
      <c r="GC4" s="29"/>
      <c r="GD4" s="29"/>
      <c r="GE4" s="29"/>
      <c r="GF4" s="24"/>
      <c r="GG4" s="24"/>
      <c r="GH4" s="24"/>
      <c r="GI4" s="24"/>
      <c r="GJ4" s="24"/>
      <c r="GK4" s="26"/>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3"/>
      <c r="HM4" s="24"/>
      <c r="HN4" s="24"/>
      <c r="HO4" s="24"/>
      <c r="HP4" s="24"/>
      <c r="HQ4" s="24"/>
      <c r="HR4" s="24"/>
      <c r="HS4" s="24"/>
      <c r="HT4" s="24"/>
      <c r="HU4" s="24"/>
      <c r="HV4" s="24"/>
      <c r="HW4" s="24"/>
      <c r="HX4" s="24"/>
      <c r="HY4" s="24"/>
      <c r="HZ4" s="24"/>
      <c r="IA4" s="24"/>
      <c r="IB4" s="24"/>
      <c r="IC4" s="23"/>
      <c r="ID4" s="24"/>
      <c r="IE4" s="24"/>
      <c r="IF4" s="24"/>
      <c r="IG4" s="24"/>
    </row>
    <row r="5" spans="1:241">
      <c r="A5" t="str">
        <f>HYPERLINK("http://exon.niaid.nih.gov/transcriptome/S_calcitrans/S1/links/pep/XP_013116243.1-pep.txt","XP_013116243.1")</f>
        <v>XP_013116243.1</v>
      </c>
      <c r="B5" s="30" t="s">
        <v>232</v>
      </c>
      <c r="C5">
        <v>260</v>
      </c>
      <c r="D5" t="s">
        <v>233</v>
      </c>
      <c r="E5">
        <v>1</v>
      </c>
      <c r="F5" t="s">
        <v>234</v>
      </c>
      <c r="G5" t="str">
        <f>HYPERLINK("http://exon.niaid.nih.gov/transcriptome/S_calcitrans/S1/links/cds/XM_013260789_1-cds.txt","XM_013260789_1")</f>
        <v>XM_013260789_1</v>
      </c>
      <c r="H5">
        <v>783</v>
      </c>
      <c r="I5" t="s">
        <v>235</v>
      </c>
      <c r="J5" s="30" t="s">
        <v>236</v>
      </c>
      <c r="K5" s="30" t="s">
        <v>91</v>
      </c>
      <c r="L5" s="31" t="s">
        <v>237</v>
      </c>
      <c r="M5" s="30">
        <v>24565</v>
      </c>
      <c r="N5" s="30">
        <v>25457</v>
      </c>
      <c r="O5" s="30" t="s">
        <v>238</v>
      </c>
      <c r="P5" s="30">
        <v>3</v>
      </c>
      <c r="Q5" s="31" t="s">
        <v>239</v>
      </c>
      <c r="R5" s="32" t="str">
        <f>HYPERLINK("http://exon.niaid.nih.gov/transcriptome/S_calcitrans/S1/links/Sigp/XP_013116243.1-SigP.txt","SIG")</f>
        <v>SIG</v>
      </c>
      <c r="S5" t="s">
        <v>240</v>
      </c>
      <c r="T5">
        <v>29.096</v>
      </c>
      <c r="U5">
        <v>8.64</v>
      </c>
      <c r="V5">
        <v>26.922000000000001</v>
      </c>
      <c r="W5">
        <v>8.76</v>
      </c>
      <c r="X5" t="s">
        <v>241</v>
      </c>
      <c r="Y5" s="32">
        <v>0</v>
      </c>
      <c r="Z5" t="s">
        <v>242</v>
      </c>
      <c r="AA5" t="s">
        <v>242</v>
      </c>
      <c r="AB5" t="s">
        <v>242</v>
      </c>
      <c r="AC5" t="s">
        <v>242</v>
      </c>
      <c r="AD5" t="s">
        <v>242</v>
      </c>
      <c r="AE5" s="32" t="str">
        <f>HYPERLINK("http://exon.niaid.nih.gov/transcriptome/S_calcitrans/S1/links/netoglyc/XP_013116243.1-netoglyc.txt","0")</f>
        <v>0</v>
      </c>
      <c r="AF5">
        <v>11.9</v>
      </c>
      <c r="AG5">
        <v>5.8</v>
      </c>
      <c r="AH5">
        <v>4.2</v>
      </c>
      <c r="AI5" t="s">
        <v>243</v>
      </c>
      <c r="AJ5" t="s">
        <v>242</v>
      </c>
      <c r="AK5">
        <v>1193.9040082253318</v>
      </c>
      <c r="AL5" s="33">
        <f>HYPERLINK("http://exon.niaid.nih.gov/transcriptome/S_calcitrans/S1/links/cluster-b/Scalc-pep95-50SimCLU3000.txt", 3000)</f>
        <v>3000</v>
      </c>
      <c r="AM5">
        <f>HYPERLINK("http://exon.niaid.nih.gov/transcriptome/S_calcitrans/S1/links/cluster-b/Scalc-pep95-50SimCLTL3000.txt", 2)</f>
        <v>2</v>
      </c>
      <c r="AN5" s="30">
        <f t="shared" ref="AN5:AN68" si="0">IF(C5*1&gt;0,1,"")</f>
        <v>1</v>
      </c>
      <c r="AO5" s="30" t="s">
        <v>244</v>
      </c>
      <c r="AP5">
        <v>25745595</v>
      </c>
      <c r="AQ5" s="34">
        <v>100</v>
      </c>
      <c r="AR5" s="35">
        <v>511.66563845569988</v>
      </c>
      <c r="AS5" t="s">
        <v>245</v>
      </c>
      <c r="AT5" s="36" t="s">
        <v>246</v>
      </c>
      <c r="AU5" t="s">
        <v>247</v>
      </c>
      <c r="AV5" t="str">
        <f>HYPERLINK("http://exon.niaid.nih.gov/transcriptome/S_calcitrans/S1/links/DIPTERA/XP_013116243.1-DIPTERA.txt","DIPTERA")</f>
        <v>DIPTERA</v>
      </c>
      <c r="AW5">
        <v>0</v>
      </c>
      <c r="AX5">
        <v>100</v>
      </c>
      <c r="AY5" s="33" t="str">
        <f>HYPERLINK("http://exon.niaid.nih.gov/transcriptome/S_calcitrans/S1/links/WANG/XP_013116243.1-WANG.txt","SC-4-27-3")</f>
        <v>SC-4-27-3</v>
      </c>
      <c r="AZ5">
        <v>9.9999999999999999E-161</v>
      </c>
      <c r="BA5">
        <v>260</v>
      </c>
      <c r="BB5">
        <v>260</v>
      </c>
      <c r="BC5">
        <v>99</v>
      </c>
      <c r="BD5">
        <v>99</v>
      </c>
      <c r="BE5">
        <v>100</v>
      </c>
      <c r="BF5" t="s">
        <v>248</v>
      </c>
      <c r="BG5" s="31" t="s">
        <v>249</v>
      </c>
      <c r="BH5" t="s">
        <v>250</v>
      </c>
      <c r="BI5">
        <v>14</v>
      </c>
      <c r="BJ5" s="33"/>
      <c r="BK5" s="33"/>
      <c r="BL5" s="33" t="str">
        <f>HYPERLINK("http://exon.niaid.nih.gov/transcriptome/S_calcitrans/S1/links/NR-LIGHT/XP_013116243.1-NR-LIGHT.txt","venom allergen 5.02-like")</f>
        <v>venom allergen 5.02-like</v>
      </c>
      <c r="BM5" t="str">
        <f>HYPERLINK("http://www.ncbi.nlm.nih.gov/sutils/blink.cgi?pid=557772793","4E-098")</f>
        <v>4E-098</v>
      </c>
      <c r="BN5" t="str">
        <f>HYPERLINK("http://www.ncbi.nlm.nih.gov/protein/557772793","gi|557772793")</f>
        <v>gi|557772793</v>
      </c>
      <c r="BO5">
        <v>63</v>
      </c>
      <c r="BP5">
        <v>78</v>
      </c>
      <c r="BQ5">
        <v>98</v>
      </c>
      <c r="BR5" t="s">
        <v>251</v>
      </c>
      <c r="BS5" s="33" t="str">
        <f>HYPERLINK("http://exon.niaid.nih.gov/transcriptome/S_calcitrans/S1/links/SWISSP/XP_013116243.1-SWISSP.txt","Venom allergen 3")</f>
        <v>Venom allergen 3</v>
      </c>
      <c r="BT5" t="str">
        <f>HYPERLINK("http://www.uniprot.org/uniprot/P35778","2E-023")</f>
        <v>2E-023</v>
      </c>
      <c r="BU5" t="str">
        <f>HYPERLINK("http://www.uniprot.org/uniprot/P35778#expression","P35778")</f>
        <v>P35778</v>
      </c>
      <c r="BV5">
        <v>32</v>
      </c>
      <c r="BW5">
        <v>45</v>
      </c>
      <c r="BX5">
        <v>99</v>
      </c>
      <c r="BY5" t="s">
        <v>252</v>
      </c>
      <c r="BZ5" s="33" t="str">
        <f>HYPERLINK("http://exon.niaid.nih.gov/transcriptome/S_calcitrans/S1/links/REFSEQ-INVERTEBRATE/XP_013116243.1-REFSEQ-INVERTEBRATE.txt","venom allergen 5.02-like")</f>
        <v>venom allergen 5.02-like</v>
      </c>
      <c r="CA5" t="str">
        <f>HYPERLINK("http://www.ncbi.nlm.nih.gov/sutils/blink.cgi?pid=907739984","1E-156")</f>
        <v>1E-156</v>
      </c>
      <c r="CB5" t="str">
        <f>HYPERLINK("http://www.ncbi.nlm.nih.gov/protein/907739984","gi|907739984")</f>
        <v>gi|907739984</v>
      </c>
      <c r="CC5">
        <v>100</v>
      </c>
      <c r="CD5">
        <v>100</v>
      </c>
      <c r="CE5">
        <v>100</v>
      </c>
      <c r="CF5" t="s">
        <v>253</v>
      </c>
      <c r="CG5" s="33" t="str">
        <f>HYPERLINK("http://exon.niaid.nih.gov/transcriptome/S_calcitrans/S1/links/DIPTERA/XP_013116243.1-DIPTERA.txt","venom allergen 5.02-like")</f>
        <v>venom allergen 5.02-like</v>
      </c>
      <c r="CH5" t="str">
        <f>HYPERLINK("http://www.ncbi.nlm.nih.gov/sutils/blink.cgi?pid=907739984","1E-156")</f>
        <v>1E-156</v>
      </c>
      <c r="CI5" t="str">
        <f>HYPERLINK("http://www.ncbi.nlm.nih.gov/protein/907739984","gi|907739984")</f>
        <v>gi|907739984</v>
      </c>
      <c r="CJ5">
        <v>100</v>
      </c>
      <c r="CK5">
        <v>100</v>
      </c>
      <c r="CL5">
        <v>100</v>
      </c>
      <c r="CM5" t="s">
        <v>253</v>
      </c>
      <c r="CN5" s="33" t="s">
        <v>242</v>
      </c>
      <c r="CO5" t="s">
        <v>242</v>
      </c>
      <c r="CP5" t="s">
        <v>242</v>
      </c>
      <c r="CQ5" t="s">
        <v>242</v>
      </c>
      <c r="CR5" t="s">
        <v>242</v>
      </c>
      <c r="CS5" t="s">
        <v>242</v>
      </c>
      <c r="CT5" t="s">
        <v>242</v>
      </c>
      <c r="CU5" s="33" t="s">
        <v>254</v>
      </c>
      <c r="CV5">
        <f>HYPERLINK("http://exon.niaid.nih.gov/transcriptome/S_calcitrans/S1/links/GO/XP_013116243.1-GO.txt",2E-75)</f>
        <v>1.9999999999999999E-75</v>
      </c>
      <c r="CW5" t="str">
        <f>HYPERLINK("http://amigo.geneontology.org/cgi-bin/amigo/term_details?term=GO:0003674","GO:0003674")</f>
        <v>GO:0003674</v>
      </c>
      <c r="CX5" t="s">
        <v>255</v>
      </c>
      <c r="CY5" t="s">
        <v>256</v>
      </c>
      <c r="CZ5" t="s">
        <v>257</v>
      </c>
      <c r="DA5" t="s">
        <v>242</v>
      </c>
      <c r="DC5" t="s">
        <v>258</v>
      </c>
      <c r="DD5" s="37">
        <v>1.9999999999999999E-75</v>
      </c>
      <c r="DE5" s="33" t="str">
        <f>HYPERLINK("http://exon.niaid.nih.gov/transcriptome/S_calcitrans/S1/links/CDD/XP_013116243.1-CDD.txt","SCP_euk")</f>
        <v>SCP_euk</v>
      </c>
      <c r="DF5" t="str">
        <f>HYPERLINK("http://www.ncbi.nlm.nih.gov/Structure/cdd/cddsrv.cgi?uid=cd05380&amp;version=v4.0","1E-034")</f>
        <v>1E-034</v>
      </c>
      <c r="DG5" t="s">
        <v>259</v>
      </c>
      <c r="DH5" s="33" t="str">
        <f>HYPERLINK("http://exon.niaid.nih.gov/transcriptome/S_calcitrans/S1/links/KOG/XP_013116243.1-KOG.txt","Defense-related protein containing SCP domain")</f>
        <v>Defense-related protein containing SCP domain</v>
      </c>
      <c r="DI5" t="str">
        <f>HYPERLINK("http://www.ncbi.nlm.nih.gov/Structure/cdd/cddsrv.cgi?uid=KOG3017","8E-035")</f>
        <v>8E-035</v>
      </c>
      <c r="DJ5" t="s">
        <v>260</v>
      </c>
      <c r="DK5" t="str">
        <f>HYPERLINK("http://exon.niaid.nih.gov/transcriptome/S_calcitrans/S1/links/KOG/XP_013116243.1-KOG.txt","KOG3017")</f>
        <v>KOG3017</v>
      </c>
      <c r="DL5" s="33" t="str">
        <f>HYPERLINK("http://exon.niaid.nih.gov/transcriptome/S_calcitrans/S1/links/PFAM/XP_013116243.1-PFAM.txt","CAP")</f>
        <v>CAP</v>
      </c>
      <c r="DM5" t="str">
        <f>HYPERLINK("http://pfam.sanger.ac.uk/family?acc=PF00188","8E-014")</f>
        <v>8E-014</v>
      </c>
      <c r="DN5" s="33" t="str">
        <f>HYPERLINK("http://exon.niaid.nih.gov/transcriptome/S_calcitrans/S1/links/SMART/XP_013116243.1-SMART.txt","SCP")</f>
        <v>SCP</v>
      </c>
      <c r="DO5" t="str">
        <f>HYPERLINK("http://smart.embl-heidelberg.de/smart/do_annotation.pl?DOMAIN=SCP&amp;BLAST=DUMMY","5E-026")</f>
        <v>5E-026</v>
      </c>
      <c r="DP5" s="33"/>
      <c r="EB5" s="33">
        <f>HYPERLINK("http://exon.niaid.nih.gov/transcriptome/S_calcitrans/S1/links/cluster-b/Scalc-pep25-50SimCLU48.txt", 48)</f>
        <v>48</v>
      </c>
      <c r="EC5">
        <f>HYPERLINK("http://exon.niaid.nih.gov/transcriptome/S_calcitrans/S1/links/cluster-b/Scalc-pep25-50SimCLTL48.txt", 26)</f>
        <v>26</v>
      </c>
      <c r="ED5" s="33">
        <f>HYPERLINK("http://exon.niaid.nih.gov/transcriptome/S_calcitrans/S1/links/cluster-b/Scalc-pep30-50SimCLU59.txt", 59)</f>
        <v>59</v>
      </c>
      <c r="EE5">
        <f>HYPERLINK("http://exon.niaid.nih.gov/transcriptome/S_calcitrans/S1/links/cluster-b/Scalc-pep30-50SimCLTL59.txt", 25)</f>
        <v>25</v>
      </c>
      <c r="EF5" s="33">
        <f>HYPERLINK("http://exon.niaid.nih.gov/transcriptome/S_calcitrans/S1/links/cluster-b/Scalc-pep35-50SimCLU60.txt", 60)</f>
        <v>60</v>
      </c>
      <c r="EG5">
        <f>HYPERLINK("http://exon.niaid.nih.gov/transcriptome/S_calcitrans/S1/links/cluster-b/Scalc-pep35-50SimCLTL60.txt", 25)</f>
        <v>25</v>
      </c>
      <c r="EH5" s="33">
        <f>HYPERLINK("http://exon.niaid.nih.gov/transcriptome/S_calcitrans/S1/links/cluster-b/Scalc-pep40-50SimCLU52.txt", 52)</f>
        <v>52</v>
      </c>
      <c r="EI5">
        <f>HYPERLINK("http://exon.niaid.nih.gov/transcriptome/S_calcitrans/S1/links/cluster-b/Scalc-pep40-50SimCLTL52.txt", 25)</f>
        <v>25</v>
      </c>
      <c r="EJ5" s="33">
        <f>HYPERLINK("http://exon.niaid.nih.gov/transcriptome/S_calcitrans/S1/links/cluster-b/Scalc-pep45-50SimCLU51.txt", 51)</f>
        <v>51</v>
      </c>
      <c r="EK5">
        <f>HYPERLINK("http://exon.niaid.nih.gov/transcriptome/S_calcitrans/S1/links/cluster-b/Scalc-pep45-50SimCLTL51.txt", 24)</f>
        <v>24</v>
      </c>
      <c r="EL5" s="33">
        <f>HYPERLINK("http://exon.niaid.nih.gov/transcriptome/S_calcitrans/S1/links/cluster-b/Scalc-pep50-50SimCLU42.txt", 42)</f>
        <v>42</v>
      </c>
      <c r="EM5">
        <f>HYPERLINK("http://exon.niaid.nih.gov/transcriptome/S_calcitrans/S1/links/cluster-b/Scalc-pep50-50SimCLTL42.txt", 24)</f>
        <v>24</v>
      </c>
      <c r="EN5" s="33">
        <f>HYPERLINK("http://exon.niaid.nih.gov/transcriptome/S_calcitrans/S1/links/cluster-b/Scalc-pep55-50SimCLU58.txt", 58)</f>
        <v>58</v>
      </c>
      <c r="EO5">
        <f>HYPERLINK("http://exon.niaid.nih.gov/transcriptome/S_calcitrans/S1/links/cluster-b/Scalc-pep55-50SimCLTL58.txt", 17)</f>
        <v>17</v>
      </c>
      <c r="EP5" s="33">
        <f>HYPERLINK("http://exon.niaid.nih.gov/transcriptome/S_calcitrans/S1/links/cluster-b/Scalc-pep60-50SimCLU66.txt", 66)</f>
        <v>66</v>
      </c>
      <c r="EQ5">
        <f>HYPERLINK("http://exon.niaid.nih.gov/transcriptome/S_calcitrans/S1/links/cluster-b/Scalc-pep60-50SimCLTL66.txt", 14)</f>
        <v>14</v>
      </c>
      <c r="ER5" s="33">
        <f>HYPERLINK("http://exon.niaid.nih.gov/transcriptome/S_calcitrans/S1/links/cluster-b/Scalc-pep65-50SimCLU54.txt", 54)</f>
        <v>54</v>
      </c>
      <c r="ES5">
        <f>HYPERLINK("http://exon.niaid.nih.gov/transcriptome/S_calcitrans/S1/links/cluster-b/Scalc-pep65-50SimCLTL54.txt", 14)</f>
        <v>14</v>
      </c>
      <c r="ET5" s="33">
        <f>HYPERLINK("http://exon.niaid.nih.gov/transcriptome/S_calcitrans/S1/links/cluster-b/Scalc-pep70-50SimCLU3669.txt", 3669)</f>
        <v>3669</v>
      </c>
      <c r="EU5">
        <f>HYPERLINK("http://exon.niaid.nih.gov/transcriptome/S_calcitrans/S1/links/cluster-b/Scalc-pep70-50SimCLTL3669.txt", 2)</f>
        <v>2</v>
      </c>
      <c r="EV5" s="33">
        <f>HYPERLINK("http://exon.niaid.nih.gov/transcriptome/S_calcitrans/S1/links/cluster-b/Scalc-pep75-50SimCLU3625.txt", 3625)</f>
        <v>3625</v>
      </c>
      <c r="EW5">
        <f>HYPERLINK("http://exon.niaid.nih.gov/transcriptome/S_calcitrans/S1/links/cluster-b/Scalc-pep75-50SimCLTL3625.txt", 2)</f>
        <v>2</v>
      </c>
      <c r="EX5" s="33">
        <f>HYPERLINK("http://exon.niaid.nih.gov/transcriptome/S_calcitrans/S1/links/cluster-b/Scalc-pep80-50SimCLU3572.txt", 3572)</f>
        <v>3572</v>
      </c>
      <c r="EY5">
        <f>HYPERLINK("http://exon.niaid.nih.gov/transcriptome/S_calcitrans/S1/links/cluster-b/Scalc-pep80-50SimCLTL3572.txt", 2)</f>
        <v>2</v>
      </c>
      <c r="EZ5" s="33">
        <f>HYPERLINK("http://exon.niaid.nih.gov/transcriptome/S_calcitrans/S1/links/cluster-b/Scalc-pep85-50SimCLU3422.txt", 3422)</f>
        <v>3422</v>
      </c>
      <c r="FA5">
        <f>HYPERLINK("http://exon.niaid.nih.gov/transcriptome/S_calcitrans/S1/links/cluster-b/Scalc-pep85-50SimCLTL3422.txt", 2)</f>
        <v>2</v>
      </c>
      <c r="FB5" s="33">
        <f>HYPERLINK("http://exon.niaid.nih.gov/transcriptome/S_calcitrans/S1/links/cluster-b/Scalc-pep90-50SimCLU3259.txt", 3259)</f>
        <v>3259</v>
      </c>
      <c r="FC5">
        <f>HYPERLINK("http://exon.niaid.nih.gov/transcriptome/S_calcitrans/S1/links/cluster-b/Scalc-pep90-50SimCLTL3259.txt", 2)</f>
        <v>2</v>
      </c>
      <c r="FD5" s="33">
        <f>HYPERLINK("http://exon.niaid.nih.gov/transcriptome/S_calcitrans/S1/links/cluster-b/Scalc-pep95-50SimCLU3000.txt", 3000)</f>
        <v>3000</v>
      </c>
      <c r="FE5">
        <f>HYPERLINK("http://exon.niaid.nih.gov/transcriptome/S_calcitrans/S1/links/cluster-b/Scalc-pep95-50SimCLTL3000.txt", 2)</f>
        <v>2</v>
      </c>
      <c r="FF5" t="s">
        <v>261</v>
      </c>
      <c r="FG5">
        <v>20690</v>
      </c>
      <c r="FH5" s="38" t="str">
        <f>HYPERLINK("http://exon.niaid.nih.gov/transcriptome/S_calcitrans/S1/links/SG_male-stripped_temp-95-h10-1gap/20690-SG_male-stripped_temp-95-h10-1gap.txt","8043450")</f>
        <v>8043450</v>
      </c>
      <c r="FI5" s="39">
        <v>100</v>
      </c>
      <c r="FJ5" s="39">
        <v>31600.037037037</v>
      </c>
      <c r="FK5" s="39">
        <v>3637</v>
      </c>
      <c r="FL5" s="39">
        <v>31999</v>
      </c>
      <c r="FM5" s="39">
        <v>72.843133232630294</v>
      </c>
      <c r="FN5" s="38" t="str">
        <f>HYPERLINK("http://exon.niaid.nih.gov/transcriptome/S_calcitrans/S1/links/SG_female-stripped_temp-95-h10-1gap/20690-SG_female-stripped_temp-95-h10-1gap.txt","17702145")</f>
        <v>17702145</v>
      </c>
      <c r="FO5" s="39">
        <v>100</v>
      </c>
      <c r="FP5" s="39">
        <v>31832.008939974501</v>
      </c>
      <c r="FQ5" s="39">
        <v>11714</v>
      </c>
      <c r="FR5" s="39">
        <v>31999</v>
      </c>
      <c r="FS5" s="39">
        <v>73.079316150669897</v>
      </c>
      <c r="FT5" s="38" t="str">
        <f>HYPERLINK("http://exon.niaid.nih.gov/transcriptome/S_calcitrans/S1/links/SRR694289-stripped_temp-95-h10-1gap/20690-SRR694289-stripped_temp-95-h10-1gap.txt","28471")</f>
        <v>28471</v>
      </c>
      <c r="FU5" s="39">
        <v>100</v>
      </c>
      <c r="FV5" s="39">
        <v>3611.4214559387001</v>
      </c>
      <c r="FW5" s="39">
        <v>10</v>
      </c>
      <c r="FX5" s="39">
        <v>6925</v>
      </c>
      <c r="FY5" s="39">
        <v>99.327385760949696</v>
      </c>
      <c r="FZ5" s="38" t="str">
        <f>HYPERLINK("http://exon.niaid.nih.gov/transcriptome/S_calcitrans/S1/links/SRR694925-stripped_temp-95-h10-1gap/20690-SRR694925-stripped_temp-95-h10-1gap.txt","47100")</f>
        <v>47100</v>
      </c>
      <c r="GA5" s="39">
        <v>100</v>
      </c>
      <c r="GB5" s="39">
        <v>5975.9974457215803</v>
      </c>
      <c r="GC5" s="39">
        <v>47</v>
      </c>
      <c r="GD5" s="39">
        <v>12701</v>
      </c>
      <c r="GE5" s="39">
        <v>99.349150743099798</v>
      </c>
      <c r="GF5">
        <f>1*FH5</f>
        <v>8043450</v>
      </c>
      <c r="GG5">
        <f>1*FN5</f>
        <v>17702145</v>
      </c>
      <c r="GH5">
        <f>1*FT5</f>
        <v>28471</v>
      </c>
      <c r="GI5">
        <f>1*FZ5</f>
        <v>47100</v>
      </c>
      <c r="GJ5">
        <f>IF(FZ5&lt;&gt;"",SUM(GF5:GG5),"")</f>
        <v>25745595</v>
      </c>
      <c r="GK5" s="34">
        <v>100</v>
      </c>
      <c r="GL5">
        <v>336033.51461951353</v>
      </c>
      <c r="GM5">
        <v>336308.13407922542</v>
      </c>
      <c r="GN5">
        <v>209.01309603450991</v>
      </c>
      <c r="GO5">
        <v>356.4535451689764</v>
      </c>
      <c r="GP5">
        <f>MAX(GL5:GO5)</f>
        <v>336308.13407922542</v>
      </c>
      <c r="GQ5" t="s">
        <v>247</v>
      </c>
      <c r="GR5">
        <v>262069.66678680177</v>
      </c>
      <c r="GS5">
        <v>276030.34716244013</v>
      </c>
      <c r="GT5">
        <v>376.77909621975567</v>
      </c>
      <c r="GU5">
        <v>674.86428217971218</v>
      </c>
      <c r="GV5">
        <f>MAX(GR5:GU5)</f>
        <v>276030.34716244013</v>
      </c>
      <c r="GW5">
        <v>511.66563845569988</v>
      </c>
      <c r="GX5">
        <v>25745595</v>
      </c>
      <c r="GY5">
        <v>75571</v>
      </c>
      <c r="GZ5">
        <v>25821166</v>
      </c>
      <c r="HA5">
        <v>5732290.940411821</v>
      </c>
      <c r="HB5">
        <v>20088875.059588179</v>
      </c>
      <c r="HC5">
        <v>69872995.551888987</v>
      </c>
      <c r="HD5">
        <v>19938017.345095657</v>
      </c>
      <c r="HE5">
        <v>89811012.896984637</v>
      </c>
      <c r="HF5">
        <v>0</v>
      </c>
      <c r="HG5">
        <v>5732290.940411821</v>
      </c>
      <c r="HH5">
        <v>1</v>
      </c>
      <c r="HI5">
        <v>1</v>
      </c>
      <c r="HJ5">
        <v>2</v>
      </c>
      <c r="HK5">
        <v>0</v>
      </c>
      <c r="HL5" s="30" t="s">
        <v>262</v>
      </c>
      <c r="HM5">
        <v>1193.9040082253318</v>
      </c>
      <c r="HN5">
        <v>8.3757716018662118E-4</v>
      </c>
      <c r="HO5">
        <v>8043450</v>
      </c>
      <c r="HP5">
        <v>17702145</v>
      </c>
      <c r="HQ5">
        <v>25745595</v>
      </c>
      <c r="HR5">
        <v>8047968.5924299527</v>
      </c>
      <c r="HS5">
        <v>17697626.407570049</v>
      </c>
      <c r="HT5">
        <v>2.5369976676140364</v>
      </c>
      <c r="HU5">
        <v>1.1536958164782734</v>
      </c>
      <c r="HV5">
        <v>3.6906934840923098</v>
      </c>
      <c r="HW5">
        <v>5.4716861882990429E-2</v>
      </c>
      <c r="HX5">
        <v>8047968.5924299527</v>
      </c>
      <c r="HY5">
        <v>1</v>
      </c>
      <c r="HZ5" t="s">
        <v>244</v>
      </c>
      <c r="IA5">
        <v>1</v>
      </c>
      <c r="IB5">
        <v>0.18400143078190501</v>
      </c>
      <c r="IC5" s="30" t="s">
        <v>244</v>
      </c>
      <c r="ID5">
        <v>0.99918337258447032</v>
      </c>
      <c r="IE5">
        <v>1.0008171138780595</v>
      </c>
      <c r="IF5">
        <v>1.0008171138780595</v>
      </c>
      <c r="IG5" t="str">
        <f>IF(IF5*1&gt;5,1,"")</f>
        <v/>
      </c>
    </row>
    <row r="6" spans="1:241">
      <c r="A6" t="str">
        <f>HYPERLINK("http://exon.niaid.nih.gov/transcriptome/S_calcitrans/S1/links/pep/XP_013116242.1-pep.txt","XP_013116242.1")</f>
        <v>XP_013116242.1</v>
      </c>
      <c r="B6" s="30" t="s">
        <v>232</v>
      </c>
      <c r="C6">
        <v>260</v>
      </c>
      <c r="D6" t="s">
        <v>263</v>
      </c>
      <c r="E6">
        <v>1</v>
      </c>
      <c r="F6" t="s">
        <v>264</v>
      </c>
      <c r="G6" t="str">
        <f>HYPERLINK("http://exon.niaid.nih.gov/transcriptome/S_calcitrans/S1/links/cds/XM_013260788_1-cds.txt","XM_013260788_1")</f>
        <v>XM_013260788_1</v>
      </c>
      <c r="H6">
        <v>783</v>
      </c>
      <c r="I6" t="s">
        <v>265</v>
      </c>
      <c r="J6" s="30" t="s">
        <v>236</v>
      </c>
      <c r="K6" s="30" t="s">
        <v>91</v>
      </c>
      <c r="L6" s="31" t="s">
        <v>237</v>
      </c>
      <c r="M6" s="30">
        <v>71116</v>
      </c>
      <c r="N6" s="30">
        <v>72008</v>
      </c>
      <c r="O6" s="30" t="s">
        <v>238</v>
      </c>
      <c r="P6" s="30">
        <v>3</v>
      </c>
      <c r="Q6" s="31" t="s">
        <v>266</v>
      </c>
      <c r="R6" s="32" t="str">
        <f>HYPERLINK("http://exon.niaid.nih.gov/transcriptome/S_calcitrans/S1/links/Sigp/XP_013116242.1-SigP.txt","SIG")</f>
        <v>SIG</v>
      </c>
      <c r="S6" t="s">
        <v>240</v>
      </c>
      <c r="T6">
        <v>29.006</v>
      </c>
      <c r="U6">
        <v>8.75</v>
      </c>
      <c r="V6">
        <v>26.861000000000001</v>
      </c>
      <c r="W6">
        <v>8.75</v>
      </c>
      <c r="X6" t="s">
        <v>267</v>
      </c>
      <c r="Y6" s="32">
        <v>0</v>
      </c>
      <c r="Z6" t="s">
        <v>242</v>
      </c>
      <c r="AA6" t="s">
        <v>242</v>
      </c>
      <c r="AB6" t="s">
        <v>242</v>
      </c>
      <c r="AC6" t="s">
        <v>242</v>
      </c>
      <c r="AD6" t="s">
        <v>242</v>
      </c>
      <c r="AE6" s="32" t="str">
        <f>HYPERLINK("http://exon.niaid.nih.gov/transcriptome/S_calcitrans/S1/links/netoglyc/XP_013116242.1-netoglyc.txt","0")</f>
        <v>0</v>
      </c>
      <c r="AF6">
        <v>11.5</v>
      </c>
      <c r="AG6">
        <v>6.2</v>
      </c>
      <c r="AH6">
        <v>4.5999999999999996</v>
      </c>
      <c r="AI6" t="s">
        <v>243</v>
      </c>
      <c r="AJ6" t="s">
        <v>242</v>
      </c>
      <c r="AK6">
        <v>1311.2259873059475</v>
      </c>
      <c r="AL6" s="33">
        <f>HYPERLINK("http://exon.niaid.nih.gov/transcriptome/S_calcitrans/S1/links/cluster-b/Scalc-pep95-50SimCLU3000.txt", 3000)</f>
        <v>3000</v>
      </c>
      <c r="AM6">
        <f>HYPERLINK("http://exon.niaid.nih.gov/transcriptome/S_calcitrans/S1/links/cluster-b/Scalc-pep95-50SimCLTL3000.txt", 2)</f>
        <v>2</v>
      </c>
      <c r="AN6" s="30">
        <f t="shared" si="0"/>
        <v>1</v>
      </c>
      <c r="AO6" s="30" t="s">
        <v>244</v>
      </c>
      <c r="AP6">
        <v>25493343</v>
      </c>
      <c r="AQ6" s="34">
        <v>99.020212972355083</v>
      </c>
      <c r="AR6" s="35">
        <v>561.63813775121287</v>
      </c>
      <c r="AS6" t="s">
        <v>268</v>
      </c>
      <c r="AT6" s="36" t="s">
        <v>246</v>
      </c>
      <c r="AU6" t="s">
        <v>247</v>
      </c>
      <c r="AV6" t="str">
        <f>HYPERLINK("http://exon.niaid.nih.gov/transcriptome/S_calcitrans/S1/links/DIPTERA/XP_013116242.1-DIPTERA.txt","DIPTERA")</f>
        <v>DIPTERA</v>
      </c>
      <c r="AW6">
        <v>0</v>
      </c>
      <c r="AX6">
        <v>100</v>
      </c>
      <c r="AY6" s="33" t="str">
        <f>HYPERLINK("http://exon.niaid.nih.gov/transcriptome/S_calcitrans/S1/links/WANG/XP_013116242.1-WANG.txt","SC-4-27-2")</f>
        <v>SC-4-27-2</v>
      </c>
      <c r="AZ6">
        <v>1E-161</v>
      </c>
      <c r="BA6">
        <v>260</v>
      </c>
      <c r="BB6">
        <v>260</v>
      </c>
      <c r="BC6">
        <v>100</v>
      </c>
      <c r="BD6">
        <v>100</v>
      </c>
      <c r="BE6">
        <v>100</v>
      </c>
      <c r="BF6" t="s">
        <v>248</v>
      </c>
      <c r="BG6" s="31" t="s">
        <v>249</v>
      </c>
      <c r="BH6" t="s">
        <v>269</v>
      </c>
      <c r="BI6">
        <v>13</v>
      </c>
      <c r="BJ6" s="33"/>
      <c r="BK6" s="33"/>
      <c r="BL6" s="33" t="str">
        <f>HYPERLINK("http://exon.niaid.nih.gov/transcriptome/S_calcitrans/S1/links/NR-LIGHT/XP_013116242.1-NR-LIGHT.txt","venom allergen 5.02-like")</f>
        <v>venom allergen 5.02-like</v>
      </c>
      <c r="BM6" t="str">
        <f>HYPERLINK("http://www.ncbi.nlm.nih.gov/sutils/blink.cgi?pid=557772793","4E-098")</f>
        <v>4E-098</v>
      </c>
      <c r="BN6" t="str">
        <f>HYPERLINK("http://www.ncbi.nlm.nih.gov/protein/557772793","gi|557772793")</f>
        <v>gi|557772793</v>
      </c>
      <c r="BO6">
        <v>62</v>
      </c>
      <c r="BP6">
        <v>77</v>
      </c>
      <c r="BQ6">
        <v>101</v>
      </c>
      <c r="BR6" t="s">
        <v>251</v>
      </c>
      <c r="BS6" s="33" t="str">
        <f>HYPERLINK("http://exon.niaid.nih.gov/transcriptome/S_calcitrans/S1/links/SWISSP/XP_013116242.1-SWISSP.txt","Venom allergen 3")</f>
        <v>Venom allergen 3</v>
      </c>
      <c r="BT6" t="str">
        <f>HYPERLINK("http://www.uniprot.org/uniprot/P35778","1E-023")</f>
        <v>1E-023</v>
      </c>
      <c r="BU6" t="str">
        <f>HYPERLINK("http://www.uniprot.org/uniprot/P35778#expression","P35778")</f>
        <v>P35778</v>
      </c>
      <c r="BV6">
        <v>33</v>
      </c>
      <c r="BW6">
        <v>45</v>
      </c>
      <c r="BX6">
        <v>91</v>
      </c>
      <c r="BY6" t="s">
        <v>252</v>
      </c>
      <c r="BZ6" s="33" t="str">
        <f>HYPERLINK("http://exon.niaid.nih.gov/transcriptome/S_calcitrans/S1/links/REFSEQ-INVERTEBRATE/XP_013116242.1-REFSEQ-INVERTEBRATE.txt","venom allergen 3-like precursor")</f>
        <v>venom allergen 3-like precursor</v>
      </c>
      <c r="CA6" t="str">
        <f>HYPERLINK("http://www.ncbi.nlm.nih.gov/sutils/blink.cgi?pid=910242267","1E-156")</f>
        <v>1E-156</v>
      </c>
      <c r="CB6" t="str">
        <f>HYPERLINK("http://www.ncbi.nlm.nih.gov/protein/910242267","gi|910242267")</f>
        <v>gi|910242267</v>
      </c>
      <c r="CC6">
        <v>100</v>
      </c>
      <c r="CD6">
        <v>100</v>
      </c>
      <c r="CE6">
        <v>100</v>
      </c>
      <c r="CF6" t="s">
        <v>253</v>
      </c>
      <c r="CG6" s="33" t="str">
        <f>HYPERLINK("http://exon.niaid.nih.gov/transcriptome/S_calcitrans/S1/links/DIPTERA/XP_013116242.1-DIPTERA.txt","antigen 5 precursor")</f>
        <v>antigen 5 precursor</v>
      </c>
      <c r="CH6" t="str">
        <f>HYPERLINK("http://www.ncbi.nlm.nih.gov/sutils/blink.cgi?pid=32395295","1E-156")</f>
        <v>1E-156</v>
      </c>
      <c r="CI6" t="str">
        <f>HYPERLINK("http://www.ncbi.nlm.nih.gov/protein/32395295","gi|32395295")</f>
        <v>gi|32395295</v>
      </c>
      <c r="CJ6">
        <v>100</v>
      </c>
      <c r="CK6">
        <v>100</v>
      </c>
      <c r="CL6">
        <v>100</v>
      </c>
      <c r="CM6" t="s">
        <v>253</v>
      </c>
      <c r="CN6" s="33" t="s">
        <v>242</v>
      </c>
      <c r="CO6" t="s">
        <v>242</v>
      </c>
      <c r="CP6" t="s">
        <v>242</v>
      </c>
      <c r="CQ6" t="s">
        <v>242</v>
      </c>
      <c r="CR6" t="s">
        <v>242</v>
      </c>
      <c r="CS6" t="s">
        <v>242</v>
      </c>
      <c r="CT6" t="s">
        <v>242</v>
      </c>
      <c r="CU6" s="33" t="s">
        <v>254</v>
      </c>
      <c r="CV6">
        <f>HYPERLINK("http://exon.niaid.nih.gov/transcriptome/S_calcitrans/S1/links/GO/XP_013116242.1-GO.txt",2E-74)</f>
        <v>1.9999999999999999E-74</v>
      </c>
      <c r="CW6" t="str">
        <f>HYPERLINK("http://amigo.geneontology.org/cgi-bin/amigo/term_details?term=GO:0003674","GO:0003674")</f>
        <v>GO:0003674</v>
      </c>
      <c r="CX6" t="s">
        <v>255</v>
      </c>
      <c r="CY6" t="s">
        <v>256</v>
      </c>
      <c r="CZ6" t="s">
        <v>257</v>
      </c>
      <c r="DA6" t="s">
        <v>242</v>
      </c>
      <c r="DC6" t="s">
        <v>258</v>
      </c>
      <c r="DD6" s="37">
        <v>1.9999999999999999E-74</v>
      </c>
      <c r="DE6" s="33" t="str">
        <f>HYPERLINK("http://exon.niaid.nih.gov/transcriptome/S_calcitrans/S1/links/CDD/XP_013116242.1-CDD.txt","SCP_euk")</f>
        <v>SCP_euk</v>
      </c>
      <c r="DF6" t="str">
        <f>HYPERLINK("http://www.ncbi.nlm.nih.gov/Structure/cdd/cddsrv.cgi?uid=cd05380&amp;version=v4.0","3E-035")</f>
        <v>3E-035</v>
      </c>
      <c r="DG6" t="s">
        <v>270</v>
      </c>
      <c r="DH6" s="33" t="str">
        <f>HYPERLINK("http://exon.niaid.nih.gov/transcriptome/S_calcitrans/S1/links/KOG/XP_013116242.1-KOG.txt","Defense-related protein containing SCP domain")</f>
        <v>Defense-related protein containing SCP domain</v>
      </c>
      <c r="DI6" t="str">
        <f>HYPERLINK("http://www.ncbi.nlm.nih.gov/Structure/cdd/cddsrv.cgi?uid=KOG3017","1E-035")</f>
        <v>1E-035</v>
      </c>
      <c r="DJ6" t="s">
        <v>260</v>
      </c>
      <c r="DK6" t="str">
        <f>HYPERLINK("http://exon.niaid.nih.gov/transcriptome/S_calcitrans/S1/links/KOG/XP_013116242.1-KOG.txt","KOG3017")</f>
        <v>KOG3017</v>
      </c>
      <c r="DL6" s="33" t="str">
        <f>HYPERLINK("http://exon.niaid.nih.gov/transcriptome/S_calcitrans/S1/links/PFAM/XP_013116242.1-PFAM.txt","CAP")</f>
        <v>CAP</v>
      </c>
      <c r="DM6" t="str">
        <f>HYPERLINK("http://pfam.sanger.ac.uk/family?acc=PF00188","3E-014")</f>
        <v>3E-014</v>
      </c>
      <c r="DN6" s="33" t="str">
        <f>HYPERLINK("http://exon.niaid.nih.gov/transcriptome/S_calcitrans/S1/links/SMART/XP_013116242.1-SMART.txt","SCP")</f>
        <v>SCP</v>
      </c>
      <c r="DO6" t="str">
        <f>HYPERLINK("http://smart.embl-heidelberg.de/smart/do_annotation.pl?DOMAIN=SCP&amp;BLAST=DUMMY","1E-026")</f>
        <v>1E-026</v>
      </c>
      <c r="DP6" s="33"/>
      <c r="EB6" s="33">
        <f>HYPERLINK("http://exon.niaid.nih.gov/transcriptome/S_calcitrans/S1/links/cluster-b/Scalc-pep25-50SimCLU48.txt", 48)</f>
        <v>48</v>
      </c>
      <c r="EC6">
        <f>HYPERLINK("http://exon.niaid.nih.gov/transcriptome/S_calcitrans/S1/links/cluster-b/Scalc-pep25-50SimCLTL48.txt", 26)</f>
        <v>26</v>
      </c>
      <c r="ED6" s="33">
        <f>HYPERLINK("http://exon.niaid.nih.gov/transcriptome/S_calcitrans/S1/links/cluster-b/Scalc-pep30-50SimCLU59.txt", 59)</f>
        <v>59</v>
      </c>
      <c r="EE6">
        <f>HYPERLINK("http://exon.niaid.nih.gov/transcriptome/S_calcitrans/S1/links/cluster-b/Scalc-pep30-50SimCLTL59.txt", 25)</f>
        <v>25</v>
      </c>
      <c r="EF6" s="33">
        <f>HYPERLINK("http://exon.niaid.nih.gov/transcriptome/S_calcitrans/S1/links/cluster-b/Scalc-pep35-50SimCLU60.txt", 60)</f>
        <v>60</v>
      </c>
      <c r="EG6">
        <f>HYPERLINK("http://exon.niaid.nih.gov/transcriptome/S_calcitrans/S1/links/cluster-b/Scalc-pep35-50SimCLTL60.txt", 25)</f>
        <v>25</v>
      </c>
      <c r="EH6" s="33">
        <f>HYPERLINK("http://exon.niaid.nih.gov/transcriptome/S_calcitrans/S1/links/cluster-b/Scalc-pep40-50SimCLU52.txt", 52)</f>
        <v>52</v>
      </c>
      <c r="EI6">
        <f>HYPERLINK("http://exon.niaid.nih.gov/transcriptome/S_calcitrans/S1/links/cluster-b/Scalc-pep40-50SimCLTL52.txt", 25)</f>
        <v>25</v>
      </c>
      <c r="EJ6" s="33">
        <f>HYPERLINK("http://exon.niaid.nih.gov/transcriptome/S_calcitrans/S1/links/cluster-b/Scalc-pep45-50SimCLU51.txt", 51)</f>
        <v>51</v>
      </c>
      <c r="EK6">
        <f>HYPERLINK("http://exon.niaid.nih.gov/transcriptome/S_calcitrans/S1/links/cluster-b/Scalc-pep45-50SimCLTL51.txt", 24)</f>
        <v>24</v>
      </c>
      <c r="EL6" s="33">
        <f>HYPERLINK("http://exon.niaid.nih.gov/transcriptome/S_calcitrans/S1/links/cluster-b/Scalc-pep50-50SimCLU42.txt", 42)</f>
        <v>42</v>
      </c>
      <c r="EM6">
        <f>HYPERLINK("http://exon.niaid.nih.gov/transcriptome/S_calcitrans/S1/links/cluster-b/Scalc-pep50-50SimCLTL42.txt", 24)</f>
        <v>24</v>
      </c>
      <c r="EN6" s="33">
        <f>HYPERLINK("http://exon.niaid.nih.gov/transcriptome/S_calcitrans/S1/links/cluster-b/Scalc-pep55-50SimCLU58.txt", 58)</f>
        <v>58</v>
      </c>
      <c r="EO6">
        <f>HYPERLINK("http://exon.niaid.nih.gov/transcriptome/S_calcitrans/S1/links/cluster-b/Scalc-pep55-50SimCLTL58.txt", 17)</f>
        <v>17</v>
      </c>
      <c r="EP6" s="33">
        <f>HYPERLINK("http://exon.niaid.nih.gov/transcriptome/S_calcitrans/S1/links/cluster-b/Scalc-pep60-50SimCLU66.txt", 66)</f>
        <v>66</v>
      </c>
      <c r="EQ6">
        <f>HYPERLINK("http://exon.niaid.nih.gov/transcriptome/S_calcitrans/S1/links/cluster-b/Scalc-pep60-50SimCLTL66.txt", 14)</f>
        <v>14</v>
      </c>
      <c r="ER6" s="33">
        <f>HYPERLINK("http://exon.niaid.nih.gov/transcriptome/S_calcitrans/S1/links/cluster-b/Scalc-pep65-50SimCLU54.txt", 54)</f>
        <v>54</v>
      </c>
      <c r="ES6">
        <f>HYPERLINK("http://exon.niaid.nih.gov/transcriptome/S_calcitrans/S1/links/cluster-b/Scalc-pep65-50SimCLTL54.txt", 14)</f>
        <v>14</v>
      </c>
      <c r="ET6" s="33">
        <f>HYPERLINK("http://exon.niaid.nih.gov/transcriptome/S_calcitrans/S1/links/cluster-b/Scalc-pep70-50SimCLU3669.txt", 3669)</f>
        <v>3669</v>
      </c>
      <c r="EU6">
        <f>HYPERLINK("http://exon.niaid.nih.gov/transcriptome/S_calcitrans/S1/links/cluster-b/Scalc-pep70-50SimCLTL3669.txt", 2)</f>
        <v>2</v>
      </c>
      <c r="EV6" s="33">
        <f>HYPERLINK("http://exon.niaid.nih.gov/transcriptome/S_calcitrans/S1/links/cluster-b/Scalc-pep75-50SimCLU3625.txt", 3625)</f>
        <v>3625</v>
      </c>
      <c r="EW6">
        <f>HYPERLINK("http://exon.niaid.nih.gov/transcriptome/S_calcitrans/S1/links/cluster-b/Scalc-pep75-50SimCLTL3625.txt", 2)</f>
        <v>2</v>
      </c>
      <c r="EX6" s="33">
        <f>HYPERLINK("http://exon.niaid.nih.gov/transcriptome/S_calcitrans/S1/links/cluster-b/Scalc-pep80-50SimCLU3572.txt", 3572)</f>
        <v>3572</v>
      </c>
      <c r="EY6">
        <f>HYPERLINK("http://exon.niaid.nih.gov/transcriptome/S_calcitrans/S1/links/cluster-b/Scalc-pep80-50SimCLTL3572.txt", 2)</f>
        <v>2</v>
      </c>
      <c r="EZ6" s="33">
        <f>HYPERLINK("http://exon.niaid.nih.gov/transcriptome/S_calcitrans/S1/links/cluster-b/Scalc-pep85-50SimCLU3422.txt", 3422)</f>
        <v>3422</v>
      </c>
      <c r="FA6">
        <f>HYPERLINK("http://exon.niaid.nih.gov/transcriptome/S_calcitrans/S1/links/cluster-b/Scalc-pep85-50SimCLTL3422.txt", 2)</f>
        <v>2</v>
      </c>
      <c r="FB6" s="33">
        <f>HYPERLINK("http://exon.niaid.nih.gov/transcriptome/S_calcitrans/S1/links/cluster-b/Scalc-pep90-50SimCLU3259.txt", 3259)</f>
        <v>3259</v>
      </c>
      <c r="FC6">
        <f>HYPERLINK("http://exon.niaid.nih.gov/transcriptome/S_calcitrans/S1/links/cluster-b/Scalc-pep90-50SimCLTL3259.txt", 2)</f>
        <v>2</v>
      </c>
      <c r="FD6" s="33">
        <f>HYPERLINK("http://exon.niaid.nih.gov/transcriptome/S_calcitrans/S1/links/cluster-b/Scalc-pep95-50SimCLU3000.txt", 3000)</f>
        <v>3000</v>
      </c>
      <c r="FE6">
        <f>HYPERLINK("http://exon.niaid.nih.gov/transcriptome/S_calcitrans/S1/links/cluster-b/Scalc-pep95-50SimCLTL3000.txt", 2)</f>
        <v>2</v>
      </c>
      <c r="FF6" t="s">
        <v>271</v>
      </c>
      <c r="FG6">
        <v>20691</v>
      </c>
      <c r="FH6" s="38" t="str">
        <f>HYPERLINK("http://exon.niaid.nih.gov/transcriptome/S_calcitrans/S1/links/SG_male-stripped_temp-95-h10-1gap/20691-SG_male-stripped_temp-95-h10-1gap.txt","7985542")</f>
        <v>7985542</v>
      </c>
      <c r="FI6" s="39">
        <v>100</v>
      </c>
      <c r="FJ6" s="39">
        <v>30950.4035759898</v>
      </c>
      <c r="FK6" s="39">
        <v>5140</v>
      </c>
      <c r="FL6" s="39">
        <v>31999</v>
      </c>
      <c r="FM6" s="39">
        <v>72.417507415276305</v>
      </c>
      <c r="FN6" s="38" t="str">
        <f>HYPERLINK("http://exon.niaid.nih.gov/transcriptome/S_calcitrans/S1/links/SG_female-stripped_temp-95-h10-1gap/20691-SG_female-stripped_temp-95-h10-1gap.txt","17507801")</f>
        <v>17507801</v>
      </c>
      <c r="FO6" s="39">
        <v>100</v>
      </c>
      <c r="FP6" s="39">
        <v>31317.4597701149</v>
      </c>
      <c r="FQ6" s="39">
        <v>11189</v>
      </c>
      <c r="FR6" s="39">
        <v>31999</v>
      </c>
      <c r="FS6" s="39">
        <v>72.663385824410497</v>
      </c>
      <c r="FT6" s="38" t="str">
        <f>HYPERLINK("http://exon.niaid.nih.gov/transcriptome/S_calcitrans/S1/links/SRR694289-stripped_temp-95-h10-1gap/20691-SRR694289-stripped_temp-95-h10-1gap.txt","24618")</f>
        <v>24618</v>
      </c>
      <c r="FU6" s="39">
        <v>100</v>
      </c>
      <c r="FV6" s="39">
        <v>3098.8633461047302</v>
      </c>
      <c r="FW6" s="39">
        <v>12</v>
      </c>
      <c r="FX6" s="39">
        <v>7578</v>
      </c>
      <c r="FY6" s="39">
        <v>98.565886749532893</v>
      </c>
      <c r="FZ6" s="38" t="str">
        <f>HYPERLINK("http://exon.niaid.nih.gov/transcriptome/S_calcitrans/S1/links/SRR694925-stripped_temp-95-h10-1gap/20691-SRR694925-stripped_temp-95-h10-1gap.txt","43517")</f>
        <v>43517</v>
      </c>
      <c r="GA6" s="39">
        <v>100</v>
      </c>
      <c r="GB6" s="39">
        <v>5500.0319284801999</v>
      </c>
      <c r="GC6" s="39">
        <v>48</v>
      </c>
      <c r="GD6" s="39">
        <v>13323</v>
      </c>
      <c r="GE6" s="39">
        <v>98.963370636762605</v>
      </c>
      <c r="GF6">
        <f>1*FH6</f>
        <v>7985542</v>
      </c>
      <c r="GG6">
        <f>1*FN6</f>
        <v>17507801</v>
      </c>
      <c r="GH6">
        <f>1*FT6</f>
        <v>24618</v>
      </c>
      <c r="GI6">
        <f>1*FZ6</f>
        <v>43517</v>
      </c>
      <c r="GJ6">
        <f>IF(FZ6&lt;&gt;"",SUM(GF6:GG6),"")</f>
        <v>25493343</v>
      </c>
      <c r="GK6" s="34">
        <v>99.020212972355083</v>
      </c>
      <c r="GL6">
        <v>333614.27551631938</v>
      </c>
      <c r="GM6">
        <v>332615.95620984898</v>
      </c>
      <c r="GN6">
        <v>180.72721007964472</v>
      </c>
      <c r="GO6">
        <v>329.33734448234281</v>
      </c>
      <c r="GP6">
        <f>MAX(GL6:GO6)</f>
        <v>333614.27551631938</v>
      </c>
      <c r="GQ6" t="s">
        <v>247</v>
      </c>
      <c r="GR6">
        <v>260182.92288160059</v>
      </c>
      <c r="GS6">
        <v>272999.93238564685</v>
      </c>
      <c r="GT6">
        <v>325.78932214316126</v>
      </c>
      <c r="GU6">
        <v>623.52588041644447</v>
      </c>
      <c r="GV6">
        <f>MAX(GR6:GU6)</f>
        <v>272999.93238564685</v>
      </c>
      <c r="GW6">
        <v>561.63813775121287</v>
      </c>
      <c r="GX6">
        <v>25493343</v>
      </c>
      <c r="GY6">
        <v>68135</v>
      </c>
      <c r="GZ6">
        <v>25561478</v>
      </c>
      <c r="HA6">
        <v>5674640.283980052</v>
      </c>
      <c r="HB6">
        <v>19886837.716019947</v>
      </c>
      <c r="HC6">
        <v>69216894.40911831</v>
      </c>
      <c r="HD6">
        <v>19750801.155759905</v>
      </c>
      <c r="HE6">
        <v>88967695.56487821</v>
      </c>
      <c r="HF6">
        <v>0</v>
      </c>
      <c r="HG6">
        <v>5674640.283980052</v>
      </c>
      <c r="HH6">
        <v>1</v>
      </c>
      <c r="HI6">
        <v>1</v>
      </c>
      <c r="HJ6">
        <v>2</v>
      </c>
      <c r="HK6">
        <v>0</v>
      </c>
      <c r="HL6" s="30" t="s">
        <v>262</v>
      </c>
      <c r="HM6">
        <v>1311.2259873059475</v>
      </c>
      <c r="HN6">
        <v>7.6263382050559562E-4</v>
      </c>
      <c r="HO6">
        <v>7985542</v>
      </c>
      <c r="HP6">
        <v>17507801</v>
      </c>
      <c r="HQ6">
        <v>25493343</v>
      </c>
      <c r="HR6">
        <v>7969115.6401723865</v>
      </c>
      <c r="HS6">
        <v>17524227.359827615</v>
      </c>
      <c r="HT6">
        <v>33.858875861462138</v>
      </c>
      <c r="HU6">
        <v>15.397272110543348</v>
      </c>
      <c r="HV6">
        <v>49.256147972005486</v>
      </c>
      <c r="HW6">
        <v>2.2462823533807608E-12</v>
      </c>
      <c r="HX6">
        <v>7969115.6401723865</v>
      </c>
      <c r="HY6">
        <v>1</v>
      </c>
      <c r="HZ6">
        <v>1</v>
      </c>
      <c r="IA6">
        <v>2</v>
      </c>
      <c r="IB6" s="37">
        <v>5.3027324921135602E-11</v>
      </c>
      <c r="IC6" s="30" t="s">
        <v>262</v>
      </c>
      <c r="ID6">
        <v>1.00300136007505</v>
      </c>
      <c r="IE6">
        <v>0.99700743933337177</v>
      </c>
      <c r="IF6">
        <v>1.00300136007505</v>
      </c>
      <c r="IG6" t="str">
        <f t="shared" ref="IG6:IG69" si="1">IF(IF6*1&gt;5,1,"")</f>
        <v/>
      </c>
    </row>
    <row r="7" spans="1:241">
      <c r="A7" t="str">
        <f>HYPERLINK("http://exon.niaid.nih.gov/transcriptome/S_calcitrans/S1/links/pep/XP_013097886.1-pep.txt","XP_013097886.1")</f>
        <v>XP_013097886.1</v>
      </c>
      <c r="B7" s="30" t="s">
        <v>232</v>
      </c>
      <c r="C7">
        <v>253</v>
      </c>
      <c r="D7" t="s">
        <v>272</v>
      </c>
      <c r="E7">
        <v>0</v>
      </c>
      <c r="F7" t="s">
        <v>273</v>
      </c>
      <c r="G7" t="str">
        <f>HYPERLINK("http://exon.niaid.nih.gov/transcriptome/S_calcitrans/S1/links/cds/XM_013242432_1-cds.txt","XM_013242432_1")</f>
        <v>XM_013242432_1</v>
      </c>
      <c r="H7">
        <v>762</v>
      </c>
      <c r="I7" t="s">
        <v>274</v>
      </c>
      <c r="J7" s="30" t="s">
        <v>236</v>
      </c>
      <c r="K7" s="30" t="s">
        <v>91</v>
      </c>
      <c r="L7" s="31" t="s">
        <v>275</v>
      </c>
      <c r="M7" s="30">
        <v>200620</v>
      </c>
      <c r="N7" s="30">
        <v>205548</v>
      </c>
      <c r="O7" s="30" t="s">
        <v>276</v>
      </c>
      <c r="P7" s="30">
        <v>3</v>
      </c>
      <c r="Q7" s="31" t="s">
        <v>277</v>
      </c>
      <c r="R7" s="32" t="str">
        <f>HYPERLINK("http://exon.niaid.nih.gov/transcriptome/S_calcitrans/S1/links/Sigp/XP_013097886.1-SigP.txt","SIG")</f>
        <v>SIG</v>
      </c>
      <c r="S7" t="s">
        <v>278</v>
      </c>
      <c r="T7">
        <v>28.56</v>
      </c>
      <c r="U7">
        <v>5.85</v>
      </c>
      <c r="V7">
        <v>26.436</v>
      </c>
      <c r="W7">
        <v>5.76</v>
      </c>
      <c r="X7" t="s">
        <v>279</v>
      </c>
      <c r="Y7" s="32">
        <v>0</v>
      </c>
      <c r="Z7" t="s">
        <v>242</v>
      </c>
      <c r="AA7" t="s">
        <v>242</v>
      </c>
      <c r="AB7" t="s">
        <v>242</v>
      </c>
      <c r="AC7" t="s">
        <v>242</v>
      </c>
      <c r="AD7" t="s">
        <v>242</v>
      </c>
      <c r="AE7" s="32" t="str">
        <f>HYPERLINK("http://exon.niaid.nih.gov/transcriptome/S_calcitrans/S1/links/netoglyc/XP_013097886.1-netoglyc.txt","0")</f>
        <v>0</v>
      </c>
      <c r="AF7">
        <v>12.3</v>
      </c>
      <c r="AG7">
        <v>5.5</v>
      </c>
      <c r="AH7">
        <v>4.3</v>
      </c>
      <c r="AI7" t="s">
        <v>243</v>
      </c>
      <c r="AJ7" t="s">
        <v>242</v>
      </c>
      <c r="AK7">
        <v>989.05080363109437</v>
      </c>
      <c r="AL7" s="33">
        <v>5264</v>
      </c>
      <c r="AM7">
        <v>1</v>
      </c>
      <c r="AN7" s="30">
        <f t="shared" si="0"/>
        <v>1</v>
      </c>
      <c r="AO7" s="30" t="s">
        <v>244</v>
      </c>
      <c r="AP7">
        <v>7620</v>
      </c>
      <c r="AQ7" s="34">
        <v>2.9597296158818624E-2</v>
      </c>
      <c r="AR7" s="35">
        <v>420.58979508124651</v>
      </c>
      <c r="AS7" t="s">
        <v>280</v>
      </c>
      <c r="AT7" s="36" t="s">
        <v>281</v>
      </c>
      <c r="AU7" t="s">
        <v>247</v>
      </c>
      <c r="AV7" t="str">
        <f>HYPERLINK("http://exon.niaid.nih.gov/transcriptome/S_calcitrans/S1/links/CDD/XP_013097886.1-CDD.txt","CDD")</f>
        <v>CDD</v>
      </c>
      <c r="AW7" s="37">
        <v>4.0000000000000002E-27</v>
      </c>
      <c r="AX7">
        <v>106.2</v>
      </c>
      <c r="AY7" s="33" t="str">
        <f>HYPERLINK("http://exon.niaid.nih.gov/transcriptome/S_calcitrans/S1/links/WANG/XP_013097886.1-WANG.txt","SC-4-27-3")</f>
        <v>SC-4-27-3</v>
      </c>
      <c r="AZ7">
        <v>7.9999999999999994E-77</v>
      </c>
      <c r="BA7">
        <v>257</v>
      </c>
      <c r="BB7">
        <v>260</v>
      </c>
      <c r="BC7">
        <v>51</v>
      </c>
      <c r="BD7">
        <v>62</v>
      </c>
      <c r="BE7">
        <v>99</v>
      </c>
      <c r="BF7" t="s">
        <v>248</v>
      </c>
      <c r="BG7" s="31" t="s">
        <v>249</v>
      </c>
      <c r="BH7" t="s">
        <v>250</v>
      </c>
      <c r="BI7">
        <v>14</v>
      </c>
      <c r="BJ7" s="33"/>
      <c r="BK7" s="33"/>
      <c r="BL7" s="33" t="str">
        <f>HYPERLINK("http://exon.niaid.nih.gov/transcriptome/S_calcitrans/S1/links/NR-LIGHT/XP_013097886.1-NR-LIGHT.txt","venom allergen 5-like")</f>
        <v>venom allergen 5-like</v>
      </c>
      <c r="BM7" t="str">
        <f>HYPERLINK("http://www.ncbi.nlm.nih.gov/sutils/blink.cgi?pid=557772795","5E-097")</f>
        <v>5E-097</v>
      </c>
      <c r="BN7" t="str">
        <f>HYPERLINK("http://www.ncbi.nlm.nih.gov/protein/557772795","gi|557772795")</f>
        <v>gi|557772795</v>
      </c>
      <c r="BO7">
        <v>65</v>
      </c>
      <c r="BP7">
        <v>76</v>
      </c>
      <c r="BQ7">
        <v>100</v>
      </c>
      <c r="BR7" t="s">
        <v>251</v>
      </c>
      <c r="BS7" s="33" t="str">
        <f>HYPERLINK("http://exon.niaid.nih.gov/transcriptome/S_calcitrans/S1/links/SWISSP/XP_013097886.1-SWISSP.txt","Venom allergen 5")</f>
        <v>Venom allergen 5</v>
      </c>
      <c r="BT7" t="str">
        <f>HYPERLINK("http://www.uniprot.org/uniprot/Q05108","1E-014")</f>
        <v>1E-014</v>
      </c>
      <c r="BU7" t="str">
        <f>HYPERLINK("http://www.uniprot.org/uniprot/Q05108#expression","Q05108")</f>
        <v>Q05108</v>
      </c>
      <c r="BV7">
        <v>30</v>
      </c>
      <c r="BW7">
        <v>45</v>
      </c>
      <c r="BX7">
        <v>103</v>
      </c>
      <c r="BY7" t="s">
        <v>282</v>
      </c>
      <c r="BZ7" s="33" t="str">
        <f>HYPERLINK("http://exon.niaid.nih.gov/transcriptome/S_calcitrans/S1/links/REFSEQ-INVERTEBRATE/XP_013097886.1-REFSEQ-INVERTEBRATE.txt","venom allergen 5-like")</f>
        <v>venom allergen 5-like</v>
      </c>
      <c r="CA7" t="str">
        <f>HYPERLINK("http://www.ncbi.nlm.nih.gov/sutils/blink.cgi?pid=907624368","1E-152")</f>
        <v>1E-152</v>
      </c>
      <c r="CB7" t="str">
        <f>HYPERLINK("http://www.ncbi.nlm.nih.gov/protein/907624368","gi|907624368")</f>
        <v>gi|907624368</v>
      </c>
      <c r="CC7">
        <v>100</v>
      </c>
      <c r="CD7">
        <v>100</v>
      </c>
      <c r="CE7">
        <v>100</v>
      </c>
      <c r="CF7" t="s">
        <v>253</v>
      </c>
      <c r="CG7" s="33" t="str">
        <f>HYPERLINK("http://exon.niaid.nih.gov/transcriptome/S_calcitrans/S1/links/DIPTERA/XP_013097886.1-DIPTERA.txt","venom allergen 5-like")</f>
        <v>venom allergen 5-like</v>
      </c>
      <c r="CH7" t="str">
        <f>HYPERLINK("http://www.ncbi.nlm.nih.gov/sutils/blink.cgi?pid=907624368","1E-152")</f>
        <v>1E-152</v>
      </c>
      <c r="CI7" t="str">
        <f>HYPERLINK("http://www.ncbi.nlm.nih.gov/protein/907624368","gi|907624368")</f>
        <v>gi|907624368</v>
      </c>
      <c r="CJ7">
        <v>100</v>
      </c>
      <c r="CK7">
        <v>100</v>
      </c>
      <c r="CL7">
        <v>100</v>
      </c>
      <c r="CM7" t="s">
        <v>253</v>
      </c>
      <c r="CN7" s="33" t="s">
        <v>242</v>
      </c>
      <c r="CO7" t="s">
        <v>242</v>
      </c>
      <c r="CP7" t="s">
        <v>242</v>
      </c>
      <c r="CQ7" t="s">
        <v>242</v>
      </c>
      <c r="CR7" t="s">
        <v>242</v>
      </c>
      <c r="CS7" t="s">
        <v>242</v>
      </c>
      <c r="CT7" t="s">
        <v>242</v>
      </c>
      <c r="CU7" s="33" t="s">
        <v>283</v>
      </c>
      <c r="CV7">
        <f>HYPERLINK("http://exon.niaid.nih.gov/transcriptome/S_calcitrans/S1/links/GO/XP_013097886.1-GO.txt",2E-64)</f>
        <v>1.9999999999999999E-64</v>
      </c>
      <c r="CW7" t="str">
        <f>HYPERLINK("http://amigo.geneontology.org/cgi-bin/amigo/term_details?term=GO:0003674","GO:0003674")</f>
        <v>GO:0003674</v>
      </c>
      <c r="CX7" t="s">
        <v>255</v>
      </c>
      <c r="CY7" t="s">
        <v>256</v>
      </c>
      <c r="CZ7" t="s">
        <v>257</v>
      </c>
      <c r="DA7" t="s">
        <v>242</v>
      </c>
      <c r="DC7" t="s">
        <v>258</v>
      </c>
      <c r="DD7" s="37">
        <v>1.9999999999999999E-64</v>
      </c>
      <c r="DE7" s="33" t="str">
        <f>HYPERLINK("http://exon.niaid.nih.gov/transcriptome/S_calcitrans/S1/links/CDD/XP_013097886.1-CDD.txt","SCP_euk")</f>
        <v>SCP_euk</v>
      </c>
      <c r="DF7" t="str">
        <f>HYPERLINK("http://www.ncbi.nlm.nih.gov/Structure/cdd/cddsrv.cgi?uid=cd05380&amp;version=v4.0","4E-027")</f>
        <v>4E-027</v>
      </c>
      <c r="DG7" t="s">
        <v>284</v>
      </c>
      <c r="DH7" s="33" t="str">
        <f>HYPERLINK("http://exon.niaid.nih.gov/transcriptome/S_calcitrans/S1/links/KOG/XP_013097886.1-KOG.txt","Defense-related protein containing SCP domain")</f>
        <v>Defense-related protein containing SCP domain</v>
      </c>
      <c r="DI7" t="str">
        <f>HYPERLINK("http://www.ncbi.nlm.nih.gov/Structure/cdd/cddsrv.cgi?uid=KOG3017","6E-029")</f>
        <v>6E-029</v>
      </c>
      <c r="DJ7" t="s">
        <v>260</v>
      </c>
      <c r="DK7" t="str">
        <f>HYPERLINK("http://exon.niaid.nih.gov/transcriptome/S_calcitrans/S1/links/KOG/XP_013097886.1-KOG.txt","KOG3017")</f>
        <v>KOG3017</v>
      </c>
      <c r="DL7" s="33" t="str">
        <f>HYPERLINK("http://exon.niaid.nih.gov/transcriptome/S_calcitrans/S1/links/PFAM/XP_013097886.1-PFAM.txt","CAP")</f>
        <v>CAP</v>
      </c>
      <c r="DM7" t="str">
        <f>HYPERLINK("http://pfam.sanger.ac.uk/family?acc=PF00188","5E-011")</f>
        <v>5E-011</v>
      </c>
      <c r="DN7" s="33" t="str">
        <f>HYPERLINK("http://exon.niaid.nih.gov/transcriptome/S_calcitrans/S1/links/SMART/XP_013097886.1-SMART.txt","SCP")</f>
        <v>SCP</v>
      </c>
      <c r="DO7" t="str">
        <f>HYPERLINK("http://smart.embl-heidelberg.de/smart/do_annotation.pl?DOMAIN=SCP&amp;BLAST=DUMMY","8E-018")</f>
        <v>8E-018</v>
      </c>
      <c r="DP7" s="33"/>
      <c r="EB7" s="33">
        <f>HYPERLINK("http://exon.niaid.nih.gov/transcriptome/S_calcitrans/S1/links/cluster-b/Scalc-pep25-50SimCLU48.txt", 48)</f>
        <v>48</v>
      </c>
      <c r="EC7">
        <f>HYPERLINK("http://exon.niaid.nih.gov/transcriptome/S_calcitrans/S1/links/cluster-b/Scalc-pep25-50SimCLTL48.txt", 26)</f>
        <v>26</v>
      </c>
      <c r="ED7" s="33">
        <f>HYPERLINK("http://exon.niaid.nih.gov/transcriptome/S_calcitrans/S1/links/cluster-b/Scalc-pep30-50SimCLU59.txt", 59)</f>
        <v>59</v>
      </c>
      <c r="EE7">
        <f>HYPERLINK("http://exon.niaid.nih.gov/transcriptome/S_calcitrans/S1/links/cluster-b/Scalc-pep30-50SimCLTL59.txt", 25)</f>
        <v>25</v>
      </c>
      <c r="EF7" s="33">
        <f>HYPERLINK("http://exon.niaid.nih.gov/transcriptome/S_calcitrans/S1/links/cluster-b/Scalc-pep35-50SimCLU60.txt", 60)</f>
        <v>60</v>
      </c>
      <c r="EG7">
        <f>HYPERLINK("http://exon.niaid.nih.gov/transcriptome/S_calcitrans/S1/links/cluster-b/Scalc-pep35-50SimCLTL60.txt", 25)</f>
        <v>25</v>
      </c>
      <c r="EH7" s="33">
        <f>HYPERLINK("http://exon.niaid.nih.gov/transcriptome/S_calcitrans/S1/links/cluster-b/Scalc-pep40-50SimCLU52.txt", 52)</f>
        <v>52</v>
      </c>
      <c r="EI7">
        <f>HYPERLINK("http://exon.niaid.nih.gov/transcriptome/S_calcitrans/S1/links/cluster-b/Scalc-pep40-50SimCLTL52.txt", 25)</f>
        <v>25</v>
      </c>
      <c r="EJ7" s="33">
        <f>HYPERLINK("http://exon.niaid.nih.gov/transcriptome/S_calcitrans/S1/links/cluster-b/Scalc-pep45-50SimCLU51.txt", 51)</f>
        <v>51</v>
      </c>
      <c r="EK7">
        <f>HYPERLINK("http://exon.niaid.nih.gov/transcriptome/S_calcitrans/S1/links/cluster-b/Scalc-pep45-50SimCLTL51.txt", 24)</f>
        <v>24</v>
      </c>
      <c r="EL7" s="33">
        <f>HYPERLINK("http://exon.niaid.nih.gov/transcriptome/S_calcitrans/S1/links/cluster-b/Scalc-pep50-50SimCLU42.txt", 42)</f>
        <v>42</v>
      </c>
      <c r="EM7">
        <f>HYPERLINK("http://exon.niaid.nih.gov/transcriptome/S_calcitrans/S1/links/cluster-b/Scalc-pep50-50SimCLTL42.txt", 24)</f>
        <v>24</v>
      </c>
      <c r="EN7" s="33">
        <f>HYPERLINK("http://exon.niaid.nih.gov/transcriptome/S_calcitrans/S1/links/cluster-b/Scalc-pep55-50SimCLU58.txt", 58)</f>
        <v>58</v>
      </c>
      <c r="EO7">
        <f>HYPERLINK("http://exon.niaid.nih.gov/transcriptome/S_calcitrans/S1/links/cluster-b/Scalc-pep55-50SimCLTL58.txt", 17)</f>
        <v>17</v>
      </c>
      <c r="EP7" s="33">
        <f>HYPERLINK("http://exon.niaid.nih.gov/transcriptome/S_calcitrans/S1/links/cluster-b/Scalc-pep60-50SimCLU66.txt", 66)</f>
        <v>66</v>
      </c>
      <c r="EQ7">
        <f>HYPERLINK("http://exon.niaid.nih.gov/transcriptome/S_calcitrans/S1/links/cluster-b/Scalc-pep60-50SimCLTL66.txt", 14)</f>
        <v>14</v>
      </c>
      <c r="ER7" s="33">
        <f>HYPERLINK("http://exon.niaid.nih.gov/transcriptome/S_calcitrans/S1/links/cluster-b/Scalc-pep65-50SimCLU54.txt", 54)</f>
        <v>54</v>
      </c>
      <c r="ES7">
        <f>HYPERLINK("http://exon.niaid.nih.gov/transcriptome/S_calcitrans/S1/links/cluster-b/Scalc-pep65-50SimCLTL54.txt", 14)</f>
        <v>14</v>
      </c>
      <c r="ET7" s="33">
        <v>5306</v>
      </c>
      <c r="EU7">
        <v>1</v>
      </c>
      <c r="EV7" s="33">
        <v>5332</v>
      </c>
      <c r="EW7">
        <v>1</v>
      </c>
      <c r="EX7" s="33">
        <v>5364</v>
      </c>
      <c r="EY7">
        <v>1</v>
      </c>
      <c r="EZ7" s="33">
        <v>5345</v>
      </c>
      <c r="FA7">
        <v>1</v>
      </c>
      <c r="FB7" s="33">
        <v>5310</v>
      </c>
      <c r="FC7">
        <v>1</v>
      </c>
      <c r="FD7" s="33">
        <v>5264</v>
      </c>
      <c r="FE7">
        <v>1</v>
      </c>
      <c r="FF7" t="s">
        <v>285</v>
      </c>
      <c r="FG7">
        <v>4276</v>
      </c>
      <c r="FH7" s="38" t="str">
        <f>HYPERLINK("http://exon.niaid.nih.gov/transcriptome/S_calcitrans/S1/links/SG_male-stripped_temp-95-h10-1gap/4276-SG_male-stripped_temp-95-h10-1gap.txt","2223")</f>
        <v>2223</v>
      </c>
      <c r="FI7" s="39">
        <v>100</v>
      </c>
      <c r="FJ7" s="39">
        <v>213.590551181102</v>
      </c>
      <c r="FK7" s="39">
        <v>12</v>
      </c>
      <c r="FL7" s="39">
        <v>338</v>
      </c>
      <c r="FM7" s="39">
        <v>73.2150247413405</v>
      </c>
      <c r="FN7" s="38" t="str">
        <f>HYPERLINK("http://exon.niaid.nih.gov/transcriptome/S_calcitrans/S1/links/SG_female-stripped_temp-95-h10-1gap/4276-SG_female-stripped_temp-95-h10-1gap.txt","5397")</f>
        <v>5397</v>
      </c>
      <c r="FO7" s="39">
        <v>100</v>
      </c>
      <c r="FP7" s="39">
        <v>521.41207349081401</v>
      </c>
      <c r="FQ7" s="39">
        <v>26</v>
      </c>
      <c r="FR7" s="39">
        <v>833</v>
      </c>
      <c r="FS7" s="39">
        <v>73.618491754678502</v>
      </c>
      <c r="FT7" s="38" t="str">
        <f>HYPERLINK("http://exon.niaid.nih.gov/transcriptome/S_calcitrans/S1/links/SRR694289-stripped_temp-95-h10-1gap/4276-SRR694289-stripped_temp-95-h10-1gap.txt","18")</f>
        <v>18</v>
      </c>
      <c r="FU7" s="39">
        <v>77.0341207349081</v>
      </c>
      <c r="FV7" s="39">
        <v>2.35301837270341</v>
      </c>
      <c r="FW7" s="39">
        <v>0</v>
      </c>
      <c r="FX7" s="39">
        <v>6</v>
      </c>
      <c r="FY7" s="39">
        <v>99.6111111111111</v>
      </c>
      <c r="FZ7" s="38" t="str">
        <f>HYPERLINK("http://exon.niaid.nih.gov/transcriptome/S_calcitrans/S1/links/SRR694925-stripped_temp-95-h10-1gap/4276-SRR694925-stripped_temp-95-h10-1gap.txt","8")</f>
        <v>8</v>
      </c>
      <c r="GA7" s="39">
        <v>49.606299212598401</v>
      </c>
      <c r="GB7" s="39">
        <v>1.05643044619423</v>
      </c>
      <c r="GC7" s="39">
        <v>0</v>
      </c>
      <c r="GD7" s="39">
        <v>4</v>
      </c>
      <c r="GE7" s="39">
        <v>100.625</v>
      </c>
      <c r="GF7">
        <f>1*FH7</f>
        <v>2223</v>
      </c>
      <c r="GG7">
        <f>1*FN7</f>
        <v>5397</v>
      </c>
      <c r="GH7">
        <f>1*FT7</f>
        <v>18</v>
      </c>
      <c r="GI7">
        <f>1*FZ7</f>
        <v>8</v>
      </c>
      <c r="GJ7">
        <f>SUM(GF7:GG7)</f>
        <v>7620</v>
      </c>
      <c r="GK7" s="34">
        <v>2.9597296158818624E-2</v>
      </c>
      <c r="GL7">
        <v>95.430342222889337</v>
      </c>
      <c r="GM7">
        <v>105.35876869174118</v>
      </c>
      <c r="GN7">
        <v>0.13578446104575087</v>
      </c>
      <c r="GO7">
        <v>6.2212665489143781E-2</v>
      </c>
      <c r="GP7">
        <f>MAX(GL7:GO7)</f>
        <v>105.35876869174118</v>
      </c>
      <c r="GQ7" t="s">
        <v>247</v>
      </c>
      <c r="GR7">
        <v>74.425308487520624</v>
      </c>
      <c r="GS7">
        <v>86.474915565787455</v>
      </c>
      <c r="GT7">
        <v>0.24477292324810854</v>
      </c>
      <c r="GU7">
        <v>0.1177856312746576</v>
      </c>
      <c r="GV7">
        <f>MAX(GR7:GU7)</f>
        <v>86.474915565787455</v>
      </c>
      <c r="GW7">
        <v>420.58979508124651</v>
      </c>
      <c r="GX7">
        <v>7620</v>
      </c>
      <c r="GY7">
        <v>26</v>
      </c>
      <c r="GZ7">
        <v>7646</v>
      </c>
      <c r="HA7">
        <v>1697.4096572706587</v>
      </c>
      <c r="HB7">
        <v>5948.5903427293415</v>
      </c>
      <c r="HC7">
        <v>20665.062330441117</v>
      </c>
      <c r="HD7">
        <v>5896.7039830980757</v>
      </c>
      <c r="HE7">
        <v>26561.766313539192</v>
      </c>
      <c r="HF7">
        <v>0</v>
      </c>
      <c r="HG7">
        <v>1697.4096572706587</v>
      </c>
      <c r="HH7">
        <v>1</v>
      </c>
      <c r="HI7">
        <v>1</v>
      </c>
      <c r="HJ7">
        <v>2</v>
      </c>
      <c r="HK7">
        <v>0</v>
      </c>
      <c r="HL7" s="30" t="s">
        <v>262</v>
      </c>
      <c r="HM7">
        <v>989.05080363109437</v>
      </c>
      <c r="HN7">
        <v>9.7349560095201927E-4</v>
      </c>
      <c r="HO7">
        <v>2223</v>
      </c>
      <c r="HP7">
        <v>5397</v>
      </c>
      <c r="HQ7">
        <v>7620</v>
      </c>
      <c r="HR7">
        <v>2381.9810990701999</v>
      </c>
      <c r="HS7">
        <v>5238.0189009298001</v>
      </c>
      <c r="HT7">
        <v>10.610911174498714</v>
      </c>
      <c r="HU7">
        <v>4.8252956584563202</v>
      </c>
      <c r="HV7">
        <v>15.436206832955033</v>
      </c>
      <c r="HW7">
        <v>8.5337498362779985E-5</v>
      </c>
      <c r="HX7">
        <v>2381.9810990701999</v>
      </c>
      <c r="HY7">
        <v>1</v>
      </c>
      <c r="HZ7">
        <v>1</v>
      </c>
      <c r="IA7">
        <v>2</v>
      </c>
      <c r="IB7">
        <v>7.4055928681870898E-4</v>
      </c>
      <c r="IC7" s="30" t="s">
        <v>262</v>
      </c>
      <c r="ID7">
        <v>0.90559774544001126</v>
      </c>
      <c r="IE7">
        <v>1.1035420463933767</v>
      </c>
      <c r="IF7">
        <v>1.1035420463933767</v>
      </c>
      <c r="IG7" t="str">
        <f t="shared" si="1"/>
        <v/>
      </c>
    </row>
    <row r="8" spans="1:241">
      <c r="A8" t="str">
        <f>HYPERLINK("http://exon.niaid.nih.gov/transcriptome/S_calcitrans/S1/links/pep/XP_013097876.1-pep.txt","XP_013097876.1")</f>
        <v>XP_013097876.1</v>
      </c>
      <c r="B8" s="30" t="s">
        <v>232</v>
      </c>
      <c r="C8">
        <v>258</v>
      </c>
      <c r="D8" t="s">
        <v>263</v>
      </c>
      <c r="E8">
        <v>0</v>
      </c>
      <c r="F8" t="s">
        <v>286</v>
      </c>
      <c r="G8" t="str">
        <f>HYPERLINK("http://exon.niaid.nih.gov/transcriptome/S_calcitrans/S1/links/cds/XM_013242422_1-cds.txt","XM_013242422_1")</f>
        <v>XM_013242422_1</v>
      </c>
      <c r="H8">
        <v>777</v>
      </c>
      <c r="I8" t="s">
        <v>287</v>
      </c>
      <c r="J8" s="30" t="s">
        <v>236</v>
      </c>
      <c r="K8" s="30" t="s">
        <v>91</v>
      </c>
      <c r="L8" s="31" t="s">
        <v>275</v>
      </c>
      <c r="M8" s="30">
        <v>254609</v>
      </c>
      <c r="N8" s="30">
        <v>255517</v>
      </c>
      <c r="O8" s="30" t="s">
        <v>276</v>
      </c>
      <c r="P8" s="30">
        <v>3</v>
      </c>
      <c r="Q8" s="31" t="s">
        <v>288</v>
      </c>
      <c r="R8" s="32" t="str">
        <f>HYPERLINK("http://exon.niaid.nih.gov/transcriptome/S_calcitrans/S1/links/Sigp/XP_013097876.1-SigP.txt","SIG")</f>
        <v>SIG</v>
      </c>
      <c r="S8" t="s">
        <v>240</v>
      </c>
      <c r="T8">
        <v>28.66</v>
      </c>
      <c r="U8">
        <v>9.52</v>
      </c>
      <c r="V8">
        <v>26.489000000000001</v>
      </c>
      <c r="W8">
        <v>9.58</v>
      </c>
      <c r="X8" t="s">
        <v>289</v>
      </c>
      <c r="Y8" s="32">
        <v>0</v>
      </c>
      <c r="Z8" t="s">
        <v>242</v>
      </c>
      <c r="AA8" t="s">
        <v>242</v>
      </c>
      <c r="AB8" t="s">
        <v>242</v>
      </c>
      <c r="AC8" t="s">
        <v>242</v>
      </c>
      <c r="AD8" t="s">
        <v>242</v>
      </c>
      <c r="AE8" s="32" t="str">
        <f>HYPERLINK("http://exon.niaid.nih.gov/transcriptome/S_calcitrans/S1/links/netoglyc/XP_013097876.1-netoglyc.txt","0")</f>
        <v>0</v>
      </c>
      <c r="AF8">
        <v>13.2</v>
      </c>
      <c r="AG8">
        <v>5</v>
      </c>
      <c r="AH8">
        <v>2.2999999999999998</v>
      </c>
      <c r="AI8" t="s">
        <v>243</v>
      </c>
      <c r="AJ8" t="s">
        <v>242</v>
      </c>
      <c r="AK8">
        <v>215.52740937394123</v>
      </c>
      <c r="AL8" s="33">
        <v>5267</v>
      </c>
      <c r="AM8">
        <v>1</v>
      </c>
      <c r="AN8" s="30">
        <f t="shared" si="0"/>
        <v>1</v>
      </c>
      <c r="AO8" s="30" t="s">
        <v>244</v>
      </c>
      <c r="AP8">
        <v>123</v>
      </c>
      <c r="AQ8" s="34">
        <v>4.7775163091006443E-4</v>
      </c>
      <c r="AR8" s="35">
        <v>73.384730586775447</v>
      </c>
      <c r="AS8" t="s">
        <v>290</v>
      </c>
      <c r="AT8" s="36" t="s">
        <v>246</v>
      </c>
      <c r="AU8" t="s">
        <v>247</v>
      </c>
      <c r="AV8" t="str">
        <f>HYPERLINK("http://exon.niaid.nih.gov/transcriptome/S_calcitrans/S1/links/DIPTERA/XP_013097876.1-DIPTERA.txt","DIPTERA")</f>
        <v>DIPTERA</v>
      </c>
      <c r="AW8" s="37">
        <v>6.0000000000000001E-80</v>
      </c>
      <c r="AX8">
        <v>100</v>
      </c>
      <c r="AY8" s="33" t="str">
        <f>HYPERLINK("http://exon.niaid.nih.gov/transcriptome/S_calcitrans/S1/links/WANG/XP_013097876.1-WANG.txt","SC-4-27-2")</f>
        <v>SC-4-27-2</v>
      </c>
      <c r="AZ8">
        <v>2.0000000000000001E-84</v>
      </c>
      <c r="BA8">
        <v>260</v>
      </c>
      <c r="BB8">
        <v>260</v>
      </c>
      <c r="BC8">
        <v>56</v>
      </c>
      <c r="BD8">
        <v>67</v>
      </c>
      <c r="BE8">
        <v>100</v>
      </c>
      <c r="BF8" t="s">
        <v>248</v>
      </c>
      <c r="BG8" s="31" t="s">
        <v>249</v>
      </c>
      <c r="BH8" t="s">
        <v>269</v>
      </c>
      <c r="BI8">
        <v>13</v>
      </c>
      <c r="BJ8" s="33"/>
      <c r="BK8" s="33"/>
      <c r="BL8" s="33" t="str">
        <f>HYPERLINK("http://exon.niaid.nih.gov/transcriptome/S_calcitrans/S1/links/NR-LIGHT/XP_013097876.1-NR-LIGHT.txt","venom allergen 3-like")</f>
        <v>venom allergen 3-like</v>
      </c>
      <c r="BM8" t="str">
        <f>HYPERLINK("http://www.ncbi.nlm.nih.gov/sutils/blink.cgi?pid=557772767","4E-076")</f>
        <v>4E-076</v>
      </c>
      <c r="BN8" t="str">
        <f>HYPERLINK("http://www.ncbi.nlm.nih.gov/protein/557772767","gi|557772767")</f>
        <v>gi|557772767</v>
      </c>
      <c r="BO8">
        <v>53</v>
      </c>
      <c r="BP8">
        <v>65</v>
      </c>
      <c r="BQ8">
        <v>100</v>
      </c>
      <c r="BR8" t="s">
        <v>251</v>
      </c>
      <c r="BS8" s="33" t="str">
        <f>HYPERLINK("http://exon.niaid.nih.gov/transcriptome/S_calcitrans/S1/links/SWISSP/XP_013097876.1-SWISSP.txt","Venom allergen 3")</f>
        <v>Venom allergen 3</v>
      </c>
      <c r="BT8" t="str">
        <f>HYPERLINK("http://www.uniprot.org/uniprot/P35778","4E-021")</f>
        <v>4E-021</v>
      </c>
      <c r="BU8" t="str">
        <f>HYPERLINK("http://www.uniprot.org/uniprot/P35778#expression","P35778")</f>
        <v>P35778</v>
      </c>
      <c r="BV8">
        <v>29</v>
      </c>
      <c r="BW8">
        <v>45</v>
      </c>
      <c r="BX8">
        <v>100</v>
      </c>
      <c r="BY8" t="s">
        <v>252</v>
      </c>
      <c r="BZ8" s="33" t="str">
        <f>HYPERLINK("http://exon.niaid.nih.gov/transcriptome/S_calcitrans/S1/links/REFSEQ-INVERTEBRATE/XP_013097876.1-REFSEQ-INVERTEBRATE.txt","venom allergen 3-like")</f>
        <v>venom allergen 3-like</v>
      </c>
      <c r="CA8" t="str">
        <f>HYPERLINK("http://www.ncbi.nlm.nih.gov/sutils/blink.cgi?pid=907624330","1E-152")</f>
        <v>1E-152</v>
      </c>
      <c r="CB8" t="str">
        <f>HYPERLINK("http://www.ncbi.nlm.nih.gov/protein/907624330","gi|907624330")</f>
        <v>gi|907624330</v>
      </c>
      <c r="CC8">
        <v>100</v>
      </c>
      <c r="CD8">
        <v>100</v>
      </c>
      <c r="CE8">
        <v>100</v>
      </c>
      <c r="CF8" t="s">
        <v>253</v>
      </c>
      <c r="CG8" s="33" t="str">
        <f>HYPERLINK("http://exon.niaid.nih.gov/transcriptome/S_calcitrans/S1/links/DIPTERA/XP_013097876.1-DIPTERA.txt","venom allergen 3-like")</f>
        <v>venom allergen 3-like</v>
      </c>
      <c r="CH8" t="str">
        <f>HYPERLINK("http://www.ncbi.nlm.nih.gov/sutils/blink.cgi?pid=907624330","1E-152")</f>
        <v>1E-152</v>
      </c>
      <c r="CI8" t="str">
        <f>HYPERLINK("http://www.ncbi.nlm.nih.gov/protein/907624330","gi|907624330")</f>
        <v>gi|907624330</v>
      </c>
      <c r="CJ8">
        <v>100</v>
      </c>
      <c r="CK8">
        <v>100</v>
      </c>
      <c r="CL8">
        <v>100</v>
      </c>
      <c r="CM8" t="s">
        <v>253</v>
      </c>
      <c r="CN8" s="33" t="s">
        <v>242</v>
      </c>
      <c r="CO8" t="s">
        <v>242</v>
      </c>
      <c r="CP8" t="s">
        <v>242</v>
      </c>
      <c r="CQ8" t="s">
        <v>242</v>
      </c>
      <c r="CR8" t="s">
        <v>242</v>
      </c>
      <c r="CS8" t="s">
        <v>242</v>
      </c>
      <c r="CT8" t="s">
        <v>242</v>
      </c>
      <c r="CU8" s="33" t="s">
        <v>254</v>
      </c>
      <c r="CV8">
        <f>HYPERLINK("http://exon.niaid.nih.gov/transcriptome/S_calcitrans/S1/links/GO/XP_013097876.1-GO.txt",1E-65)</f>
        <v>9.9999999999999992E-66</v>
      </c>
      <c r="CW8" t="str">
        <f>HYPERLINK("http://amigo.geneontology.org/cgi-bin/amigo/term_details?term=GO:0003674","GO:0003674")</f>
        <v>GO:0003674</v>
      </c>
      <c r="CX8" t="s">
        <v>255</v>
      </c>
      <c r="CY8" t="s">
        <v>256</v>
      </c>
      <c r="CZ8" t="s">
        <v>257</v>
      </c>
      <c r="DA8" t="s">
        <v>242</v>
      </c>
      <c r="DC8" t="s">
        <v>258</v>
      </c>
      <c r="DD8" s="37">
        <v>9.9999999999999992E-66</v>
      </c>
      <c r="DE8" s="33" t="str">
        <f>HYPERLINK("http://exon.niaid.nih.gov/transcriptome/S_calcitrans/S1/links/CDD/XP_013097876.1-CDD.txt","SCP_euk")</f>
        <v>SCP_euk</v>
      </c>
      <c r="DF8" t="str">
        <f>HYPERLINK("http://www.ncbi.nlm.nih.gov/Structure/cdd/cddsrv.cgi?uid=cd05380&amp;version=v4.0","1E-027")</f>
        <v>1E-027</v>
      </c>
      <c r="DG8" t="s">
        <v>291</v>
      </c>
      <c r="DH8" s="33" t="str">
        <f>HYPERLINK("http://exon.niaid.nih.gov/transcriptome/S_calcitrans/S1/links/KOG/XP_013097876.1-KOG.txt","Defense-related protein containing SCP domain")</f>
        <v>Defense-related protein containing SCP domain</v>
      </c>
      <c r="DI8" t="str">
        <f>HYPERLINK("http://www.ncbi.nlm.nih.gov/Structure/cdd/cddsrv.cgi?uid=KOG3017","6E-029")</f>
        <v>6E-029</v>
      </c>
      <c r="DJ8" t="s">
        <v>260</v>
      </c>
      <c r="DK8" t="str">
        <f>HYPERLINK("http://exon.niaid.nih.gov/transcriptome/S_calcitrans/S1/links/KOG/XP_013097876.1-KOG.txt","KOG3017")</f>
        <v>KOG3017</v>
      </c>
      <c r="DL8" s="33" t="str">
        <f>HYPERLINK("http://exon.niaid.nih.gov/transcriptome/S_calcitrans/S1/links/PFAM/XP_013097876.1-PFAM.txt","CAP")</f>
        <v>CAP</v>
      </c>
      <c r="DM8" t="str">
        <f>HYPERLINK("http://pfam.sanger.ac.uk/family?acc=PF00188","1E-009")</f>
        <v>1E-009</v>
      </c>
      <c r="DN8" s="33" t="str">
        <f>HYPERLINK("http://exon.niaid.nih.gov/transcriptome/S_calcitrans/S1/links/SMART/XP_013097876.1-SMART.txt","SCP")</f>
        <v>SCP</v>
      </c>
      <c r="DO8" t="str">
        <f>HYPERLINK("http://smart.embl-heidelberg.de/smart/do_annotation.pl?DOMAIN=SCP&amp;BLAST=DUMMY","8E-022")</f>
        <v>8E-022</v>
      </c>
      <c r="DP8" s="33"/>
      <c r="EB8" s="33">
        <f>HYPERLINK("http://exon.niaid.nih.gov/transcriptome/S_calcitrans/S1/links/cluster-b/Scalc-pep25-50SimCLU48.txt", 48)</f>
        <v>48</v>
      </c>
      <c r="EC8">
        <f>HYPERLINK("http://exon.niaid.nih.gov/transcriptome/S_calcitrans/S1/links/cluster-b/Scalc-pep25-50SimCLTL48.txt", 26)</f>
        <v>26</v>
      </c>
      <c r="ED8" s="33">
        <f>HYPERLINK("http://exon.niaid.nih.gov/transcriptome/S_calcitrans/S1/links/cluster-b/Scalc-pep30-50SimCLU59.txt", 59)</f>
        <v>59</v>
      </c>
      <c r="EE8">
        <f>HYPERLINK("http://exon.niaid.nih.gov/transcriptome/S_calcitrans/S1/links/cluster-b/Scalc-pep30-50SimCLTL59.txt", 25)</f>
        <v>25</v>
      </c>
      <c r="EF8" s="33">
        <f>HYPERLINK("http://exon.niaid.nih.gov/transcriptome/S_calcitrans/S1/links/cluster-b/Scalc-pep35-50SimCLU60.txt", 60)</f>
        <v>60</v>
      </c>
      <c r="EG8">
        <f>HYPERLINK("http://exon.niaid.nih.gov/transcriptome/S_calcitrans/S1/links/cluster-b/Scalc-pep35-50SimCLTL60.txt", 25)</f>
        <v>25</v>
      </c>
      <c r="EH8" s="33">
        <f>HYPERLINK("http://exon.niaid.nih.gov/transcriptome/S_calcitrans/S1/links/cluster-b/Scalc-pep40-50SimCLU52.txt", 52)</f>
        <v>52</v>
      </c>
      <c r="EI8">
        <f>HYPERLINK("http://exon.niaid.nih.gov/transcriptome/S_calcitrans/S1/links/cluster-b/Scalc-pep40-50SimCLTL52.txt", 25)</f>
        <v>25</v>
      </c>
      <c r="EJ8" s="33">
        <f>HYPERLINK("http://exon.niaid.nih.gov/transcriptome/S_calcitrans/S1/links/cluster-b/Scalc-pep45-50SimCLU51.txt", 51)</f>
        <v>51</v>
      </c>
      <c r="EK8">
        <f>HYPERLINK("http://exon.niaid.nih.gov/transcriptome/S_calcitrans/S1/links/cluster-b/Scalc-pep45-50SimCLTL51.txt", 24)</f>
        <v>24</v>
      </c>
      <c r="EL8" s="33">
        <f>HYPERLINK("http://exon.niaid.nih.gov/transcriptome/S_calcitrans/S1/links/cluster-b/Scalc-pep50-50SimCLU42.txt", 42)</f>
        <v>42</v>
      </c>
      <c r="EM8">
        <f>HYPERLINK("http://exon.niaid.nih.gov/transcriptome/S_calcitrans/S1/links/cluster-b/Scalc-pep50-50SimCLTL42.txt", 24)</f>
        <v>24</v>
      </c>
      <c r="EN8" s="33">
        <f>HYPERLINK("http://exon.niaid.nih.gov/transcriptome/S_calcitrans/S1/links/cluster-b/Scalc-pep55-50SimCLU58.txt", 58)</f>
        <v>58</v>
      </c>
      <c r="EO8">
        <f>HYPERLINK("http://exon.niaid.nih.gov/transcriptome/S_calcitrans/S1/links/cluster-b/Scalc-pep55-50SimCLTL58.txt", 17)</f>
        <v>17</v>
      </c>
      <c r="EP8" s="33">
        <f>HYPERLINK("http://exon.niaid.nih.gov/transcriptome/S_calcitrans/S1/links/cluster-b/Scalc-pep60-50SimCLU66.txt", 66)</f>
        <v>66</v>
      </c>
      <c r="EQ8">
        <f>HYPERLINK("http://exon.niaid.nih.gov/transcriptome/S_calcitrans/S1/links/cluster-b/Scalc-pep60-50SimCLTL66.txt", 14)</f>
        <v>14</v>
      </c>
      <c r="ER8" s="33">
        <f>HYPERLINK("http://exon.niaid.nih.gov/transcriptome/S_calcitrans/S1/links/cluster-b/Scalc-pep65-50SimCLU54.txt", 54)</f>
        <v>54</v>
      </c>
      <c r="ES8">
        <f>HYPERLINK("http://exon.niaid.nih.gov/transcriptome/S_calcitrans/S1/links/cluster-b/Scalc-pep65-50SimCLTL54.txt", 14)</f>
        <v>14</v>
      </c>
      <c r="ET8" s="33">
        <f>HYPERLINK("http://exon.niaid.nih.gov/transcriptome/S_calcitrans/S1/links/cluster-b/Scalc-pep70-50SimCLU346.txt", 346)</f>
        <v>346</v>
      </c>
      <c r="EU8">
        <f>HYPERLINK("http://exon.niaid.nih.gov/transcriptome/S_calcitrans/S1/links/cluster-b/Scalc-pep70-50SimCLTL346.txt", 6)</f>
        <v>6</v>
      </c>
      <c r="EV8" s="33">
        <f>HYPERLINK("http://exon.niaid.nih.gov/transcriptome/S_calcitrans/S1/links/cluster-b/Scalc-pep75-50SimCLU2230.txt", 2230)</f>
        <v>2230</v>
      </c>
      <c r="EW8">
        <f>HYPERLINK("http://exon.niaid.nih.gov/transcriptome/S_calcitrans/S1/links/cluster-b/Scalc-pep75-50SimCLTL2230.txt", 2)</f>
        <v>2</v>
      </c>
      <c r="EX8" s="33">
        <v>5367</v>
      </c>
      <c r="EY8">
        <v>1</v>
      </c>
      <c r="EZ8" s="33">
        <v>5348</v>
      </c>
      <c r="FA8">
        <v>1</v>
      </c>
      <c r="FB8" s="33">
        <v>5313</v>
      </c>
      <c r="FC8">
        <v>1</v>
      </c>
      <c r="FD8" s="33">
        <v>5267</v>
      </c>
      <c r="FE8">
        <v>1</v>
      </c>
      <c r="FF8" t="s">
        <v>292</v>
      </c>
      <c r="FG8">
        <v>4281</v>
      </c>
      <c r="FH8" s="38" t="str">
        <f>HYPERLINK("http://exon.niaid.nih.gov/transcriptome/S_calcitrans/S1/links/SG_male-stripped_temp-95-h10-1gap/4281-SG_male-stripped_temp-95-h10-1gap.txt","30")</f>
        <v>30</v>
      </c>
      <c r="FI8" s="39">
        <v>46.589446589446602</v>
      </c>
      <c r="FJ8" s="39">
        <v>1.41827541827542</v>
      </c>
      <c r="FK8" s="39">
        <v>0</v>
      </c>
      <c r="FL8" s="39">
        <v>15</v>
      </c>
      <c r="FM8" s="39">
        <v>36.733333333333299</v>
      </c>
      <c r="FN8" s="38" t="str">
        <f>HYPERLINK("http://exon.niaid.nih.gov/transcriptome/S_calcitrans/S1/links/SG_female-stripped_temp-95-h10-1gap/4281-SG_female-stripped_temp-95-h10-1gap.txt","93")</f>
        <v>93</v>
      </c>
      <c r="FO8" s="39">
        <v>61.3899613899614</v>
      </c>
      <c r="FP8" s="39">
        <v>4.1853281853281903</v>
      </c>
      <c r="FQ8" s="39">
        <v>0</v>
      </c>
      <c r="FR8" s="39">
        <v>49</v>
      </c>
      <c r="FS8" s="39">
        <v>34.9677419354839</v>
      </c>
      <c r="FT8" s="38" t="str">
        <f>HYPERLINK("http://exon.niaid.nih.gov/transcriptome/S_calcitrans/S1/links/SRR694289-stripped_temp-95-h10-1gap/4281-SRR694289-stripped_temp-95-h10-1gap.txt","1")</f>
        <v>1</v>
      </c>
      <c r="FU8" s="39">
        <v>8.7516087516087495</v>
      </c>
      <c r="FV8" s="39">
        <v>8.7516087516087498E-2</v>
      </c>
      <c r="FW8" s="39">
        <v>0</v>
      </c>
      <c r="FX8" s="39">
        <v>1</v>
      </c>
      <c r="FY8" s="39">
        <v>68</v>
      </c>
      <c r="FZ8" s="38">
        <v>0</v>
      </c>
      <c r="GA8" s="39" t="s">
        <v>242</v>
      </c>
      <c r="GB8" s="39" t="s">
        <v>242</v>
      </c>
      <c r="GC8" s="39" t="s">
        <v>242</v>
      </c>
      <c r="GD8" s="39" t="s">
        <v>242</v>
      </c>
      <c r="GE8" s="39" t="s">
        <v>242</v>
      </c>
      <c r="GF8">
        <f>1*FH8</f>
        <v>30</v>
      </c>
      <c r="GG8">
        <f>1*FN8</f>
        <v>93</v>
      </c>
      <c r="GH8">
        <f>1*FT8</f>
        <v>1</v>
      </c>
      <c r="GI8">
        <f>1*FZ8</f>
        <v>0</v>
      </c>
      <c r="GJ8">
        <f>IF(FZ8&lt;&gt;"",SUM(GF8:GG8),"")</f>
        <v>123</v>
      </c>
      <c r="GK8" s="34">
        <v>4.7775163091006443E-4</v>
      </c>
      <c r="GL8">
        <v>1.2629967290687161</v>
      </c>
      <c r="GM8">
        <v>1.7804720869783299</v>
      </c>
      <c r="GN8">
        <v>7.3979521891078337E-3</v>
      </c>
      <c r="GO8">
        <v>0</v>
      </c>
      <c r="GP8">
        <f>MAX(GL8:GO8)</f>
        <v>1.7804720869783299</v>
      </c>
      <c r="GQ8" t="s">
        <v>247</v>
      </c>
      <c r="GR8">
        <v>0.98500035722519597</v>
      </c>
      <c r="GS8">
        <v>1.4613512980506338</v>
      </c>
      <c r="GT8">
        <v>1.333597651330321E-2</v>
      </c>
      <c r="GU8">
        <v>0</v>
      </c>
      <c r="GV8">
        <f>MAX(GR8:GU8)</f>
        <v>1.4613512980506338</v>
      </c>
      <c r="GW8">
        <v>73.384730586775447</v>
      </c>
      <c r="GX8">
        <v>123</v>
      </c>
      <c r="GY8">
        <v>1</v>
      </c>
      <c r="GZ8">
        <v>124</v>
      </c>
      <c r="HA8">
        <v>27.527962006482039</v>
      </c>
      <c r="HB8">
        <v>96.472037993517958</v>
      </c>
      <c r="HC8">
        <v>331.11459673220412</v>
      </c>
      <c r="HD8">
        <v>94.482403691400975</v>
      </c>
      <c r="HE8">
        <v>425.5970004236051</v>
      </c>
      <c r="HF8">
        <v>1.4764266401210506E-94</v>
      </c>
      <c r="HG8">
        <v>27.527962006482039</v>
      </c>
      <c r="HH8">
        <v>1</v>
      </c>
      <c r="HI8">
        <v>1</v>
      </c>
      <c r="HJ8">
        <v>2</v>
      </c>
      <c r="HK8" s="37">
        <v>3.43480347150259E-94</v>
      </c>
      <c r="HL8" s="30" t="s">
        <v>262</v>
      </c>
      <c r="HM8">
        <v>215.52740937394123</v>
      </c>
      <c r="HN8">
        <v>2.3011817539873879E-3</v>
      </c>
      <c r="HO8">
        <v>30</v>
      </c>
      <c r="HP8">
        <v>93</v>
      </c>
      <c r="HQ8">
        <v>123</v>
      </c>
      <c r="HR8">
        <v>38.449301205463854</v>
      </c>
      <c r="HS8">
        <v>84.550698794536146</v>
      </c>
      <c r="HT8">
        <v>1.8567487216258676</v>
      </c>
      <c r="HU8">
        <v>0.84435364672901281</v>
      </c>
      <c r="HV8">
        <v>2.7011023683548805</v>
      </c>
      <c r="HW8">
        <v>0.10027888897193774</v>
      </c>
      <c r="HX8">
        <v>38.449301205463854</v>
      </c>
      <c r="HY8">
        <v>1</v>
      </c>
      <c r="HZ8" t="s">
        <v>244</v>
      </c>
      <c r="IA8">
        <v>1</v>
      </c>
      <c r="IB8">
        <v>0.29116154397956501</v>
      </c>
      <c r="IC8" s="30" t="s">
        <v>244</v>
      </c>
      <c r="ID8">
        <v>0.70181420017302409</v>
      </c>
      <c r="IE8">
        <v>1.3642454203328904</v>
      </c>
      <c r="IF8">
        <v>1.3642454203328904</v>
      </c>
      <c r="IG8" t="str">
        <f t="shared" si="1"/>
        <v/>
      </c>
    </row>
    <row r="9" spans="1:241">
      <c r="A9" s="22" t="s">
        <v>293</v>
      </c>
      <c r="B9" s="23"/>
      <c r="C9" s="24"/>
      <c r="D9" s="24"/>
      <c r="E9" s="24"/>
      <c r="F9" s="24"/>
      <c r="G9" s="24"/>
      <c r="H9" s="24"/>
      <c r="I9" s="24"/>
      <c r="J9" s="23"/>
      <c r="K9" s="23"/>
      <c r="L9" s="25"/>
      <c r="M9" s="23"/>
      <c r="N9" s="23"/>
      <c r="O9" s="23"/>
      <c r="P9" s="23"/>
      <c r="Q9" s="25"/>
      <c r="R9" s="23"/>
      <c r="S9" s="24"/>
      <c r="T9" s="24"/>
      <c r="U9" s="24"/>
      <c r="V9" s="24"/>
      <c r="W9" s="24"/>
      <c r="X9" s="24"/>
      <c r="Y9" s="23"/>
      <c r="Z9" s="24"/>
      <c r="AA9" s="24"/>
      <c r="AB9" s="24"/>
      <c r="AC9" s="24"/>
      <c r="AD9" s="24"/>
      <c r="AE9" s="23"/>
      <c r="AF9" s="24"/>
      <c r="AG9" s="24"/>
      <c r="AH9" s="24"/>
      <c r="AI9" s="24"/>
      <c r="AJ9" s="24"/>
      <c r="AK9" s="24"/>
      <c r="AL9" s="24"/>
      <c r="AM9" s="24"/>
      <c r="AN9" s="23" t="str">
        <f t="shared" si="0"/>
        <v/>
      </c>
      <c r="AO9" s="23" t="s">
        <v>244</v>
      </c>
      <c r="AP9" s="24" t="s">
        <v>244</v>
      </c>
      <c r="AQ9" s="26"/>
      <c r="AR9" s="27"/>
      <c r="AS9" s="24"/>
      <c r="AT9" s="24"/>
      <c r="AU9" s="24"/>
      <c r="AV9" s="24"/>
      <c r="AW9" s="28"/>
      <c r="AX9" s="24"/>
      <c r="AY9" s="24"/>
      <c r="AZ9" s="24"/>
      <c r="BA9" s="24"/>
      <c r="BB9" s="24"/>
      <c r="BC9" s="24"/>
      <c r="BD9" s="24"/>
      <c r="BE9" s="24"/>
      <c r="BF9" s="24"/>
      <c r="BG9" s="25"/>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8"/>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9"/>
      <c r="FI9" s="29"/>
      <c r="FJ9" s="29"/>
      <c r="FK9" s="29"/>
      <c r="FL9" s="29"/>
      <c r="FM9" s="29"/>
      <c r="FN9" s="29"/>
      <c r="FO9" s="29"/>
      <c r="FP9" s="29"/>
      <c r="FQ9" s="29"/>
      <c r="FR9" s="29"/>
      <c r="FS9" s="29"/>
      <c r="FT9" s="29"/>
      <c r="FU9" s="29"/>
      <c r="FV9" s="29"/>
      <c r="FW9" s="29"/>
      <c r="FX9" s="29"/>
      <c r="FY9" s="29"/>
      <c r="FZ9" s="29"/>
      <c r="GA9" s="29"/>
      <c r="GB9" s="29"/>
      <c r="GC9" s="29"/>
      <c r="GD9" s="29"/>
      <c r="GE9" s="29"/>
      <c r="GF9" s="24"/>
      <c r="GG9" s="24"/>
      <c r="GH9" s="24"/>
      <c r="GI9" s="24"/>
      <c r="GJ9" s="24" t="str">
        <f t="shared" ref="GJ9:GJ68" si="2">IF(FZ9&lt;&gt;"",SUM(GF9:GG9),"")</f>
        <v/>
      </c>
      <c r="GK9" s="26"/>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3"/>
      <c r="HM9" s="24"/>
      <c r="HN9" s="24"/>
      <c r="HO9" s="24"/>
      <c r="HP9" s="24"/>
      <c r="HQ9" s="24"/>
      <c r="HR9" s="24"/>
      <c r="HS9" s="24"/>
      <c r="HT9" s="24"/>
      <c r="HU9" s="24"/>
      <c r="HV9" s="24"/>
      <c r="HW9" s="24"/>
      <c r="HX9" s="24"/>
      <c r="HY9" s="24"/>
      <c r="HZ9" s="24"/>
      <c r="IA9" s="24"/>
      <c r="IB9" s="24"/>
      <c r="IC9" s="23"/>
      <c r="ID9" s="24"/>
      <c r="IE9" s="24"/>
      <c r="IF9" s="24"/>
      <c r="IG9" s="24" t="str">
        <f t="shared" si="1"/>
        <v/>
      </c>
    </row>
    <row r="10" spans="1:241">
      <c r="A10" t="str">
        <f>HYPERLINK("http://exon.niaid.nih.gov/transcriptome/S_calcitrans/S1/links/pep/XP_013097499.1-pep.txt","XP_013097499.1")</f>
        <v>XP_013097499.1</v>
      </c>
      <c r="B10" s="30" t="s">
        <v>232</v>
      </c>
      <c r="C10">
        <v>167</v>
      </c>
      <c r="D10" t="s">
        <v>294</v>
      </c>
      <c r="E10">
        <v>0</v>
      </c>
      <c r="F10" t="s">
        <v>295</v>
      </c>
      <c r="G10" t="str">
        <f>HYPERLINK("http://exon.niaid.nih.gov/transcriptome/S_calcitrans/S1/links/cds/XM_013242045_1-cds.txt","XM_013242045_1")</f>
        <v>XM_013242045_1</v>
      </c>
      <c r="H10">
        <v>504</v>
      </c>
      <c r="I10" t="s">
        <v>296</v>
      </c>
      <c r="J10" s="30" t="s">
        <v>236</v>
      </c>
      <c r="K10" s="30" t="s">
        <v>91</v>
      </c>
      <c r="L10" s="31" t="s">
        <v>297</v>
      </c>
      <c r="M10" s="30">
        <v>850723</v>
      </c>
      <c r="N10" s="30">
        <v>851306</v>
      </c>
      <c r="O10" s="30" t="s">
        <v>276</v>
      </c>
      <c r="P10" s="30">
        <v>2</v>
      </c>
      <c r="Q10" s="31" t="s">
        <v>298</v>
      </c>
      <c r="R10" s="32" t="str">
        <f>HYPERLINK("http://exon.niaid.nih.gov/transcriptome/S_calcitrans/S1/links/Sigp/XP_013097499.1-SigP.txt","SIG")</f>
        <v>SIG</v>
      </c>
      <c r="S10" t="s">
        <v>299</v>
      </c>
      <c r="T10">
        <v>19.654</v>
      </c>
      <c r="U10">
        <v>6.08</v>
      </c>
      <c r="V10">
        <v>17.722999999999999</v>
      </c>
      <c r="W10">
        <v>6.01</v>
      </c>
      <c r="X10" t="s">
        <v>300</v>
      </c>
      <c r="Y10" s="32">
        <v>0</v>
      </c>
      <c r="Z10" t="s">
        <v>242</v>
      </c>
      <c r="AA10" t="s">
        <v>242</v>
      </c>
      <c r="AB10" t="s">
        <v>242</v>
      </c>
      <c r="AC10" t="s">
        <v>242</v>
      </c>
      <c r="AD10" t="s">
        <v>242</v>
      </c>
      <c r="AE10" s="32" t="str">
        <f>HYPERLINK("http://exon.niaid.nih.gov/transcriptome/S_calcitrans/S1/links/netoglyc/XP_013097499.1-netoglyc.txt","0")</f>
        <v>0</v>
      </c>
      <c r="AF10">
        <v>9.6</v>
      </c>
      <c r="AG10">
        <v>6</v>
      </c>
      <c r="AH10">
        <v>1.8</v>
      </c>
      <c r="AI10" t="s">
        <v>243</v>
      </c>
      <c r="AJ10" t="s">
        <v>242</v>
      </c>
      <c r="AK10">
        <v>113.89659844964373</v>
      </c>
      <c r="AL10" s="33">
        <v>5081</v>
      </c>
      <c r="AM10">
        <v>1</v>
      </c>
      <c r="AN10" s="30">
        <f t="shared" si="0"/>
        <v>1</v>
      </c>
      <c r="AO10" s="30" t="s">
        <v>244</v>
      </c>
      <c r="AP10">
        <v>130</v>
      </c>
      <c r="AQ10" s="34">
        <v>5.0494074811632827E-4</v>
      </c>
      <c r="AR10" s="35">
        <v>48.215931143089087</v>
      </c>
      <c r="AS10" t="s">
        <v>301</v>
      </c>
      <c r="AT10" s="36" t="s">
        <v>302</v>
      </c>
      <c r="AU10" t="s">
        <v>303</v>
      </c>
      <c r="AV10" t="str">
        <f>HYPERLINK("http://exon.niaid.nih.gov/transcriptome/S_calcitrans/S1/links/REFSEQ-INVERTEBRATE/XP_013097499.1-REFSEQ-INVERTEBRATE.txt","REFSEQ-INVERTEBRATE")</f>
        <v>REFSEQ-INVERTEBRATE</v>
      </c>
      <c r="AW10">
        <v>0</v>
      </c>
      <c r="AX10">
        <v>100</v>
      </c>
      <c r="AY10" s="33"/>
      <c r="BG10" s="31"/>
      <c r="BJ10" s="33"/>
      <c r="BK10" s="33"/>
      <c r="BL10" s="33" t="str">
        <f>HYPERLINK("http://exon.niaid.nih.gov/transcriptome/S_calcitrans/S1/links/NR-LIGHT/XP_013097499.1-NR-LIGHT.txt","general odorant-binding protein 99b-like")</f>
        <v>general odorant-binding protein 99b-like</v>
      </c>
      <c r="BM10" t="str">
        <f>HYPERLINK("http://www.ncbi.nlm.nih.gov/sutils/blink.cgi?pid=557774415","5E-070")</f>
        <v>5E-070</v>
      </c>
      <c r="BN10" t="str">
        <f>HYPERLINK("http://www.ncbi.nlm.nih.gov/protein/557774415","gi|557774415")</f>
        <v>gi|557774415</v>
      </c>
      <c r="BO10">
        <v>67</v>
      </c>
      <c r="BP10">
        <v>81</v>
      </c>
      <c r="BQ10">
        <v>104</v>
      </c>
      <c r="BR10" t="s">
        <v>251</v>
      </c>
      <c r="BS10" s="33" t="str">
        <f>HYPERLINK("http://exon.niaid.nih.gov/transcriptome/S_calcitrans/S1/links/SWISSP/XP_013097499.1-SWISSP.txt","General odorant-binding protein 99b")</f>
        <v>General odorant-binding protein 99b</v>
      </c>
      <c r="BT10" t="str">
        <f>HYPERLINK("http://www.uniprot.org/uniprot/Q9VAI6","1E-035")</f>
        <v>1E-035</v>
      </c>
      <c r="BU10" t="str">
        <f>HYPERLINK("http://www.uniprot.org/uniprot/Q9VAI6#expression","Q9VAI6")</f>
        <v>Q9VAI6</v>
      </c>
      <c r="BV10">
        <v>43</v>
      </c>
      <c r="BW10">
        <v>60</v>
      </c>
      <c r="BX10">
        <v>110</v>
      </c>
      <c r="BY10" t="s">
        <v>304</v>
      </c>
      <c r="BZ10" s="33" t="str">
        <f>HYPERLINK("http://exon.niaid.nih.gov/transcriptome/S_calcitrans/S1/links/REFSEQ-INVERTEBRATE/XP_013097499.1-REFSEQ-INVERTEBRATE.txt","general odorant-binding protein 99b precursor")</f>
        <v>general odorant-binding protein 99b precursor</v>
      </c>
      <c r="CA10" t="str">
        <f>HYPERLINK("http://www.ncbi.nlm.nih.gov/sutils/blink.cgi?pid=910242164","1E-101")</f>
        <v>1E-101</v>
      </c>
      <c r="CB10" t="str">
        <f>HYPERLINK("http://www.ncbi.nlm.nih.gov/protein/910242164","gi|910242164")</f>
        <v>gi|910242164</v>
      </c>
      <c r="CC10">
        <v>99</v>
      </c>
      <c r="CD10">
        <v>99</v>
      </c>
      <c r="CE10">
        <v>100</v>
      </c>
      <c r="CF10" t="s">
        <v>253</v>
      </c>
      <c r="CG10" s="33" t="str">
        <f>HYPERLINK("http://exon.niaid.nih.gov/transcriptome/S_calcitrans/S1/links/DIPTERA/XP_013097499.1-DIPTERA.txt","putative odorant binding protein")</f>
        <v>putative odorant binding protein</v>
      </c>
      <c r="CH10" t="str">
        <f>HYPERLINK("http://www.ncbi.nlm.nih.gov/sutils/blink.cgi?pid=296142205","1E-101")</f>
        <v>1E-101</v>
      </c>
      <c r="CI10" t="str">
        <f>HYPERLINK("http://www.ncbi.nlm.nih.gov/protein/296142205","gi|296142205")</f>
        <v>gi|296142205</v>
      </c>
      <c r="CJ10">
        <v>99</v>
      </c>
      <c r="CK10">
        <v>99</v>
      </c>
      <c r="CL10">
        <v>100</v>
      </c>
      <c r="CM10" t="s">
        <v>253</v>
      </c>
      <c r="CN10" s="33" t="s">
        <v>242</v>
      </c>
      <c r="CO10" t="s">
        <v>242</v>
      </c>
      <c r="CP10" t="s">
        <v>242</v>
      </c>
      <c r="CQ10" t="s">
        <v>242</v>
      </c>
      <c r="CR10" t="s">
        <v>242</v>
      </c>
      <c r="CS10" t="s">
        <v>242</v>
      </c>
      <c r="CT10" t="s">
        <v>242</v>
      </c>
      <c r="CU10" s="33" t="s">
        <v>305</v>
      </c>
      <c r="CV10">
        <f>HYPERLINK("http://exon.niaid.nih.gov/transcriptome/S_calcitrans/S1/links/GO/XP_013097499.1-GO.txt",2E-35)</f>
        <v>2E-35</v>
      </c>
      <c r="CW10" t="str">
        <f>HYPERLINK("http://amigo.geneontology.org/cgi-bin/amigo/term_details?term=GO:0005549","GO:0005549")</f>
        <v>GO:0005549</v>
      </c>
      <c r="CX10" t="s">
        <v>306</v>
      </c>
      <c r="CY10" t="s">
        <v>307</v>
      </c>
      <c r="CZ10" t="s">
        <v>242</v>
      </c>
      <c r="DA10" t="s">
        <v>242</v>
      </c>
      <c r="DC10" t="s">
        <v>308</v>
      </c>
      <c r="DD10" s="37">
        <v>2E-35</v>
      </c>
      <c r="DE10" s="33" t="str">
        <f>HYPERLINK("http://exon.niaid.nih.gov/transcriptome/S_calcitrans/S1/links/CDD/XP_013097499.1-CDD.txt","PBP_GOBP")</f>
        <v>PBP_GOBP</v>
      </c>
      <c r="DF10" t="str">
        <f>HYPERLINK("http://www.ncbi.nlm.nih.gov/Structure/cdd/cddsrv.cgi?uid=pfam01395&amp;version=v4.0","1E-022")</f>
        <v>1E-022</v>
      </c>
      <c r="DG10" t="s">
        <v>309</v>
      </c>
      <c r="DH10" s="33" t="str">
        <f>HYPERLINK("http://exon.niaid.nih.gov/transcriptome/S_calcitrans/S1/links/KOG/XP_013097499.1-KOG.txt","Vacuolar assembly/sorting protein PEP5/VPS11")</f>
        <v>Vacuolar assembly/sorting protein PEP5/VPS11</v>
      </c>
      <c r="DI10" t="str">
        <f>HYPERLINK("http://www.ncbi.nlm.nih.gov/Structure/cdd/cddsrv.cgi?uid=KOG2114","0.78")</f>
        <v>0.78</v>
      </c>
      <c r="DJ10" t="s">
        <v>310</v>
      </c>
      <c r="DK10" t="str">
        <f>HYPERLINK("http://exon.niaid.nih.gov/transcriptome/S_calcitrans/S1/links/KOG/XP_013097499.1-KOG.txt","KOG2114")</f>
        <v>KOG2114</v>
      </c>
      <c r="DL10" s="33" t="str">
        <f>HYPERLINK("http://exon.niaid.nih.gov/transcriptome/S_calcitrans/S1/links/PFAM/XP_013097499.1-PFAM.txt","PBP_GOBP")</f>
        <v>PBP_GOBP</v>
      </c>
      <c r="DM10" t="str">
        <f>HYPERLINK("http://pfam.sanger.ac.uk/family?acc=PF01395","1E-018")</f>
        <v>1E-018</v>
      </c>
      <c r="DN10" s="33" t="str">
        <f>HYPERLINK("http://exon.niaid.nih.gov/transcriptome/S_calcitrans/S1/links/SMART/XP_013097499.1-SMART.txt","PhBP")</f>
        <v>PhBP</v>
      </c>
      <c r="DO10" t="str">
        <f>HYPERLINK("http://smart.embl-heidelberg.de/smart/do_annotation.pl?DOMAIN=PhBP&amp;BLAST=DUMMY","7E-016")</f>
        <v>7E-016</v>
      </c>
      <c r="DP10" s="33"/>
      <c r="EB10" s="33">
        <f>HYPERLINK("http://exon.niaid.nih.gov/transcriptome/S_calcitrans/S1/links/cluster-b/Scalc-pep25-50SimCLU1.txt", 1)</f>
        <v>1</v>
      </c>
      <c r="EC10">
        <f>HYPERLINK("http://exon.niaid.nih.gov/transcriptome/S_calcitrans/S1/links/cluster-b/Scalc-pep25-50SimCLTL1.txt", 5170)</f>
        <v>5170</v>
      </c>
      <c r="ED10" s="33">
        <f>HYPERLINK("http://exon.niaid.nih.gov/transcriptome/S_calcitrans/S1/links/cluster-b/Scalc-pep30-50SimCLU1.txt", 1)</f>
        <v>1</v>
      </c>
      <c r="EE10">
        <f>HYPERLINK("http://exon.niaid.nih.gov/transcriptome/S_calcitrans/S1/links/cluster-b/Scalc-pep30-50SimCLTL1.txt", 1550)</f>
        <v>1550</v>
      </c>
      <c r="EF10" s="33">
        <f>HYPERLINK("http://exon.niaid.nih.gov/transcriptome/S_calcitrans/S1/links/cluster-b/Scalc-pep35-50SimCLU13.txt", 13)</f>
        <v>13</v>
      </c>
      <c r="EG10">
        <f>HYPERLINK("http://exon.niaid.nih.gov/transcriptome/S_calcitrans/S1/links/cluster-b/Scalc-pep35-50SimCLTL13.txt", 72)</f>
        <v>72</v>
      </c>
      <c r="EH10" s="33">
        <f>HYPERLINK("http://exon.niaid.nih.gov/transcriptome/S_calcitrans/S1/links/cluster-b/Scalc-pep40-50SimCLU11.txt", 11)</f>
        <v>11</v>
      </c>
      <c r="EI10">
        <f>HYPERLINK("http://exon.niaid.nih.gov/transcriptome/S_calcitrans/S1/links/cluster-b/Scalc-pep40-50SimCLTL11.txt", 70)</f>
        <v>70</v>
      </c>
      <c r="EJ10" s="33">
        <f>HYPERLINK("http://exon.niaid.nih.gov/transcriptome/S_calcitrans/S1/links/cluster-b/Scalc-pep45-50SimCLU9.txt", 9)</f>
        <v>9</v>
      </c>
      <c r="EK10">
        <f>HYPERLINK("http://exon.niaid.nih.gov/transcriptome/S_calcitrans/S1/links/cluster-b/Scalc-pep45-50SimCLTL9.txt", 55)</f>
        <v>55</v>
      </c>
      <c r="EL10" s="33">
        <f>HYPERLINK("http://exon.niaid.nih.gov/transcriptome/S_calcitrans/S1/links/cluster-b/Scalc-pep50-50SimCLU500.txt", 500)</f>
        <v>500</v>
      </c>
      <c r="EM10">
        <f>HYPERLINK("http://exon.niaid.nih.gov/transcriptome/S_calcitrans/S1/links/cluster-b/Scalc-pep50-50SimCLTL500.txt", 6)</f>
        <v>6</v>
      </c>
      <c r="EN10" s="33">
        <v>4877</v>
      </c>
      <c r="EO10">
        <v>1</v>
      </c>
      <c r="EP10" s="33">
        <v>5016</v>
      </c>
      <c r="EQ10">
        <v>1</v>
      </c>
      <c r="ER10" s="33">
        <v>5127</v>
      </c>
      <c r="ES10">
        <v>1</v>
      </c>
      <c r="ET10" s="33">
        <v>5188</v>
      </c>
      <c r="EU10">
        <v>1</v>
      </c>
      <c r="EV10" s="33">
        <v>5210</v>
      </c>
      <c r="EW10">
        <v>1</v>
      </c>
      <c r="EX10" s="33">
        <v>5231</v>
      </c>
      <c r="EY10">
        <v>1</v>
      </c>
      <c r="EZ10" s="33">
        <v>5193</v>
      </c>
      <c r="FA10">
        <v>1</v>
      </c>
      <c r="FB10" s="33">
        <v>5143</v>
      </c>
      <c r="FC10">
        <v>1</v>
      </c>
      <c r="FD10" s="33">
        <v>5081</v>
      </c>
      <c r="FE10">
        <v>1</v>
      </c>
      <c r="FF10" t="s">
        <v>311</v>
      </c>
      <c r="FG10">
        <v>3920</v>
      </c>
      <c r="FH10" s="38" t="str">
        <f>HYPERLINK("http://exon.niaid.nih.gov/transcriptome/S_calcitrans/S1/links/SG_male-stripped_temp-95-h10-1gap/3920-SG_male-stripped_temp-95-h10-1gap.txt","33")</f>
        <v>33</v>
      </c>
      <c r="FI10" s="39">
        <v>84.7222222222222</v>
      </c>
      <c r="FJ10" s="39">
        <v>4.0555555555555598</v>
      </c>
      <c r="FK10" s="39">
        <v>0</v>
      </c>
      <c r="FL10" s="39">
        <v>16</v>
      </c>
      <c r="FM10" s="39">
        <v>61.939393939393902</v>
      </c>
      <c r="FN10" s="38" t="str">
        <f>HYPERLINK("http://exon.niaid.nih.gov/transcriptome/S_calcitrans/S1/links/SG_female-stripped_temp-95-h10-1gap/3920-SG_female-stripped_temp-95-h10-1gap.txt","97")</f>
        <v>97</v>
      </c>
      <c r="FO10" s="39">
        <v>92.261904761904802</v>
      </c>
      <c r="FP10" s="39">
        <v>13.5833333333333</v>
      </c>
      <c r="FQ10" s="39">
        <v>0</v>
      </c>
      <c r="FR10" s="39">
        <v>26</v>
      </c>
      <c r="FS10" s="39">
        <v>70.577319587628907</v>
      </c>
      <c r="FT10" s="38" t="str">
        <f>HYPERLINK("http://exon.niaid.nih.gov/transcriptome/S_calcitrans/S1/links/SRR694289-stripped_temp-95-h10-1gap/3920-SRR694289-stripped_temp-95-h10-1gap.txt","2")</f>
        <v>2</v>
      </c>
      <c r="FU10" s="39">
        <v>39.682539682539698</v>
      </c>
      <c r="FV10" s="39">
        <v>0.39682539682539703</v>
      </c>
      <c r="FW10" s="39">
        <v>0</v>
      </c>
      <c r="FX10" s="39">
        <v>1</v>
      </c>
      <c r="FY10" s="39">
        <v>100</v>
      </c>
      <c r="FZ10" s="38" t="str">
        <f>HYPERLINK("http://exon.niaid.nih.gov/transcriptome/S_calcitrans/S1/links/SRR694925-stripped_temp-95-h10-1gap/3920-SRR694925-stripped_temp-95-h10-1gap.txt","1")</f>
        <v>1</v>
      </c>
      <c r="GA10" s="39">
        <v>9.3253968253968296</v>
      </c>
      <c r="GB10" s="39">
        <v>9.3253968253968297E-2</v>
      </c>
      <c r="GC10" s="39">
        <v>0</v>
      </c>
      <c r="GD10" s="39">
        <v>1</v>
      </c>
      <c r="GE10" s="39">
        <v>47</v>
      </c>
      <c r="GF10">
        <f>1*FH10</f>
        <v>33</v>
      </c>
      <c r="GG10">
        <f>1*FN10</f>
        <v>97</v>
      </c>
      <c r="GH10">
        <f>1*FT10</f>
        <v>2</v>
      </c>
      <c r="GI10">
        <f>1*FZ10</f>
        <v>1</v>
      </c>
      <c r="GJ10">
        <f>IF(FZ10&lt;&gt;"",SUM(GF10:GG10),"")</f>
        <v>130</v>
      </c>
      <c r="GK10" s="34">
        <v>5.0494074811632827E-4</v>
      </c>
      <c r="GL10">
        <v>2.1418319530456977</v>
      </c>
      <c r="GM10">
        <v>2.8629544445184703</v>
      </c>
      <c r="GN10">
        <v>2.2810352583082488E-2</v>
      </c>
      <c r="GO10">
        <v>1.1757453150478065E-2</v>
      </c>
      <c r="GP10">
        <f>MAX(GL10:GO10)</f>
        <v>2.8629544445184703</v>
      </c>
      <c r="GQ10" t="s">
        <v>303</v>
      </c>
      <c r="GR10">
        <v>1.6703964391277284</v>
      </c>
      <c r="GS10">
        <v>2.3498162225375112</v>
      </c>
      <c r="GT10">
        <v>4.1119260916018231E-2</v>
      </c>
      <c r="GU10">
        <v>2.2260082101014159E-2</v>
      </c>
      <c r="GV10">
        <f>MAX(GR10:GU10)</f>
        <v>2.3498162225375112</v>
      </c>
      <c r="GW10">
        <v>48.215931143089087</v>
      </c>
      <c r="GX10">
        <v>130</v>
      </c>
      <c r="GY10">
        <v>3</v>
      </c>
      <c r="GZ10">
        <v>133</v>
      </c>
      <c r="HA10">
        <v>29.525959248887993</v>
      </c>
      <c r="HB10">
        <v>103.474040751112</v>
      </c>
      <c r="HC10">
        <v>341.90363739787097</v>
      </c>
      <c r="HD10">
        <v>97.561019088235682</v>
      </c>
      <c r="HE10">
        <v>439.46465648610666</v>
      </c>
      <c r="HF10">
        <v>1.4156560771691063E-97</v>
      </c>
      <c r="HG10">
        <v>29.525959248887993</v>
      </c>
      <c r="HH10">
        <v>1</v>
      </c>
      <c r="HI10">
        <v>1</v>
      </c>
      <c r="HJ10">
        <v>2</v>
      </c>
      <c r="HK10" s="37">
        <v>3.3327985528523501E-97</v>
      </c>
      <c r="HL10" s="30" t="s">
        <v>262</v>
      </c>
      <c r="HM10">
        <v>113.89659844964373</v>
      </c>
      <c r="HN10">
        <v>6.5346535304069333E-3</v>
      </c>
      <c r="HO10">
        <v>33</v>
      </c>
      <c r="HP10">
        <v>97</v>
      </c>
      <c r="HQ10">
        <v>130</v>
      </c>
      <c r="HR10">
        <v>40.637472818782939</v>
      </c>
      <c r="HS10">
        <v>89.362527181217061</v>
      </c>
      <c r="HT10">
        <v>1.4353990790167246</v>
      </c>
      <c r="HU10">
        <v>0.6527455399662051</v>
      </c>
      <c r="HV10">
        <v>2.0881446189829296</v>
      </c>
      <c r="HW10">
        <v>0.14844626006755471</v>
      </c>
      <c r="HX10">
        <v>40.637472818782939</v>
      </c>
      <c r="HY10">
        <v>1</v>
      </c>
      <c r="HZ10" t="s">
        <v>244</v>
      </c>
      <c r="IA10">
        <v>1</v>
      </c>
      <c r="IB10">
        <v>0.378749691669508</v>
      </c>
      <c r="IC10" s="30" t="s">
        <v>244</v>
      </c>
      <c r="ID10">
        <v>0.7404855948764355</v>
      </c>
      <c r="IE10">
        <v>1.297370644826376</v>
      </c>
      <c r="IF10">
        <v>1.297370644826376</v>
      </c>
      <c r="IG10" t="str">
        <f t="shared" si="1"/>
        <v/>
      </c>
    </row>
    <row r="11" spans="1:241">
      <c r="A11" t="str">
        <f>HYPERLINK("http://exon.niaid.nih.gov/transcriptome/S_calcitrans/S1/links/pep/XP_013106862.1-pep.txt","XP_013106862.1")</f>
        <v>XP_013106862.1</v>
      </c>
      <c r="B11" s="30" t="s">
        <v>232</v>
      </c>
      <c r="C11">
        <v>192</v>
      </c>
      <c r="D11" t="s">
        <v>312</v>
      </c>
      <c r="E11">
        <v>0</v>
      </c>
      <c r="F11" t="s">
        <v>313</v>
      </c>
      <c r="G11" t="str">
        <f>HYPERLINK("http://exon.niaid.nih.gov/transcriptome/S_calcitrans/S1/links/cds/XM_013251408_1-cds.txt","XM_013251408_1")</f>
        <v>XM_013251408_1</v>
      </c>
      <c r="H11">
        <v>579</v>
      </c>
      <c r="I11" t="s">
        <v>314</v>
      </c>
      <c r="J11" s="30" t="s">
        <v>236</v>
      </c>
      <c r="K11" s="30" t="s">
        <v>91</v>
      </c>
      <c r="L11" s="31" t="s">
        <v>315</v>
      </c>
      <c r="M11" s="30">
        <v>625802</v>
      </c>
      <c r="N11" s="30">
        <v>626576</v>
      </c>
      <c r="O11" s="30" t="s">
        <v>276</v>
      </c>
      <c r="P11" s="30">
        <v>4</v>
      </c>
      <c r="Q11" s="31" t="s">
        <v>316</v>
      </c>
      <c r="R11" s="32" t="str">
        <f>HYPERLINK("http://exon.niaid.nih.gov/transcriptome/S_calcitrans/S1/links/Sigp/XP_013106862.1-SigP.txt","SIG")</f>
        <v>SIG</v>
      </c>
      <c r="S11" t="s">
        <v>317</v>
      </c>
      <c r="T11">
        <v>21.49</v>
      </c>
      <c r="U11">
        <v>5.17</v>
      </c>
      <c r="V11">
        <v>19.154</v>
      </c>
      <c r="W11">
        <v>4.8499999999999996</v>
      </c>
      <c r="X11" t="s">
        <v>318</v>
      </c>
      <c r="Y11" s="32">
        <v>0</v>
      </c>
      <c r="Z11" t="s">
        <v>242</v>
      </c>
      <c r="AA11" t="s">
        <v>242</v>
      </c>
      <c r="AB11" t="s">
        <v>242</v>
      </c>
      <c r="AC11" t="s">
        <v>242</v>
      </c>
      <c r="AD11" t="s">
        <v>242</v>
      </c>
      <c r="AE11" s="32" t="str">
        <f>HYPERLINK("http://exon.niaid.nih.gov/transcriptome/S_calcitrans/S1/links/netoglyc/XP_013106862.1-netoglyc.txt","0")</f>
        <v>0</v>
      </c>
      <c r="AF11">
        <v>17.7</v>
      </c>
      <c r="AG11">
        <v>4.2</v>
      </c>
      <c r="AH11">
        <v>4.2</v>
      </c>
      <c r="AI11" t="s">
        <v>243</v>
      </c>
      <c r="AJ11" t="s">
        <v>319</v>
      </c>
      <c r="AK11">
        <v>4988.7683596144379</v>
      </c>
      <c r="AL11" s="33">
        <v>9501</v>
      </c>
      <c r="AM11">
        <v>1</v>
      </c>
      <c r="AN11" s="30">
        <f t="shared" si="0"/>
        <v>1</v>
      </c>
      <c r="AO11" s="30" t="s">
        <v>244</v>
      </c>
      <c r="AP11">
        <v>102494</v>
      </c>
      <c r="AQ11" s="34">
        <v>0.39810305413411501</v>
      </c>
      <c r="AR11" s="35">
        <v>2400.0618687936121</v>
      </c>
      <c r="AS11" t="s">
        <v>320</v>
      </c>
      <c r="AT11" s="36" t="s">
        <v>321</v>
      </c>
      <c r="AU11" t="s">
        <v>322</v>
      </c>
      <c r="AV11" t="str">
        <f>HYPERLINK("http://exon.niaid.nih.gov/transcriptome/S_calcitrans/S1/links/DIPTERA/XP_013106862.1-DIPTERA.txt","DIPTERA")</f>
        <v>DIPTERA</v>
      </c>
      <c r="AW11" s="37">
        <v>3.9999999999999997E-65</v>
      </c>
      <c r="AX11">
        <v>95.4</v>
      </c>
      <c r="AY11" s="33"/>
      <c r="BG11" s="31"/>
      <c r="BJ11" s="33"/>
      <c r="BK11" s="33"/>
      <c r="BL11" s="33" t="str">
        <f>HYPERLINK("http://exon.niaid.nih.gov/transcriptome/S_calcitrans/S1/links/NR-LIGHT/XP_013106862.1-NR-LIGHT.txt","apolipoprotein D")</f>
        <v>apolipoprotein D</v>
      </c>
      <c r="BM11" t="str">
        <f>HYPERLINK("http://www.ncbi.nlm.nih.gov/sutils/blink.cgi?pid=557759132","1E-064")</f>
        <v>1E-064</v>
      </c>
      <c r="BN11" t="str">
        <f>HYPERLINK("http://www.ncbi.nlm.nih.gov/protein/557759132","gi|557759132")</f>
        <v>gi|557759132</v>
      </c>
      <c r="BO11">
        <v>59</v>
      </c>
      <c r="BP11">
        <v>80</v>
      </c>
      <c r="BQ11">
        <v>95</v>
      </c>
      <c r="BR11" t="s">
        <v>251</v>
      </c>
      <c r="BS11" s="33" t="str">
        <f>HYPERLINK("http://exon.niaid.nih.gov/transcriptome/S_calcitrans/S1/links/SWISSP/XP_013106862.1-SWISSP.txt","Apolipoprotein D")</f>
        <v>Apolipoprotein D</v>
      </c>
      <c r="BT11" t="str">
        <f>HYPERLINK("http://www.uniprot.org/uniprot/P51909","1E-027")</f>
        <v>1E-027</v>
      </c>
      <c r="BU11" t="str">
        <f>HYPERLINK("http://www.uniprot.org/uniprot/P51909#expression","P51909")</f>
        <v>P51909</v>
      </c>
      <c r="BV11">
        <v>41</v>
      </c>
      <c r="BW11">
        <v>54</v>
      </c>
      <c r="BX11">
        <v>98</v>
      </c>
      <c r="BY11" t="s">
        <v>323</v>
      </c>
      <c r="BZ11" s="33" t="str">
        <f>HYPERLINK("http://exon.niaid.nih.gov/transcriptome/S_calcitrans/S1/links/REFSEQ-INVERTEBRATE/XP_013106862.1-REFSEQ-INVERTEBRATE.txt","apolipoprotein D-like")</f>
        <v>apolipoprotein D-like</v>
      </c>
      <c r="CA11" t="str">
        <f>HYPERLINK("http://www.ncbi.nlm.nih.gov/sutils/blink.cgi?pid=907683348","1E-107")</f>
        <v>1E-107</v>
      </c>
      <c r="CB11" t="str">
        <f>HYPERLINK("http://www.ncbi.nlm.nih.gov/protein/907683348","gi|907683348")</f>
        <v>gi|907683348</v>
      </c>
      <c r="CC11">
        <v>100</v>
      </c>
      <c r="CD11">
        <v>100</v>
      </c>
      <c r="CE11">
        <v>100</v>
      </c>
      <c r="CF11" t="s">
        <v>253</v>
      </c>
      <c r="CG11" s="33" t="str">
        <f>HYPERLINK("http://exon.niaid.nih.gov/transcriptome/S_calcitrans/S1/links/DIPTERA/XP_013106862.1-DIPTERA.txt","apolipoprotein D-like")</f>
        <v>apolipoprotein D-like</v>
      </c>
      <c r="CH11" t="str">
        <f>HYPERLINK("http://www.ncbi.nlm.nih.gov/sutils/blink.cgi?pid=907683348","1E-107")</f>
        <v>1E-107</v>
      </c>
      <c r="CI11" t="str">
        <f>HYPERLINK("http://www.ncbi.nlm.nih.gov/protein/907683348","gi|907683348")</f>
        <v>gi|907683348</v>
      </c>
      <c r="CJ11">
        <v>100</v>
      </c>
      <c r="CK11">
        <v>100</v>
      </c>
      <c r="CL11">
        <v>100</v>
      </c>
      <c r="CM11" t="s">
        <v>253</v>
      </c>
      <c r="CN11" s="33" t="str">
        <f>HYPERLINK("http://exon.niaid.nih.gov/transcriptome/S_calcitrans/S1/links/VIRUS/XP_013106862.1-VIRUS.txt","putative lipocalin")</f>
        <v>putative lipocalin</v>
      </c>
      <c r="CO11" t="str">
        <f>HYPERLINK("http://www.ncbi.nlm.nih.gov/sutils/blink.cgi?pid=311978291","8E-007")</f>
        <v>8E-007</v>
      </c>
      <c r="CP11" t="str">
        <f>HYPERLINK("http://www.ncbi.nlm.nih.gov/protein/311978291","gi|311978291")</f>
        <v>gi|311978291</v>
      </c>
      <c r="CQ11">
        <v>26</v>
      </c>
      <c r="CR11">
        <v>46</v>
      </c>
      <c r="CS11">
        <v>94</v>
      </c>
      <c r="CT11" t="s">
        <v>324</v>
      </c>
      <c r="CU11" s="33" t="s">
        <v>325</v>
      </c>
      <c r="CV11">
        <f>HYPERLINK("http://exon.niaid.nih.gov/transcriptome/S_calcitrans/S1/links/GO/XP_013106862.1-GO.txt",3E-32)</f>
        <v>3E-32</v>
      </c>
      <c r="CW11" t="str">
        <f>HYPERLINK("http://amigo.geneontology.org/cgi-bin/amigo/term_details?term=GO:0008289","GO:0008289")</f>
        <v>GO:0008289</v>
      </c>
      <c r="CX11" t="s">
        <v>326</v>
      </c>
      <c r="CY11" t="s">
        <v>327</v>
      </c>
      <c r="CZ11" t="s">
        <v>242</v>
      </c>
      <c r="DA11" t="s">
        <v>242</v>
      </c>
      <c r="DD11" s="37">
        <v>3E-32</v>
      </c>
      <c r="DE11" s="33" t="str">
        <f>HYPERLINK("http://exon.niaid.nih.gov/transcriptome/S_calcitrans/S1/links/CDD/XP_013106862.1-CDD.txt","Lipocalin_2")</f>
        <v>Lipocalin_2</v>
      </c>
      <c r="DF11" t="str">
        <f>HYPERLINK("http://www.ncbi.nlm.nih.gov/Structure/cdd/cddsrv.cgi?uid=pfam08212&amp;version=v4.0","5E-019")</f>
        <v>5E-019</v>
      </c>
      <c r="DG11" t="s">
        <v>328</v>
      </c>
      <c r="DH11" s="33" t="str">
        <f>HYPERLINK("http://exon.niaid.nih.gov/transcriptome/S_calcitrans/S1/links/KOG/XP_013106862.1-KOG.txt","Apolipoprotein D/Lipocalin")</f>
        <v>Apolipoprotein D/Lipocalin</v>
      </c>
      <c r="DI11" t="str">
        <f>HYPERLINK("http://www.ncbi.nlm.nih.gov/Structure/cdd/cddsrv.cgi?uid=KOG4824","1E-025")</f>
        <v>1E-025</v>
      </c>
      <c r="DJ11" t="s">
        <v>329</v>
      </c>
      <c r="DK11" t="str">
        <f>HYPERLINK("http://exon.niaid.nih.gov/transcriptome/S_calcitrans/S1/links/KOG/XP_013106862.1-KOG.txt","KOG4824")</f>
        <v>KOG4824</v>
      </c>
      <c r="DL11" s="33" t="str">
        <f>HYPERLINK("http://exon.niaid.nih.gov/transcriptome/S_calcitrans/S1/links/PFAM/XP_013106862.1-PFAM.txt","Lipocalin_2")</f>
        <v>Lipocalin_2</v>
      </c>
      <c r="DM11" t="str">
        <f>HYPERLINK("http://pfam.sanger.ac.uk/family?acc=PF08212","3E-016")</f>
        <v>3E-016</v>
      </c>
      <c r="DN11" s="33" t="str">
        <f>HYPERLINK("http://exon.niaid.nih.gov/transcriptome/S_calcitrans/S1/links/SMART/XP_013106862.1-SMART.txt","Bgal_small_N")</f>
        <v>Bgal_small_N</v>
      </c>
      <c r="DO11" t="str">
        <f>HYPERLINK("http://smart.embl-heidelberg.de/smart/do_annotation.pl?DOMAIN=Bgal_small_N&amp;BLAST=DUMMY","1.8")</f>
        <v>1.8</v>
      </c>
      <c r="DP11" s="33"/>
      <c r="EB11" s="33">
        <f>HYPERLINK("http://exon.niaid.nih.gov/transcriptome/S_calcitrans/S1/links/cluster-b/Scalc-pep25-50SimCLU1.txt", 1)</f>
        <v>1</v>
      </c>
      <c r="EC11">
        <f>HYPERLINK("http://exon.niaid.nih.gov/transcriptome/S_calcitrans/S1/links/cluster-b/Scalc-pep25-50SimCLTL1.txt", 5170)</f>
        <v>5170</v>
      </c>
      <c r="ED11" s="33">
        <f>HYPERLINK("http://exon.niaid.nih.gov/transcriptome/S_calcitrans/S1/links/cluster-b/Scalc-pep30-50SimCLU92.txt", 92)</f>
        <v>92</v>
      </c>
      <c r="EE11">
        <f>HYPERLINK("http://exon.niaid.nih.gov/transcriptome/S_calcitrans/S1/links/cluster-b/Scalc-pep30-50SimCLTL92.txt", 19)</f>
        <v>19</v>
      </c>
      <c r="EF11" s="33">
        <f>HYPERLINK("http://exon.niaid.nih.gov/transcriptome/S_calcitrans/S1/links/cluster-b/Scalc-pep35-50SimCLU94.txt", 94)</f>
        <v>94</v>
      </c>
      <c r="EG11">
        <f>HYPERLINK("http://exon.niaid.nih.gov/transcriptome/S_calcitrans/S1/links/cluster-b/Scalc-pep35-50SimCLTL94.txt", 18)</f>
        <v>18</v>
      </c>
      <c r="EH11" s="33">
        <f>HYPERLINK("http://exon.niaid.nih.gov/transcriptome/S_calcitrans/S1/links/cluster-b/Scalc-pep40-50SimCLU775.txt", 775)</f>
        <v>775</v>
      </c>
      <c r="EI11">
        <f>HYPERLINK("http://exon.niaid.nih.gov/transcriptome/S_calcitrans/S1/links/cluster-b/Scalc-pep40-50SimCLTL775.txt", 5)</f>
        <v>5</v>
      </c>
      <c r="EJ11" s="33">
        <f>HYPERLINK("http://exon.niaid.nih.gov/transcriptome/S_calcitrans/S1/links/cluster-b/Scalc-pep45-50SimCLU1111.txt", 1111)</f>
        <v>1111</v>
      </c>
      <c r="EK11">
        <f>HYPERLINK("http://exon.niaid.nih.gov/transcriptome/S_calcitrans/S1/links/cluster-b/Scalc-pep45-50SimCLTL1111.txt", 4)</f>
        <v>4</v>
      </c>
      <c r="EL11" s="33">
        <f>HYPERLINK("http://exon.niaid.nih.gov/transcriptome/S_calcitrans/S1/links/cluster-b/Scalc-pep50-50SimCLU1115.txt", 1115)</f>
        <v>1115</v>
      </c>
      <c r="EM11">
        <f>HYPERLINK("http://exon.niaid.nih.gov/transcriptome/S_calcitrans/S1/links/cluster-b/Scalc-pep50-50SimCLTL1115.txt", 4)</f>
        <v>4</v>
      </c>
      <c r="EN11" s="33">
        <f>HYPERLINK("http://exon.niaid.nih.gov/transcriptome/S_calcitrans/S1/links/cluster-b/Scalc-pep55-50SimCLU1079.txt", 1079)</f>
        <v>1079</v>
      </c>
      <c r="EO11">
        <f>HYPERLINK("http://exon.niaid.nih.gov/transcriptome/S_calcitrans/S1/links/cluster-b/Scalc-pep55-50SimCLTL1079.txt", 4)</f>
        <v>4</v>
      </c>
      <c r="EP11" s="33">
        <f>HYPERLINK("http://exon.niaid.nih.gov/transcriptome/S_calcitrans/S1/links/cluster-b/Scalc-pep60-50SimCLU1692.txt", 1692)</f>
        <v>1692</v>
      </c>
      <c r="EQ11">
        <f>HYPERLINK("http://exon.niaid.nih.gov/transcriptome/S_calcitrans/S1/links/cluster-b/Scalc-pep60-50SimCLTL1692.txt", 3)</f>
        <v>3</v>
      </c>
      <c r="ER11" s="33">
        <v>8045</v>
      </c>
      <c r="ES11">
        <v>1</v>
      </c>
      <c r="ET11" s="33">
        <v>8253</v>
      </c>
      <c r="EU11">
        <v>1</v>
      </c>
      <c r="EV11" s="33">
        <v>8466</v>
      </c>
      <c r="EW11">
        <v>1</v>
      </c>
      <c r="EX11" s="33">
        <v>8681</v>
      </c>
      <c r="EY11">
        <v>1</v>
      </c>
      <c r="EZ11" s="33">
        <v>8902</v>
      </c>
      <c r="FA11">
        <v>1</v>
      </c>
      <c r="FB11" s="33">
        <v>9155</v>
      </c>
      <c r="FC11">
        <v>1</v>
      </c>
      <c r="FD11" s="33">
        <v>9501</v>
      </c>
      <c r="FE11">
        <v>1</v>
      </c>
      <c r="FF11" t="s">
        <v>330</v>
      </c>
      <c r="FG11">
        <v>12310</v>
      </c>
      <c r="FH11" s="38" t="str">
        <f>HYPERLINK("http://exon.niaid.nih.gov/transcriptome/S_calcitrans/S1/links/SG_male-stripped_temp-95-h10-1gap/12310-SG_male-stripped_temp-95-h10-1gap.txt","46323")</f>
        <v>46323</v>
      </c>
      <c r="FI11" s="39">
        <v>100</v>
      </c>
      <c r="FJ11" s="39">
        <v>5852.8549222797901</v>
      </c>
      <c r="FK11" s="39">
        <v>484</v>
      </c>
      <c r="FL11" s="39">
        <v>10136</v>
      </c>
      <c r="FM11" s="39">
        <v>73.156207499514295</v>
      </c>
      <c r="FN11" s="38" t="str">
        <f>HYPERLINK("http://exon.niaid.nih.gov/transcriptome/S_calcitrans/S1/links/SG_female-stripped_temp-95-h10-1gap/12310-SG_female-stripped_temp-95-h10-1gap.txt","56171")</f>
        <v>56171</v>
      </c>
      <c r="FO11" s="39">
        <v>100</v>
      </c>
      <c r="FP11" s="39">
        <v>7108.3782383419702</v>
      </c>
      <c r="FQ11" s="39">
        <v>592</v>
      </c>
      <c r="FR11" s="39">
        <v>12751</v>
      </c>
      <c r="FS11" s="39">
        <v>73.272044293318601</v>
      </c>
      <c r="FT11" s="38" t="str">
        <f>HYPERLINK("http://exon.niaid.nih.gov/transcriptome/S_calcitrans/S1/links/SRR694289-stripped_temp-95-h10-1gap/12310-SRR694289-stripped_temp-95-h10-1gap.txt","35")</f>
        <v>35</v>
      </c>
      <c r="FU11" s="39">
        <v>95.682210708117395</v>
      </c>
      <c r="FV11" s="39">
        <v>5.9378238341968901</v>
      </c>
      <c r="FW11" s="39">
        <v>0</v>
      </c>
      <c r="FX11" s="39">
        <v>14</v>
      </c>
      <c r="FY11" s="39">
        <v>98.228571428571399</v>
      </c>
      <c r="FZ11" s="38" t="str">
        <f>HYPERLINK("http://exon.niaid.nih.gov/transcriptome/S_calcitrans/S1/links/SRR694925-stripped_temp-95-h10-1gap/12310-SRR694925-stripped_temp-95-h10-1gap.txt","36")</f>
        <v>36</v>
      </c>
      <c r="GA11" s="39">
        <v>100</v>
      </c>
      <c r="GB11" s="39">
        <v>6.0138169257340204</v>
      </c>
      <c r="GC11" s="39">
        <v>1</v>
      </c>
      <c r="GD11" s="39">
        <v>12</v>
      </c>
      <c r="GE11" s="39">
        <v>96.7222222222222</v>
      </c>
      <c r="GF11">
        <f>1*FH11</f>
        <v>46323</v>
      </c>
      <c r="GG11">
        <f>1*FN11</f>
        <v>56171</v>
      </c>
      <c r="GH11">
        <f>1*FT11</f>
        <v>35</v>
      </c>
      <c r="GI11">
        <f>1*FZ11</f>
        <v>36</v>
      </c>
      <c r="GJ11">
        <f>IF(FZ11&lt;&gt;"",SUM(GF11:GG11),"")</f>
        <v>102494</v>
      </c>
      <c r="GK11" s="34">
        <v>0.39810305413411501</v>
      </c>
      <c r="GL11">
        <v>2617.0987128650058</v>
      </c>
      <c r="GM11">
        <v>1443.1345745052024</v>
      </c>
      <c r="GN11">
        <v>0.3474737647371115</v>
      </c>
      <c r="GO11">
        <v>0.36844081167922976</v>
      </c>
      <c r="GP11">
        <f>MAX(GL11:GO11)</f>
        <v>2617.0987128650058</v>
      </c>
      <c r="GQ11" t="s">
        <v>322</v>
      </c>
      <c r="GR11">
        <v>2041.0529241563684</v>
      </c>
      <c r="GS11">
        <v>1184.4760719018193</v>
      </c>
      <c r="GT11">
        <v>0.62637630618183215</v>
      </c>
      <c r="GU11">
        <v>0.69755946397374946</v>
      </c>
      <c r="GV11">
        <f>MAX(GR11:GU11)</f>
        <v>2041.0529241563684</v>
      </c>
      <c r="GW11">
        <v>2400.0618687936121</v>
      </c>
      <c r="GX11">
        <v>102494</v>
      </c>
      <c r="GY11">
        <v>71</v>
      </c>
      <c r="GZ11">
        <v>102565</v>
      </c>
      <c r="HA11">
        <v>22769.398574151859</v>
      </c>
      <c r="HB11">
        <v>79795.601425848145</v>
      </c>
      <c r="HC11">
        <v>279147.12159880158</v>
      </c>
      <c r="HD11">
        <v>79653.664599756361</v>
      </c>
      <c r="HE11">
        <v>358800.78619855794</v>
      </c>
      <c r="HF11">
        <v>0</v>
      </c>
      <c r="HG11">
        <v>22769.398574151859</v>
      </c>
      <c r="HH11">
        <v>1</v>
      </c>
      <c r="HI11">
        <v>1</v>
      </c>
      <c r="HJ11">
        <v>2</v>
      </c>
      <c r="HK11">
        <v>0</v>
      </c>
      <c r="HL11" s="30" t="s">
        <v>262</v>
      </c>
      <c r="HM11">
        <v>4988.7683596144379</v>
      </c>
      <c r="HN11">
        <v>1.9766431691404423E-4</v>
      </c>
      <c r="HO11">
        <v>46323</v>
      </c>
      <c r="HP11">
        <v>56171</v>
      </c>
      <c r="HQ11">
        <v>102494</v>
      </c>
      <c r="HR11">
        <v>32039.208762217986</v>
      </c>
      <c r="HS11">
        <v>70454.791237782018</v>
      </c>
      <c r="HT11">
        <v>6368.0315465572703</v>
      </c>
      <c r="HU11">
        <v>2895.8526246420438</v>
      </c>
      <c r="HV11">
        <v>9263.8841711993136</v>
      </c>
      <c r="HW11">
        <v>0</v>
      </c>
      <c r="HX11">
        <v>32039.208762217986</v>
      </c>
      <c r="HY11">
        <v>1</v>
      </c>
      <c r="HZ11">
        <v>1</v>
      </c>
      <c r="IA11">
        <v>2</v>
      </c>
      <c r="IB11">
        <v>0</v>
      </c>
      <c r="IC11" s="30" t="s">
        <v>262</v>
      </c>
      <c r="ID11">
        <v>1.813449811468234</v>
      </c>
      <c r="IE11">
        <v>0.55141344663326985</v>
      </c>
      <c r="IF11">
        <v>1.813449811468234</v>
      </c>
      <c r="IG11" t="str">
        <f t="shared" si="1"/>
        <v/>
      </c>
    </row>
    <row r="12" spans="1:241">
      <c r="A12" t="str">
        <f>HYPERLINK("http://exon.niaid.nih.gov/transcriptome/S_calcitrans/S1/links/pep/XP_013109958.1-pep.txt","XP_013109958.1")</f>
        <v>XP_013109958.1</v>
      </c>
      <c r="B12" s="30" t="s">
        <v>232</v>
      </c>
      <c r="C12">
        <v>136</v>
      </c>
      <c r="D12" t="s">
        <v>331</v>
      </c>
      <c r="E12">
        <v>0</v>
      </c>
      <c r="F12" t="s">
        <v>332</v>
      </c>
      <c r="G12" t="str">
        <f>HYPERLINK("http://exon.niaid.nih.gov/transcriptome/S_calcitrans/S1/links/cds/XM_013254504_1-cds.txt","XM_013254504_1")</f>
        <v>XM_013254504_1</v>
      </c>
      <c r="H12">
        <v>411</v>
      </c>
      <c r="I12" t="s">
        <v>333</v>
      </c>
      <c r="J12" s="30" t="s">
        <v>236</v>
      </c>
      <c r="K12" s="30" t="s">
        <v>91</v>
      </c>
      <c r="L12" s="31" t="s">
        <v>334</v>
      </c>
      <c r="M12" s="30">
        <v>65233</v>
      </c>
      <c r="N12" s="30">
        <v>65702</v>
      </c>
      <c r="O12" s="30" t="s">
        <v>238</v>
      </c>
      <c r="P12" s="30">
        <v>2</v>
      </c>
      <c r="Q12" s="31" t="s">
        <v>335</v>
      </c>
      <c r="R12" s="32" t="str">
        <f>HYPERLINK("http://exon.niaid.nih.gov/transcriptome/S_calcitrans/S1/links/Sigp/XP_013109958.1-SigP.txt","SIG")</f>
        <v>SIG</v>
      </c>
      <c r="S12" t="s">
        <v>336</v>
      </c>
      <c r="T12">
        <v>14.993</v>
      </c>
      <c r="U12">
        <v>7.54</v>
      </c>
      <c r="V12">
        <v>13.106</v>
      </c>
      <c r="W12">
        <v>6.83</v>
      </c>
      <c r="X12" t="s">
        <v>337</v>
      </c>
      <c r="Y12" s="32">
        <v>0</v>
      </c>
      <c r="Z12" t="s">
        <v>242</v>
      </c>
      <c r="AA12" t="s">
        <v>242</v>
      </c>
      <c r="AB12" t="s">
        <v>242</v>
      </c>
      <c r="AC12" t="s">
        <v>242</v>
      </c>
      <c r="AD12" t="s">
        <v>242</v>
      </c>
      <c r="AE12" s="32" t="str">
        <f>HYPERLINK("http://exon.niaid.nih.gov/transcriptome/S_calcitrans/S1/links/netoglyc/XP_013109958.1-netoglyc.txt","0")</f>
        <v>0</v>
      </c>
      <c r="AF12">
        <v>8.1</v>
      </c>
      <c r="AG12">
        <v>5.9</v>
      </c>
      <c r="AH12">
        <v>0.7</v>
      </c>
      <c r="AI12" t="s">
        <v>243</v>
      </c>
      <c r="AJ12" t="s">
        <v>242</v>
      </c>
      <c r="AK12">
        <v>12612.734086777471</v>
      </c>
      <c r="AL12" s="33">
        <v>11094</v>
      </c>
      <c r="AM12">
        <v>1</v>
      </c>
      <c r="AN12" s="30">
        <f t="shared" si="0"/>
        <v>1</v>
      </c>
      <c r="AO12" s="30" t="s">
        <v>244</v>
      </c>
      <c r="AP12">
        <v>21594</v>
      </c>
      <c r="AQ12" s="34">
        <v>8.3874542421723014E-2</v>
      </c>
      <c r="AR12" s="35">
        <v>5618.4535503409479</v>
      </c>
      <c r="AS12" t="s">
        <v>338</v>
      </c>
      <c r="AT12" s="36" t="s">
        <v>339</v>
      </c>
      <c r="AU12" t="s">
        <v>303</v>
      </c>
      <c r="AV12" t="str">
        <f>HYPERLINK("http://exon.niaid.nih.gov/transcriptome/S_calcitrans/S1/links/DIPTERA/XP_013109958.1-DIPTERA.txt","DIPTERA")</f>
        <v>DIPTERA</v>
      </c>
      <c r="AW12" s="37">
        <v>1.9999999999999999E-72</v>
      </c>
      <c r="AX12">
        <v>100</v>
      </c>
      <c r="AY12" s="33"/>
      <c r="BG12" s="31"/>
      <c r="BJ12" s="33"/>
      <c r="BK12" s="33"/>
      <c r="BL12" s="33" t="str">
        <f>HYPERLINK("http://exon.niaid.nih.gov/transcriptome/S_calcitrans/S1/links/NR-LIGHT/XP_013109958.1-NR-LIGHT.txt","general odorant-binding protein 56d")</f>
        <v>general odorant-binding protein 56d</v>
      </c>
      <c r="BM12" t="str">
        <f>HYPERLINK("http://www.ncbi.nlm.nih.gov/sutils/blink.cgi?pid=557778269","2E-050")</f>
        <v>2E-050</v>
      </c>
      <c r="BN12" t="str">
        <f>HYPERLINK("http://www.ncbi.nlm.nih.gov/protein/557778269","gi|557778269")</f>
        <v>gi|557778269</v>
      </c>
      <c r="BO12">
        <v>70</v>
      </c>
      <c r="BP12">
        <v>82</v>
      </c>
      <c r="BQ12">
        <v>99</v>
      </c>
      <c r="BR12" t="s">
        <v>251</v>
      </c>
      <c r="BS12" s="33" t="str">
        <f>HYPERLINK("http://exon.niaid.nih.gov/transcriptome/S_calcitrans/S1/links/SWISSP/XP_013109958.1-SWISSP.txt","General odorant-binding protein 56d")</f>
        <v>General odorant-binding protein 56d</v>
      </c>
      <c r="BT12" t="str">
        <f>HYPERLINK("http://www.uniprot.org/uniprot/Q8SY61","2E-029")</f>
        <v>2E-029</v>
      </c>
      <c r="BU12" t="str">
        <f>HYPERLINK("http://www.uniprot.org/uniprot/Q8SY61#expression","Q8SY61")</f>
        <v>Q8SY61</v>
      </c>
      <c r="BV12">
        <v>45</v>
      </c>
      <c r="BW12">
        <v>62</v>
      </c>
      <c r="BX12">
        <v>103</v>
      </c>
      <c r="BY12" t="s">
        <v>304</v>
      </c>
      <c r="BZ12" s="33" t="str">
        <f>HYPERLINK("http://exon.niaid.nih.gov/transcriptome/S_calcitrans/S1/links/REFSEQ-INVERTEBRATE/XP_013109958.1-REFSEQ-INVERTEBRATE.txt","general odorant-binding protein 56d-like")</f>
        <v>general odorant-binding protein 56d-like</v>
      </c>
      <c r="CA12" t="str">
        <f>HYPERLINK("http://www.ncbi.nlm.nih.gov/sutils/blink.cgi?pid=907703184","3E-072")</f>
        <v>3E-072</v>
      </c>
      <c r="CB12" t="str">
        <f>HYPERLINK("http://www.ncbi.nlm.nih.gov/protein/907703184","gi|907703184")</f>
        <v>gi|907703184</v>
      </c>
      <c r="CC12">
        <v>100</v>
      </c>
      <c r="CD12">
        <v>100</v>
      </c>
      <c r="CE12">
        <v>100</v>
      </c>
      <c r="CF12" t="s">
        <v>253</v>
      </c>
      <c r="CG12" s="33" t="str">
        <f>HYPERLINK("http://exon.niaid.nih.gov/transcriptome/S_calcitrans/S1/links/DIPTERA/XP_013109958.1-DIPTERA.txt","general odorant-binding protein 56d-like")</f>
        <v>general odorant-binding protein 56d-like</v>
      </c>
      <c r="CH12" t="str">
        <f>HYPERLINK("http://www.ncbi.nlm.nih.gov/sutils/blink.cgi?pid=907703184","2E-072")</f>
        <v>2E-072</v>
      </c>
      <c r="CI12" t="str">
        <f>HYPERLINK("http://www.ncbi.nlm.nih.gov/protein/907703184","gi|907703184")</f>
        <v>gi|907703184</v>
      </c>
      <c r="CJ12">
        <v>100</v>
      </c>
      <c r="CK12">
        <v>100</v>
      </c>
      <c r="CL12">
        <v>100</v>
      </c>
      <c r="CM12" t="s">
        <v>253</v>
      </c>
      <c r="CN12" s="33" t="s">
        <v>242</v>
      </c>
      <c r="CO12" t="s">
        <v>242</v>
      </c>
      <c r="CP12" t="s">
        <v>242</v>
      </c>
      <c r="CQ12" t="s">
        <v>242</v>
      </c>
      <c r="CR12" t="s">
        <v>242</v>
      </c>
      <c r="CS12" t="s">
        <v>242</v>
      </c>
      <c r="CT12" t="s">
        <v>242</v>
      </c>
      <c r="CU12" s="33" t="s">
        <v>340</v>
      </c>
      <c r="CV12">
        <f>HYPERLINK("http://exon.niaid.nih.gov/transcriptome/S_calcitrans/S1/links/GO/XP_013109958.1-GO.txt",3E-29)</f>
        <v>3.0000000000000003E-29</v>
      </c>
      <c r="CW12" t="str">
        <f>HYPERLINK("http://amigo.geneontology.org/cgi-bin/amigo/term_details?term=GO:0005549","GO:0005549")</f>
        <v>GO:0005549</v>
      </c>
      <c r="CX12" t="s">
        <v>306</v>
      </c>
      <c r="CY12" t="s">
        <v>307</v>
      </c>
      <c r="CZ12" t="s">
        <v>242</v>
      </c>
      <c r="DA12" t="s">
        <v>242</v>
      </c>
      <c r="DC12" t="s">
        <v>308</v>
      </c>
      <c r="DD12" s="37">
        <v>3.0000000000000003E-29</v>
      </c>
      <c r="DE12" s="33" t="str">
        <f>HYPERLINK("http://exon.niaid.nih.gov/transcriptome/S_calcitrans/S1/links/CDD/XP_013109958.1-CDD.txt","PBP_GOBP")</f>
        <v>PBP_GOBP</v>
      </c>
      <c r="DF12" t="str">
        <f>HYPERLINK("http://www.ncbi.nlm.nih.gov/Structure/cdd/cddsrv.cgi?uid=pfam01395&amp;version=v4.0","5E-018")</f>
        <v>5E-018</v>
      </c>
      <c r="DG12" t="s">
        <v>341</v>
      </c>
      <c r="DH12" s="33" t="str">
        <f>HYPERLINK("http://exon.niaid.nih.gov/transcriptome/S_calcitrans/S1/links/KOG/XP_013109958.1-KOG.txt","RNA binding protein (contains RRM repeats)")</f>
        <v>RNA binding protein (contains RRM repeats)</v>
      </c>
      <c r="DI12" t="str">
        <f>HYPERLINK("http://www.ncbi.nlm.nih.gov/Structure/cdd/cddsrv.cgi?uid=KOG1457","0.34")</f>
        <v>0.34</v>
      </c>
      <c r="DJ12" t="s">
        <v>342</v>
      </c>
      <c r="DK12" t="str">
        <f>HYPERLINK("http://exon.niaid.nih.gov/transcriptome/S_calcitrans/S1/links/KOG/XP_013109958.1-KOG.txt","KOG1457")</f>
        <v>KOG1457</v>
      </c>
      <c r="DL12" s="33" t="str">
        <f>HYPERLINK("http://exon.niaid.nih.gov/transcriptome/S_calcitrans/S1/links/PFAM/XP_013109958.1-PFAM.txt","PBP_GOBP")</f>
        <v>PBP_GOBP</v>
      </c>
      <c r="DM12" t="str">
        <f>HYPERLINK("http://pfam.sanger.ac.uk/family?acc=PF01395","5E-015")</f>
        <v>5E-015</v>
      </c>
      <c r="DN12" s="33" t="str">
        <f>HYPERLINK("http://exon.niaid.nih.gov/transcriptome/S_calcitrans/S1/links/SMART/XP_013109958.1-SMART.txt","PhBP")</f>
        <v>PhBP</v>
      </c>
      <c r="DO12" t="str">
        <f>HYPERLINK("http://smart.embl-heidelberg.de/smart/do_annotation.pl?DOMAIN=PhBP&amp;BLAST=DUMMY","3E-011")</f>
        <v>3E-011</v>
      </c>
      <c r="DP12" s="33"/>
      <c r="EB12" s="33">
        <f>HYPERLINK("http://exon.niaid.nih.gov/transcriptome/S_calcitrans/S1/links/cluster-b/Scalc-pep25-50SimCLU1.txt", 1)</f>
        <v>1</v>
      </c>
      <c r="EC12">
        <f>HYPERLINK("http://exon.niaid.nih.gov/transcriptome/S_calcitrans/S1/links/cluster-b/Scalc-pep25-50SimCLTL1.txt", 5170)</f>
        <v>5170</v>
      </c>
      <c r="ED12" s="33">
        <f>HYPERLINK("http://exon.niaid.nih.gov/transcriptome/S_calcitrans/S1/links/cluster-b/Scalc-pep30-50SimCLU1.txt", 1)</f>
        <v>1</v>
      </c>
      <c r="EE12">
        <f>HYPERLINK("http://exon.niaid.nih.gov/transcriptome/S_calcitrans/S1/links/cluster-b/Scalc-pep30-50SimCLTL1.txt", 1550)</f>
        <v>1550</v>
      </c>
      <c r="EF12" s="33">
        <f>HYPERLINK("http://exon.niaid.nih.gov/transcriptome/S_calcitrans/S1/links/cluster-b/Scalc-pep35-50SimCLU13.txt", 13)</f>
        <v>13</v>
      </c>
      <c r="EG12">
        <f>HYPERLINK("http://exon.niaid.nih.gov/transcriptome/S_calcitrans/S1/links/cluster-b/Scalc-pep35-50SimCLTL13.txt", 72)</f>
        <v>72</v>
      </c>
      <c r="EH12" s="33">
        <f>HYPERLINK("http://exon.niaid.nih.gov/transcriptome/S_calcitrans/S1/links/cluster-b/Scalc-pep40-50SimCLU11.txt", 11)</f>
        <v>11</v>
      </c>
      <c r="EI12">
        <f>HYPERLINK("http://exon.niaid.nih.gov/transcriptome/S_calcitrans/S1/links/cluster-b/Scalc-pep40-50SimCLTL11.txt", 70)</f>
        <v>70</v>
      </c>
      <c r="EJ12" s="33">
        <f>HYPERLINK("http://exon.niaid.nih.gov/transcriptome/S_calcitrans/S1/links/cluster-b/Scalc-pep45-50SimCLU9.txt", 9)</f>
        <v>9</v>
      </c>
      <c r="EK12">
        <f>HYPERLINK("http://exon.niaid.nih.gov/transcriptome/S_calcitrans/S1/links/cluster-b/Scalc-pep45-50SimCLTL9.txt", 55)</f>
        <v>55</v>
      </c>
      <c r="EL12" s="33">
        <f>HYPERLINK("http://exon.niaid.nih.gov/transcriptome/S_calcitrans/S1/links/cluster-b/Scalc-pep50-50SimCLU447.txt", 447)</f>
        <v>447</v>
      </c>
      <c r="EM12">
        <f>HYPERLINK("http://exon.niaid.nih.gov/transcriptome/S_calcitrans/S1/links/cluster-b/Scalc-pep50-50SimCLTL447.txt", 7)</f>
        <v>7</v>
      </c>
      <c r="EN12" s="33">
        <f>HYPERLINK("http://exon.niaid.nih.gov/transcriptome/S_calcitrans/S1/links/cluster-b/Scalc-pep55-50SimCLU3153.txt", 3153)</f>
        <v>3153</v>
      </c>
      <c r="EO12">
        <f>HYPERLINK("http://exon.niaid.nih.gov/transcriptome/S_calcitrans/S1/links/cluster-b/Scalc-pep55-50SimCLTL3153.txt", 2)</f>
        <v>2</v>
      </c>
      <c r="EP12" s="33">
        <f>HYPERLINK("http://exon.niaid.nih.gov/transcriptome/S_calcitrans/S1/links/cluster-b/Scalc-pep60-50SimCLU3187.txt", 3187)</f>
        <v>3187</v>
      </c>
      <c r="EQ12">
        <f>HYPERLINK("http://exon.niaid.nih.gov/transcriptome/S_calcitrans/S1/links/cluster-b/Scalc-pep60-50SimCLTL3187.txt", 2)</f>
        <v>2</v>
      </c>
      <c r="ER12" s="33">
        <f>HYPERLINK("http://exon.niaid.nih.gov/transcriptome/S_calcitrans/S1/links/cluster-b/Scalc-pep65-50SimCLU3192.txt", 3192)</f>
        <v>3192</v>
      </c>
      <c r="ES12">
        <f>HYPERLINK("http://exon.niaid.nih.gov/transcriptome/S_calcitrans/S1/links/cluster-b/Scalc-pep65-50SimCLTL3192.txt", 2)</f>
        <v>2</v>
      </c>
      <c r="ET12" s="33">
        <v>9386</v>
      </c>
      <c r="EU12">
        <v>1</v>
      </c>
      <c r="EV12" s="33">
        <v>9673</v>
      </c>
      <c r="EW12">
        <v>1</v>
      </c>
      <c r="EX12" s="33">
        <v>9946</v>
      </c>
      <c r="EY12">
        <v>1</v>
      </c>
      <c r="EZ12" s="33">
        <v>10260</v>
      </c>
      <c r="FA12">
        <v>1</v>
      </c>
      <c r="FB12" s="33">
        <v>10595</v>
      </c>
      <c r="FC12">
        <v>1</v>
      </c>
      <c r="FD12" s="33">
        <v>11094</v>
      </c>
      <c r="FE12">
        <v>1</v>
      </c>
      <c r="FF12" t="s">
        <v>343</v>
      </c>
      <c r="FG12">
        <v>15083</v>
      </c>
      <c r="FH12" s="38" t="str">
        <f>HYPERLINK("http://exon.niaid.nih.gov/transcriptome/S_calcitrans/S1/links/SG_male-stripped_temp-95-h10-1gap/15083-SG_male-stripped_temp-95-h10-1gap.txt","7345")</f>
        <v>7345</v>
      </c>
      <c r="FI12" s="39">
        <v>100</v>
      </c>
      <c r="FJ12" s="39">
        <v>1297.54257907543</v>
      </c>
      <c r="FK12" s="39">
        <v>1</v>
      </c>
      <c r="FL12" s="39">
        <v>2378</v>
      </c>
      <c r="FM12" s="39">
        <v>72.607624234172903</v>
      </c>
      <c r="FN12" s="38" t="str">
        <f>HYPERLINK("http://exon.niaid.nih.gov/transcriptome/S_calcitrans/S1/links/SG_female-stripped_temp-95-h10-1gap/15083-SG_female-stripped_temp-95-h10-1gap.txt","14249")</f>
        <v>14249</v>
      </c>
      <c r="FO12" s="39">
        <v>100</v>
      </c>
      <c r="FP12" s="39">
        <v>2523.21167883212</v>
      </c>
      <c r="FQ12" s="39">
        <v>8</v>
      </c>
      <c r="FR12" s="39">
        <v>4754</v>
      </c>
      <c r="FS12" s="39">
        <v>72.781388167590706</v>
      </c>
      <c r="FT12" s="38">
        <v>0</v>
      </c>
      <c r="FU12" s="39" t="s">
        <v>242</v>
      </c>
      <c r="FV12" s="39" t="s">
        <v>242</v>
      </c>
      <c r="FW12" s="39" t="s">
        <v>242</v>
      </c>
      <c r="FX12" s="39" t="s">
        <v>242</v>
      </c>
      <c r="FY12" s="39" t="s">
        <v>242</v>
      </c>
      <c r="FZ12" s="38" t="str">
        <f>HYPERLINK("http://exon.niaid.nih.gov/transcriptome/S_calcitrans/S1/links/SRR694925-stripped_temp-95-h10-1gap/15083-SRR694925-stripped_temp-95-h10-1gap.txt","5")</f>
        <v>5</v>
      </c>
      <c r="GA12" s="39">
        <v>62.043795620437997</v>
      </c>
      <c r="GB12" s="39">
        <v>1.1703163017031599</v>
      </c>
      <c r="GC12" s="39">
        <v>0</v>
      </c>
      <c r="GD12" s="39">
        <v>3</v>
      </c>
      <c r="GE12" s="39">
        <v>96.2</v>
      </c>
      <c r="GF12">
        <f>1*FH12</f>
        <v>7345</v>
      </c>
      <c r="GG12">
        <f>1*FN12</f>
        <v>14249</v>
      </c>
      <c r="GH12">
        <f>1*FT12</f>
        <v>0</v>
      </c>
      <c r="GI12">
        <f>1*FZ12</f>
        <v>5</v>
      </c>
      <c r="GJ12">
        <f>IF(FZ12&lt;&gt;"",SUM(GF12:GG12),"")</f>
        <v>21594</v>
      </c>
      <c r="GK12" s="34">
        <v>8.3874542421723014E-2</v>
      </c>
      <c r="GL12">
        <v>584.5907889361356</v>
      </c>
      <c r="GM12">
        <v>515.72217351422523</v>
      </c>
      <c r="GN12">
        <v>0</v>
      </c>
      <c r="GO12">
        <v>7.2089493769354571E-2</v>
      </c>
      <c r="GP12">
        <f>MAX(GL12:GO12)</f>
        <v>584.5907889361356</v>
      </c>
      <c r="GQ12" t="s">
        <v>303</v>
      </c>
      <c r="GR12">
        <v>455.91736120903596</v>
      </c>
      <c r="GS12">
        <v>423.28732542925849</v>
      </c>
      <c r="GT12">
        <v>0</v>
      </c>
      <c r="GU12">
        <v>0.13648517492592624</v>
      </c>
      <c r="GV12">
        <f>MAX(GR12:GU12)</f>
        <v>455.91736120903596</v>
      </c>
      <c r="GW12">
        <v>5618.4535503409479</v>
      </c>
      <c r="GX12">
        <v>21594</v>
      </c>
      <c r="GY12">
        <v>5</v>
      </c>
      <c r="GZ12">
        <v>21599</v>
      </c>
      <c r="HA12">
        <v>4794.9713820806901</v>
      </c>
      <c r="HB12">
        <v>16804.02861791931</v>
      </c>
      <c r="HC12">
        <v>58854.858562933332</v>
      </c>
      <c r="HD12">
        <v>16794.030105657792</v>
      </c>
      <c r="HE12">
        <v>75648.888668591127</v>
      </c>
      <c r="HF12">
        <v>0</v>
      </c>
      <c r="HG12">
        <v>4794.9713820806901</v>
      </c>
      <c r="HH12">
        <v>1</v>
      </c>
      <c r="HI12">
        <v>1</v>
      </c>
      <c r="HJ12">
        <v>2</v>
      </c>
      <c r="HK12">
        <v>0</v>
      </c>
      <c r="HL12" s="30" t="s">
        <v>262</v>
      </c>
      <c r="HM12">
        <v>12612.734086777471</v>
      </c>
      <c r="HN12">
        <v>6.6067732691464727E-5</v>
      </c>
      <c r="HO12">
        <v>7345</v>
      </c>
      <c r="HP12">
        <v>14249</v>
      </c>
      <c r="HQ12">
        <v>21594</v>
      </c>
      <c r="HR12">
        <v>6750.1968311446053</v>
      </c>
      <c r="HS12">
        <v>14843.803168855395</v>
      </c>
      <c r="HT12">
        <v>52.411924945369066</v>
      </c>
      <c r="HU12">
        <v>23.834242859183639</v>
      </c>
      <c r="HV12">
        <v>76.246167804552698</v>
      </c>
      <c r="HW12">
        <v>2.5041815959845288E-18</v>
      </c>
      <c r="HX12">
        <v>6750.1968311446053</v>
      </c>
      <c r="HY12">
        <v>1</v>
      </c>
      <c r="HZ12">
        <v>1</v>
      </c>
      <c r="IA12">
        <v>2</v>
      </c>
      <c r="IB12" s="37">
        <v>8.4666929216867496E-17</v>
      </c>
      <c r="IC12" s="30" t="s">
        <v>262</v>
      </c>
      <c r="ID12">
        <v>1.1334586625156982</v>
      </c>
      <c r="IE12">
        <v>0.88207337300677713</v>
      </c>
      <c r="IF12">
        <v>1.1334586625156982</v>
      </c>
      <c r="IG12" t="str">
        <f t="shared" si="1"/>
        <v/>
      </c>
    </row>
    <row r="13" spans="1:241">
      <c r="A13" t="str">
        <f>HYPERLINK("http://exon.niaid.nih.gov/transcriptome/S_calcitrans/S1/links/pep/XP_013115335.1-pep.txt","XP_013115335.1")</f>
        <v>XP_013115335.1</v>
      </c>
      <c r="B13" s="30" t="s">
        <v>232</v>
      </c>
      <c r="C13">
        <v>191</v>
      </c>
      <c r="D13" t="s">
        <v>312</v>
      </c>
      <c r="E13">
        <v>1</v>
      </c>
      <c r="F13" t="s">
        <v>344</v>
      </c>
      <c r="G13" t="str">
        <f>HYPERLINK("http://exon.niaid.nih.gov/transcriptome/S_calcitrans/S1/links/cds/XM_013259881_1-cds.txt","XM_013259881_1")</f>
        <v>XM_013259881_1</v>
      </c>
      <c r="H13">
        <v>576</v>
      </c>
      <c r="I13" t="s">
        <v>345</v>
      </c>
      <c r="J13" s="30" t="s">
        <v>236</v>
      </c>
      <c r="K13" s="30" t="s">
        <v>91</v>
      </c>
      <c r="L13" s="31" t="s">
        <v>346</v>
      </c>
      <c r="M13" s="30">
        <v>21039</v>
      </c>
      <c r="N13" s="30">
        <v>30366</v>
      </c>
      <c r="O13" s="30" t="s">
        <v>238</v>
      </c>
      <c r="P13" s="30">
        <v>6</v>
      </c>
      <c r="Q13" s="31" t="s">
        <v>347</v>
      </c>
      <c r="R13" s="32" t="str">
        <f>HYPERLINK("http://exon.niaid.nih.gov/transcriptome/S_calcitrans/S1/links/Sigp/XP_013115335.1-SigP.txt","SIG")</f>
        <v>SIG</v>
      </c>
      <c r="S13" t="s">
        <v>278</v>
      </c>
      <c r="T13">
        <v>21.498999999999999</v>
      </c>
      <c r="U13">
        <v>8.42</v>
      </c>
      <c r="V13">
        <v>19.393000000000001</v>
      </c>
      <c r="W13">
        <v>7.78</v>
      </c>
      <c r="X13" t="s">
        <v>348</v>
      </c>
      <c r="Y13" s="32">
        <v>0</v>
      </c>
      <c r="Z13" t="s">
        <v>242</v>
      </c>
      <c r="AA13" t="s">
        <v>242</v>
      </c>
      <c r="AB13" t="s">
        <v>242</v>
      </c>
      <c r="AC13" t="s">
        <v>242</v>
      </c>
      <c r="AD13" t="s">
        <v>242</v>
      </c>
      <c r="AE13" s="32" t="str">
        <f>HYPERLINK("http://exon.niaid.nih.gov/transcriptome/S_calcitrans/S1/links/netoglyc/XP_013115335.1-netoglyc.txt","0")</f>
        <v>0</v>
      </c>
      <c r="AF13">
        <v>8.4</v>
      </c>
      <c r="AG13">
        <v>8.4</v>
      </c>
      <c r="AH13">
        <v>4.2</v>
      </c>
      <c r="AI13" t="s">
        <v>243</v>
      </c>
      <c r="AJ13" t="s">
        <v>242</v>
      </c>
      <c r="AK13">
        <v>1147.0561847791125</v>
      </c>
      <c r="AL13" s="33">
        <v>14022</v>
      </c>
      <c r="AM13">
        <v>1</v>
      </c>
      <c r="AN13" s="30">
        <f t="shared" si="0"/>
        <v>1</v>
      </c>
      <c r="AO13" s="30" t="s">
        <v>244</v>
      </c>
      <c r="AP13">
        <v>30767</v>
      </c>
      <c r="AQ13" s="34">
        <v>0.11950393844073132</v>
      </c>
      <c r="AR13" s="35">
        <v>549.76757027295969</v>
      </c>
      <c r="AS13" t="s">
        <v>349</v>
      </c>
      <c r="AT13" s="36" t="s">
        <v>350</v>
      </c>
      <c r="AU13" t="s">
        <v>351</v>
      </c>
      <c r="AV13" t="str">
        <f>HYPERLINK("http://exon.niaid.nih.gov/transcriptome/S_calcitrans/S1/links/KOG/XP_013115335.1-KOG.txt","KOG")</f>
        <v>KOG</v>
      </c>
      <c r="AW13" s="37">
        <v>2.9999999999999998E-31</v>
      </c>
      <c r="AX13">
        <v>73.599999999999994</v>
      </c>
      <c r="AY13" s="33"/>
      <c r="BG13" s="31"/>
      <c r="BJ13" s="33" t="str">
        <f>HYPERLINK("http://exon.niaid.nih.gov/transcriptome/S_calcitrans/S1/links/TICK-BLOCKS/XP_013115335.1-TICK-BLOCKS.txt","Ixodegrin_cys_pattern |")</f>
        <v>Ixodegrin_cys_pattern |</v>
      </c>
      <c r="BK13" s="33" t="s">
        <v>352</v>
      </c>
      <c r="BL13" s="33" t="str">
        <f>HYPERLINK("http://exon.niaid.nih.gov/transcriptome/S_calcitrans/S1/links/NR-LIGHT/XP_013115335.1-NR-LIGHT.txt","apolipoprotein D-like")</f>
        <v>apolipoprotein D-like</v>
      </c>
      <c r="BM13" t="str">
        <f>HYPERLINK("http://www.ncbi.nlm.nih.gov/sutils/blink.cgi?pid=755867430","2E-078")</f>
        <v>2E-078</v>
      </c>
      <c r="BN13" t="str">
        <f>HYPERLINK("http://www.ncbi.nlm.nih.gov/protein/755867430","gi|755867430")</f>
        <v>gi|755867430</v>
      </c>
      <c r="BO13">
        <v>72</v>
      </c>
      <c r="BP13">
        <v>83</v>
      </c>
      <c r="BQ13">
        <v>97</v>
      </c>
      <c r="BR13" t="s">
        <v>251</v>
      </c>
      <c r="BS13" s="33" t="str">
        <f>HYPERLINK("http://exon.niaid.nih.gov/transcriptome/S_calcitrans/S1/links/SWISSP/XP_013115335.1-SWISSP.txt","Apolipoprotein D")</f>
        <v>Apolipoprotein D</v>
      </c>
      <c r="BT13" t="str">
        <f>HYPERLINK("http://www.uniprot.org/uniprot/P05090","1E-025")</f>
        <v>1E-025</v>
      </c>
      <c r="BU13" t="str">
        <f>HYPERLINK("http://www.uniprot.org/uniprot/P05090#expression","P05090")</f>
        <v>P05090</v>
      </c>
      <c r="BV13">
        <v>38</v>
      </c>
      <c r="BW13">
        <v>50</v>
      </c>
      <c r="BX13">
        <v>96</v>
      </c>
      <c r="BY13" t="s">
        <v>353</v>
      </c>
      <c r="BZ13" s="33" t="str">
        <f>HYPERLINK("http://exon.niaid.nih.gov/transcriptome/S_calcitrans/S1/links/REFSEQ-INVERTEBRATE/XP_013115335.1-REFSEQ-INVERTEBRATE.txt","apolipoprotein D-like")</f>
        <v>apolipoprotein D-like</v>
      </c>
      <c r="CA13" t="str">
        <f>HYPERLINK("http://www.ncbi.nlm.nih.gov/sutils/blink.cgi?pid=907734976","1E-109")</f>
        <v>1E-109</v>
      </c>
      <c r="CB13" t="str">
        <f>HYPERLINK("http://www.ncbi.nlm.nih.gov/protein/907734976","gi|907734976")</f>
        <v>gi|907734976</v>
      </c>
      <c r="CC13">
        <v>100</v>
      </c>
      <c r="CD13">
        <v>100</v>
      </c>
      <c r="CE13">
        <v>100</v>
      </c>
      <c r="CF13" t="s">
        <v>253</v>
      </c>
      <c r="CG13" s="33" t="str">
        <f>HYPERLINK("http://exon.niaid.nih.gov/transcriptome/S_calcitrans/S1/links/DIPTERA/XP_013115335.1-DIPTERA.txt","apolipoprotein D-like")</f>
        <v>apolipoprotein D-like</v>
      </c>
      <c r="CH13" t="str">
        <f>HYPERLINK("http://www.ncbi.nlm.nih.gov/sutils/blink.cgi?pid=907734976","1E-110")</f>
        <v>1E-110</v>
      </c>
      <c r="CI13" t="str">
        <f>HYPERLINK("http://www.ncbi.nlm.nih.gov/protein/907734976","gi|907734976")</f>
        <v>gi|907734976</v>
      </c>
      <c r="CJ13">
        <v>100</v>
      </c>
      <c r="CK13">
        <v>100</v>
      </c>
      <c r="CL13">
        <v>100</v>
      </c>
      <c r="CM13" t="s">
        <v>253</v>
      </c>
      <c r="CN13" s="33" t="str">
        <f>HYPERLINK("http://exon.niaid.nih.gov/transcriptome/S_calcitrans/S1/links/VIRUS/XP_013115335.1-VIRUS.txt","putative lipocalin")</f>
        <v>putative lipocalin</v>
      </c>
      <c r="CO13" t="str">
        <f>HYPERLINK("http://www.ncbi.nlm.nih.gov/sutils/blink.cgi?pid=311978291","6E-005")</f>
        <v>6E-005</v>
      </c>
      <c r="CP13" t="str">
        <f>HYPERLINK("http://www.ncbi.nlm.nih.gov/protein/311978291","gi|311978291")</f>
        <v>gi|311978291</v>
      </c>
      <c r="CQ13">
        <v>26</v>
      </c>
      <c r="CR13">
        <v>42</v>
      </c>
      <c r="CS13">
        <v>109</v>
      </c>
      <c r="CT13" t="s">
        <v>324</v>
      </c>
      <c r="CU13" s="33" t="s">
        <v>325</v>
      </c>
      <c r="CV13">
        <f>HYPERLINK("http://exon.niaid.nih.gov/transcriptome/S_calcitrans/S1/links/GO/XP_013115335.1-GO.txt",2E-34)</f>
        <v>1.9999999999999999E-34</v>
      </c>
      <c r="CW13" t="str">
        <f>HYPERLINK("http://amigo.geneontology.org/cgi-bin/amigo/term_details?term=GO:0008289","GO:0008289")</f>
        <v>GO:0008289</v>
      </c>
      <c r="CX13" t="s">
        <v>326</v>
      </c>
      <c r="CY13" t="s">
        <v>327</v>
      </c>
      <c r="CZ13" t="s">
        <v>242</v>
      </c>
      <c r="DA13" t="s">
        <v>242</v>
      </c>
      <c r="DD13" s="37">
        <v>1.9999999999999999E-34</v>
      </c>
      <c r="DE13" s="33" t="str">
        <f>HYPERLINK("http://exon.niaid.nih.gov/transcriptome/S_calcitrans/S1/links/CDD/XP_013115335.1-CDD.txt","Blc")</f>
        <v>Blc</v>
      </c>
      <c r="DF13" t="str">
        <f>HYPERLINK("http://www.ncbi.nlm.nih.gov/Structure/cdd/cddsrv.cgi?uid=COG3040&amp;version=v4.0","1E-019")</f>
        <v>1E-019</v>
      </c>
      <c r="DG13" t="s">
        <v>354</v>
      </c>
      <c r="DH13" s="33" t="str">
        <f>HYPERLINK("http://exon.niaid.nih.gov/transcriptome/S_calcitrans/S1/links/KOG/XP_013115335.1-KOG.txt","Apolipoprotein D/Lipocalin")</f>
        <v>Apolipoprotein D/Lipocalin</v>
      </c>
      <c r="DI13" t="str">
        <f>HYPERLINK("http://www.ncbi.nlm.nih.gov/Structure/cdd/cddsrv.cgi?uid=KOG4824","3E-031")</f>
        <v>3E-031</v>
      </c>
      <c r="DJ13" t="s">
        <v>329</v>
      </c>
      <c r="DK13" t="str">
        <f>HYPERLINK("http://exon.niaid.nih.gov/transcriptome/S_calcitrans/S1/links/KOG/XP_013115335.1-KOG.txt","KOG4824")</f>
        <v>KOG4824</v>
      </c>
      <c r="DL13" s="33" t="str">
        <f>HYPERLINK("http://exon.niaid.nih.gov/transcriptome/S_calcitrans/S1/links/PFAM/XP_013115335.1-PFAM.txt","Lipocalin_2")</f>
        <v>Lipocalin_2</v>
      </c>
      <c r="DM13" t="str">
        <f>HYPERLINK("http://pfam.sanger.ac.uk/family?acc=PF08212","2E-017")</f>
        <v>2E-017</v>
      </c>
      <c r="DN13" s="33" t="str">
        <f>HYPERLINK("http://exon.niaid.nih.gov/transcriptome/S_calcitrans/S1/links/SMART/XP_013115335.1-SMART.txt","DAGKa")</f>
        <v>DAGKa</v>
      </c>
      <c r="DO13" t="str">
        <f>HYPERLINK("http://smart.embl-heidelberg.de/smart/do_annotation.pl?DOMAIN=DAGKa&amp;BLAST=DUMMY","0.41")</f>
        <v>0.41</v>
      </c>
      <c r="DP13" s="33"/>
      <c r="EB13" s="33">
        <f>HYPERLINK("http://exon.niaid.nih.gov/transcriptome/S_calcitrans/S1/links/cluster-b/Scalc-pep25-50SimCLU1.txt", 1)</f>
        <v>1</v>
      </c>
      <c r="EC13">
        <f>HYPERLINK("http://exon.niaid.nih.gov/transcriptome/S_calcitrans/S1/links/cluster-b/Scalc-pep25-50SimCLTL1.txt", 5170)</f>
        <v>5170</v>
      </c>
      <c r="ED13" s="33">
        <f>HYPERLINK("http://exon.niaid.nih.gov/transcriptome/S_calcitrans/S1/links/cluster-b/Scalc-pep30-50SimCLU92.txt", 92)</f>
        <v>92</v>
      </c>
      <c r="EE13">
        <f>HYPERLINK("http://exon.niaid.nih.gov/transcriptome/S_calcitrans/S1/links/cluster-b/Scalc-pep30-50SimCLTL92.txt", 19)</f>
        <v>19</v>
      </c>
      <c r="EF13" s="33">
        <f>HYPERLINK("http://exon.niaid.nih.gov/transcriptome/S_calcitrans/S1/links/cluster-b/Scalc-pep35-50SimCLU94.txt", 94)</f>
        <v>94</v>
      </c>
      <c r="EG13">
        <f>HYPERLINK("http://exon.niaid.nih.gov/transcriptome/S_calcitrans/S1/links/cluster-b/Scalc-pep35-50SimCLTL94.txt", 18)</f>
        <v>18</v>
      </c>
      <c r="EH13" s="33">
        <f>HYPERLINK("http://exon.niaid.nih.gov/transcriptome/S_calcitrans/S1/links/cluster-b/Scalc-pep40-50SimCLU775.txt", 775)</f>
        <v>775</v>
      </c>
      <c r="EI13">
        <f>HYPERLINK("http://exon.niaid.nih.gov/transcriptome/S_calcitrans/S1/links/cluster-b/Scalc-pep40-50SimCLTL775.txt", 5)</f>
        <v>5</v>
      </c>
      <c r="EJ13" s="33">
        <f>HYPERLINK("http://exon.niaid.nih.gov/transcriptome/S_calcitrans/S1/links/cluster-b/Scalc-pep45-50SimCLU1111.txt", 1111)</f>
        <v>1111</v>
      </c>
      <c r="EK13">
        <f>HYPERLINK("http://exon.niaid.nih.gov/transcriptome/S_calcitrans/S1/links/cluster-b/Scalc-pep45-50SimCLTL1111.txt", 4)</f>
        <v>4</v>
      </c>
      <c r="EL13" s="33">
        <f>HYPERLINK("http://exon.niaid.nih.gov/transcriptome/S_calcitrans/S1/links/cluster-b/Scalc-pep50-50SimCLU1115.txt", 1115)</f>
        <v>1115</v>
      </c>
      <c r="EM13">
        <f>HYPERLINK("http://exon.niaid.nih.gov/transcriptome/S_calcitrans/S1/links/cluster-b/Scalc-pep50-50SimCLTL1115.txt", 4)</f>
        <v>4</v>
      </c>
      <c r="EN13" s="33">
        <f>HYPERLINK("http://exon.niaid.nih.gov/transcriptome/S_calcitrans/S1/links/cluster-b/Scalc-pep55-50SimCLU1079.txt", 1079)</f>
        <v>1079</v>
      </c>
      <c r="EO13">
        <f>HYPERLINK("http://exon.niaid.nih.gov/transcriptome/S_calcitrans/S1/links/cluster-b/Scalc-pep55-50SimCLTL1079.txt", 4)</f>
        <v>4</v>
      </c>
      <c r="EP13" s="33">
        <v>10701</v>
      </c>
      <c r="EQ13">
        <v>1</v>
      </c>
      <c r="ER13" s="33">
        <v>11139</v>
      </c>
      <c r="ES13">
        <v>1</v>
      </c>
      <c r="ET13" s="33">
        <v>11524</v>
      </c>
      <c r="EU13">
        <v>1</v>
      </c>
      <c r="EV13" s="33">
        <v>11933</v>
      </c>
      <c r="EW13">
        <v>1</v>
      </c>
      <c r="EX13" s="33">
        <v>12301</v>
      </c>
      <c r="EY13">
        <v>1</v>
      </c>
      <c r="EZ13" s="33">
        <v>12768</v>
      </c>
      <c r="FA13">
        <v>1</v>
      </c>
      <c r="FB13" s="33">
        <v>13269</v>
      </c>
      <c r="FC13">
        <v>1</v>
      </c>
      <c r="FD13" s="33">
        <v>14022</v>
      </c>
      <c r="FE13">
        <v>1</v>
      </c>
      <c r="FF13" t="s">
        <v>355</v>
      </c>
      <c r="FG13">
        <v>19882</v>
      </c>
      <c r="FH13" s="38" t="str">
        <f>HYPERLINK("http://exon.niaid.nih.gov/transcriptome/S_calcitrans/S1/links/SG_male-stripped_temp-95-h10-1gap/19882-SG_male-stripped_temp-95-h10-1gap.txt","13375")</f>
        <v>13375</v>
      </c>
      <c r="FI13" s="39">
        <v>100</v>
      </c>
      <c r="FJ13" s="39">
        <v>1600.82118055556</v>
      </c>
      <c r="FK13" s="39">
        <v>48</v>
      </c>
      <c r="FL13" s="39">
        <v>4659</v>
      </c>
      <c r="FM13" s="39">
        <v>68.940037383177597</v>
      </c>
      <c r="FN13" s="38" t="str">
        <f>HYPERLINK("http://exon.niaid.nih.gov/transcriptome/S_calcitrans/S1/links/SG_female-stripped_temp-95-h10-1gap/19882-SG_female-stripped_temp-95-h10-1gap.txt","17392")</f>
        <v>17392</v>
      </c>
      <c r="FO13" s="39">
        <v>100</v>
      </c>
      <c r="FP13" s="39">
        <v>2097.6180555555602</v>
      </c>
      <c r="FQ13" s="39">
        <v>93</v>
      </c>
      <c r="FR13" s="39">
        <v>5455</v>
      </c>
      <c r="FS13" s="39">
        <v>69.470733670653203</v>
      </c>
      <c r="FT13" s="38" t="str">
        <f>HYPERLINK("http://exon.niaid.nih.gov/transcriptome/S_calcitrans/S1/links/SRR694289-stripped_temp-95-h10-1gap/19882-SRR694289-stripped_temp-95-h10-1gap.txt","56")</f>
        <v>56</v>
      </c>
      <c r="FU13" s="39">
        <v>96.1805555555556</v>
      </c>
      <c r="FV13" s="39">
        <v>9.5295138888888893</v>
      </c>
      <c r="FW13" s="39">
        <v>0</v>
      </c>
      <c r="FX13" s="39">
        <v>23</v>
      </c>
      <c r="FY13" s="39">
        <v>98.017857142857096</v>
      </c>
      <c r="FZ13" s="38" t="str">
        <f>HYPERLINK("http://exon.niaid.nih.gov/transcriptome/S_calcitrans/S1/links/SRR694925-stripped_temp-95-h10-1gap/19882-SRR694925-stripped_temp-95-h10-1gap.txt","37")</f>
        <v>37</v>
      </c>
      <c r="GA13" s="39">
        <v>86.6319444444444</v>
      </c>
      <c r="GB13" s="39">
        <v>6.3975694444444402</v>
      </c>
      <c r="GC13" s="39">
        <v>0</v>
      </c>
      <c r="GD13" s="39">
        <v>14</v>
      </c>
      <c r="GE13" s="39">
        <v>99.594594594594597</v>
      </c>
      <c r="GF13">
        <f>1*FH13</f>
        <v>13375</v>
      </c>
      <c r="GG13">
        <f>1*FN13</f>
        <v>17392</v>
      </c>
      <c r="GH13">
        <f>1*FT13</f>
        <v>56</v>
      </c>
      <c r="GI13">
        <f>1*FZ13</f>
        <v>37</v>
      </c>
      <c r="GJ13">
        <f>IF(FZ13&lt;&gt;"",SUM(GF13:GG13),"")</f>
        <v>30767</v>
      </c>
      <c r="GK13" s="34">
        <v>0.11950393844073132</v>
      </c>
      <c r="GL13">
        <v>759.57960834811911</v>
      </c>
      <c r="GM13">
        <v>449.15918285239263</v>
      </c>
      <c r="GN13">
        <v>0.55885363828552093</v>
      </c>
      <c r="GO13">
        <v>0.38064754574672738</v>
      </c>
      <c r="GP13">
        <f>MAX(GL13:GO13)</f>
        <v>759.57960834811911</v>
      </c>
      <c r="GQ13" t="s">
        <v>351</v>
      </c>
      <c r="GR13">
        <v>592.38964626262714</v>
      </c>
      <c r="GS13">
        <v>368.65467293377162</v>
      </c>
      <c r="GT13">
        <v>1.0074218924424467</v>
      </c>
      <c r="GU13">
        <v>0.72067015802033341</v>
      </c>
      <c r="GV13">
        <f>MAX(GR13:GU13)</f>
        <v>592.38964626262714</v>
      </c>
      <c r="GW13">
        <v>549.76757027295969</v>
      </c>
      <c r="GX13">
        <v>30767</v>
      </c>
      <c r="GY13">
        <v>93</v>
      </c>
      <c r="GZ13">
        <v>30860</v>
      </c>
      <c r="HA13">
        <v>6850.9105445164168</v>
      </c>
      <c r="HB13">
        <v>24009.089455483583</v>
      </c>
      <c r="HC13">
        <v>83489.534876574166</v>
      </c>
      <c r="HD13">
        <v>23823.4496940514</v>
      </c>
      <c r="HE13">
        <v>107312.98457062556</v>
      </c>
      <c r="HF13">
        <v>0</v>
      </c>
      <c r="HG13">
        <v>6850.9105445164168</v>
      </c>
      <c r="HH13">
        <v>1</v>
      </c>
      <c r="HI13">
        <v>1</v>
      </c>
      <c r="HJ13">
        <v>2</v>
      </c>
      <c r="HK13">
        <v>0</v>
      </c>
      <c r="HL13" s="30" t="s">
        <v>262</v>
      </c>
      <c r="HM13">
        <v>1147.0561847791125</v>
      </c>
      <c r="HN13">
        <v>8.6249440935330722E-4</v>
      </c>
      <c r="HO13">
        <v>13375</v>
      </c>
      <c r="HP13">
        <v>17392</v>
      </c>
      <c r="HQ13">
        <v>30767</v>
      </c>
      <c r="HR13">
        <v>9617.6394324268822</v>
      </c>
      <c r="HS13">
        <v>21149.36056757312</v>
      </c>
      <c r="HT13">
        <v>1467.9026526149312</v>
      </c>
      <c r="HU13">
        <v>667.52649044147449</v>
      </c>
      <c r="HV13">
        <v>2135.4291430564058</v>
      </c>
      <c r="HW13">
        <v>0</v>
      </c>
      <c r="HX13">
        <v>9617.6394324268822</v>
      </c>
      <c r="HY13">
        <v>1</v>
      </c>
      <c r="HZ13">
        <v>1</v>
      </c>
      <c r="IA13">
        <v>2</v>
      </c>
      <c r="IB13">
        <v>0</v>
      </c>
      <c r="IC13" s="30" t="s">
        <v>262</v>
      </c>
      <c r="ID13">
        <v>1.6910172735536029</v>
      </c>
      <c r="IE13">
        <v>0.59128180697840982</v>
      </c>
      <c r="IF13">
        <v>1.6910172735536029</v>
      </c>
      <c r="IG13" t="str">
        <f t="shared" si="1"/>
        <v/>
      </c>
    </row>
    <row r="14" spans="1:241">
      <c r="A14" s="22" t="s">
        <v>356</v>
      </c>
      <c r="B14" s="23"/>
      <c r="C14" s="24"/>
      <c r="D14" s="24"/>
      <c r="E14" s="24"/>
      <c r="F14" s="24"/>
      <c r="G14" s="24"/>
      <c r="H14" s="24"/>
      <c r="I14" s="24"/>
      <c r="J14" s="23"/>
      <c r="K14" s="23"/>
      <c r="L14" s="25"/>
      <c r="M14" s="23"/>
      <c r="N14" s="23"/>
      <c r="O14" s="23"/>
      <c r="P14" s="23"/>
      <c r="Q14" s="25"/>
      <c r="R14" s="23"/>
      <c r="S14" s="24"/>
      <c r="T14" s="24"/>
      <c r="U14" s="24"/>
      <c r="V14" s="24"/>
      <c r="W14" s="24"/>
      <c r="X14" s="24"/>
      <c r="Y14" s="23"/>
      <c r="Z14" s="24"/>
      <c r="AA14" s="24"/>
      <c r="AB14" s="24"/>
      <c r="AC14" s="24"/>
      <c r="AD14" s="24"/>
      <c r="AE14" s="23"/>
      <c r="AF14" s="24"/>
      <c r="AG14" s="24"/>
      <c r="AH14" s="24"/>
      <c r="AI14" s="24"/>
      <c r="AJ14" s="24"/>
      <c r="AK14" s="24"/>
      <c r="AL14" s="24"/>
      <c r="AM14" s="24"/>
      <c r="AN14" s="23" t="str">
        <f t="shared" si="0"/>
        <v/>
      </c>
      <c r="AO14" s="23" t="s">
        <v>244</v>
      </c>
      <c r="AP14" s="24" t="s">
        <v>244</v>
      </c>
      <c r="AQ14" s="26"/>
      <c r="AR14" s="27"/>
      <c r="AS14" s="24"/>
      <c r="AT14" s="24"/>
      <c r="AU14" s="24"/>
      <c r="AV14" s="24"/>
      <c r="AW14" s="24"/>
      <c r="AX14" s="24"/>
      <c r="AY14" s="24"/>
      <c r="AZ14" s="24"/>
      <c r="BA14" s="24"/>
      <c r="BB14" s="24"/>
      <c r="BC14" s="24"/>
      <c r="BD14" s="24"/>
      <c r="BE14" s="24"/>
      <c r="BF14" s="24"/>
      <c r="BG14" s="25"/>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4"/>
      <c r="GG14" s="24"/>
      <c r="GH14" s="24"/>
      <c r="GI14" s="24"/>
      <c r="GJ14" s="24" t="str">
        <f t="shared" si="2"/>
        <v/>
      </c>
      <c r="GK14" s="26"/>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8"/>
      <c r="HL14" s="23"/>
      <c r="HM14" s="24"/>
      <c r="HN14" s="24"/>
      <c r="HO14" s="24"/>
      <c r="HP14" s="24"/>
      <c r="HQ14" s="24"/>
      <c r="HR14" s="24"/>
      <c r="HS14" s="24"/>
      <c r="HT14" s="24"/>
      <c r="HU14" s="24"/>
      <c r="HV14" s="24"/>
      <c r="HW14" s="24"/>
      <c r="HX14" s="24"/>
      <c r="HY14" s="24"/>
      <c r="HZ14" s="24"/>
      <c r="IA14" s="24"/>
      <c r="IB14" s="24"/>
      <c r="IC14" s="23"/>
      <c r="ID14" s="24"/>
      <c r="IE14" s="24"/>
      <c r="IF14" s="24"/>
      <c r="IG14" s="24" t="str">
        <f t="shared" si="1"/>
        <v/>
      </c>
    </row>
    <row r="15" spans="1:241">
      <c r="A15" t="str">
        <f>HYPERLINK("http://exon.niaid.nih.gov/transcriptome/S_calcitrans/S1/links/pep/XP_013101740.1-pep.txt","XP_013101740.1")</f>
        <v>XP_013101740.1</v>
      </c>
      <c r="B15" s="30" t="s">
        <v>232</v>
      </c>
      <c r="C15">
        <v>244</v>
      </c>
      <c r="D15" t="s">
        <v>357</v>
      </c>
      <c r="E15">
        <v>0</v>
      </c>
      <c r="F15" t="s">
        <v>358</v>
      </c>
      <c r="G15" t="str">
        <f>HYPERLINK("http://exon.niaid.nih.gov/transcriptome/S_calcitrans/S1/links/cds/XM_013246286_1-cds.txt","XM_013246286_1")</f>
        <v>XM_013246286_1</v>
      </c>
      <c r="H15">
        <v>735</v>
      </c>
      <c r="I15" t="s">
        <v>359</v>
      </c>
      <c r="J15" s="30" t="s">
        <v>236</v>
      </c>
      <c r="K15" s="30" t="s">
        <v>91</v>
      </c>
      <c r="L15" s="31" t="s">
        <v>360</v>
      </c>
      <c r="M15" s="30">
        <v>360174</v>
      </c>
      <c r="N15" s="30">
        <v>375799</v>
      </c>
      <c r="O15" s="30" t="s">
        <v>276</v>
      </c>
      <c r="P15" s="30">
        <v>4</v>
      </c>
      <c r="Q15" s="31" t="s">
        <v>361</v>
      </c>
      <c r="R15" s="32" t="str">
        <f>HYPERLINK("http://exon.niaid.nih.gov/transcriptome/S_calcitrans/S1/links/Sigp/XP_013101740.1-SigP.txt","SIG")</f>
        <v>SIG</v>
      </c>
      <c r="S15" t="s">
        <v>336</v>
      </c>
      <c r="T15">
        <v>27.28</v>
      </c>
      <c r="U15">
        <v>7.56</v>
      </c>
      <c r="V15">
        <v>25.34</v>
      </c>
      <c r="W15">
        <v>7.15</v>
      </c>
      <c r="X15" t="s">
        <v>362</v>
      </c>
      <c r="Y15" s="32" t="str">
        <f>HYPERLINK("http://exon.niaid.nih.gov/transcriptome/S_calcitrans/S1/links/tmhmm/XP_013101740.1-tmhmm.txt","1")</f>
        <v>1</v>
      </c>
      <c r="Z15">
        <v>9</v>
      </c>
      <c r="AA15">
        <v>88.9</v>
      </c>
      <c r="AB15">
        <v>2</v>
      </c>
      <c r="AC15" t="s">
        <v>242</v>
      </c>
      <c r="AD15">
        <v>217</v>
      </c>
      <c r="AE15" s="32" t="str">
        <f>HYPERLINK("http://exon.niaid.nih.gov/transcriptome/S_calcitrans/S1/links/netoglyc/XP_013101740.1-netoglyc.txt","0")</f>
        <v>0</v>
      </c>
      <c r="AF15">
        <v>14.3</v>
      </c>
      <c r="AG15">
        <v>4.5</v>
      </c>
      <c r="AH15">
        <v>4.9000000000000004</v>
      </c>
      <c r="AI15" t="s">
        <v>243</v>
      </c>
      <c r="AJ15" t="s">
        <v>242</v>
      </c>
      <c r="AK15">
        <v>136.22365272850254</v>
      </c>
      <c r="AL15" s="33">
        <v>7075</v>
      </c>
      <c r="AM15">
        <v>1</v>
      </c>
      <c r="AN15" s="30">
        <f t="shared" si="0"/>
        <v>1</v>
      </c>
      <c r="AO15" s="30" t="s">
        <v>244</v>
      </c>
      <c r="AP15">
        <v>62349</v>
      </c>
      <c r="AQ15" s="34">
        <v>0.24217346695619194</v>
      </c>
      <c r="AR15" s="35">
        <v>61.430553394379771</v>
      </c>
      <c r="AS15" t="s">
        <v>363</v>
      </c>
      <c r="AT15" s="36" t="s">
        <v>364</v>
      </c>
      <c r="AU15" t="s">
        <v>365</v>
      </c>
      <c r="AV15" t="str">
        <f>HYPERLINK("http://exon.niaid.nih.gov/transcriptome/S_calcitrans/S1/links/KOG/XP_013101740.1-KOG.txt","KOG")</f>
        <v>KOG</v>
      </c>
      <c r="AW15" s="37">
        <v>3.0000000000000003E-42</v>
      </c>
      <c r="AX15">
        <v>100</v>
      </c>
      <c r="AY15" s="33"/>
      <c r="BG15" s="31"/>
      <c r="BJ15" s="33"/>
      <c r="BK15" s="33"/>
      <c r="BL15" s="33" t="str">
        <f>HYPERLINK("http://exon.niaid.nih.gov/transcriptome/S_calcitrans/S1/links/NR-LIGHT/XP_013101740.1-NR-LIGHT.txt","GILT-like protein C02D5.2")</f>
        <v>GILT-like protein C02D5.2</v>
      </c>
      <c r="BM15" t="str">
        <f>HYPERLINK("http://www.ncbi.nlm.nih.gov/sutils/blink.cgi?pid=557761726","1E-123")</f>
        <v>1E-123</v>
      </c>
      <c r="BN15" t="str">
        <f>HYPERLINK("http://www.ncbi.nlm.nih.gov/protein/557761726","gi|557761726")</f>
        <v>gi|557761726</v>
      </c>
      <c r="BO15">
        <v>85</v>
      </c>
      <c r="BP15">
        <v>92</v>
      </c>
      <c r="BQ15">
        <v>100</v>
      </c>
      <c r="BR15" t="s">
        <v>251</v>
      </c>
      <c r="BS15" s="33" t="str">
        <f>HYPERLINK("http://exon.niaid.nih.gov/transcriptome/S_calcitrans/S1/links/SWISSP/XP_013101740.1-SWISSP.txt","GILT-like protein C02D5.2")</f>
        <v>GILT-like protein C02D5.2</v>
      </c>
      <c r="BT15" t="str">
        <f>HYPERLINK("http://www.uniprot.org/uniprot/P34276","2E-014")</f>
        <v>2E-014</v>
      </c>
      <c r="BU15" t="str">
        <f>HYPERLINK("http://www.uniprot.org/uniprot/P34276#expression","P34276")</f>
        <v>P34276</v>
      </c>
      <c r="BV15">
        <v>28</v>
      </c>
      <c r="BW15">
        <v>44</v>
      </c>
      <c r="BX15">
        <v>61</v>
      </c>
      <c r="BY15" t="s">
        <v>366</v>
      </c>
      <c r="BZ15" s="33" t="str">
        <f>HYPERLINK("http://exon.niaid.nih.gov/transcriptome/S_calcitrans/S1/links/REFSEQ-INVERTEBRATE/XP_013101740.1-REFSEQ-INVERTEBRATE.txt","GILT-like protein C02D5.2")</f>
        <v>GILT-like protein C02D5.2</v>
      </c>
      <c r="CA15" t="str">
        <f>HYPERLINK("http://www.ncbi.nlm.nih.gov/sutils/blink.cgi?pid=907648339","1E-141")</f>
        <v>1E-141</v>
      </c>
      <c r="CB15" t="str">
        <f>HYPERLINK("http://www.ncbi.nlm.nih.gov/protein/907648339","gi|907648339")</f>
        <v>gi|907648339</v>
      </c>
      <c r="CC15">
        <v>100</v>
      </c>
      <c r="CD15">
        <v>100</v>
      </c>
      <c r="CE15">
        <v>100</v>
      </c>
      <c r="CF15" t="s">
        <v>253</v>
      </c>
      <c r="CG15" s="33" t="str">
        <f>HYPERLINK("http://exon.niaid.nih.gov/transcriptome/S_calcitrans/S1/links/DIPTERA/XP_013101740.1-DIPTERA.txt","GILT-like protein C02D5.2")</f>
        <v>GILT-like protein C02D5.2</v>
      </c>
      <c r="CH15" t="str">
        <f>HYPERLINK("http://www.ncbi.nlm.nih.gov/sutils/blink.cgi?pid=907648339","1E-141")</f>
        <v>1E-141</v>
      </c>
      <c r="CI15" t="str">
        <f>HYPERLINK("http://www.ncbi.nlm.nih.gov/protein/907648339","gi|907648339")</f>
        <v>gi|907648339</v>
      </c>
      <c r="CJ15">
        <v>100</v>
      </c>
      <c r="CK15">
        <v>100</v>
      </c>
      <c r="CL15">
        <v>100</v>
      </c>
      <c r="CM15" t="s">
        <v>253</v>
      </c>
      <c r="CN15" s="33" t="s">
        <v>242</v>
      </c>
      <c r="CO15" t="s">
        <v>242</v>
      </c>
      <c r="CP15" t="s">
        <v>242</v>
      </c>
      <c r="CQ15" t="s">
        <v>242</v>
      </c>
      <c r="CR15" t="s">
        <v>242</v>
      </c>
      <c r="CS15" t="s">
        <v>242</v>
      </c>
      <c r="CT15" t="s">
        <v>242</v>
      </c>
      <c r="CU15" s="33" t="s">
        <v>367</v>
      </c>
      <c r="CV15">
        <f>HYPERLINK("http://exon.niaid.nih.gov/transcriptome/S_calcitrans/S1/links/GO/XP_013101740.1-GO.txt",1E-91)</f>
        <v>1E-91</v>
      </c>
      <c r="CW15" t="str">
        <f>HYPERLINK("http://amigo.geneontology.org/cgi-bin/amigo/term_details?term=GO:0015036","GO:0015036")</f>
        <v>GO:0015036</v>
      </c>
      <c r="CX15" t="s">
        <v>368</v>
      </c>
      <c r="CY15" t="s">
        <v>369</v>
      </c>
      <c r="CZ15" t="s">
        <v>370</v>
      </c>
      <c r="DA15" t="s">
        <v>242</v>
      </c>
      <c r="DC15" t="s">
        <v>371</v>
      </c>
      <c r="DD15" s="37">
        <v>1E-91</v>
      </c>
      <c r="DE15" s="33" t="str">
        <f>HYPERLINK("http://exon.niaid.nih.gov/transcriptome/S_calcitrans/S1/links/CDD/XP_013101740.1-CDD.txt","GILT")</f>
        <v>GILT</v>
      </c>
      <c r="DF15" t="str">
        <f>HYPERLINK("http://www.ncbi.nlm.nih.gov/Structure/cdd/cddsrv.cgi?uid=pfam03227&amp;version=v4.0","3E-029")</f>
        <v>3E-029</v>
      </c>
      <c r="DG15" t="s">
        <v>372</v>
      </c>
      <c r="DH15" s="33" t="str">
        <f>HYPERLINK("http://exon.niaid.nih.gov/transcriptome/S_calcitrans/S1/links/KOG/XP_013101740.1-KOG.txt","Gamma-interferon inducible lysosomal thiol reductase")</f>
        <v>Gamma-interferon inducible lysosomal thiol reductase</v>
      </c>
      <c r="DI15" t="str">
        <f>HYPERLINK("http://www.ncbi.nlm.nih.gov/Structure/cdd/cddsrv.cgi?uid=KOG3160","3E-042")</f>
        <v>3E-042</v>
      </c>
      <c r="DJ15" t="s">
        <v>373</v>
      </c>
      <c r="DK15" t="str">
        <f>HYPERLINK("http://exon.niaid.nih.gov/transcriptome/S_calcitrans/S1/links/KOG/XP_013101740.1-KOG.txt","KOG3160")</f>
        <v>KOG3160</v>
      </c>
      <c r="DL15" s="33" t="str">
        <f>HYPERLINK("http://exon.niaid.nih.gov/transcriptome/S_calcitrans/S1/links/PFAM/XP_013101740.1-PFAM.txt","GILT")</f>
        <v>GILT</v>
      </c>
      <c r="DM15" t="str">
        <f>HYPERLINK("http://pfam.sanger.ac.uk/family?acc=PF03227","6E-030")</f>
        <v>6E-030</v>
      </c>
      <c r="DN15" s="33" t="str">
        <f>HYPERLINK("http://exon.niaid.nih.gov/transcriptome/S_calcitrans/S1/links/SMART/XP_013101740.1-SMART.txt","Pumilio")</f>
        <v>Pumilio</v>
      </c>
      <c r="DO15" t="str">
        <f>HYPERLINK("http://smart.embl-heidelberg.de/smart/do_annotation.pl?DOMAIN=Pumilio&amp;BLAST=DUMMY","7.8")</f>
        <v>7.8</v>
      </c>
      <c r="DP15" s="33"/>
      <c r="EB15" s="33">
        <f>HYPERLINK("http://exon.niaid.nih.gov/transcriptome/S_calcitrans/S1/links/cluster-b/Scalc-pep25-50SimCLU563.txt", 563)</f>
        <v>563</v>
      </c>
      <c r="EC15">
        <f>HYPERLINK("http://exon.niaid.nih.gov/transcriptome/S_calcitrans/S1/links/cluster-b/Scalc-pep25-50SimCLTL563.txt", 5)</f>
        <v>5</v>
      </c>
      <c r="ED15" s="33">
        <f>HYPERLINK("http://exon.niaid.nih.gov/transcriptome/S_calcitrans/S1/links/cluster-b/Scalc-pep30-50SimCLU647.txt", 647)</f>
        <v>647</v>
      </c>
      <c r="EE15">
        <f>HYPERLINK("http://exon.niaid.nih.gov/transcriptome/S_calcitrans/S1/links/cluster-b/Scalc-pep30-50SimCLTL647.txt", 5)</f>
        <v>5</v>
      </c>
      <c r="EF15" s="33">
        <f>HYPERLINK("http://exon.niaid.nih.gov/transcriptome/S_calcitrans/S1/links/cluster-b/Scalc-pep35-50SimCLU680.txt", 680)</f>
        <v>680</v>
      </c>
      <c r="EG15">
        <f>HYPERLINK("http://exon.niaid.nih.gov/transcriptome/S_calcitrans/S1/links/cluster-b/Scalc-pep35-50SimCLTL680.txt", 5)</f>
        <v>5</v>
      </c>
      <c r="EH15" s="33">
        <v>5178</v>
      </c>
      <c r="EI15">
        <v>1</v>
      </c>
      <c r="EJ15" s="33">
        <v>5511</v>
      </c>
      <c r="EK15">
        <v>1</v>
      </c>
      <c r="EL15" s="33">
        <v>5766</v>
      </c>
      <c r="EM15">
        <v>1</v>
      </c>
      <c r="EN15" s="33">
        <v>6068</v>
      </c>
      <c r="EO15">
        <v>1</v>
      </c>
      <c r="EP15" s="33">
        <v>6281</v>
      </c>
      <c r="EQ15">
        <v>1</v>
      </c>
      <c r="ER15" s="33">
        <v>6452</v>
      </c>
      <c r="ES15">
        <v>1</v>
      </c>
      <c r="ET15" s="33">
        <v>6583</v>
      </c>
      <c r="EU15">
        <v>1</v>
      </c>
      <c r="EV15" s="33">
        <v>6697</v>
      </c>
      <c r="EW15">
        <v>1</v>
      </c>
      <c r="EX15" s="33">
        <v>6797</v>
      </c>
      <c r="EY15">
        <v>1</v>
      </c>
      <c r="EZ15" s="33">
        <v>6882</v>
      </c>
      <c r="FA15">
        <v>1</v>
      </c>
      <c r="FB15" s="33">
        <v>6955</v>
      </c>
      <c r="FC15">
        <v>1</v>
      </c>
      <c r="FD15" s="33">
        <v>7075</v>
      </c>
      <c r="FE15">
        <v>1</v>
      </c>
      <c r="FF15" t="s">
        <v>374</v>
      </c>
      <c r="FG15">
        <v>7728</v>
      </c>
      <c r="FH15" s="38" t="str">
        <f>HYPERLINK("http://exon.niaid.nih.gov/transcriptome/S_calcitrans/S1/links/SG_male-stripped_temp-95-h10-1gap/7728-SG_male-stripped_temp-95-h10-1gap.txt","23085")</f>
        <v>23085</v>
      </c>
      <c r="FI15" s="39">
        <v>100</v>
      </c>
      <c r="FJ15" s="39">
        <v>2299.0857142857099</v>
      </c>
      <c r="FK15" s="39">
        <v>157</v>
      </c>
      <c r="FL15" s="39">
        <v>3625</v>
      </c>
      <c r="FM15" s="39">
        <v>73.200519818063697</v>
      </c>
      <c r="FN15" s="38" t="str">
        <f>HYPERLINK("http://exon.niaid.nih.gov/transcriptome/S_calcitrans/S1/links/SG_female-stripped_temp-95-h10-1gap/7728-SG_female-stripped_temp-95-h10-1gap.txt","39264")</f>
        <v>39264</v>
      </c>
      <c r="FO15" s="39">
        <v>100</v>
      </c>
      <c r="FP15" s="39">
        <v>3914.9197278911602</v>
      </c>
      <c r="FQ15" s="39">
        <v>340</v>
      </c>
      <c r="FR15" s="39">
        <v>6427</v>
      </c>
      <c r="FS15" s="39">
        <v>73.285375916870393</v>
      </c>
      <c r="FT15" s="38" t="str">
        <f>HYPERLINK("http://exon.niaid.nih.gov/transcriptome/S_calcitrans/S1/links/SRR694289-stripped_temp-95-h10-1gap/7728-SRR694289-stripped_temp-95-h10-1gap.txt","864")</f>
        <v>864</v>
      </c>
      <c r="FU15" s="39">
        <v>100</v>
      </c>
      <c r="FV15" s="39">
        <v>112.50068027210899</v>
      </c>
      <c r="FW15" s="39">
        <v>5</v>
      </c>
      <c r="FX15" s="39">
        <v>233</v>
      </c>
      <c r="FY15" s="39">
        <v>95.703703703703695</v>
      </c>
      <c r="FZ15" s="38" t="str">
        <f>HYPERLINK("http://exon.niaid.nih.gov/transcriptome/S_calcitrans/S1/links/SRR694925-stripped_temp-95-h10-1gap/7728-SRR694925-stripped_temp-95-h10-1gap.txt","739")</f>
        <v>739</v>
      </c>
      <c r="GA15" s="39">
        <v>100</v>
      </c>
      <c r="GB15" s="39">
        <v>96.933333333333294</v>
      </c>
      <c r="GC15" s="39">
        <v>2</v>
      </c>
      <c r="GD15" s="39">
        <v>198</v>
      </c>
      <c r="GE15" s="39">
        <v>96.4154262516915</v>
      </c>
      <c r="GF15">
        <f>1*FH15</f>
        <v>23085</v>
      </c>
      <c r="GG15">
        <f>1*FN15</f>
        <v>39264</v>
      </c>
      <c r="GH15">
        <f>1*FT15</f>
        <v>864</v>
      </c>
      <c r="GI15">
        <f>1*FZ15</f>
        <v>739</v>
      </c>
      <c r="GJ15">
        <f t="shared" si="2"/>
        <v>62349</v>
      </c>
      <c r="GK15" s="34">
        <v>0.24217346695619194</v>
      </c>
      <c r="GL15">
        <v>1027.4117534765699</v>
      </c>
      <c r="GM15">
        <v>794.65833267444987</v>
      </c>
      <c r="GN15">
        <v>6.7570781594685494</v>
      </c>
      <c r="GO15">
        <v>5.9580054021965418</v>
      </c>
      <c r="GP15">
        <f>MAX(GL15:GO15)</f>
        <v>1027.4117534765699</v>
      </c>
      <c r="GQ15" t="s">
        <v>365</v>
      </c>
      <c r="GR15">
        <v>801.26964773534758</v>
      </c>
      <c r="GS15">
        <v>652.22869510489204</v>
      </c>
      <c r="GT15">
        <v>12.18069991935077</v>
      </c>
      <c r="GU15">
        <v>11.280137604102489</v>
      </c>
      <c r="GV15">
        <f>MAX(GR15:GU15)</f>
        <v>801.26964773534758</v>
      </c>
      <c r="GW15">
        <v>61.430553394379771</v>
      </c>
      <c r="GX15">
        <v>62349</v>
      </c>
      <c r="GY15">
        <v>1603</v>
      </c>
      <c r="GZ15">
        <v>63952</v>
      </c>
      <c r="HA15">
        <v>14197.324405149511</v>
      </c>
      <c r="HB15">
        <v>49754.675594850487</v>
      </c>
      <c r="HC15">
        <v>163311.32517833757</v>
      </c>
      <c r="HD15">
        <v>46600.321173266559</v>
      </c>
      <c r="HE15">
        <v>209911.64635160414</v>
      </c>
      <c r="HF15">
        <v>0</v>
      </c>
      <c r="HG15">
        <v>14197.324405149511</v>
      </c>
      <c r="HH15">
        <v>1</v>
      </c>
      <c r="HI15">
        <v>1</v>
      </c>
      <c r="HJ15">
        <v>2</v>
      </c>
      <c r="HK15">
        <v>0</v>
      </c>
      <c r="HL15" s="30" t="s">
        <v>262</v>
      </c>
      <c r="HM15">
        <v>136.22365272850254</v>
      </c>
      <c r="HN15">
        <v>7.3361748132089993E-3</v>
      </c>
      <c r="HO15">
        <v>23085</v>
      </c>
      <c r="HP15">
        <v>39264</v>
      </c>
      <c r="HQ15">
        <v>62349</v>
      </c>
      <c r="HR15">
        <v>19490.044559833055</v>
      </c>
      <c r="HS15">
        <v>42858.955440166945</v>
      </c>
      <c r="HT15">
        <v>663.09261516109189</v>
      </c>
      <c r="HU15">
        <v>301.54035449669306</v>
      </c>
      <c r="HV15">
        <v>964.632969657785</v>
      </c>
      <c r="HW15">
        <v>8.7482676611854173E-212</v>
      </c>
      <c r="HX15">
        <v>19490.044559833055</v>
      </c>
      <c r="HY15">
        <v>1</v>
      </c>
      <c r="HZ15">
        <v>1</v>
      </c>
      <c r="IA15">
        <v>2</v>
      </c>
      <c r="IB15" s="37">
        <v>1.87046985714286E-209</v>
      </c>
      <c r="IC15" s="30" t="s">
        <v>262</v>
      </c>
      <c r="ID15">
        <v>1.292864549627285</v>
      </c>
      <c r="IE15">
        <v>0.77342302959875553</v>
      </c>
      <c r="IF15">
        <v>1.292864549627285</v>
      </c>
      <c r="IG15" t="str">
        <f t="shared" si="1"/>
        <v/>
      </c>
    </row>
    <row r="16" spans="1:241">
      <c r="A16" s="22" t="s">
        <v>46</v>
      </c>
      <c r="B16" s="23"/>
      <c r="C16" s="24"/>
      <c r="D16" s="24"/>
      <c r="E16" s="24"/>
      <c r="F16" s="24"/>
      <c r="G16" s="24"/>
      <c r="H16" s="24"/>
      <c r="I16" s="24"/>
      <c r="J16" s="23"/>
      <c r="K16" s="23"/>
      <c r="L16" s="25"/>
      <c r="M16" s="23"/>
      <c r="N16" s="23"/>
      <c r="O16" s="23"/>
      <c r="P16" s="23"/>
      <c r="Q16" s="25"/>
      <c r="R16" s="23"/>
      <c r="S16" s="24"/>
      <c r="T16" s="24"/>
      <c r="U16" s="24"/>
      <c r="V16" s="24"/>
      <c r="W16" s="24"/>
      <c r="X16" s="24"/>
      <c r="Y16" s="23"/>
      <c r="Z16" s="24"/>
      <c r="AA16" s="24"/>
      <c r="AB16" s="24"/>
      <c r="AC16" s="24"/>
      <c r="AD16" s="24"/>
      <c r="AE16" s="23"/>
      <c r="AF16" s="24"/>
      <c r="AG16" s="24"/>
      <c r="AH16" s="24"/>
      <c r="AI16" s="24"/>
      <c r="AJ16" s="24"/>
      <c r="AK16" s="24"/>
      <c r="AL16" s="24"/>
      <c r="AM16" s="24"/>
      <c r="AN16" s="23" t="str">
        <f t="shared" si="0"/>
        <v/>
      </c>
      <c r="AO16" s="23" t="s">
        <v>244</v>
      </c>
      <c r="AP16" s="24" t="s">
        <v>244</v>
      </c>
      <c r="AQ16" s="26"/>
      <c r="AR16" s="27"/>
      <c r="AS16" s="24"/>
      <c r="AT16" s="24"/>
      <c r="AU16" s="24"/>
      <c r="AV16" s="24"/>
      <c r="AW16" s="24"/>
      <c r="AX16" s="24"/>
      <c r="AY16" s="24"/>
      <c r="AZ16" s="24"/>
      <c r="BA16" s="24"/>
      <c r="BB16" s="24"/>
      <c r="BC16" s="24"/>
      <c r="BD16" s="24"/>
      <c r="BE16" s="24"/>
      <c r="BF16" s="24"/>
      <c r="BG16" s="25"/>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4"/>
      <c r="GG16" s="24"/>
      <c r="GH16" s="24"/>
      <c r="GI16" s="24"/>
      <c r="GJ16" s="24" t="str">
        <f t="shared" si="2"/>
        <v/>
      </c>
      <c r="GK16" s="26"/>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8"/>
      <c r="HL16" s="23"/>
      <c r="HM16" s="24"/>
      <c r="HN16" s="24"/>
      <c r="HO16" s="24"/>
      <c r="HP16" s="24"/>
      <c r="HQ16" s="24"/>
      <c r="HR16" s="24"/>
      <c r="HS16" s="24"/>
      <c r="HT16" s="24"/>
      <c r="HU16" s="24"/>
      <c r="HV16" s="24"/>
      <c r="HW16" s="24"/>
      <c r="HX16" s="24"/>
      <c r="HY16" s="24"/>
      <c r="HZ16" s="24"/>
      <c r="IA16" s="24"/>
      <c r="IB16" s="24"/>
      <c r="IC16" s="23"/>
      <c r="ID16" s="24"/>
      <c r="IE16" s="24"/>
      <c r="IF16" s="24"/>
      <c r="IG16" s="24" t="str">
        <f t="shared" si="1"/>
        <v/>
      </c>
    </row>
    <row r="17" spans="1:241">
      <c r="A17" t="str">
        <f>HYPERLINK("http://exon.niaid.nih.gov/transcriptome/S_calcitrans/S1/links/pep/XP_013111753.1-pep.txt","XP_013111753.1")</f>
        <v>XP_013111753.1</v>
      </c>
      <c r="B17" s="30" t="s">
        <v>232</v>
      </c>
      <c r="C17">
        <v>180</v>
      </c>
      <c r="D17" t="s">
        <v>375</v>
      </c>
      <c r="E17">
        <v>0</v>
      </c>
      <c r="F17" t="s">
        <v>376</v>
      </c>
      <c r="G17" t="str">
        <f>HYPERLINK("http://exon.niaid.nih.gov/transcriptome/S_calcitrans/S1/links/cds/XM_013256299_1-cds.txt","XM_013256299_1")</f>
        <v>XM_013256299_1</v>
      </c>
      <c r="H17">
        <v>543</v>
      </c>
      <c r="I17" t="s">
        <v>377</v>
      </c>
      <c r="J17" s="30" t="s">
        <v>236</v>
      </c>
      <c r="K17" s="30" t="s">
        <v>91</v>
      </c>
      <c r="L17" s="31" t="s">
        <v>378</v>
      </c>
      <c r="M17" s="30">
        <v>278230</v>
      </c>
      <c r="N17" s="30">
        <v>279808</v>
      </c>
      <c r="O17" s="30" t="s">
        <v>276</v>
      </c>
      <c r="P17" s="30">
        <v>3</v>
      </c>
      <c r="Q17" s="31" t="s">
        <v>379</v>
      </c>
      <c r="R17" s="32" t="str">
        <f>HYPERLINK("http://exon.niaid.nih.gov/transcriptome/S_calcitrans/S1/links/Sigp/XP_013111753.1-SigP.txt","SIG")</f>
        <v>SIG</v>
      </c>
      <c r="S17" t="s">
        <v>380</v>
      </c>
      <c r="T17">
        <v>20.709</v>
      </c>
      <c r="U17">
        <v>8.9700000000000006</v>
      </c>
      <c r="V17">
        <v>17.463000000000001</v>
      </c>
      <c r="W17">
        <v>8.68</v>
      </c>
      <c r="X17" t="s">
        <v>381</v>
      </c>
      <c r="Y17" s="32" t="str">
        <f>HYPERLINK("http://exon.niaid.nih.gov/transcriptome/S_calcitrans/S1/links/tmhmm/XP_013111753.1-tmhmm.txt","1")</f>
        <v>1</v>
      </c>
      <c r="Z17">
        <v>10.6</v>
      </c>
      <c r="AA17">
        <v>5.6</v>
      </c>
      <c r="AB17">
        <v>83.9</v>
      </c>
      <c r="AC17" t="s">
        <v>242</v>
      </c>
      <c r="AD17">
        <v>151</v>
      </c>
      <c r="AE17" s="32" t="str">
        <f>HYPERLINK("http://exon.niaid.nih.gov/transcriptome/S_calcitrans/S1/links/netoglyc/XP_013111753.1-netoglyc.txt","0")</f>
        <v>0</v>
      </c>
      <c r="AF17">
        <v>13.9</v>
      </c>
      <c r="AG17">
        <v>4.4000000000000004</v>
      </c>
      <c r="AH17">
        <v>3.3</v>
      </c>
      <c r="AI17" t="s">
        <v>243</v>
      </c>
      <c r="AJ17" t="s">
        <v>242</v>
      </c>
      <c r="AK17">
        <v>157.0238137242554</v>
      </c>
      <c r="AL17" s="33">
        <f t="shared" ref="AL17:AL22" si="3">HYPERLINK("http://exon.niaid.nih.gov/transcriptome/S_calcitrans/S1/links/cluster-b/Scalc-pep95-50SimCLU229.txt", 229)</f>
        <v>229</v>
      </c>
      <c r="AM17">
        <f t="shared" ref="AM17:AM22" si="4">HYPERLINK("http://exon.niaid.nih.gov/transcriptome/S_calcitrans/S1/links/cluster-b/Scalc-pep95-50SimCLTL229.txt", 6)</f>
        <v>6</v>
      </c>
      <c r="AN17" s="30">
        <f t="shared" si="0"/>
        <v>1</v>
      </c>
      <c r="AO17" s="30" t="s">
        <v>244</v>
      </c>
      <c r="AP17">
        <v>11560</v>
      </c>
      <c r="AQ17" s="34">
        <v>4.4900884986344265E-2</v>
      </c>
      <c r="AR17" s="35">
        <v>68.82489707966991</v>
      </c>
      <c r="AS17" t="s">
        <v>382</v>
      </c>
      <c r="AT17" s="36" t="s">
        <v>383</v>
      </c>
      <c r="AU17" t="s">
        <v>384</v>
      </c>
      <c r="AV17" t="str">
        <f>HYPERLINK("http://exon.niaid.nih.gov/transcriptome/S_calcitrans/S1/links/REFSEQ-INVERTEBRATE/XP_013111753.1-REFSEQ-INVERTEBRATE.txt","REFSEQ-INVERTEBRATE")</f>
        <v>REFSEQ-INVERTEBRATE</v>
      </c>
      <c r="AW17">
        <v>0</v>
      </c>
      <c r="AX17">
        <v>100</v>
      </c>
      <c r="AY17" s="33"/>
      <c r="BG17" s="31"/>
      <c r="BJ17" s="33"/>
      <c r="BK17" s="33"/>
      <c r="BL17" s="33" t="str">
        <f>HYPERLINK("http://exon.niaid.nih.gov/transcriptome/S_calcitrans/S1/links/NR-LIGHT/XP_013111753.1-NR-LIGHT.txt","lysozyme c-1")</f>
        <v>lysozyme c-1</v>
      </c>
      <c r="BM17" t="str">
        <f t="shared" ref="BM17:BM22" si="5">HYPERLINK("http://www.ncbi.nlm.nih.gov/sutils/blink.cgi?pid=557775721","1E-082")</f>
        <v>1E-082</v>
      </c>
      <c r="BN17" t="str">
        <f t="shared" ref="BN17:BN22" si="6">HYPERLINK("http://www.ncbi.nlm.nih.gov/protein/557775721","gi|557775721")</f>
        <v>gi|557775721</v>
      </c>
      <c r="BO17">
        <v>87</v>
      </c>
      <c r="BP17">
        <v>91</v>
      </c>
      <c r="BQ17">
        <v>97</v>
      </c>
      <c r="BR17" t="s">
        <v>251</v>
      </c>
      <c r="BS17" s="33" t="str">
        <f>HYPERLINK("http://exon.niaid.nih.gov/transcriptome/S_calcitrans/S1/links/SWISSP/XP_013111753.1-SWISSP.txt","Lysozyme c-1")</f>
        <v>Lysozyme c-1</v>
      </c>
      <c r="BT17" t="str">
        <f t="shared" ref="BT17:BT22" si="7">HYPERLINK("http://www.uniprot.org/uniprot/Q17005","2E-022")</f>
        <v>2E-022</v>
      </c>
      <c r="BU17" t="str">
        <f t="shared" ref="BU17:BU22" si="8">HYPERLINK("http://www.uniprot.org/uniprot/Q17005#expression","Q17005")</f>
        <v>Q17005</v>
      </c>
      <c r="BV17">
        <v>37</v>
      </c>
      <c r="BW17">
        <v>58</v>
      </c>
      <c r="BX17">
        <v>107</v>
      </c>
      <c r="BY17" t="s">
        <v>385</v>
      </c>
      <c r="BZ17" s="33" t="str">
        <f>HYPERLINK("http://exon.niaid.nih.gov/transcriptome/S_calcitrans/S1/links/REFSEQ-INVERTEBRATE/XP_013111753.1-REFSEQ-INVERTEBRATE.txt","lysozyme c-1-like")</f>
        <v>lysozyme c-1-like</v>
      </c>
      <c r="CA17" t="str">
        <f t="shared" ref="CA17:CA22" si="9">HYPERLINK("http://www.ncbi.nlm.nih.gov/sutils/blink.cgi?pid=907713422","1E-104")</f>
        <v>1E-104</v>
      </c>
      <c r="CB17" t="str">
        <f t="shared" ref="CB17:CB22" si="10">HYPERLINK("http://www.ncbi.nlm.nih.gov/protein/907713422","gi|907713422")</f>
        <v>gi|907713422</v>
      </c>
      <c r="CC17">
        <v>100</v>
      </c>
      <c r="CD17">
        <v>100</v>
      </c>
      <c r="CE17">
        <v>100</v>
      </c>
      <c r="CF17" t="s">
        <v>253</v>
      </c>
      <c r="CG17" s="33" t="str">
        <f>HYPERLINK("http://exon.niaid.nih.gov/transcriptome/S_calcitrans/S1/links/DIPTERA/XP_013111753.1-DIPTERA.txt","lysozyme c-1-like")</f>
        <v>lysozyme c-1-like</v>
      </c>
      <c r="CH17" t="str">
        <f t="shared" ref="CH17:CH22" si="11">HYPERLINK("http://www.ncbi.nlm.nih.gov/sutils/blink.cgi?pid=907713286","1E-104")</f>
        <v>1E-104</v>
      </c>
      <c r="CI17" t="str">
        <f t="shared" ref="CI17:CI22" si="12">HYPERLINK("http://www.ncbi.nlm.nih.gov/protein/907713286","gi|907713286")</f>
        <v>gi|907713286</v>
      </c>
      <c r="CJ17">
        <v>100</v>
      </c>
      <c r="CK17">
        <v>100</v>
      </c>
      <c r="CL17">
        <v>100</v>
      </c>
      <c r="CM17" t="s">
        <v>253</v>
      </c>
      <c r="CN17" s="33" t="s">
        <v>242</v>
      </c>
      <c r="CO17" t="s">
        <v>242</v>
      </c>
      <c r="CP17" t="s">
        <v>242</v>
      </c>
      <c r="CQ17" t="s">
        <v>242</v>
      </c>
      <c r="CR17" t="s">
        <v>242</v>
      </c>
      <c r="CS17" t="s">
        <v>242</v>
      </c>
      <c r="CT17" t="s">
        <v>242</v>
      </c>
      <c r="CU17" s="33" t="s">
        <v>386</v>
      </c>
      <c r="CV17">
        <f>HYPERLINK("http://exon.niaid.nih.gov/transcriptome/S_calcitrans/S1/links/GO/XP_013111753.1-GO.txt",7E-40)</f>
        <v>7.0000000000000003E-40</v>
      </c>
      <c r="CW17" t="str">
        <f t="shared" ref="CW17:CW22" si="13">HYPERLINK("http://amigo.geneontology.org/cgi-bin/amigo/term_details?term=GO:0003796","GO:0003796")</f>
        <v>GO:0003796</v>
      </c>
      <c r="CX17" t="s">
        <v>387</v>
      </c>
      <c r="CY17" t="s">
        <v>388</v>
      </c>
      <c r="CZ17" t="s">
        <v>389</v>
      </c>
      <c r="DA17" t="str">
        <f t="shared" ref="DA17:DA22" si="14">HYPERLINK("http://www.genome.jp/dbget-bin/www_bfind_sub?mode=bfind&amp;max_hit=1000&amp;dbkey=kegg&amp;keywords=EC:3.2.1.17","EC:3.2.1.17")</f>
        <v>EC:3.2.1.17</v>
      </c>
      <c r="DC17" t="s">
        <v>390</v>
      </c>
      <c r="DD17" s="37">
        <v>1.9999999999999999E-23</v>
      </c>
      <c r="DE17" s="33" t="str">
        <f>HYPERLINK("http://exon.niaid.nih.gov/transcriptome/S_calcitrans/S1/links/CDD/XP_013111753.1-CDD.txt","LYZ1")</f>
        <v>LYZ1</v>
      </c>
      <c r="DF17" t="str">
        <f>HYPERLINK("http://www.ncbi.nlm.nih.gov/Structure/cdd/cddsrv.cgi?uid=cd00119&amp;version=v4.0","2E-035")</f>
        <v>2E-035</v>
      </c>
      <c r="DG17" t="s">
        <v>391</v>
      </c>
      <c r="DH17" s="33" t="str">
        <f>HYPERLINK("http://exon.niaid.nih.gov/transcriptome/S_calcitrans/S1/links/KOG/XP_013111753.1-KOG.txt","C3H1-type Zn-finger protein")</f>
        <v>C3H1-type Zn-finger protein</v>
      </c>
      <c r="DI17" t="str">
        <f t="shared" ref="DI17:DI22" si="15">HYPERLINK("http://www.ncbi.nlm.nih.gov/Structure/cdd/cddsrv.cgi?uid=KOG2494","0.78")</f>
        <v>0.78</v>
      </c>
      <c r="DJ17" t="s">
        <v>392</v>
      </c>
      <c r="DK17" t="str">
        <f>HYPERLINK("http://exon.niaid.nih.gov/transcriptome/S_calcitrans/S1/links/KOG/XP_013111753.1-KOG.txt","KOG2494")</f>
        <v>KOG2494</v>
      </c>
      <c r="DL17" s="33" t="str">
        <f>HYPERLINK("http://exon.niaid.nih.gov/transcriptome/S_calcitrans/S1/links/PFAM/XP_013111753.1-PFAM.txt","Lys")</f>
        <v>Lys</v>
      </c>
      <c r="DM17" t="str">
        <f t="shared" ref="DM17:DM22" si="16">HYPERLINK("http://pfam.sanger.ac.uk/family?acc=PF00062","3E-027")</f>
        <v>3E-027</v>
      </c>
      <c r="DN17" s="33" t="str">
        <f>HYPERLINK("http://exon.niaid.nih.gov/transcriptome/S_calcitrans/S1/links/SMART/XP_013111753.1-SMART.txt","LYZ1")</f>
        <v>LYZ1</v>
      </c>
      <c r="DO17" t="str">
        <f t="shared" ref="DO17:DO22" si="17">HYPERLINK("http://smart.embl-heidelberg.de/smart/do_annotation.pl?DOMAIN=LYZ1&amp;BLAST=DUMMY","4E-026")</f>
        <v>4E-026</v>
      </c>
      <c r="DP17" s="33"/>
      <c r="EB17" s="33">
        <f t="shared" ref="EB17:EB22" si="18">HYPERLINK("http://exon.niaid.nih.gov/transcriptome/S_calcitrans/S1/links/cluster-b/Scalc-pep25-50SimCLU1.txt", 1)</f>
        <v>1</v>
      </c>
      <c r="EC17">
        <f t="shared" ref="EC17:EC22" si="19">HYPERLINK("http://exon.niaid.nih.gov/transcriptome/S_calcitrans/S1/links/cluster-b/Scalc-pep25-50SimCLTL1.txt", 5170)</f>
        <v>5170</v>
      </c>
      <c r="ED17" s="33">
        <f t="shared" ref="ED17:ED22" si="20">HYPERLINK("http://exon.niaid.nih.gov/transcriptome/S_calcitrans/S1/links/cluster-b/Scalc-pep30-50SimCLU38.txt", 38)</f>
        <v>38</v>
      </c>
      <c r="EE17">
        <f t="shared" ref="EE17:EE22" si="21">HYPERLINK("http://exon.niaid.nih.gov/transcriptome/S_calcitrans/S1/links/cluster-b/Scalc-pep30-50SimCLTL38.txt", 40)</f>
        <v>40</v>
      </c>
      <c r="EF17" s="33">
        <f t="shared" ref="EF17:EF22" si="22">HYPERLINK("http://exon.niaid.nih.gov/transcriptome/S_calcitrans/S1/links/cluster-b/Scalc-pep35-50SimCLU37.txt", 37)</f>
        <v>37</v>
      </c>
      <c r="EG17">
        <f t="shared" ref="EG17:EG22" si="23">HYPERLINK("http://exon.niaid.nih.gov/transcriptome/S_calcitrans/S1/links/cluster-b/Scalc-pep35-50SimCLTL37.txt", 40)</f>
        <v>40</v>
      </c>
      <c r="EH17" s="33">
        <f t="shared" ref="EH17:EH22" si="24">HYPERLINK("http://exon.niaid.nih.gov/transcriptome/S_calcitrans/S1/links/cluster-b/Scalc-pep40-50SimCLU30.txt", 30)</f>
        <v>30</v>
      </c>
      <c r="EI17">
        <f t="shared" ref="EI17:EI22" si="25">HYPERLINK("http://exon.niaid.nih.gov/transcriptome/S_calcitrans/S1/links/cluster-b/Scalc-pep40-50SimCLTL30.txt", 40)</f>
        <v>40</v>
      </c>
      <c r="EJ17" s="33">
        <f t="shared" ref="EJ17:EJ22" si="26">HYPERLINK("http://exon.niaid.nih.gov/transcriptome/S_calcitrans/S1/links/cluster-b/Scalc-pep45-50SimCLU22.txt", 22)</f>
        <v>22</v>
      </c>
      <c r="EK17">
        <f t="shared" ref="EK17:EK22" si="27">HYPERLINK("http://exon.niaid.nih.gov/transcriptome/S_calcitrans/S1/links/cluster-b/Scalc-pep45-50SimCLTL22.txt", 40)</f>
        <v>40</v>
      </c>
      <c r="EL17" s="33">
        <f t="shared" ref="EL17:EL22" si="28">HYPERLINK("http://exon.niaid.nih.gov/transcriptome/S_calcitrans/S1/links/cluster-b/Scalc-pep50-50SimCLU16.txt", 16)</f>
        <v>16</v>
      </c>
      <c r="EM17">
        <f t="shared" ref="EM17:EM22" si="29">HYPERLINK("http://exon.niaid.nih.gov/transcriptome/S_calcitrans/S1/links/cluster-b/Scalc-pep50-50SimCLTL16.txt", 40)</f>
        <v>40</v>
      </c>
      <c r="EN17" s="33">
        <f t="shared" ref="EN17:EN22" si="30">HYPERLINK("http://exon.niaid.nih.gov/transcriptome/S_calcitrans/S1/links/cluster-b/Scalc-pep55-50SimCLU547.txt", 547)</f>
        <v>547</v>
      </c>
      <c r="EO17">
        <f t="shared" ref="EO17:EO22" si="31">HYPERLINK("http://exon.niaid.nih.gov/transcriptome/S_calcitrans/S1/links/cluster-b/Scalc-pep55-50SimCLTL547.txt", 6)</f>
        <v>6</v>
      </c>
      <c r="EP17" s="33">
        <f t="shared" ref="EP17:EP22" si="32">HYPERLINK("http://exon.niaid.nih.gov/transcriptome/S_calcitrans/S1/links/cluster-b/Scalc-pep60-50SimCLU526.txt", 526)</f>
        <v>526</v>
      </c>
      <c r="EQ17">
        <f t="shared" ref="EQ17:EQ22" si="33">HYPERLINK("http://exon.niaid.nih.gov/transcriptome/S_calcitrans/S1/links/cluster-b/Scalc-pep60-50SimCLTL526.txt", 6)</f>
        <v>6</v>
      </c>
      <c r="ER17" s="33">
        <f t="shared" ref="ER17:ER22" si="34">HYPERLINK("http://exon.niaid.nih.gov/transcriptome/S_calcitrans/S1/links/cluster-b/Scalc-pep65-50SimCLU481.txt", 481)</f>
        <v>481</v>
      </c>
      <c r="ES17">
        <f t="shared" ref="ES17:ES22" si="35">HYPERLINK("http://exon.niaid.nih.gov/transcriptome/S_calcitrans/S1/links/cluster-b/Scalc-pep65-50SimCLTL481.txt", 6)</f>
        <v>6</v>
      </c>
      <c r="ET17" s="33">
        <f t="shared" ref="ET17:ET22" si="36">HYPERLINK("http://exon.niaid.nih.gov/transcriptome/S_calcitrans/S1/links/cluster-b/Scalc-pep70-50SimCLU439.txt", 439)</f>
        <v>439</v>
      </c>
      <c r="EU17">
        <f t="shared" ref="EU17:EU22" si="37">HYPERLINK("http://exon.niaid.nih.gov/transcriptome/S_calcitrans/S1/links/cluster-b/Scalc-pep70-50SimCLTL439.txt", 6)</f>
        <v>6</v>
      </c>
      <c r="EV17" s="33">
        <f t="shared" ref="EV17:EV22" si="38">HYPERLINK("http://exon.niaid.nih.gov/transcriptome/S_calcitrans/S1/links/cluster-b/Scalc-pep75-50SimCLU408.txt", 408)</f>
        <v>408</v>
      </c>
      <c r="EW17">
        <f t="shared" ref="EW17:EW22" si="39">HYPERLINK("http://exon.niaid.nih.gov/transcriptome/S_calcitrans/S1/links/cluster-b/Scalc-pep75-50SimCLTL408.txt", 6)</f>
        <v>6</v>
      </c>
      <c r="EX17" s="33">
        <f t="shared" ref="EX17:EX22" si="40">HYPERLINK("http://exon.niaid.nih.gov/transcriptome/S_calcitrans/S1/links/cluster-b/Scalc-pep80-50SimCLU371.txt", 371)</f>
        <v>371</v>
      </c>
      <c r="EY17">
        <f t="shared" ref="EY17:EY22" si="41">HYPERLINK("http://exon.niaid.nih.gov/transcriptome/S_calcitrans/S1/links/cluster-b/Scalc-pep80-50SimCLTL371.txt", 6)</f>
        <v>6</v>
      </c>
      <c r="EZ17" s="33">
        <f t="shared" ref="EZ17:EZ22" si="42">HYPERLINK("http://exon.niaid.nih.gov/transcriptome/S_calcitrans/S1/links/cluster-b/Scalc-pep85-50SimCLU334.txt", 334)</f>
        <v>334</v>
      </c>
      <c r="FA17">
        <f t="shared" ref="FA17:FA22" si="43">HYPERLINK("http://exon.niaid.nih.gov/transcriptome/S_calcitrans/S1/links/cluster-b/Scalc-pep85-50SimCLTL334.txt", 6)</f>
        <v>6</v>
      </c>
      <c r="FB17" s="33">
        <f t="shared" ref="FB17:FB22" si="44">HYPERLINK("http://exon.niaid.nih.gov/transcriptome/S_calcitrans/S1/links/cluster-b/Scalc-pep90-50SimCLU293.txt", 293)</f>
        <v>293</v>
      </c>
      <c r="FC17">
        <f t="shared" ref="FC17:FC22" si="45">HYPERLINK("http://exon.niaid.nih.gov/transcriptome/S_calcitrans/S1/links/cluster-b/Scalc-pep90-50SimCLTL293.txt", 6)</f>
        <v>6</v>
      </c>
      <c r="FD17" s="33">
        <f t="shared" ref="FD17:FD22" si="46">HYPERLINK("http://exon.niaid.nih.gov/transcriptome/S_calcitrans/S1/links/cluster-b/Scalc-pep95-50SimCLU229.txt", 229)</f>
        <v>229</v>
      </c>
      <c r="FE17">
        <f t="shared" ref="FE17:FE22" si="47">HYPERLINK("http://exon.niaid.nih.gov/transcriptome/S_calcitrans/S1/links/cluster-b/Scalc-pep95-50SimCLTL229.txt", 6)</f>
        <v>6</v>
      </c>
      <c r="FF17" t="s">
        <v>393</v>
      </c>
      <c r="FG17">
        <v>16699</v>
      </c>
      <c r="FH17" s="38" t="str">
        <f>HYPERLINK("http://exon.niaid.nih.gov/transcriptome/S_calcitrans/S1/links/SG_male-stripped_temp-95-h10-1gap/16699-SG_male-stripped_temp-95-h10-1gap.txt","4107")</f>
        <v>4107</v>
      </c>
      <c r="FI17" s="39">
        <v>100</v>
      </c>
      <c r="FJ17" s="39">
        <v>557.28729281768005</v>
      </c>
      <c r="FK17" s="39">
        <v>17</v>
      </c>
      <c r="FL17" s="39">
        <v>1082</v>
      </c>
      <c r="FM17" s="39">
        <v>73.683223764304799</v>
      </c>
      <c r="FN17" s="38" t="str">
        <f>HYPERLINK("http://exon.niaid.nih.gov/transcriptome/S_calcitrans/S1/links/SG_female-stripped_temp-95-h10-1gap/16699-SG_female-stripped_temp-95-h10-1gap.txt","7453")</f>
        <v>7453</v>
      </c>
      <c r="FO17" s="39">
        <v>100</v>
      </c>
      <c r="FP17" s="39">
        <v>1010.53591160221</v>
      </c>
      <c r="FQ17" s="39">
        <v>47</v>
      </c>
      <c r="FR17" s="39">
        <v>1536</v>
      </c>
      <c r="FS17" s="39">
        <v>73.627800885549405</v>
      </c>
      <c r="FT17" s="38" t="str">
        <f>HYPERLINK("http://exon.niaid.nih.gov/transcriptome/S_calcitrans/S1/links/SRR694289-stripped_temp-95-h10-1gap/16699-SRR694289-stripped_temp-95-h10-1gap.txt","172")</f>
        <v>172</v>
      </c>
      <c r="FU17" s="39">
        <v>93.554327808471498</v>
      </c>
      <c r="FV17" s="39">
        <v>30.5690607734807</v>
      </c>
      <c r="FW17" s="39">
        <v>0</v>
      </c>
      <c r="FX17" s="39">
        <v>71</v>
      </c>
      <c r="FY17" s="39">
        <v>96.505813953488399</v>
      </c>
      <c r="FZ17" s="38" t="str">
        <f>HYPERLINK("http://exon.niaid.nih.gov/transcriptome/S_calcitrans/S1/links/SRR694925-stripped_temp-95-h10-1gap/16699-SRR694925-stripped_temp-95-h10-1gap.txt","85")</f>
        <v>85</v>
      </c>
      <c r="GA17" s="39">
        <v>81.583793738489902</v>
      </c>
      <c r="GB17" s="39">
        <v>14.585635359116001</v>
      </c>
      <c r="GC17" s="39">
        <v>0</v>
      </c>
      <c r="GD17" s="39">
        <v>30</v>
      </c>
      <c r="GE17" s="39">
        <v>93.176470588235304</v>
      </c>
      <c r="GF17">
        <f t="shared" ref="GF17:GF30" si="48">1*FH17</f>
        <v>4107</v>
      </c>
      <c r="GG17">
        <f t="shared" ref="GG17:GG30" si="49">1*FN17</f>
        <v>7453</v>
      </c>
      <c r="GH17">
        <f t="shared" ref="GH17:GH30" si="50">1*FT17</f>
        <v>172</v>
      </c>
      <c r="GI17">
        <f t="shared" ref="GI17:GI30" si="51">1*FZ17</f>
        <v>85</v>
      </c>
      <c r="GJ17">
        <f t="shared" ref="GJ17:GJ30" si="52">IF(FZ17&lt;&gt;"",SUM(GF17:GG17),"")</f>
        <v>11560</v>
      </c>
      <c r="GK17" s="34">
        <v>4.4900884986344265E-2</v>
      </c>
      <c r="GL17">
        <v>247.41547691857664</v>
      </c>
      <c r="GM17">
        <v>204.17592480488437</v>
      </c>
      <c r="GN17">
        <v>1.8207954371291479</v>
      </c>
      <c r="GO17">
        <v>0.92760459109849047</v>
      </c>
      <c r="GP17">
        <f t="shared" ref="GP17:GP30" si="53">MAX(GL17:GO17)</f>
        <v>247.41547691857664</v>
      </c>
      <c r="GQ17" t="s">
        <v>384</v>
      </c>
      <c r="GR17">
        <v>192.95721638767679</v>
      </c>
      <c r="GS17">
        <v>167.58069667392539</v>
      </c>
      <c r="GT17">
        <v>3.2822711696940958</v>
      </c>
      <c r="GU17">
        <v>1.7562097922789073</v>
      </c>
      <c r="GV17">
        <f t="shared" ref="GV17:GV30" si="54">MAX(GR17:GU17)</f>
        <v>192.95721638767679</v>
      </c>
      <c r="GW17">
        <v>68.82489707966991</v>
      </c>
      <c r="GX17">
        <v>11560</v>
      </c>
      <c r="GY17">
        <v>257</v>
      </c>
      <c r="GZ17">
        <v>11817</v>
      </c>
      <c r="HA17">
        <v>2623.3703792790184</v>
      </c>
      <c r="HB17">
        <v>9193.6296207209816</v>
      </c>
      <c r="HC17">
        <v>30443.032218689801</v>
      </c>
      <c r="HD17">
        <v>8686.8138344346971</v>
      </c>
      <c r="HE17">
        <v>39129.8460531245</v>
      </c>
      <c r="HF17">
        <v>0</v>
      </c>
      <c r="HG17">
        <v>2623.3703792790184</v>
      </c>
      <c r="HH17">
        <v>1</v>
      </c>
      <c r="HI17">
        <v>1</v>
      </c>
      <c r="HJ17">
        <v>2</v>
      </c>
      <c r="HK17">
        <v>0</v>
      </c>
      <c r="HL17" s="30" t="s">
        <v>262</v>
      </c>
      <c r="HM17">
        <v>157.0238137242554</v>
      </c>
      <c r="HN17">
        <v>6.3432281062252467E-3</v>
      </c>
      <c r="HO17">
        <v>4107</v>
      </c>
      <c r="HP17">
        <v>7453</v>
      </c>
      <c r="HQ17">
        <v>11560</v>
      </c>
      <c r="HR17">
        <v>3613.6091214240828</v>
      </c>
      <c r="HS17">
        <v>7946.3908785759177</v>
      </c>
      <c r="HT17">
        <v>67.366046210880896</v>
      </c>
      <c r="HU17">
        <v>30.634606676376098</v>
      </c>
      <c r="HV17">
        <v>98.00065288725699</v>
      </c>
      <c r="HW17">
        <v>4.182446386340918E-23</v>
      </c>
      <c r="HX17">
        <v>3613.6091214240828</v>
      </c>
      <c r="HY17">
        <v>1</v>
      </c>
      <c r="HZ17">
        <v>1</v>
      </c>
      <c r="IA17">
        <v>2</v>
      </c>
      <c r="IB17" s="37">
        <v>1.67074737544484E-21</v>
      </c>
      <c r="IC17" s="30" t="s">
        <v>262</v>
      </c>
      <c r="ID17">
        <v>1.2116133909775391</v>
      </c>
      <c r="IE17">
        <v>0.82503417054049266</v>
      </c>
      <c r="IF17">
        <v>1.2116133909775391</v>
      </c>
      <c r="IG17" t="str">
        <f t="shared" si="1"/>
        <v/>
      </c>
    </row>
    <row r="18" spans="1:241">
      <c r="A18" t="str">
        <f>HYPERLINK("http://exon.niaid.nih.gov/transcriptome/S_calcitrans/S1/links/pep/XP_013111754.1-pep.txt","XP_013111754.1")</f>
        <v>XP_013111754.1</v>
      </c>
      <c r="B18" s="30" t="s">
        <v>232</v>
      </c>
      <c r="C18">
        <v>180</v>
      </c>
      <c r="D18" t="s">
        <v>375</v>
      </c>
      <c r="E18">
        <v>0</v>
      </c>
      <c r="F18" t="s">
        <v>394</v>
      </c>
      <c r="G18" t="str">
        <f>HYPERLINK("http://exon.niaid.nih.gov/transcriptome/S_calcitrans/S1/links/cds/XM_013256300_1-cds.txt","XM_013256300_1")</f>
        <v>XM_013256300_1</v>
      </c>
      <c r="H18">
        <v>543</v>
      </c>
      <c r="I18" t="s">
        <v>377</v>
      </c>
      <c r="J18" s="30" t="s">
        <v>236</v>
      </c>
      <c r="K18" s="30" t="s">
        <v>91</v>
      </c>
      <c r="L18" s="31" t="s">
        <v>378</v>
      </c>
      <c r="M18" s="30">
        <v>278230</v>
      </c>
      <c r="N18" s="30">
        <v>279808</v>
      </c>
      <c r="O18" s="30" t="s">
        <v>276</v>
      </c>
      <c r="P18" s="30">
        <v>3</v>
      </c>
      <c r="Q18" s="31" t="s">
        <v>379</v>
      </c>
      <c r="R18" s="32" t="str">
        <f>HYPERLINK("http://exon.niaid.nih.gov/transcriptome/S_calcitrans/S1/links/Sigp/XP_013111754.1-SigP.txt","SIG")</f>
        <v>SIG</v>
      </c>
      <c r="S18" t="s">
        <v>380</v>
      </c>
      <c r="T18">
        <v>20.638999999999999</v>
      </c>
      <c r="U18">
        <v>8.9700000000000006</v>
      </c>
      <c r="V18">
        <v>17.463000000000001</v>
      </c>
      <c r="W18">
        <v>8.68</v>
      </c>
      <c r="X18" t="s">
        <v>381</v>
      </c>
      <c r="Y18" s="32" t="str">
        <f>HYPERLINK("http://exon.niaid.nih.gov/transcriptome/S_calcitrans/S1/links/tmhmm/XP_013111754.1-tmhmm.txt","1")</f>
        <v>1</v>
      </c>
      <c r="Z18">
        <v>10.6</v>
      </c>
      <c r="AA18">
        <v>5.6</v>
      </c>
      <c r="AB18">
        <v>83.9</v>
      </c>
      <c r="AC18" t="s">
        <v>242</v>
      </c>
      <c r="AD18">
        <v>151</v>
      </c>
      <c r="AE18" s="32" t="str">
        <f>HYPERLINK("http://exon.niaid.nih.gov/transcriptome/S_calcitrans/S1/links/netoglyc/XP_013111754.1-netoglyc.txt","0")</f>
        <v>0</v>
      </c>
      <c r="AF18">
        <v>13.9</v>
      </c>
      <c r="AG18">
        <v>4.4000000000000004</v>
      </c>
      <c r="AH18">
        <v>3.3</v>
      </c>
      <c r="AI18" t="s">
        <v>243</v>
      </c>
      <c r="AJ18" t="s">
        <v>242</v>
      </c>
      <c r="AK18">
        <v>157.0238137242554</v>
      </c>
      <c r="AL18" s="33">
        <f t="shared" si="3"/>
        <v>229</v>
      </c>
      <c r="AM18">
        <f t="shared" si="4"/>
        <v>6</v>
      </c>
      <c r="AN18" s="30">
        <f t="shared" si="0"/>
        <v>1</v>
      </c>
      <c r="AO18" s="30">
        <v>1</v>
      </c>
      <c r="AP18">
        <v>11560</v>
      </c>
      <c r="AQ18" s="34">
        <v>4.4900884986344265E-2</v>
      </c>
      <c r="AR18" s="35">
        <v>68.82489707966991</v>
      </c>
      <c r="AS18" t="s">
        <v>395</v>
      </c>
      <c r="AT18" s="36" t="s">
        <v>383</v>
      </c>
      <c r="AU18" t="s">
        <v>384</v>
      </c>
      <c r="AV18" t="str">
        <f>HYPERLINK("http://exon.niaid.nih.gov/transcriptome/S_calcitrans/S1/links/REFSEQ-INVERTEBRATE/XP_013111754.1-REFSEQ-INVERTEBRATE.txt","REFSEQ-INVERTEBRATE")</f>
        <v>REFSEQ-INVERTEBRATE</v>
      </c>
      <c r="AW18">
        <v>0</v>
      </c>
      <c r="AX18">
        <v>100</v>
      </c>
      <c r="AY18" s="33"/>
      <c r="BG18" s="31"/>
      <c r="BJ18" s="33"/>
      <c r="BK18" s="33"/>
      <c r="BL18" s="33" t="str">
        <f>HYPERLINK("http://exon.niaid.nih.gov/transcriptome/S_calcitrans/S1/links/NR-LIGHT/XP_013111754.1-NR-LIGHT.txt","lysozyme c-1")</f>
        <v>lysozyme c-1</v>
      </c>
      <c r="BM18" t="str">
        <f t="shared" si="5"/>
        <v>1E-082</v>
      </c>
      <c r="BN18" t="str">
        <f t="shared" si="6"/>
        <v>gi|557775721</v>
      </c>
      <c r="BO18">
        <v>87</v>
      </c>
      <c r="BP18">
        <v>91</v>
      </c>
      <c r="BQ18">
        <v>97</v>
      </c>
      <c r="BR18" t="s">
        <v>251</v>
      </c>
      <c r="BS18" s="33" t="str">
        <f>HYPERLINK("http://exon.niaid.nih.gov/transcriptome/S_calcitrans/S1/links/SWISSP/XP_013111754.1-SWISSP.txt","Lysozyme c-1")</f>
        <v>Lysozyme c-1</v>
      </c>
      <c r="BT18" t="str">
        <f t="shared" si="7"/>
        <v>2E-022</v>
      </c>
      <c r="BU18" t="str">
        <f t="shared" si="8"/>
        <v>Q17005</v>
      </c>
      <c r="BV18">
        <v>37</v>
      </c>
      <c r="BW18">
        <v>58</v>
      </c>
      <c r="BX18">
        <v>107</v>
      </c>
      <c r="BY18" t="s">
        <v>385</v>
      </c>
      <c r="BZ18" s="33" t="str">
        <f>HYPERLINK("http://exon.niaid.nih.gov/transcriptome/S_calcitrans/S1/links/REFSEQ-INVERTEBRATE/XP_013111754.1-REFSEQ-INVERTEBRATE.txt","lysozyme c-1-like")</f>
        <v>lysozyme c-1-like</v>
      </c>
      <c r="CA18" t="str">
        <f t="shared" si="9"/>
        <v>1E-104</v>
      </c>
      <c r="CB18" t="str">
        <f t="shared" si="10"/>
        <v>gi|907713422</v>
      </c>
      <c r="CC18">
        <v>100</v>
      </c>
      <c r="CD18">
        <v>100</v>
      </c>
      <c r="CE18">
        <v>100</v>
      </c>
      <c r="CF18" t="s">
        <v>253</v>
      </c>
      <c r="CG18" s="33" t="str">
        <f>HYPERLINK("http://exon.niaid.nih.gov/transcriptome/S_calcitrans/S1/links/DIPTERA/XP_013111754.1-DIPTERA.txt","lysozyme c-1-like")</f>
        <v>lysozyme c-1-like</v>
      </c>
      <c r="CH18" t="str">
        <f t="shared" si="11"/>
        <v>1E-104</v>
      </c>
      <c r="CI18" t="str">
        <f t="shared" si="12"/>
        <v>gi|907713286</v>
      </c>
      <c r="CJ18">
        <v>100</v>
      </c>
      <c r="CK18">
        <v>100</v>
      </c>
      <c r="CL18">
        <v>100</v>
      </c>
      <c r="CM18" t="s">
        <v>253</v>
      </c>
      <c r="CN18" s="33" t="s">
        <v>242</v>
      </c>
      <c r="CO18" t="s">
        <v>242</v>
      </c>
      <c r="CP18" t="s">
        <v>242</v>
      </c>
      <c r="CQ18" t="s">
        <v>242</v>
      </c>
      <c r="CR18" t="s">
        <v>242</v>
      </c>
      <c r="CS18" t="s">
        <v>242</v>
      </c>
      <c r="CT18" t="s">
        <v>242</v>
      </c>
      <c r="CU18" s="33" t="s">
        <v>386</v>
      </c>
      <c r="CV18">
        <f>HYPERLINK("http://exon.niaid.nih.gov/transcriptome/S_calcitrans/S1/links/GO/XP_013111754.1-GO.txt",7E-40)</f>
        <v>7.0000000000000003E-40</v>
      </c>
      <c r="CW18" t="str">
        <f t="shared" si="13"/>
        <v>GO:0003796</v>
      </c>
      <c r="CX18" t="s">
        <v>387</v>
      </c>
      <c r="CY18" t="s">
        <v>388</v>
      </c>
      <c r="CZ18" t="s">
        <v>389</v>
      </c>
      <c r="DA18" t="str">
        <f t="shared" si="14"/>
        <v>EC:3.2.1.17</v>
      </c>
      <c r="DC18" t="s">
        <v>390</v>
      </c>
      <c r="DD18" s="37">
        <v>1.9999999999999999E-23</v>
      </c>
      <c r="DE18" s="33" t="str">
        <f>HYPERLINK("http://exon.niaid.nih.gov/transcriptome/S_calcitrans/S1/links/CDD/XP_013111754.1-CDD.txt","LYZ1")</f>
        <v>LYZ1</v>
      </c>
      <c r="DF18" t="str">
        <f>HYPERLINK("http://www.ncbi.nlm.nih.gov/Structure/cdd/cddsrv.cgi?uid=cd00119&amp;version=v4.0","2E-035")</f>
        <v>2E-035</v>
      </c>
      <c r="DG18" t="s">
        <v>391</v>
      </c>
      <c r="DH18" s="33" t="str">
        <f>HYPERLINK("http://exon.niaid.nih.gov/transcriptome/S_calcitrans/S1/links/KOG/XP_013111754.1-KOG.txt","C3H1-type Zn-finger protein")</f>
        <v>C3H1-type Zn-finger protein</v>
      </c>
      <c r="DI18" t="str">
        <f t="shared" si="15"/>
        <v>0.78</v>
      </c>
      <c r="DJ18" t="s">
        <v>392</v>
      </c>
      <c r="DK18" t="str">
        <f>HYPERLINK("http://exon.niaid.nih.gov/transcriptome/S_calcitrans/S1/links/KOG/XP_013111754.1-KOG.txt","KOG2494")</f>
        <v>KOG2494</v>
      </c>
      <c r="DL18" s="33" t="str">
        <f>HYPERLINK("http://exon.niaid.nih.gov/transcriptome/S_calcitrans/S1/links/PFAM/XP_013111754.1-PFAM.txt","Lys")</f>
        <v>Lys</v>
      </c>
      <c r="DM18" t="str">
        <f t="shared" si="16"/>
        <v>3E-027</v>
      </c>
      <c r="DN18" s="33" t="str">
        <f>HYPERLINK("http://exon.niaid.nih.gov/transcriptome/S_calcitrans/S1/links/SMART/XP_013111754.1-SMART.txt","LYZ1")</f>
        <v>LYZ1</v>
      </c>
      <c r="DO18" t="str">
        <f t="shared" si="17"/>
        <v>4E-026</v>
      </c>
      <c r="DP18" s="33"/>
      <c r="EB18" s="33">
        <f t="shared" si="18"/>
        <v>1</v>
      </c>
      <c r="EC18">
        <f t="shared" si="19"/>
        <v>5170</v>
      </c>
      <c r="ED18" s="33">
        <f t="shared" si="20"/>
        <v>38</v>
      </c>
      <c r="EE18">
        <f t="shared" si="21"/>
        <v>40</v>
      </c>
      <c r="EF18" s="33">
        <f t="shared" si="22"/>
        <v>37</v>
      </c>
      <c r="EG18">
        <f t="shared" si="23"/>
        <v>40</v>
      </c>
      <c r="EH18" s="33">
        <f t="shared" si="24"/>
        <v>30</v>
      </c>
      <c r="EI18">
        <f t="shared" si="25"/>
        <v>40</v>
      </c>
      <c r="EJ18" s="33">
        <f t="shared" si="26"/>
        <v>22</v>
      </c>
      <c r="EK18">
        <f t="shared" si="27"/>
        <v>40</v>
      </c>
      <c r="EL18" s="33">
        <f t="shared" si="28"/>
        <v>16</v>
      </c>
      <c r="EM18">
        <f t="shared" si="29"/>
        <v>40</v>
      </c>
      <c r="EN18" s="33">
        <f t="shared" si="30"/>
        <v>547</v>
      </c>
      <c r="EO18">
        <f t="shared" si="31"/>
        <v>6</v>
      </c>
      <c r="EP18" s="33">
        <f t="shared" si="32"/>
        <v>526</v>
      </c>
      <c r="EQ18">
        <f t="shared" si="33"/>
        <v>6</v>
      </c>
      <c r="ER18" s="33">
        <f t="shared" si="34"/>
        <v>481</v>
      </c>
      <c r="ES18">
        <f t="shared" si="35"/>
        <v>6</v>
      </c>
      <c r="ET18" s="33">
        <f t="shared" si="36"/>
        <v>439</v>
      </c>
      <c r="EU18">
        <f t="shared" si="37"/>
        <v>6</v>
      </c>
      <c r="EV18" s="33">
        <f t="shared" si="38"/>
        <v>408</v>
      </c>
      <c r="EW18">
        <f t="shared" si="39"/>
        <v>6</v>
      </c>
      <c r="EX18" s="33">
        <f t="shared" si="40"/>
        <v>371</v>
      </c>
      <c r="EY18">
        <f t="shared" si="41"/>
        <v>6</v>
      </c>
      <c r="EZ18" s="33">
        <f t="shared" si="42"/>
        <v>334</v>
      </c>
      <c r="FA18">
        <f t="shared" si="43"/>
        <v>6</v>
      </c>
      <c r="FB18" s="33">
        <f t="shared" si="44"/>
        <v>293</v>
      </c>
      <c r="FC18">
        <f t="shared" si="45"/>
        <v>6</v>
      </c>
      <c r="FD18" s="33">
        <f t="shared" si="46"/>
        <v>229</v>
      </c>
      <c r="FE18">
        <f t="shared" si="47"/>
        <v>6</v>
      </c>
      <c r="FF18" t="s">
        <v>396</v>
      </c>
      <c r="FG18">
        <v>16704</v>
      </c>
      <c r="FH18" s="38" t="str">
        <f>HYPERLINK("http://exon.niaid.nih.gov/transcriptome/S_calcitrans/S1/links/SG_male-stripped_temp-95-h10-1gap/16704-SG_male-stripped_temp-95-h10-1gap.txt","4107")</f>
        <v>4107</v>
      </c>
      <c r="FI18" s="39">
        <v>100</v>
      </c>
      <c r="FJ18" s="39">
        <v>557.28729281768005</v>
      </c>
      <c r="FK18" s="39">
        <v>17</v>
      </c>
      <c r="FL18" s="39">
        <v>1082</v>
      </c>
      <c r="FM18" s="39">
        <v>73.683223764304799</v>
      </c>
      <c r="FN18" s="38" t="str">
        <f>HYPERLINK("http://exon.niaid.nih.gov/transcriptome/S_calcitrans/S1/links/SG_female-stripped_temp-95-h10-1gap/16704-SG_female-stripped_temp-95-h10-1gap.txt","7453")</f>
        <v>7453</v>
      </c>
      <c r="FO18" s="39">
        <v>100</v>
      </c>
      <c r="FP18" s="39">
        <v>1010.53591160221</v>
      </c>
      <c r="FQ18" s="39">
        <v>47</v>
      </c>
      <c r="FR18" s="39">
        <v>1536</v>
      </c>
      <c r="FS18" s="39">
        <v>73.627800885549405</v>
      </c>
      <c r="FT18" s="38" t="str">
        <f>HYPERLINK("http://exon.niaid.nih.gov/transcriptome/S_calcitrans/S1/links/SRR694289-stripped_temp-95-h10-1gap/16704-SRR694289-stripped_temp-95-h10-1gap.txt","172")</f>
        <v>172</v>
      </c>
      <c r="FU18" s="39">
        <v>93.554327808471498</v>
      </c>
      <c r="FV18" s="39">
        <v>30.5690607734807</v>
      </c>
      <c r="FW18" s="39">
        <v>0</v>
      </c>
      <c r="FX18" s="39">
        <v>71</v>
      </c>
      <c r="FY18" s="39">
        <v>96.505813953488399</v>
      </c>
      <c r="FZ18" s="38" t="str">
        <f>HYPERLINK("http://exon.niaid.nih.gov/transcriptome/S_calcitrans/S1/links/SRR694925-stripped_temp-95-h10-1gap/16704-SRR694925-stripped_temp-95-h10-1gap.txt","85")</f>
        <v>85</v>
      </c>
      <c r="GA18" s="39">
        <v>81.583793738489902</v>
      </c>
      <c r="GB18" s="39">
        <v>14.585635359116001</v>
      </c>
      <c r="GC18" s="39">
        <v>0</v>
      </c>
      <c r="GD18" s="39">
        <v>30</v>
      </c>
      <c r="GE18" s="39">
        <v>93.176470588235304</v>
      </c>
      <c r="GF18">
        <f t="shared" si="48"/>
        <v>4107</v>
      </c>
      <c r="GG18">
        <f t="shared" si="49"/>
        <v>7453</v>
      </c>
      <c r="GH18">
        <f t="shared" si="50"/>
        <v>172</v>
      </c>
      <c r="GI18">
        <f t="shared" si="51"/>
        <v>85</v>
      </c>
      <c r="GJ18">
        <f t="shared" si="52"/>
        <v>11560</v>
      </c>
      <c r="GK18" s="34">
        <v>4.4900884986344265E-2</v>
      </c>
      <c r="GL18">
        <v>247.41547691857664</v>
      </c>
      <c r="GM18">
        <v>204.17592480488437</v>
      </c>
      <c r="GN18">
        <v>1.8207954371291479</v>
      </c>
      <c r="GO18">
        <v>0.92760459109849047</v>
      </c>
      <c r="GP18">
        <f t="shared" si="53"/>
        <v>247.41547691857664</v>
      </c>
      <c r="GQ18" t="s">
        <v>384</v>
      </c>
      <c r="GR18">
        <v>192.95721638767679</v>
      </c>
      <c r="GS18">
        <v>167.58069667392539</v>
      </c>
      <c r="GT18">
        <v>3.2822711696940958</v>
      </c>
      <c r="GU18">
        <v>1.7562097922789073</v>
      </c>
      <c r="GV18">
        <f t="shared" si="54"/>
        <v>192.95721638767679</v>
      </c>
      <c r="GW18">
        <v>68.82489707966991</v>
      </c>
      <c r="GX18">
        <v>11560</v>
      </c>
      <c r="GY18">
        <v>257</v>
      </c>
      <c r="GZ18">
        <v>11817</v>
      </c>
      <c r="HA18">
        <v>2623.3703792790184</v>
      </c>
      <c r="HB18">
        <v>9193.6296207209816</v>
      </c>
      <c r="HC18">
        <v>30443.032218689801</v>
      </c>
      <c r="HD18">
        <v>8686.8138344346971</v>
      </c>
      <c r="HE18">
        <v>39129.8460531245</v>
      </c>
      <c r="HF18">
        <v>0</v>
      </c>
      <c r="HG18">
        <v>2623.3703792790184</v>
      </c>
      <c r="HH18">
        <v>1</v>
      </c>
      <c r="HI18">
        <v>1</v>
      </c>
      <c r="HJ18">
        <v>2</v>
      </c>
      <c r="HK18">
        <v>0</v>
      </c>
      <c r="HL18" s="30" t="s">
        <v>262</v>
      </c>
      <c r="HM18">
        <v>157.0238137242554</v>
      </c>
      <c r="HN18">
        <v>6.3432281062252467E-3</v>
      </c>
      <c r="HO18">
        <v>4107</v>
      </c>
      <c r="HP18">
        <v>7453</v>
      </c>
      <c r="HQ18">
        <v>11560</v>
      </c>
      <c r="HR18">
        <v>3613.6091214240828</v>
      </c>
      <c r="HS18">
        <v>7946.3908785759177</v>
      </c>
      <c r="HT18">
        <v>67.366046210880896</v>
      </c>
      <c r="HU18">
        <v>30.634606676376098</v>
      </c>
      <c r="HV18">
        <v>98.00065288725699</v>
      </c>
      <c r="HW18">
        <v>4.182446386340918E-23</v>
      </c>
      <c r="HX18">
        <v>3613.6091214240828</v>
      </c>
      <c r="HY18">
        <v>1</v>
      </c>
      <c r="HZ18">
        <v>1</v>
      </c>
      <c r="IA18">
        <v>2</v>
      </c>
      <c r="IB18" s="37">
        <v>1.67074737544484E-21</v>
      </c>
      <c r="IC18" s="30" t="s">
        <v>262</v>
      </c>
      <c r="ID18">
        <v>1.2116133909775391</v>
      </c>
      <c r="IE18">
        <v>0.82503417054049266</v>
      </c>
      <c r="IF18">
        <v>1.2116133909775391</v>
      </c>
      <c r="IG18" t="str">
        <f t="shared" si="1"/>
        <v/>
      </c>
    </row>
    <row r="19" spans="1:241">
      <c r="A19" t="str">
        <f>HYPERLINK("http://exon.niaid.nih.gov/transcriptome/S_calcitrans/S1/links/pep/XP_013111755.1-pep.txt","XP_013111755.1")</f>
        <v>XP_013111755.1</v>
      </c>
      <c r="B19" s="30" t="s">
        <v>232</v>
      </c>
      <c r="C19">
        <v>180</v>
      </c>
      <c r="D19" t="s">
        <v>375</v>
      </c>
      <c r="E19">
        <v>0</v>
      </c>
      <c r="F19" t="s">
        <v>397</v>
      </c>
      <c r="G19" t="str">
        <f>HYPERLINK("http://exon.niaid.nih.gov/transcriptome/S_calcitrans/S1/links/cds/XM_013256301_1-cds.txt","XM_013256301_1")</f>
        <v>XM_013256301_1</v>
      </c>
      <c r="H19">
        <v>543</v>
      </c>
      <c r="I19" t="s">
        <v>377</v>
      </c>
      <c r="J19" s="30" t="s">
        <v>236</v>
      </c>
      <c r="K19" s="30" t="s">
        <v>91</v>
      </c>
      <c r="L19" s="31" t="s">
        <v>378</v>
      </c>
      <c r="M19" s="30">
        <v>278230</v>
      </c>
      <c r="N19" s="30">
        <v>279808</v>
      </c>
      <c r="O19" s="30" t="s">
        <v>276</v>
      </c>
      <c r="P19" s="30">
        <v>3</v>
      </c>
      <c r="Q19" s="31" t="s">
        <v>379</v>
      </c>
      <c r="R19" s="32" t="str">
        <f>HYPERLINK("http://exon.niaid.nih.gov/transcriptome/S_calcitrans/S1/links/Sigp/XP_013111755.1-SigP.txt","SIG")</f>
        <v>SIG</v>
      </c>
      <c r="S19" t="s">
        <v>380</v>
      </c>
      <c r="T19">
        <v>20.638999999999999</v>
      </c>
      <c r="U19">
        <v>8.9700000000000006</v>
      </c>
      <c r="V19">
        <v>17.463000000000001</v>
      </c>
      <c r="W19">
        <v>8.68</v>
      </c>
      <c r="X19" t="s">
        <v>381</v>
      </c>
      <c r="Y19" s="32" t="str">
        <f>HYPERLINK("http://exon.niaid.nih.gov/transcriptome/S_calcitrans/S1/links/tmhmm/XP_013111755.1-tmhmm.txt","1")</f>
        <v>1</v>
      </c>
      <c r="Z19">
        <v>10.6</v>
      </c>
      <c r="AA19">
        <v>5.6</v>
      </c>
      <c r="AB19">
        <v>83.9</v>
      </c>
      <c r="AC19" t="s">
        <v>242</v>
      </c>
      <c r="AD19">
        <v>151</v>
      </c>
      <c r="AE19" s="32" t="str">
        <f>HYPERLINK("http://exon.niaid.nih.gov/transcriptome/S_calcitrans/S1/links/netoglyc/XP_013111755.1-netoglyc.txt","0")</f>
        <v>0</v>
      </c>
      <c r="AF19">
        <v>13.9</v>
      </c>
      <c r="AG19">
        <v>4.4000000000000004</v>
      </c>
      <c r="AH19">
        <v>3.3</v>
      </c>
      <c r="AI19" t="s">
        <v>243</v>
      </c>
      <c r="AJ19" t="s">
        <v>242</v>
      </c>
      <c r="AK19">
        <v>157.0238137242554</v>
      </c>
      <c r="AL19" s="33">
        <f t="shared" si="3"/>
        <v>229</v>
      </c>
      <c r="AM19">
        <f t="shared" si="4"/>
        <v>6</v>
      </c>
      <c r="AN19" s="30">
        <f t="shared" si="0"/>
        <v>1</v>
      </c>
      <c r="AO19" s="30">
        <v>1</v>
      </c>
      <c r="AP19">
        <v>11560</v>
      </c>
      <c r="AQ19" s="34">
        <v>4.4900884986344265E-2</v>
      </c>
      <c r="AR19" s="35">
        <v>68.82489707966991</v>
      </c>
      <c r="AS19" t="s">
        <v>398</v>
      </c>
      <c r="AT19" s="36" t="s">
        <v>383</v>
      </c>
      <c r="AU19" t="s">
        <v>384</v>
      </c>
      <c r="AV19" t="str">
        <f>HYPERLINK("http://exon.niaid.nih.gov/transcriptome/S_calcitrans/S1/links/REFSEQ-INVERTEBRATE/XP_013111755.1-REFSEQ-INVERTEBRATE.txt","REFSEQ-INVERTEBRATE")</f>
        <v>REFSEQ-INVERTEBRATE</v>
      </c>
      <c r="AW19">
        <v>0</v>
      </c>
      <c r="AX19">
        <v>100</v>
      </c>
      <c r="AY19" s="33"/>
      <c r="BG19" s="31"/>
      <c r="BJ19" s="33"/>
      <c r="BK19" s="33"/>
      <c r="BL19" s="33" t="str">
        <f>HYPERLINK("http://exon.niaid.nih.gov/transcriptome/S_calcitrans/S1/links/NR-LIGHT/XP_013111755.1-NR-LIGHT.txt","lysozyme c-1")</f>
        <v>lysozyme c-1</v>
      </c>
      <c r="BM19" t="str">
        <f t="shared" si="5"/>
        <v>1E-082</v>
      </c>
      <c r="BN19" t="str">
        <f t="shared" si="6"/>
        <v>gi|557775721</v>
      </c>
      <c r="BO19">
        <v>87</v>
      </c>
      <c r="BP19">
        <v>91</v>
      </c>
      <c r="BQ19">
        <v>97</v>
      </c>
      <c r="BR19" t="s">
        <v>251</v>
      </c>
      <c r="BS19" s="33" t="str">
        <f>HYPERLINK("http://exon.niaid.nih.gov/transcriptome/S_calcitrans/S1/links/SWISSP/XP_013111755.1-SWISSP.txt","Lysozyme c-1")</f>
        <v>Lysozyme c-1</v>
      </c>
      <c r="BT19" t="str">
        <f t="shared" si="7"/>
        <v>2E-022</v>
      </c>
      <c r="BU19" t="str">
        <f t="shared" si="8"/>
        <v>Q17005</v>
      </c>
      <c r="BV19">
        <v>37</v>
      </c>
      <c r="BW19">
        <v>58</v>
      </c>
      <c r="BX19">
        <v>107</v>
      </c>
      <c r="BY19" t="s">
        <v>385</v>
      </c>
      <c r="BZ19" s="33" t="str">
        <f>HYPERLINK("http://exon.niaid.nih.gov/transcriptome/S_calcitrans/S1/links/REFSEQ-INVERTEBRATE/XP_013111755.1-REFSEQ-INVERTEBRATE.txt","lysozyme c-1-like")</f>
        <v>lysozyme c-1-like</v>
      </c>
      <c r="CA19" t="str">
        <f t="shared" si="9"/>
        <v>1E-104</v>
      </c>
      <c r="CB19" t="str">
        <f t="shared" si="10"/>
        <v>gi|907713422</v>
      </c>
      <c r="CC19">
        <v>100</v>
      </c>
      <c r="CD19">
        <v>100</v>
      </c>
      <c r="CE19">
        <v>100</v>
      </c>
      <c r="CF19" t="s">
        <v>253</v>
      </c>
      <c r="CG19" s="33" t="str">
        <f>HYPERLINK("http://exon.niaid.nih.gov/transcriptome/S_calcitrans/S1/links/DIPTERA/XP_013111755.1-DIPTERA.txt","lysozyme c-1-like")</f>
        <v>lysozyme c-1-like</v>
      </c>
      <c r="CH19" t="str">
        <f t="shared" si="11"/>
        <v>1E-104</v>
      </c>
      <c r="CI19" t="str">
        <f t="shared" si="12"/>
        <v>gi|907713286</v>
      </c>
      <c r="CJ19">
        <v>100</v>
      </c>
      <c r="CK19">
        <v>100</v>
      </c>
      <c r="CL19">
        <v>100</v>
      </c>
      <c r="CM19" t="s">
        <v>253</v>
      </c>
      <c r="CN19" s="33" t="s">
        <v>242</v>
      </c>
      <c r="CO19" t="s">
        <v>242</v>
      </c>
      <c r="CP19" t="s">
        <v>242</v>
      </c>
      <c r="CQ19" t="s">
        <v>242</v>
      </c>
      <c r="CR19" t="s">
        <v>242</v>
      </c>
      <c r="CS19" t="s">
        <v>242</v>
      </c>
      <c r="CT19" t="s">
        <v>242</v>
      </c>
      <c r="CU19" s="33" t="s">
        <v>386</v>
      </c>
      <c r="CV19">
        <f>HYPERLINK("http://exon.niaid.nih.gov/transcriptome/S_calcitrans/S1/links/GO/XP_013111755.1-GO.txt",7E-40)</f>
        <v>7.0000000000000003E-40</v>
      </c>
      <c r="CW19" t="str">
        <f t="shared" si="13"/>
        <v>GO:0003796</v>
      </c>
      <c r="CX19" t="s">
        <v>387</v>
      </c>
      <c r="CY19" t="s">
        <v>388</v>
      </c>
      <c r="CZ19" t="s">
        <v>389</v>
      </c>
      <c r="DA19" t="str">
        <f t="shared" si="14"/>
        <v>EC:3.2.1.17</v>
      </c>
      <c r="DC19" t="s">
        <v>390</v>
      </c>
      <c r="DD19" s="37">
        <v>1.9999999999999999E-23</v>
      </c>
      <c r="DE19" s="33" t="str">
        <f>HYPERLINK("http://exon.niaid.nih.gov/transcriptome/S_calcitrans/S1/links/CDD/XP_013111755.1-CDD.txt","LYZ1")</f>
        <v>LYZ1</v>
      </c>
      <c r="DF19" t="str">
        <f>HYPERLINK("http://www.ncbi.nlm.nih.gov/Structure/cdd/cddsrv.cgi?uid=cd00119&amp;version=v4.0","6E-028")</f>
        <v>6E-028</v>
      </c>
      <c r="DG19" t="s">
        <v>399</v>
      </c>
      <c r="DH19" s="33" t="str">
        <f>HYPERLINK("http://exon.niaid.nih.gov/transcriptome/S_calcitrans/S1/links/KOG/XP_013111755.1-KOG.txt","C3H1-type Zn-finger protein")</f>
        <v>C3H1-type Zn-finger protein</v>
      </c>
      <c r="DI19" t="str">
        <f t="shared" si="15"/>
        <v>0.78</v>
      </c>
      <c r="DJ19" t="s">
        <v>392</v>
      </c>
      <c r="DK19" t="str">
        <f>HYPERLINK("http://exon.niaid.nih.gov/transcriptome/S_calcitrans/S1/links/KOG/XP_013111755.1-KOG.txt","KOG2494")</f>
        <v>KOG2494</v>
      </c>
      <c r="DL19" s="33" t="str">
        <f>HYPERLINK("http://exon.niaid.nih.gov/transcriptome/S_calcitrans/S1/links/PFAM/XP_013111755.1-PFAM.txt","Lys")</f>
        <v>Lys</v>
      </c>
      <c r="DM19" t="str">
        <f t="shared" si="16"/>
        <v>3E-027</v>
      </c>
      <c r="DN19" s="33" t="str">
        <f>HYPERLINK("http://exon.niaid.nih.gov/transcriptome/S_calcitrans/S1/links/SMART/XP_013111755.1-SMART.txt","LYZ1")</f>
        <v>LYZ1</v>
      </c>
      <c r="DO19" t="str">
        <f t="shared" si="17"/>
        <v>4E-026</v>
      </c>
      <c r="DP19" s="33"/>
      <c r="EB19" s="33">
        <f t="shared" si="18"/>
        <v>1</v>
      </c>
      <c r="EC19">
        <f t="shared" si="19"/>
        <v>5170</v>
      </c>
      <c r="ED19" s="33">
        <f t="shared" si="20"/>
        <v>38</v>
      </c>
      <c r="EE19">
        <f t="shared" si="21"/>
        <v>40</v>
      </c>
      <c r="EF19" s="33">
        <f t="shared" si="22"/>
        <v>37</v>
      </c>
      <c r="EG19">
        <f t="shared" si="23"/>
        <v>40</v>
      </c>
      <c r="EH19" s="33">
        <f t="shared" si="24"/>
        <v>30</v>
      </c>
      <c r="EI19">
        <f t="shared" si="25"/>
        <v>40</v>
      </c>
      <c r="EJ19" s="33">
        <f t="shared" si="26"/>
        <v>22</v>
      </c>
      <c r="EK19">
        <f t="shared" si="27"/>
        <v>40</v>
      </c>
      <c r="EL19" s="33">
        <f t="shared" si="28"/>
        <v>16</v>
      </c>
      <c r="EM19">
        <f t="shared" si="29"/>
        <v>40</v>
      </c>
      <c r="EN19" s="33">
        <f t="shared" si="30"/>
        <v>547</v>
      </c>
      <c r="EO19">
        <f t="shared" si="31"/>
        <v>6</v>
      </c>
      <c r="EP19" s="33">
        <f t="shared" si="32"/>
        <v>526</v>
      </c>
      <c r="EQ19">
        <f t="shared" si="33"/>
        <v>6</v>
      </c>
      <c r="ER19" s="33">
        <f t="shared" si="34"/>
        <v>481</v>
      </c>
      <c r="ES19">
        <f t="shared" si="35"/>
        <v>6</v>
      </c>
      <c r="ET19" s="33">
        <f t="shared" si="36"/>
        <v>439</v>
      </c>
      <c r="EU19">
        <f t="shared" si="37"/>
        <v>6</v>
      </c>
      <c r="EV19" s="33">
        <f t="shared" si="38"/>
        <v>408</v>
      </c>
      <c r="EW19">
        <f t="shared" si="39"/>
        <v>6</v>
      </c>
      <c r="EX19" s="33">
        <f t="shared" si="40"/>
        <v>371</v>
      </c>
      <c r="EY19">
        <f t="shared" si="41"/>
        <v>6</v>
      </c>
      <c r="EZ19" s="33">
        <f t="shared" si="42"/>
        <v>334</v>
      </c>
      <c r="FA19">
        <f t="shared" si="43"/>
        <v>6</v>
      </c>
      <c r="FB19" s="33">
        <f t="shared" si="44"/>
        <v>293</v>
      </c>
      <c r="FC19">
        <f t="shared" si="45"/>
        <v>6</v>
      </c>
      <c r="FD19" s="33">
        <f t="shared" si="46"/>
        <v>229</v>
      </c>
      <c r="FE19">
        <f t="shared" si="47"/>
        <v>6</v>
      </c>
      <c r="FF19" t="s">
        <v>400</v>
      </c>
      <c r="FG19">
        <v>16700</v>
      </c>
      <c r="FH19" s="38" t="str">
        <f>HYPERLINK("http://exon.niaid.nih.gov/transcriptome/S_calcitrans/S1/links/SG_male-stripped_temp-95-h10-1gap/16700-SG_male-stripped_temp-95-h10-1gap.txt","4107")</f>
        <v>4107</v>
      </c>
      <c r="FI19" s="39">
        <v>100</v>
      </c>
      <c r="FJ19" s="39">
        <v>557.28729281768005</v>
      </c>
      <c r="FK19" s="39">
        <v>17</v>
      </c>
      <c r="FL19" s="39">
        <v>1082</v>
      </c>
      <c r="FM19" s="39">
        <v>73.683223764304799</v>
      </c>
      <c r="FN19" s="38" t="str">
        <f>HYPERLINK("http://exon.niaid.nih.gov/transcriptome/S_calcitrans/S1/links/SG_female-stripped_temp-95-h10-1gap/16700-SG_female-stripped_temp-95-h10-1gap.txt","7453")</f>
        <v>7453</v>
      </c>
      <c r="FO19" s="39">
        <v>100</v>
      </c>
      <c r="FP19" s="39">
        <v>1010.53591160221</v>
      </c>
      <c r="FQ19" s="39">
        <v>47</v>
      </c>
      <c r="FR19" s="39">
        <v>1536</v>
      </c>
      <c r="FS19" s="39">
        <v>73.627800885549405</v>
      </c>
      <c r="FT19" s="38" t="str">
        <f>HYPERLINK("http://exon.niaid.nih.gov/transcriptome/S_calcitrans/S1/links/SRR694289-stripped_temp-95-h10-1gap/16700-SRR694289-stripped_temp-95-h10-1gap.txt","172")</f>
        <v>172</v>
      </c>
      <c r="FU19" s="39">
        <v>93.554327808471498</v>
      </c>
      <c r="FV19" s="39">
        <v>30.5690607734807</v>
      </c>
      <c r="FW19" s="39">
        <v>0</v>
      </c>
      <c r="FX19" s="39">
        <v>71</v>
      </c>
      <c r="FY19" s="39">
        <v>96.505813953488399</v>
      </c>
      <c r="FZ19" s="38" t="str">
        <f>HYPERLINK("http://exon.niaid.nih.gov/transcriptome/S_calcitrans/S1/links/SRR694925-stripped_temp-95-h10-1gap/16700-SRR694925-stripped_temp-95-h10-1gap.txt","85")</f>
        <v>85</v>
      </c>
      <c r="GA19" s="39">
        <v>81.583793738489902</v>
      </c>
      <c r="GB19" s="39">
        <v>14.585635359116001</v>
      </c>
      <c r="GC19" s="39">
        <v>0</v>
      </c>
      <c r="GD19" s="39">
        <v>30</v>
      </c>
      <c r="GE19" s="39">
        <v>93.176470588235304</v>
      </c>
      <c r="GF19">
        <f t="shared" si="48"/>
        <v>4107</v>
      </c>
      <c r="GG19">
        <f t="shared" si="49"/>
        <v>7453</v>
      </c>
      <c r="GH19">
        <f t="shared" si="50"/>
        <v>172</v>
      </c>
      <c r="GI19">
        <f t="shared" si="51"/>
        <v>85</v>
      </c>
      <c r="GJ19">
        <f t="shared" si="52"/>
        <v>11560</v>
      </c>
      <c r="GK19" s="34">
        <v>4.4900884986344265E-2</v>
      </c>
      <c r="GL19">
        <v>247.41547691857664</v>
      </c>
      <c r="GM19">
        <v>204.17592480488437</v>
      </c>
      <c r="GN19">
        <v>1.8207954371291479</v>
      </c>
      <c r="GO19">
        <v>0.92760459109849047</v>
      </c>
      <c r="GP19">
        <f t="shared" si="53"/>
        <v>247.41547691857664</v>
      </c>
      <c r="GQ19" t="s">
        <v>384</v>
      </c>
      <c r="GR19">
        <v>192.95721638767679</v>
      </c>
      <c r="GS19">
        <v>167.58069667392539</v>
      </c>
      <c r="GT19">
        <v>3.2822711696940958</v>
      </c>
      <c r="GU19">
        <v>1.7562097922789073</v>
      </c>
      <c r="GV19">
        <f t="shared" si="54"/>
        <v>192.95721638767679</v>
      </c>
      <c r="GW19">
        <v>68.82489707966991</v>
      </c>
      <c r="GX19">
        <v>11560</v>
      </c>
      <c r="GY19">
        <v>257</v>
      </c>
      <c r="GZ19">
        <v>11817</v>
      </c>
      <c r="HA19">
        <v>2623.3703792790184</v>
      </c>
      <c r="HB19">
        <v>9193.6296207209816</v>
      </c>
      <c r="HC19">
        <v>30443.032218689801</v>
      </c>
      <c r="HD19">
        <v>8686.8138344346971</v>
      </c>
      <c r="HE19">
        <v>39129.8460531245</v>
      </c>
      <c r="HF19">
        <v>0</v>
      </c>
      <c r="HG19">
        <v>2623.3703792790184</v>
      </c>
      <c r="HH19">
        <v>1</v>
      </c>
      <c r="HI19">
        <v>1</v>
      </c>
      <c r="HJ19">
        <v>2</v>
      </c>
      <c r="HK19">
        <v>0</v>
      </c>
      <c r="HL19" s="30" t="s">
        <v>262</v>
      </c>
      <c r="HM19">
        <v>157.0238137242554</v>
      </c>
      <c r="HN19">
        <v>6.3432281062252467E-3</v>
      </c>
      <c r="HO19">
        <v>4107</v>
      </c>
      <c r="HP19">
        <v>7453</v>
      </c>
      <c r="HQ19">
        <v>11560</v>
      </c>
      <c r="HR19">
        <v>3613.6091214240828</v>
      </c>
      <c r="HS19">
        <v>7946.3908785759177</v>
      </c>
      <c r="HT19">
        <v>67.366046210880896</v>
      </c>
      <c r="HU19">
        <v>30.634606676376098</v>
      </c>
      <c r="HV19">
        <v>98.00065288725699</v>
      </c>
      <c r="HW19">
        <v>4.182446386340918E-23</v>
      </c>
      <c r="HX19">
        <v>3613.6091214240828</v>
      </c>
      <c r="HY19">
        <v>1</v>
      </c>
      <c r="HZ19">
        <v>1</v>
      </c>
      <c r="IA19">
        <v>2</v>
      </c>
      <c r="IB19" s="37">
        <v>1.67074737544484E-21</v>
      </c>
      <c r="IC19" s="30" t="s">
        <v>262</v>
      </c>
      <c r="ID19">
        <v>1.2116133909775391</v>
      </c>
      <c r="IE19">
        <v>0.82503417054049266</v>
      </c>
      <c r="IF19">
        <v>1.2116133909775391</v>
      </c>
      <c r="IG19" t="str">
        <f t="shared" si="1"/>
        <v/>
      </c>
    </row>
    <row r="20" spans="1:241">
      <c r="A20" t="str">
        <f>HYPERLINK("http://exon.niaid.nih.gov/transcriptome/S_calcitrans/S1/links/pep/XP_013111756.1-pep.txt","XP_013111756.1")</f>
        <v>XP_013111756.1</v>
      </c>
      <c r="B20" s="30" t="s">
        <v>232</v>
      </c>
      <c r="C20">
        <v>180</v>
      </c>
      <c r="D20" t="s">
        <v>375</v>
      </c>
      <c r="E20">
        <v>0</v>
      </c>
      <c r="F20" t="s">
        <v>401</v>
      </c>
      <c r="G20" t="str">
        <f>HYPERLINK("http://exon.niaid.nih.gov/transcriptome/S_calcitrans/S1/links/cds/XM_013256302_1-cds.txt","XM_013256302_1")</f>
        <v>XM_013256302_1</v>
      </c>
      <c r="H20">
        <v>543</v>
      </c>
      <c r="I20" t="s">
        <v>377</v>
      </c>
      <c r="J20" s="30" t="s">
        <v>236</v>
      </c>
      <c r="K20" s="30" t="s">
        <v>91</v>
      </c>
      <c r="L20" s="31" t="s">
        <v>378</v>
      </c>
      <c r="M20" s="30">
        <v>278230</v>
      </c>
      <c r="N20" s="30">
        <v>279808</v>
      </c>
      <c r="O20" s="30" t="s">
        <v>276</v>
      </c>
      <c r="P20" s="30">
        <v>3</v>
      </c>
      <c r="Q20" s="31" t="s">
        <v>379</v>
      </c>
      <c r="R20" s="32" t="str">
        <f>HYPERLINK("http://exon.niaid.nih.gov/transcriptome/S_calcitrans/S1/links/Sigp/XP_013111756.1-SigP.txt","SIG")</f>
        <v>SIG</v>
      </c>
      <c r="S20" t="s">
        <v>380</v>
      </c>
      <c r="T20">
        <v>20.638999999999999</v>
      </c>
      <c r="U20">
        <v>8.9700000000000006</v>
      </c>
      <c r="V20">
        <v>17.463000000000001</v>
      </c>
      <c r="W20">
        <v>8.68</v>
      </c>
      <c r="X20" t="s">
        <v>381</v>
      </c>
      <c r="Y20" s="32" t="str">
        <f>HYPERLINK("http://exon.niaid.nih.gov/transcriptome/S_calcitrans/S1/links/tmhmm/XP_013111756.1-tmhmm.txt","1")</f>
        <v>1</v>
      </c>
      <c r="Z20">
        <v>10.6</v>
      </c>
      <c r="AA20">
        <v>5.6</v>
      </c>
      <c r="AB20">
        <v>83.9</v>
      </c>
      <c r="AC20" t="s">
        <v>242</v>
      </c>
      <c r="AD20">
        <v>151</v>
      </c>
      <c r="AE20" s="32" t="str">
        <f>HYPERLINK("http://exon.niaid.nih.gov/transcriptome/S_calcitrans/S1/links/netoglyc/XP_013111756.1-netoglyc.txt","0")</f>
        <v>0</v>
      </c>
      <c r="AF20">
        <v>13.9</v>
      </c>
      <c r="AG20">
        <v>4.4000000000000004</v>
      </c>
      <c r="AH20">
        <v>3.3</v>
      </c>
      <c r="AI20" t="s">
        <v>243</v>
      </c>
      <c r="AJ20" t="s">
        <v>242</v>
      </c>
      <c r="AK20">
        <v>157.0238137242554</v>
      </c>
      <c r="AL20" s="33">
        <f t="shared" si="3"/>
        <v>229</v>
      </c>
      <c r="AM20">
        <f t="shared" si="4"/>
        <v>6</v>
      </c>
      <c r="AN20" s="30">
        <f t="shared" si="0"/>
        <v>1</v>
      </c>
      <c r="AO20" s="30">
        <v>1</v>
      </c>
      <c r="AP20">
        <v>11560</v>
      </c>
      <c r="AQ20" s="34">
        <v>4.4900884986344265E-2</v>
      </c>
      <c r="AR20" s="35">
        <v>68.82489707966991</v>
      </c>
      <c r="AS20" t="s">
        <v>402</v>
      </c>
      <c r="AT20" s="36" t="s">
        <v>383</v>
      </c>
      <c r="AU20" t="s">
        <v>384</v>
      </c>
      <c r="AV20" t="str">
        <f>HYPERLINK("http://exon.niaid.nih.gov/transcriptome/S_calcitrans/S1/links/REFSEQ-INVERTEBRATE/XP_013111756.1-REFSEQ-INVERTEBRATE.txt","REFSEQ-INVERTEBRATE")</f>
        <v>REFSEQ-INVERTEBRATE</v>
      </c>
      <c r="AW20">
        <v>0</v>
      </c>
      <c r="AX20">
        <v>100</v>
      </c>
      <c r="AY20" s="33"/>
      <c r="BG20" s="31"/>
      <c r="BJ20" s="33"/>
      <c r="BK20" s="33"/>
      <c r="BL20" s="33" t="str">
        <f>HYPERLINK("http://exon.niaid.nih.gov/transcriptome/S_calcitrans/S1/links/NR-LIGHT/XP_013111756.1-NR-LIGHT.txt","lysozyme c-1")</f>
        <v>lysozyme c-1</v>
      </c>
      <c r="BM20" t="str">
        <f t="shared" si="5"/>
        <v>1E-082</v>
      </c>
      <c r="BN20" t="str">
        <f t="shared" si="6"/>
        <v>gi|557775721</v>
      </c>
      <c r="BO20">
        <v>87</v>
      </c>
      <c r="BP20">
        <v>91</v>
      </c>
      <c r="BQ20">
        <v>97</v>
      </c>
      <c r="BR20" t="s">
        <v>251</v>
      </c>
      <c r="BS20" s="33" t="str">
        <f>HYPERLINK("http://exon.niaid.nih.gov/transcriptome/S_calcitrans/S1/links/SWISSP/XP_013111756.1-SWISSP.txt","Lysozyme c-1")</f>
        <v>Lysozyme c-1</v>
      </c>
      <c r="BT20" t="str">
        <f t="shared" si="7"/>
        <v>2E-022</v>
      </c>
      <c r="BU20" t="str">
        <f t="shared" si="8"/>
        <v>Q17005</v>
      </c>
      <c r="BV20">
        <v>37</v>
      </c>
      <c r="BW20">
        <v>58</v>
      </c>
      <c r="BX20">
        <v>107</v>
      </c>
      <c r="BY20" t="s">
        <v>385</v>
      </c>
      <c r="BZ20" s="33" t="str">
        <f>HYPERLINK("http://exon.niaid.nih.gov/transcriptome/S_calcitrans/S1/links/REFSEQ-INVERTEBRATE/XP_013111756.1-REFSEQ-INVERTEBRATE.txt","lysozyme c-1-like")</f>
        <v>lysozyme c-1-like</v>
      </c>
      <c r="CA20" t="str">
        <f t="shared" si="9"/>
        <v>1E-104</v>
      </c>
      <c r="CB20" t="str">
        <f t="shared" si="10"/>
        <v>gi|907713422</v>
      </c>
      <c r="CC20">
        <v>100</v>
      </c>
      <c r="CD20">
        <v>100</v>
      </c>
      <c r="CE20">
        <v>100</v>
      </c>
      <c r="CF20" t="s">
        <v>253</v>
      </c>
      <c r="CG20" s="33" t="str">
        <f>HYPERLINK("http://exon.niaid.nih.gov/transcriptome/S_calcitrans/S1/links/DIPTERA/XP_013111756.1-DIPTERA.txt","lysozyme c-1-like")</f>
        <v>lysozyme c-1-like</v>
      </c>
      <c r="CH20" t="str">
        <f t="shared" si="11"/>
        <v>1E-104</v>
      </c>
      <c r="CI20" t="str">
        <f t="shared" si="12"/>
        <v>gi|907713286</v>
      </c>
      <c r="CJ20">
        <v>100</v>
      </c>
      <c r="CK20">
        <v>100</v>
      </c>
      <c r="CL20">
        <v>100</v>
      </c>
      <c r="CM20" t="s">
        <v>253</v>
      </c>
      <c r="CN20" s="33" t="s">
        <v>242</v>
      </c>
      <c r="CO20" t="s">
        <v>242</v>
      </c>
      <c r="CP20" t="s">
        <v>242</v>
      </c>
      <c r="CQ20" t="s">
        <v>242</v>
      </c>
      <c r="CR20" t="s">
        <v>242</v>
      </c>
      <c r="CS20" t="s">
        <v>242</v>
      </c>
      <c r="CT20" t="s">
        <v>242</v>
      </c>
      <c r="CU20" s="33" t="s">
        <v>386</v>
      </c>
      <c r="CV20">
        <f>HYPERLINK("http://exon.niaid.nih.gov/transcriptome/S_calcitrans/S1/links/GO/XP_013111756.1-GO.txt",7E-40)</f>
        <v>7.0000000000000003E-40</v>
      </c>
      <c r="CW20" t="str">
        <f t="shared" si="13"/>
        <v>GO:0003796</v>
      </c>
      <c r="CX20" t="s">
        <v>387</v>
      </c>
      <c r="CY20" t="s">
        <v>388</v>
      </c>
      <c r="CZ20" t="s">
        <v>389</v>
      </c>
      <c r="DA20" t="str">
        <f t="shared" si="14"/>
        <v>EC:3.2.1.17</v>
      </c>
      <c r="DC20" t="s">
        <v>390</v>
      </c>
      <c r="DD20" s="37">
        <v>1.9999999999999999E-23</v>
      </c>
      <c r="DE20" s="33" t="str">
        <f>HYPERLINK("http://exon.niaid.nih.gov/transcriptome/S_calcitrans/S1/links/CDD/XP_013111756.1-CDD.txt","LYZ1")</f>
        <v>LYZ1</v>
      </c>
      <c r="DF20" t="str">
        <f>HYPERLINK("http://www.ncbi.nlm.nih.gov/Structure/cdd/cddsrv.cgi?uid=cd00119&amp;version=v4.0","6E-028")</f>
        <v>6E-028</v>
      </c>
      <c r="DG20" t="s">
        <v>399</v>
      </c>
      <c r="DH20" s="33" t="str">
        <f>HYPERLINK("http://exon.niaid.nih.gov/transcriptome/S_calcitrans/S1/links/KOG/XP_013111756.1-KOG.txt","C3H1-type Zn-finger protein")</f>
        <v>C3H1-type Zn-finger protein</v>
      </c>
      <c r="DI20" t="str">
        <f t="shared" si="15"/>
        <v>0.78</v>
      </c>
      <c r="DJ20" t="s">
        <v>392</v>
      </c>
      <c r="DK20" t="str">
        <f>HYPERLINK("http://exon.niaid.nih.gov/transcriptome/S_calcitrans/S1/links/KOG/XP_013111756.1-KOG.txt","KOG2494")</f>
        <v>KOG2494</v>
      </c>
      <c r="DL20" s="33" t="str">
        <f>HYPERLINK("http://exon.niaid.nih.gov/transcriptome/S_calcitrans/S1/links/PFAM/XP_013111756.1-PFAM.txt","Lys")</f>
        <v>Lys</v>
      </c>
      <c r="DM20" t="str">
        <f t="shared" si="16"/>
        <v>3E-027</v>
      </c>
      <c r="DN20" s="33" t="str">
        <f>HYPERLINK("http://exon.niaid.nih.gov/transcriptome/S_calcitrans/S1/links/SMART/XP_013111756.1-SMART.txt","LYZ1")</f>
        <v>LYZ1</v>
      </c>
      <c r="DO20" t="str">
        <f t="shared" si="17"/>
        <v>4E-026</v>
      </c>
      <c r="DP20" s="33"/>
      <c r="EB20" s="33">
        <f t="shared" si="18"/>
        <v>1</v>
      </c>
      <c r="EC20">
        <f t="shared" si="19"/>
        <v>5170</v>
      </c>
      <c r="ED20" s="33">
        <f t="shared" si="20"/>
        <v>38</v>
      </c>
      <c r="EE20">
        <f t="shared" si="21"/>
        <v>40</v>
      </c>
      <c r="EF20" s="33">
        <f t="shared" si="22"/>
        <v>37</v>
      </c>
      <c r="EG20">
        <f t="shared" si="23"/>
        <v>40</v>
      </c>
      <c r="EH20" s="33">
        <f t="shared" si="24"/>
        <v>30</v>
      </c>
      <c r="EI20">
        <f t="shared" si="25"/>
        <v>40</v>
      </c>
      <c r="EJ20" s="33">
        <f t="shared" si="26"/>
        <v>22</v>
      </c>
      <c r="EK20">
        <f t="shared" si="27"/>
        <v>40</v>
      </c>
      <c r="EL20" s="33">
        <f t="shared" si="28"/>
        <v>16</v>
      </c>
      <c r="EM20">
        <f t="shared" si="29"/>
        <v>40</v>
      </c>
      <c r="EN20" s="33">
        <f t="shared" si="30"/>
        <v>547</v>
      </c>
      <c r="EO20">
        <f t="shared" si="31"/>
        <v>6</v>
      </c>
      <c r="EP20" s="33">
        <f t="shared" si="32"/>
        <v>526</v>
      </c>
      <c r="EQ20">
        <f t="shared" si="33"/>
        <v>6</v>
      </c>
      <c r="ER20" s="33">
        <f t="shared" si="34"/>
        <v>481</v>
      </c>
      <c r="ES20">
        <f t="shared" si="35"/>
        <v>6</v>
      </c>
      <c r="ET20" s="33">
        <f t="shared" si="36"/>
        <v>439</v>
      </c>
      <c r="EU20">
        <f t="shared" si="37"/>
        <v>6</v>
      </c>
      <c r="EV20" s="33">
        <f t="shared" si="38"/>
        <v>408</v>
      </c>
      <c r="EW20">
        <f t="shared" si="39"/>
        <v>6</v>
      </c>
      <c r="EX20" s="33">
        <f t="shared" si="40"/>
        <v>371</v>
      </c>
      <c r="EY20">
        <f t="shared" si="41"/>
        <v>6</v>
      </c>
      <c r="EZ20" s="33">
        <f t="shared" si="42"/>
        <v>334</v>
      </c>
      <c r="FA20">
        <f t="shared" si="43"/>
        <v>6</v>
      </c>
      <c r="FB20" s="33">
        <f t="shared" si="44"/>
        <v>293</v>
      </c>
      <c r="FC20">
        <f t="shared" si="45"/>
        <v>6</v>
      </c>
      <c r="FD20" s="33">
        <f t="shared" si="46"/>
        <v>229</v>
      </c>
      <c r="FE20">
        <f t="shared" si="47"/>
        <v>6</v>
      </c>
      <c r="FF20" t="s">
        <v>403</v>
      </c>
      <c r="FG20">
        <v>16702</v>
      </c>
      <c r="FH20" s="38" t="str">
        <f>HYPERLINK("http://exon.niaid.nih.gov/transcriptome/S_calcitrans/S1/links/SG_male-stripped_temp-95-h10-1gap/16702-SG_male-stripped_temp-95-h10-1gap.txt","4107")</f>
        <v>4107</v>
      </c>
      <c r="FI20" s="39">
        <v>100</v>
      </c>
      <c r="FJ20" s="39">
        <v>557.28729281768005</v>
      </c>
      <c r="FK20" s="39">
        <v>17</v>
      </c>
      <c r="FL20" s="39">
        <v>1082</v>
      </c>
      <c r="FM20" s="39">
        <v>73.683223764304799</v>
      </c>
      <c r="FN20" s="38" t="str">
        <f>HYPERLINK("http://exon.niaid.nih.gov/transcriptome/S_calcitrans/S1/links/SG_female-stripped_temp-95-h10-1gap/16702-SG_female-stripped_temp-95-h10-1gap.txt","7453")</f>
        <v>7453</v>
      </c>
      <c r="FO20" s="39">
        <v>100</v>
      </c>
      <c r="FP20" s="39">
        <v>1010.53591160221</v>
      </c>
      <c r="FQ20" s="39">
        <v>47</v>
      </c>
      <c r="FR20" s="39">
        <v>1536</v>
      </c>
      <c r="FS20" s="39">
        <v>73.627800885549405</v>
      </c>
      <c r="FT20" s="38" t="str">
        <f>HYPERLINK("http://exon.niaid.nih.gov/transcriptome/S_calcitrans/S1/links/SRR694289-stripped_temp-95-h10-1gap/16702-SRR694289-stripped_temp-95-h10-1gap.txt","172")</f>
        <v>172</v>
      </c>
      <c r="FU20" s="39">
        <v>93.554327808471498</v>
      </c>
      <c r="FV20" s="39">
        <v>30.5690607734807</v>
      </c>
      <c r="FW20" s="39">
        <v>0</v>
      </c>
      <c r="FX20" s="39">
        <v>71</v>
      </c>
      <c r="FY20" s="39">
        <v>96.505813953488399</v>
      </c>
      <c r="FZ20" s="38" t="str">
        <f>HYPERLINK("http://exon.niaid.nih.gov/transcriptome/S_calcitrans/S1/links/SRR694925-stripped_temp-95-h10-1gap/16702-SRR694925-stripped_temp-95-h10-1gap.txt","85")</f>
        <v>85</v>
      </c>
      <c r="GA20" s="39">
        <v>81.583793738489902</v>
      </c>
      <c r="GB20" s="39">
        <v>14.585635359116001</v>
      </c>
      <c r="GC20" s="39">
        <v>0</v>
      </c>
      <c r="GD20" s="39">
        <v>30</v>
      </c>
      <c r="GE20" s="39">
        <v>93.176470588235304</v>
      </c>
      <c r="GF20">
        <f t="shared" si="48"/>
        <v>4107</v>
      </c>
      <c r="GG20">
        <f t="shared" si="49"/>
        <v>7453</v>
      </c>
      <c r="GH20">
        <f t="shared" si="50"/>
        <v>172</v>
      </c>
      <c r="GI20">
        <f t="shared" si="51"/>
        <v>85</v>
      </c>
      <c r="GJ20">
        <f t="shared" si="52"/>
        <v>11560</v>
      </c>
      <c r="GK20" s="34">
        <v>4.4900884986344265E-2</v>
      </c>
      <c r="GL20">
        <v>247.41547691857664</v>
      </c>
      <c r="GM20">
        <v>204.17592480488437</v>
      </c>
      <c r="GN20">
        <v>1.8207954371291479</v>
      </c>
      <c r="GO20">
        <v>0.92760459109849047</v>
      </c>
      <c r="GP20">
        <f t="shared" si="53"/>
        <v>247.41547691857664</v>
      </c>
      <c r="GQ20" t="s">
        <v>384</v>
      </c>
      <c r="GR20">
        <v>192.95721638767679</v>
      </c>
      <c r="GS20">
        <v>167.58069667392539</v>
      </c>
      <c r="GT20">
        <v>3.2822711696940958</v>
      </c>
      <c r="GU20">
        <v>1.7562097922789073</v>
      </c>
      <c r="GV20">
        <f t="shared" si="54"/>
        <v>192.95721638767679</v>
      </c>
      <c r="GW20">
        <v>68.82489707966991</v>
      </c>
      <c r="GX20">
        <v>11560</v>
      </c>
      <c r="GY20">
        <v>257</v>
      </c>
      <c r="GZ20">
        <v>11817</v>
      </c>
      <c r="HA20">
        <v>2623.3703792790184</v>
      </c>
      <c r="HB20">
        <v>9193.6296207209816</v>
      </c>
      <c r="HC20">
        <v>30443.032218689801</v>
      </c>
      <c r="HD20">
        <v>8686.8138344346971</v>
      </c>
      <c r="HE20">
        <v>39129.8460531245</v>
      </c>
      <c r="HF20">
        <v>0</v>
      </c>
      <c r="HG20">
        <v>2623.3703792790184</v>
      </c>
      <c r="HH20">
        <v>1</v>
      </c>
      <c r="HI20">
        <v>1</v>
      </c>
      <c r="HJ20">
        <v>2</v>
      </c>
      <c r="HK20">
        <v>0</v>
      </c>
      <c r="HL20" s="30" t="s">
        <v>262</v>
      </c>
      <c r="HM20">
        <v>157.0238137242554</v>
      </c>
      <c r="HN20">
        <v>6.3432281062252467E-3</v>
      </c>
      <c r="HO20">
        <v>4107</v>
      </c>
      <c r="HP20">
        <v>7453</v>
      </c>
      <c r="HQ20">
        <v>11560</v>
      </c>
      <c r="HR20">
        <v>3613.6091214240828</v>
      </c>
      <c r="HS20">
        <v>7946.3908785759177</v>
      </c>
      <c r="HT20">
        <v>67.366046210880896</v>
      </c>
      <c r="HU20">
        <v>30.634606676376098</v>
      </c>
      <c r="HV20">
        <v>98.00065288725699</v>
      </c>
      <c r="HW20">
        <v>4.182446386340918E-23</v>
      </c>
      <c r="HX20">
        <v>3613.6091214240828</v>
      </c>
      <c r="HY20">
        <v>1</v>
      </c>
      <c r="HZ20">
        <v>1</v>
      </c>
      <c r="IA20">
        <v>2</v>
      </c>
      <c r="IB20" s="37">
        <v>1.67074737544484E-21</v>
      </c>
      <c r="IC20" s="30" t="s">
        <v>262</v>
      </c>
      <c r="ID20">
        <v>1.2116133909775391</v>
      </c>
      <c r="IE20">
        <v>0.82503417054049266</v>
      </c>
      <c r="IF20">
        <v>1.2116133909775391</v>
      </c>
      <c r="IG20" t="str">
        <f t="shared" si="1"/>
        <v/>
      </c>
    </row>
    <row r="21" spans="1:241">
      <c r="A21" t="str">
        <f>HYPERLINK("http://exon.niaid.nih.gov/transcriptome/S_calcitrans/S1/links/pep/XP_013111757.1-pep.txt","XP_013111757.1")</f>
        <v>XP_013111757.1</v>
      </c>
      <c r="B21" s="30" t="s">
        <v>232</v>
      </c>
      <c r="C21">
        <v>180</v>
      </c>
      <c r="D21" t="s">
        <v>375</v>
      </c>
      <c r="E21">
        <v>0</v>
      </c>
      <c r="F21" t="s">
        <v>404</v>
      </c>
      <c r="G21" t="str">
        <f>HYPERLINK("http://exon.niaid.nih.gov/transcriptome/S_calcitrans/S1/links/cds/XM_013256303_1-cds.txt","XM_013256303_1")</f>
        <v>XM_013256303_1</v>
      </c>
      <c r="H21">
        <v>543</v>
      </c>
      <c r="I21" t="s">
        <v>377</v>
      </c>
      <c r="J21" s="30" t="s">
        <v>236</v>
      </c>
      <c r="K21" s="30" t="s">
        <v>91</v>
      </c>
      <c r="L21" s="31" t="s">
        <v>378</v>
      </c>
      <c r="M21" s="30">
        <v>278230</v>
      </c>
      <c r="N21" s="30">
        <v>279808</v>
      </c>
      <c r="O21" s="30" t="s">
        <v>276</v>
      </c>
      <c r="P21" s="30">
        <v>3</v>
      </c>
      <c r="Q21" s="31" t="s">
        <v>379</v>
      </c>
      <c r="R21" s="32" t="str">
        <f>HYPERLINK("http://exon.niaid.nih.gov/transcriptome/S_calcitrans/S1/links/Sigp/XP_013111757.1-SigP.txt","SIG")</f>
        <v>SIG</v>
      </c>
      <c r="S21" t="s">
        <v>380</v>
      </c>
      <c r="T21">
        <v>20.638999999999999</v>
      </c>
      <c r="U21">
        <v>8.9700000000000006</v>
      </c>
      <c r="V21">
        <v>17.463000000000001</v>
      </c>
      <c r="W21">
        <v>8.68</v>
      </c>
      <c r="X21" t="s">
        <v>381</v>
      </c>
      <c r="Y21" s="32" t="str">
        <f>HYPERLINK("http://exon.niaid.nih.gov/transcriptome/S_calcitrans/S1/links/tmhmm/XP_013111757.1-tmhmm.txt","1")</f>
        <v>1</v>
      </c>
      <c r="Z21">
        <v>10.6</v>
      </c>
      <c r="AA21">
        <v>5.6</v>
      </c>
      <c r="AB21">
        <v>83.9</v>
      </c>
      <c r="AC21" t="s">
        <v>242</v>
      </c>
      <c r="AD21">
        <v>151</v>
      </c>
      <c r="AE21" s="32" t="str">
        <f>HYPERLINK("http://exon.niaid.nih.gov/transcriptome/S_calcitrans/S1/links/netoglyc/XP_013111757.1-netoglyc.txt","0")</f>
        <v>0</v>
      </c>
      <c r="AF21">
        <v>13.9</v>
      </c>
      <c r="AG21">
        <v>4.4000000000000004</v>
      </c>
      <c r="AH21">
        <v>3.3</v>
      </c>
      <c r="AI21" t="s">
        <v>243</v>
      </c>
      <c r="AJ21" t="s">
        <v>242</v>
      </c>
      <c r="AK21">
        <v>157.0238137242554</v>
      </c>
      <c r="AL21" s="33">
        <f t="shared" si="3"/>
        <v>229</v>
      </c>
      <c r="AM21">
        <f t="shared" si="4"/>
        <v>6</v>
      </c>
      <c r="AN21" s="30">
        <f t="shared" si="0"/>
        <v>1</v>
      </c>
      <c r="AO21" s="30">
        <v>1</v>
      </c>
      <c r="AP21">
        <v>11560</v>
      </c>
      <c r="AQ21" s="34">
        <v>4.4900884986344265E-2</v>
      </c>
      <c r="AR21" s="35">
        <v>68.82489707966991</v>
      </c>
      <c r="AS21" t="s">
        <v>405</v>
      </c>
      <c r="AT21" s="36" t="s">
        <v>383</v>
      </c>
      <c r="AU21" t="s">
        <v>384</v>
      </c>
      <c r="AV21" t="str">
        <f>HYPERLINK("http://exon.niaid.nih.gov/transcriptome/S_calcitrans/S1/links/REFSEQ-INVERTEBRATE/XP_013111757.1-REFSEQ-INVERTEBRATE.txt","REFSEQ-INVERTEBRATE")</f>
        <v>REFSEQ-INVERTEBRATE</v>
      </c>
      <c r="AW21">
        <v>0</v>
      </c>
      <c r="AX21">
        <v>100</v>
      </c>
      <c r="AY21" s="33"/>
      <c r="BG21" s="31"/>
      <c r="BJ21" s="33"/>
      <c r="BK21" s="33"/>
      <c r="BL21" s="33" t="str">
        <f>HYPERLINK("http://exon.niaid.nih.gov/transcriptome/S_calcitrans/S1/links/NR-LIGHT/XP_013111757.1-NR-LIGHT.txt","lysozyme c-1")</f>
        <v>lysozyme c-1</v>
      </c>
      <c r="BM21" t="str">
        <f t="shared" si="5"/>
        <v>1E-082</v>
      </c>
      <c r="BN21" t="str">
        <f t="shared" si="6"/>
        <v>gi|557775721</v>
      </c>
      <c r="BO21">
        <v>87</v>
      </c>
      <c r="BP21">
        <v>91</v>
      </c>
      <c r="BQ21">
        <v>97</v>
      </c>
      <c r="BR21" t="s">
        <v>251</v>
      </c>
      <c r="BS21" s="33" t="str">
        <f>HYPERLINK("http://exon.niaid.nih.gov/transcriptome/S_calcitrans/S1/links/SWISSP/XP_013111757.1-SWISSP.txt","Lysozyme c-1")</f>
        <v>Lysozyme c-1</v>
      </c>
      <c r="BT21" t="str">
        <f t="shared" si="7"/>
        <v>2E-022</v>
      </c>
      <c r="BU21" t="str">
        <f t="shared" si="8"/>
        <v>Q17005</v>
      </c>
      <c r="BV21">
        <v>37</v>
      </c>
      <c r="BW21">
        <v>58</v>
      </c>
      <c r="BX21">
        <v>107</v>
      </c>
      <c r="BY21" t="s">
        <v>385</v>
      </c>
      <c r="BZ21" s="33" t="str">
        <f>HYPERLINK("http://exon.niaid.nih.gov/transcriptome/S_calcitrans/S1/links/REFSEQ-INVERTEBRATE/XP_013111757.1-REFSEQ-INVERTEBRATE.txt","lysozyme c-1-like")</f>
        <v>lysozyme c-1-like</v>
      </c>
      <c r="CA21" t="str">
        <f t="shared" si="9"/>
        <v>1E-104</v>
      </c>
      <c r="CB21" t="str">
        <f t="shared" si="10"/>
        <v>gi|907713422</v>
      </c>
      <c r="CC21">
        <v>100</v>
      </c>
      <c r="CD21">
        <v>100</v>
      </c>
      <c r="CE21">
        <v>100</v>
      </c>
      <c r="CF21" t="s">
        <v>253</v>
      </c>
      <c r="CG21" s="33" t="str">
        <f>HYPERLINK("http://exon.niaid.nih.gov/transcriptome/S_calcitrans/S1/links/DIPTERA/XP_013111757.1-DIPTERA.txt","lysozyme c-1-like")</f>
        <v>lysozyme c-1-like</v>
      </c>
      <c r="CH21" t="str">
        <f t="shared" si="11"/>
        <v>1E-104</v>
      </c>
      <c r="CI21" t="str">
        <f t="shared" si="12"/>
        <v>gi|907713286</v>
      </c>
      <c r="CJ21">
        <v>100</v>
      </c>
      <c r="CK21">
        <v>100</v>
      </c>
      <c r="CL21">
        <v>100</v>
      </c>
      <c r="CM21" t="s">
        <v>253</v>
      </c>
      <c r="CN21" s="33" t="s">
        <v>242</v>
      </c>
      <c r="CO21" t="s">
        <v>242</v>
      </c>
      <c r="CP21" t="s">
        <v>242</v>
      </c>
      <c r="CQ21" t="s">
        <v>242</v>
      </c>
      <c r="CR21" t="s">
        <v>242</v>
      </c>
      <c r="CS21" t="s">
        <v>242</v>
      </c>
      <c r="CT21" t="s">
        <v>242</v>
      </c>
      <c r="CU21" s="33" t="s">
        <v>386</v>
      </c>
      <c r="CV21">
        <f>HYPERLINK("http://exon.niaid.nih.gov/transcriptome/S_calcitrans/S1/links/GO/XP_013111757.1-GO.txt",7E-40)</f>
        <v>7.0000000000000003E-40</v>
      </c>
      <c r="CW21" t="str">
        <f t="shared" si="13"/>
        <v>GO:0003796</v>
      </c>
      <c r="CX21" t="s">
        <v>387</v>
      </c>
      <c r="CY21" t="s">
        <v>388</v>
      </c>
      <c r="CZ21" t="s">
        <v>389</v>
      </c>
      <c r="DA21" t="str">
        <f t="shared" si="14"/>
        <v>EC:3.2.1.17</v>
      </c>
      <c r="DC21" t="s">
        <v>390</v>
      </c>
      <c r="DD21" s="37">
        <v>1.9999999999999999E-23</v>
      </c>
      <c r="DE21" s="33" t="str">
        <f>HYPERLINK("http://exon.niaid.nih.gov/transcriptome/S_calcitrans/S1/links/CDD/XP_013111757.1-CDD.txt","LYZ1")</f>
        <v>LYZ1</v>
      </c>
      <c r="DF21" t="str">
        <f>HYPERLINK("http://www.ncbi.nlm.nih.gov/Structure/cdd/cddsrv.cgi?uid=cd00119&amp;version=v4.0","6E-028")</f>
        <v>6E-028</v>
      </c>
      <c r="DG21" t="s">
        <v>399</v>
      </c>
      <c r="DH21" s="33" t="str">
        <f>HYPERLINK("http://exon.niaid.nih.gov/transcriptome/S_calcitrans/S1/links/KOG/XP_013111757.1-KOG.txt","C3H1-type Zn-finger protein")</f>
        <v>C3H1-type Zn-finger protein</v>
      </c>
      <c r="DI21" t="str">
        <f t="shared" si="15"/>
        <v>0.78</v>
      </c>
      <c r="DJ21" t="s">
        <v>392</v>
      </c>
      <c r="DK21" t="str">
        <f>HYPERLINK("http://exon.niaid.nih.gov/transcriptome/S_calcitrans/S1/links/KOG/XP_013111757.1-KOG.txt","KOG2494")</f>
        <v>KOG2494</v>
      </c>
      <c r="DL21" s="33" t="str">
        <f>HYPERLINK("http://exon.niaid.nih.gov/transcriptome/S_calcitrans/S1/links/PFAM/XP_013111757.1-PFAM.txt","Lys")</f>
        <v>Lys</v>
      </c>
      <c r="DM21" t="str">
        <f t="shared" si="16"/>
        <v>3E-027</v>
      </c>
      <c r="DN21" s="33" t="str">
        <f>HYPERLINK("http://exon.niaid.nih.gov/transcriptome/S_calcitrans/S1/links/SMART/XP_013111757.1-SMART.txt","LYZ1")</f>
        <v>LYZ1</v>
      </c>
      <c r="DO21" t="str">
        <f t="shared" si="17"/>
        <v>4E-026</v>
      </c>
      <c r="DP21" s="33"/>
      <c r="EB21" s="33">
        <f t="shared" si="18"/>
        <v>1</v>
      </c>
      <c r="EC21">
        <f t="shared" si="19"/>
        <v>5170</v>
      </c>
      <c r="ED21" s="33">
        <f t="shared" si="20"/>
        <v>38</v>
      </c>
      <c r="EE21">
        <f t="shared" si="21"/>
        <v>40</v>
      </c>
      <c r="EF21" s="33">
        <f t="shared" si="22"/>
        <v>37</v>
      </c>
      <c r="EG21">
        <f t="shared" si="23"/>
        <v>40</v>
      </c>
      <c r="EH21" s="33">
        <f t="shared" si="24"/>
        <v>30</v>
      </c>
      <c r="EI21">
        <f t="shared" si="25"/>
        <v>40</v>
      </c>
      <c r="EJ21" s="33">
        <f t="shared" si="26"/>
        <v>22</v>
      </c>
      <c r="EK21">
        <f t="shared" si="27"/>
        <v>40</v>
      </c>
      <c r="EL21" s="33">
        <f t="shared" si="28"/>
        <v>16</v>
      </c>
      <c r="EM21">
        <f t="shared" si="29"/>
        <v>40</v>
      </c>
      <c r="EN21" s="33">
        <f t="shared" si="30"/>
        <v>547</v>
      </c>
      <c r="EO21">
        <f t="shared" si="31"/>
        <v>6</v>
      </c>
      <c r="EP21" s="33">
        <f t="shared" si="32"/>
        <v>526</v>
      </c>
      <c r="EQ21">
        <f t="shared" si="33"/>
        <v>6</v>
      </c>
      <c r="ER21" s="33">
        <f t="shared" si="34"/>
        <v>481</v>
      </c>
      <c r="ES21">
        <f t="shared" si="35"/>
        <v>6</v>
      </c>
      <c r="ET21" s="33">
        <f t="shared" si="36"/>
        <v>439</v>
      </c>
      <c r="EU21">
        <f t="shared" si="37"/>
        <v>6</v>
      </c>
      <c r="EV21" s="33">
        <f t="shared" si="38"/>
        <v>408</v>
      </c>
      <c r="EW21">
        <f t="shared" si="39"/>
        <v>6</v>
      </c>
      <c r="EX21" s="33">
        <f t="shared" si="40"/>
        <v>371</v>
      </c>
      <c r="EY21">
        <f t="shared" si="41"/>
        <v>6</v>
      </c>
      <c r="EZ21" s="33">
        <f t="shared" si="42"/>
        <v>334</v>
      </c>
      <c r="FA21">
        <f t="shared" si="43"/>
        <v>6</v>
      </c>
      <c r="FB21" s="33">
        <f t="shared" si="44"/>
        <v>293</v>
      </c>
      <c r="FC21">
        <f t="shared" si="45"/>
        <v>6</v>
      </c>
      <c r="FD21" s="33">
        <f t="shared" si="46"/>
        <v>229</v>
      </c>
      <c r="FE21">
        <f t="shared" si="47"/>
        <v>6</v>
      </c>
      <c r="FF21" t="s">
        <v>406</v>
      </c>
      <c r="FG21">
        <v>16701</v>
      </c>
      <c r="FH21" s="38" t="str">
        <f>HYPERLINK("http://exon.niaid.nih.gov/transcriptome/S_calcitrans/S1/links/SG_male-stripped_temp-95-h10-1gap/16701-SG_male-stripped_temp-95-h10-1gap.txt","4107")</f>
        <v>4107</v>
      </c>
      <c r="FI21" s="39">
        <v>100</v>
      </c>
      <c r="FJ21" s="39">
        <v>557.28729281768005</v>
      </c>
      <c r="FK21" s="39">
        <v>17</v>
      </c>
      <c r="FL21" s="39">
        <v>1082</v>
      </c>
      <c r="FM21" s="39">
        <v>73.683223764304799</v>
      </c>
      <c r="FN21" s="38" t="str">
        <f>HYPERLINK("http://exon.niaid.nih.gov/transcriptome/S_calcitrans/S1/links/SG_female-stripped_temp-95-h10-1gap/16701-SG_female-stripped_temp-95-h10-1gap.txt","7453")</f>
        <v>7453</v>
      </c>
      <c r="FO21" s="39">
        <v>100</v>
      </c>
      <c r="FP21" s="39">
        <v>1010.53591160221</v>
      </c>
      <c r="FQ21" s="39">
        <v>47</v>
      </c>
      <c r="FR21" s="39">
        <v>1536</v>
      </c>
      <c r="FS21" s="39">
        <v>73.627800885549405</v>
      </c>
      <c r="FT21" s="38" t="str">
        <f>HYPERLINK("http://exon.niaid.nih.gov/transcriptome/S_calcitrans/S1/links/SRR694289-stripped_temp-95-h10-1gap/16701-SRR694289-stripped_temp-95-h10-1gap.txt","172")</f>
        <v>172</v>
      </c>
      <c r="FU21" s="39">
        <v>93.554327808471498</v>
      </c>
      <c r="FV21" s="39">
        <v>30.5690607734807</v>
      </c>
      <c r="FW21" s="39">
        <v>0</v>
      </c>
      <c r="FX21" s="39">
        <v>71</v>
      </c>
      <c r="FY21" s="39">
        <v>96.505813953488399</v>
      </c>
      <c r="FZ21" s="38" t="str">
        <f>HYPERLINK("http://exon.niaid.nih.gov/transcriptome/S_calcitrans/S1/links/SRR694925-stripped_temp-95-h10-1gap/16701-SRR694925-stripped_temp-95-h10-1gap.txt","85")</f>
        <v>85</v>
      </c>
      <c r="GA21" s="39">
        <v>81.583793738489902</v>
      </c>
      <c r="GB21" s="39">
        <v>14.585635359116001</v>
      </c>
      <c r="GC21" s="39">
        <v>0</v>
      </c>
      <c r="GD21" s="39">
        <v>30</v>
      </c>
      <c r="GE21" s="39">
        <v>93.176470588235304</v>
      </c>
      <c r="GF21">
        <f t="shared" si="48"/>
        <v>4107</v>
      </c>
      <c r="GG21">
        <f t="shared" si="49"/>
        <v>7453</v>
      </c>
      <c r="GH21">
        <f t="shared" si="50"/>
        <v>172</v>
      </c>
      <c r="GI21">
        <f t="shared" si="51"/>
        <v>85</v>
      </c>
      <c r="GJ21">
        <f t="shared" si="52"/>
        <v>11560</v>
      </c>
      <c r="GK21" s="34">
        <v>4.4900884986344265E-2</v>
      </c>
      <c r="GL21">
        <v>247.41547691857664</v>
      </c>
      <c r="GM21">
        <v>204.17592480488437</v>
      </c>
      <c r="GN21">
        <v>1.8207954371291479</v>
      </c>
      <c r="GO21">
        <v>0.92760459109849047</v>
      </c>
      <c r="GP21">
        <f t="shared" si="53"/>
        <v>247.41547691857664</v>
      </c>
      <c r="GQ21" t="s">
        <v>384</v>
      </c>
      <c r="GR21">
        <v>192.95721638767679</v>
      </c>
      <c r="GS21">
        <v>167.58069667392539</v>
      </c>
      <c r="GT21">
        <v>3.2822711696940958</v>
      </c>
      <c r="GU21">
        <v>1.7562097922789073</v>
      </c>
      <c r="GV21">
        <f t="shared" si="54"/>
        <v>192.95721638767679</v>
      </c>
      <c r="GW21">
        <v>68.82489707966991</v>
      </c>
      <c r="GX21">
        <v>11560</v>
      </c>
      <c r="GY21">
        <v>257</v>
      </c>
      <c r="GZ21">
        <v>11817</v>
      </c>
      <c r="HA21">
        <v>2623.3703792790184</v>
      </c>
      <c r="HB21">
        <v>9193.6296207209816</v>
      </c>
      <c r="HC21">
        <v>30443.032218689801</v>
      </c>
      <c r="HD21">
        <v>8686.8138344346971</v>
      </c>
      <c r="HE21">
        <v>39129.8460531245</v>
      </c>
      <c r="HF21">
        <v>0</v>
      </c>
      <c r="HG21">
        <v>2623.3703792790184</v>
      </c>
      <c r="HH21">
        <v>1</v>
      </c>
      <c r="HI21">
        <v>1</v>
      </c>
      <c r="HJ21">
        <v>2</v>
      </c>
      <c r="HK21">
        <v>0</v>
      </c>
      <c r="HL21" s="30" t="s">
        <v>262</v>
      </c>
      <c r="HM21">
        <v>157.0238137242554</v>
      </c>
      <c r="HN21">
        <v>6.3432281062252467E-3</v>
      </c>
      <c r="HO21">
        <v>4107</v>
      </c>
      <c r="HP21">
        <v>7453</v>
      </c>
      <c r="HQ21">
        <v>11560</v>
      </c>
      <c r="HR21">
        <v>3613.6091214240828</v>
      </c>
      <c r="HS21">
        <v>7946.3908785759177</v>
      </c>
      <c r="HT21">
        <v>67.366046210880896</v>
      </c>
      <c r="HU21">
        <v>30.634606676376098</v>
      </c>
      <c r="HV21">
        <v>98.00065288725699</v>
      </c>
      <c r="HW21">
        <v>4.182446386340918E-23</v>
      </c>
      <c r="HX21">
        <v>3613.6091214240828</v>
      </c>
      <c r="HY21">
        <v>1</v>
      </c>
      <c r="HZ21">
        <v>1</v>
      </c>
      <c r="IA21">
        <v>2</v>
      </c>
      <c r="IB21" s="37">
        <v>1.67074737544484E-21</v>
      </c>
      <c r="IC21" s="30" t="s">
        <v>262</v>
      </c>
      <c r="ID21">
        <v>1.2116133909775391</v>
      </c>
      <c r="IE21">
        <v>0.82503417054049266</v>
      </c>
      <c r="IF21">
        <v>1.2116133909775391</v>
      </c>
      <c r="IG21" t="str">
        <f t="shared" si="1"/>
        <v/>
      </c>
    </row>
    <row r="22" spans="1:241">
      <c r="A22" t="str">
        <f>HYPERLINK("http://exon.niaid.nih.gov/transcriptome/S_calcitrans/S1/links/pep/XP_013111758.1-pep.txt","XP_013111758.1")</f>
        <v>XP_013111758.1</v>
      </c>
      <c r="B22" s="30" t="s">
        <v>232</v>
      </c>
      <c r="C22">
        <v>180</v>
      </c>
      <c r="D22" t="s">
        <v>375</v>
      </c>
      <c r="E22">
        <v>0</v>
      </c>
      <c r="F22" t="s">
        <v>407</v>
      </c>
      <c r="G22" t="str">
        <f>HYPERLINK("http://exon.niaid.nih.gov/transcriptome/S_calcitrans/S1/links/cds/XM_013256304_1-cds.txt","XM_013256304_1")</f>
        <v>XM_013256304_1</v>
      </c>
      <c r="H22">
        <v>543</v>
      </c>
      <c r="I22" t="s">
        <v>377</v>
      </c>
      <c r="J22" s="30" t="s">
        <v>236</v>
      </c>
      <c r="K22" s="30" t="s">
        <v>91</v>
      </c>
      <c r="L22" s="31" t="s">
        <v>378</v>
      </c>
      <c r="M22" s="30">
        <v>278230</v>
      </c>
      <c r="N22" s="30">
        <v>279808</v>
      </c>
      <c r="O22" s="30" t="s">
        <v>276</v>
      </c>
      <c r="P22" s="30">
        <v>3</v>
      </c>
      <c r="Q22" s="31" t="s">
        <v>379</v>
      </c>
      <c r="R22" s="32" t="str">
        <f>HYPERLINK("http://exon.niaid.nih.gov/transcriptome/S_calcitrans/S1/links/Sigp/XP_013111758.1-SigP.txt","SIG")</f>
        <v>SIG</v>
      </c>
      <c r="S22" t="s">
        <v>380</v>
      </c>
      <c r="T22">
        <v>20.638999999999999</v>
      </c>
      <c r="U22">
        <v>8.9700000000000006</v>
      </c>
      <c r="V22">
        <v>17.463000000000001</v>
      </c>
      <c r="W22">
        <v>8.68</v>
      </c>
      <c r="X22" t="s">
        <v>381</v>
      </c>
      <c r="Y22" s="32" t="str">
        <f>HYPERLINK("http://exon.niaid.nih.gov/transcriptome/S_calcitrans/S1/links/tmhmm/XP_013111758.1-tmhmm.txt","1")</f>
        <v>1</v>
      </c>
      <c r="Z22">
        <v>10.6</v>
      </c>
      <c r="AA22">
        <v>5.6</v>
      </c>
      <c r="AB22">
        <v>83.9</v>
      </c>
      <c r="AC22" t="s">
        <v>242</v>
      </c>
      <c r="AD22">
        <v>151</v>
      </c>
      <c r="AE22" s="32" t="str">
        <f>HYPERLINK("http://exon.niaid.nih.gov/transcriptome/S_calcitrans/S1/links/netoglyc/XP_013111758.1-netoglyc.txt","0")</f>
        <v>0</v>
      </c>
      <c r="AF22">
        <v>13.9</v>
      </c>
      <c r="AG22">
        <v>4.4000000000000004</v>
      </c>
      <c r="AH22">
        <v>3.3</v>
      </c>
      <c r="AI22" t="s">
        <v>243</v>
      </c>
      <c r="AJ22" t="s">
        <v>242</v>
      </c>
      <c r="AK22">
        <v>157.0238137242554</v>
      </c>
      <c r="AL22" s="33">
        <f t="shared" si="3"/>
        <v>229</v>
      </c>
      <c r="AM22">
        <f t="shared" si="4"/>
        <v>6</v>
      </c>
      <c r="AN22" s="30">
        <f t="shared" si="0"/>
        <v>1</v>
      </c>
      <c r="AO22" s="30">
        <v>1</v>
      </c>
      <c r="AP22">
        <v>11560</v>
      </c>
      <c r="AQ22" s="34">
        <v>4.4900884986344265E-2</v>
      </c>
      <c r="AR22" s="35">
        <v>68.82489707966991</v>
      </c>
      <c r="AS22" t="s">
        <v>408</v>
      </c>
      <c r="AT22" s="36" t="s">
        <v>383</v>
      </c>
      <c r="AU22" t="s">
        <v>384</v>
      </c>
      <c r="AV22" t="str">
        <f>HYPERLINK("http://exon.niaid.nih.gov/transcriptome/S_calcitrans/S1/links/REFSEQ-INVERTEBRATE/XP_013111758.1-REFSEQ-INVERTEBRATE.txt","REFSEQ-INVERTEBRATE")</f>
        <v>REFSEQ-INVERTEBRATE</v>
      </c>
      <c r="AW22">
        <v>0</v>
      </c>
      <c r="AX22">
        <v>100</v>
      </c>
      <c r="AY22" s="33"/>
      <c r="BG22" s="31"/>
      <c r="BJ22" s="33"/>
      <c r="BK22" s="33"/>
      <c r="BL22" s="33" t="str">
        <f>HYPERLINK("http://exon.niaid.nih.gov/transcriptome/S_calcitrans/S1/links/NR-LIGHT/XP_013111758.1-NR-LIGHT.txt","lysozyme c-1")</f>
        <v>lysozyme c-1</v>
      </c>
      <c r="BM22" t="str">
        <f t="shared" si="5"/>
        <v>1E-082</v>
      </c>
      <c r="BN22" t="str">
        <f t="shared" si="6"/>
        <v>gi|557775721</v>
      </c>
      <c r="BO22">
        <v>87</v>
      </c>
      <c r="BP22">
        <v>91</v>
      </c>
      <c r="BQ22">
        <v>97</v>
      </c>
      <c r="BR22" t="s">
        <v>251</v>
      </c>
      <c r="BS22" s="33" t="str">
        <f>HYPERLINK("http://exon.niaid.nih.gov/transcriptome/S_calcitrans/S1/links/SWISSP/XP_013111758.1-SWISSP.txt","Lysozyme c-1")</f>
        <v>Lysozyme c-1</v>
      </c>
      <c r="BT22" t="str">
        <f t="shared" si="7"/>
        <v>2E-022</v>
      </c>
      <c r="BU22" t="str">
        <f t="shared" si="8"/>
        <v>Q17005</v>
      </c>
      <c r="BV22">
        <v>37</v>
      </c>
      <c r="BW22">
        <v>58</v>
      </c>
      <c r="BX22">
        <v>107</v>
      </c>
      <c r="BY22" t="s">
        <v>385</v>
      </c>
      <c r="BZ22" s="33" t="str">
        <f>HYPERLINK("http://exon.niaid.nih.gov/transcriptome/S_calcitrans/S1/links/REFSEQ-INVERTEBRATE/XP_013111758.1-REFSEQ-INVERTEBRATE.txt","lysozyme c-1-like")</f>
        <v>lysozyme c-1-like</v>
      </c>
      <c r="CA22" t="str">
        <f t="shared" si="9"/>
        <v>1E-104</v>
      </c>
      <c r="CB22" t="str">
        <f t="shared" si="10"/>
        <v>gi|907713422</v>
      </c>
      <c r="CC22">
        <v>100</v>
      </c>
      <c r="CD22">
        <v>100</v>
      </c>
      <c r="CE22">
        <v>100</v>
      </c>
      <c r="CF22" t="s">
        <v>253</v>
      </c>
      <c r="CG22" s="33" t="str">
        <f>HYPERLINK("http://exon.niaid.nih.gov/transcriptome/S_calcitrans/S1/links/DIPTERA/XP_013111758.1-DIPTERA.txt","lysozyme c-1-like")</f>
        <v>lysozyme c-1-like</v>
      </c>
      <c r="CH22" t="str">
        <f t="shared" si="11"/>
        <v>1E-104</v>
      </c>
      <c r="CI22" t="str">
        <f t="shared" si="12"/>
        <v>gi|907713286</v>
      </c>
      <c r="CJ22">
        <v>100</v>
      </c>
      <c r="CK22">
        <v>100</v>
      </c>
      <c r="CL22">
        <v>100</v>
      </c>
      <c r="CM22" t="s">
        <v>253</v>
      </c>
      <c r="CN22" s="33" t="s">
        <v>242</v>
      </c>
      <c r="CO22" t="s">
        <v>242</v>
      </c>
      <c r="CP22" t="s">
        <v>242</v>
      </c>
      <c r="CQ22" t="s">
        <v>242</v>
      </c>
      <c r="CR22" t="s">
        <v>242</v>
      </c>
      <c r="CS22" t="s">
        <v>242</v>
      </c>
      <c r="CT22" t="s">
        <v>242</v>
      </c>
      <c r="CU22" s="33" t="s">
        <v>386</v>
      </c>
      <c r="CV22">
        <f>HYPERLINK("http://exon.niaid.nih.gov/transcriptome/S_calcitrans/S1/links/GO/XP_013111758.1-GO.txt",7E-40)</f>
        <v>7.0000000000000003E-40</v>
      </c>
      <c r="CW22" t="str">
        <f t="shared" si="13"/>
        <v>GO:0003796</v>
      </c>
      <c r="CX22" t="s">
        <v>387</v>
      </c>
      <c r="CY22" t="s">
        <v>388</v>
      </c>
      <c r="CZ22" t="s">
        <v>389</v>
      </c>
      <c r="DA22" t="str">
        <f t="shared" si="14"/>
        <v>EC:3.2.1.17</v>
      </c>
      <c r="DC22" t="s">
        <v>390</v>
      </c>
      <c r="DD22" s="37">
        <v>1.9999999999999999E-23</v>
      </c>
      <c r="DE22" s="33" t="str">
        <f>HYPERLINK("http://exon.niaid.nih.gov/transcriptome/S_calcitrans/S1/links/CDD/XP_013111758.1-CDD.txt","LYZ1")</f>
        <v>LYZ1</v>
      </c>
      <c r="DF22" t="str">
        <f>HYPERLINK("http://www.ncbi.nlm.nih.gov/Structure/cdd/cddsrv.cgi?uid=cd00119&amp;version=v4.0","6E-028")</f>
        <v>6E-028</v>
      </c>
      <c r="DG22" t="s">
        <v>399</v>
      </c>
      <c r="DH22" s="33" t="str">
        <f>HYPERLINK("http://exon.niaid.nih.gov/transcriptome/S_calcitrans/S1/links/KOG/XP_013111758.1-KOG.txt","C3H1-type Zn-finger protein")</f>
        <v>C3H1-type Zn-finger protein</v>
      </c>
      <c r="DI22" t="str">
        <f t="shared" si="15"/>
        <v>0.78</v>
      </c>
      <c r="DJ22" t="s">
        <v>392</v>
      </c>
      <c r="DK22" t="str">
        <f>HYPERLINK("http://exon.niaid.nih.gov/transcriptome/S_calcitrans/S1/links/KOG/XP_013111758.1-KOG.txt","KOG2494")</f>
        <v>KOG2494</v>
      </c>
      <c r="DL22" s="33" t="str">
        <f>HYPERLINK("http://exon.niaid.nih.gov/transcriptome/S_calcitrans/S1/links/PFAM/XP_013111758.1-PFAM.txt","Lys")</f>
        <v>Lys</v>
      </c>
      <c r="DM22" t="str">
        <f t="shared" si="16"/>
        <v>3E-027</v>
      </c>
      <c r="DN22" s="33" t="str">
        <f>HYPERLINK("http://exon.niaid.nih.gov/transcriptome/S_calcitrans/S1/links/SMART/XP_013111758.1-SMART.txt","LYZ1")</f>
        <v>LYZ1</v>
      </c>
      <c r="DO22" t="str">
        <f t="shared" si="17"/>
        <v>4E-026</v>
      </c>
      <c r="DP22" s="33"/>
      <c r="EB22" s="33">
        <f t="shared" si="18"/>
        <v>1</v>
      </c>
      <c r="EC22">
        <f t="shared" si="19"/>
        <v>5170</v>
      </c>
      <c r="ED22" s="33">
        <f t="shared" si="20"/>
        <v>38</v>
      </c>
      <c r="EE22">
        <f t="shared" si="21"/>
        <v>40</v>
      </c>
      <c r="EF22" s="33">
        <f t="shared" si="22"/>
        <v>37</v>
      </c>
      <c r="EG22">
        <f t="shared" si="23"/>
        <v>40</v>
      </c>
      <c r="EH22" s="33">
        <f t="shared" si="24"/>
        <v>30</v>
      </c>
      <c r="EI22">
        <f t="shared" si="25"/>
        <v>40</v>
      </c>
      <c r="EJ22" s="33">
        <f t="shared" si="26"/>
        <v>22</v>
      </c>
      <c r="EK22">
        <f t="shared" si="27"/>
        <v>40</v>
      </c>
      <c r="EL22" s="33">
        <f t="shared" si="28"/>
        <v>16</v>
      </c>
      <c r="EM22">
        <f t="shared" si="29"/>
        <v>40</v>
      </c>
      <c r="EN22" s="33">
        <f t="shared" si="30"/>
        <v>547</v>
      </c>
      <c r="EO22">
        <f t="shared" si="31"/>
        <v>6</v>
      </c>
      <c r="EP22" s="33">
        <f t="shared" si="32"/>
        <v>526</v>
      </c>
      <c r="EQ22">
        <f t="shared" si="33"/>
        <v>6</v>
      </c>
      <c r="ER22" s="33">
        <f t="shared" si="34"/>
        <v>481</v>
      </c>
      <c r="ES22">
        <f t="shared" si="35"/>
        <v>6</v>
      </c>
      <c r="ET22" s="33">
        <f t="shared" si="36"/>
        <v>439</v>
      </c>
      <c r="EU22">
        <f t="shared" si="37"/>
        <v>6</v>
      </c>
      <c r="EV22" s="33">
        <f t="shared" si="38"/>
        <v>408</v>
      </c>
      <c r="EW22">
        <f t="shared" si="39"/>
        <v>6</v>
      </c>
      <c r="EX22" s="33">
        <f t="shared" si="40"/>
        <v>371</v>
      </c>
      <c r="EY22">
        <f t="shared" si="41"/>
        <v>6</v>
      </c>
      <c r="EZ22" s="33">
        <f t="shared" si="42"/>
        <v>334</v>
      </c>
      <c r="FA22">
        <f t="shared" si="43"/>
        <v>6</v>
      </c>
      <c r="FB22" s="33">
        <f t="shared" si="44"/>
        <v>293</v>
      </c>
      <c r="FC22">
        <f t="shared" si="45"/>
        <v>6</v>
      </c>
      <c r="FD22" s="33">
        <f t="shared" si="46"/>
        <v>229</v>
      </c>
      <c r="FE22">
        <f t="shared" si="47"/>
        <v>6</v>
      </c>
      <c r="FF22" t="s">
        <v>409</v>
      </c>
      <c r="FG22">
        <v>16703</v>
      </c>
      <c r="FH22" s="38" t="str">
        <f>HYPERLINK("http://exon.niaid.nih.gov/transcriptome/S_calcitrans/S1/links/SG_male-stripped_temp-95-h10-1gap/16703-SG_male-stripped_temp-95-h10-1gap.txt","4107")</f>
        <v>4107</v>
      </c>
      <c r="FI22" s="39">
        <v>100</v>
      </c>
      <c r="FJ22" s="39">
        <v>557.28729281768005</v>
      </c>
      <c r="FK22" s="39">
        <v>17</v>
      </c>
      <c r="FL22" s="39">
        <v>1082</v>
      </c>
      <c r="FM22" s="39">
        <v>73.683223764304799</v>
      </c>
      <c r="FN22" s="38" t="str">
        <f>HYPERLINK("http://exon.niaid.nih.gov/transcriptome/S_calcitrans/S1/links/SG_female-stripped_temp-95-h10-1gap/16703-SG_female-stripped_temp-95-h10-1gap.txt","7453")</f>
        <v>7453</v>
      </c>
      <c r="FO22" s="39">
        <v>100</v>
      </c>
      <c r="FP22" s="39">
        <v>1010.53591160221</v>
      </c>
      <c r="FQ22" s="39">
        <v>47</v>
      </c>
      <c r="FR22" s="39">
        <v>1536</v>
      </c>
      <c r="FS22" s="39">
        <v>73.627800885549405</v>
      </c>
      <c r="FT22" s="38" t="str">
        <f>HYPERLINK("http://exon.niaid.nih.gov/transcriptome/S_calcitrans/S1/links/SRR694289-stripped_temp-95-h10-1gap/16703-SRR694289-stripped_temp-95-h10-1gap.txt","172")</f>
        <v>172</v>
      </c>
      <c r="FU22" s="39">
        <v>93.554327808471498</v>
      </c>
      <c r="FV22" s="39">
        <v>30.5690607734807</v>
      </c>
      <c r="FW22" s="39">
        <v>0</v>
      </c>
      <c r="FX22" s="39">
        <v>71</v>
      </c>
      <c r="FY22" s="39">
        <v>96.505813953488399</v>
      </c>
      <c r="FZ22" s="38" t="str">
        <f>HYPERLINK("http://exon.niaid.nih.gov/transcriptome/S_calcitrans/S1/links/SRR694925-stripped_temp-95-h10-1gap/16703-SRR694925-stripped_temp-95-h10-1gap.txt","85")</f>
        <v>85</v>
      </c>
      <c r="GA22" s="39">
        <v>81.583793738489902</v>
      </c>
      <c r="GB22" s="39">
        <v>14.585635359116001</v>
      </c>
      <c r="GC22" s="39">
        <v>0</v>
      </c>
      <c r="GD22" s="39">
        <v>30</v>
      </c>
      <c r="GE22" s="39">
        <v>93.176470588235304</v>
      </c>
      <c r="GF22">
        <f t="shared" si="48"/>
        <v>4107</v>
      </c>
      <c r="GG22">
        <f t="shared" si="49"/>
        <v>7453</v>
      </c>
      <c r="GH22">
        <f t="shared" si="50"/>
        <v>172</v>
      </c>
      <c r="GI22">
        <f t="shared" si="51"/>
        <v>85</v>
      </c>
      <c r="GJ22">
        <f t="shared" si="52"/>
        <v>11560</v>
      </c>
      <c r="GK22" s="34">
        <v>4.4900884986344265E-2</v>
      </c>
      <c r="GL22">
        <v>247.41547691857664</v>
      </c>
      <c r="GM22">
        <v>204.17592480488437</v>
      </c>
      <c r="GN22">
        <v>1.8207954371291479</v>
      </c>
      <c r="GO22">
        <v>0.92760459109849047</v>
      </c>
      <c r="GP22">
        <f t="shared" si="53"/>
        <v>247.41547691857664</v>
      </c>
      <c r="GQ22" t="s">
        <v>384</v>
      </c>
      <c r="GR22">
        <v>192.95721638767679</v>
      </c>
      <c r="GS22">
        <v>167.58069667392539</v>
      </c>
      <c r="GT22">
        <v>3.2822711696940958</v>
      </c>
      <c r="GU22">
        <v>1.7562097922789073</v>
      </c>
      <c r="GV22">
        <f t="shared" si="54"/>
        <v>192.95721638767679</v>
      </c>
      <c r="GW22">
        <v>68.82489707966991</v>
      </c>
      <c r="GX22">
        <v>11560</v>
      </c>
      <c r="GY22">
        <v>257</v>
      </c>
      <c r="GZ22">
        <v>11817</v>
      </c>
      <c r="HA22">
        <v>2623.3703792790184</v>
      </c>
      <c r="HB22">
        <v>9193.6296207209816</v>
      </c>
      <c r="HC22">
        <v>30443.032218689801</v>
      </c>
      <c r="HD22">
        <v>8686.8138344346971</v>
      </c>
      <c r="HE22">
        <v>39129.8460531245</v>
      </c>
      <c r="HF22">
        <v>0</v>
      </c>
      <c r="HG22">
        <v>2623.3703792790184</v>
      </c>
      <c r="HH22">
        <v>1</v>
      </c>
      <c r="HI22">
        <v>1</v>
      </c>
      <c r="HJ22">
        <v>2</v>
      </c>
      <c r="HK22">
        <v>0</v>
      </c>
      <c r="HL22" s="30" t="s">
        <v>262</v>
      </c>
      <c r="HM22">
        <v>157.0238137242554</v>
      </c>
      <c r="HN22">
        <v>6.3432281062252467E-3</v>
      </c>
      <c r="HO22">
        <v>4107</v>
      </c>
      <c r="HP22">
        <v>7453</v>
      </c>
      <c r="HQ22">
        <v>11560</v>
      </c>
      <c r="HR22">
        <v>3613.6091214240828</v>
      </c>
      <c r="HS22">
        <v>7946.3908785759177</v>
      </c>
      <c r="HT22">
        <v>67.366046210880896</v>
      </c>
      <c r="HU22">
        <v>30.634606676376098</v>
      </c>
      <c r="HV22">
        <v>98.00065288725699</v>
      </c>
      <c r="HW22">
        <v>4.182446386340918E-23</v>
      </c>
      <c r="HX22">
        <v>3613.6091214240828</v>
      </c>
      <c r="HY22">
        <v>1</v>
      </c>
      <c r="HZ22">
        <v>1</v>
      </c>
      <c r="IA22">
        <v>2</v>
      </c>
      <c r="IB22" s="37">
        <v>1.67074737544484E-21</v>
      </c>
      <c r="IC22" s="30" t="s">
        <v>262</v>
      </c>
      <c r="ID22">
        <v>1.2116133909775391</v>
      </c>
      <c r="IE22">
        <v>0.82503417054049266</v>
      </c>
      <c r="IF22">
        <v>1.2116133909775391</v>
      </c>
      <c r="IG22" t="str">
        <f t="shared" si="1"/>
        <v/>
      </c>
    </row>
    <row r="23" spans="1:241">
      <c r="A23" t="str">
        <f>HYPERLINK("http://exon.niaid.nih.gov/transcriptome/S_calcitrans/S1/links/pep/XP_013116854.1-pep.txt","XP_013116854.1")</f>
        <v>XP_013116854.1</v>
      </c>
      <c r="B23" s="30" t="s">
        <v>232</v>
      </c>
      <c r="C23">
        <v>209</v>
      </c>
      <c r="D23" t="s">
        <v>410</v>
      </c>
      <c r="E23">
        <v>0</v>
      </c>
      <c r="F23" t="s">
        <v>411</v>
      </c>
      <c r="G23" t="str">
        <f>HYPERLINK("http://exon.niaid.nih.gov/transcriptome/S_calcitrans/S1/links/cds/XM_013261400_1-cds.txt","XM_013261400_1")</f>
        <v>XM_013261400_1</v>
      </c>
      <c r="H23">
        <v>630</v>
      </c>
      <c r="I23" t="s">
        <v>412</v>
      </c>
      <c r="J23" s="30" t="s">
        <v>236</v>
      </c>
      <c r="K23" s="30" t="s">
        <v>91</v>
      </c>
      <c r="L23" s="31" t="s">
        <v>413</v>
      </c>
      <c r="M23" s="30">
        <v>649</v>
      </c>
      <c r="N23" s="30">
        <v>1333</v>
      </c>
      <c r="O23" s="30" t="s">
        <v>276</v>
      </c>
      <c r="P23" s="30">
        <v>2</v>
      </c>
      <c r="Q23" s="31" t="s">
        <v>414</v>
      </c>
      <c r="R23" s="32" t="str">
        <f>HYPERLINK("http://exon.niaid.nih.gov/transcriptome/S_calcitrans/S1/links/Sigp/XP_013116854.1-SigP.txt","SIG")</f>
        <v>SIG</v>
      </c>
      <c r="S23" t="s">
        <v>317</v>
      </c>
      <c r="T23">
        <v>21.712</v>
      </c>
      <c r="U23">
        <v>9.99</v>
      </c>
      <c r="V23">
        <v>19.64</v>
      </c>
      <c r="W23">
        <v>10.16</v>
      </c>
      <c r="X23" t="s">
        <v>415</v>
      </c>
      <c r="Y23" s="32">
        <v>0</v>
      </c>
      <c r="Z23" t="s">
        <v>242</v>
      </c>
      <c r="AA23" t="s">
        <v>242</v>
      </c>
      <c r="AB23" t="s">
        <v>242</v>
      </c>
      <c r="AC23" t="s">
        <v>242</v>
      </c>
      <c r="AD23" t="s">
        <v>242</v>
      </c>
      <c r="AE23" s="32" t="str">
        <f>HYPERLINK("http://exon.niaid.nih.gov/transcriptome/S_calcitrans/S1/links/netoglyc/XP_013116854.1-netoglyc.txt","0")</f>
        <v>0</v>
      </c>
      <c r="AF23">
        <v>15.3</v>
      </c>
      <c r="AG23">
        <v>16.3</v>
      </c>
      <c r="AH23">
        <v>1.9</v>
      </c>
      <c r="AI23" t="s">
        <v>243</v>
      </c>
      <c r="AJ23" t="s">
        <v>242</v>
      </c>
      <c r="AK23">
        <v>1804.8230215866622</v>
      </c>
      <c r="AL23" s="33">
        <f>HYPERLINK("http://exon.niaid.nih.gov/transcriptome/S_calcitrans/S1/links/cluster-b/Scalc-pep95-50SimCLU3044.txt", 3044)</f>
        <v>3044</v>
      </c>
      <c r="AM23">
        <f>HYPERLINK("http://exon.niaid.nih.gov/transcriptome/S_calcitrans/S1/links/cluster-b/Scalc-pep95-50SimCLTL3044.txt", 2)</f>
        <v>2</v>
      </c>
      <c r="AN23" s="30">
        <f t="shared" si="0"/>
        <v>1</v>
      </c>
      <c r="AO23" s="30" t="s">
        <v>244</v>
      </c>
      <c r="AP23">
        <v>515</v>
      </c>
      <c r="AQ23" s="34">
        <v>2.0003421944608389E-3</v>
      </c>
      <c r="AR23" s="35">
        <v>769.29913939953576</v>
      </c>
      <c r="AS23" t="s">
        <v>416</v>
      </c>
      <c r="AT23" s="36" t="s">
        <v>417</v>
      </c>
      <c r="AU23" t="s">
        <v>418</v>
      </c>
      <c r="AV23" t="str">
        <f>HYPERLINK("http://exon.niaid.nih.gov/transcriptome/S_calcitrans/S1/links/REFSEQ-INVERTEBRATE/XP_013116854.1-REFSEQ-INVERTEBRATE.txt","REFSEQ-INVERTEBRATE")</f>
        <v>REFSEQ-INVERTEBRATE</v>
      </c>
      <c r="AW23">
        <v>0</v>
      </c>
      <c r="AX23">
        <v>100</v>
      </c>
      <c r="AY23" s="33"/>
      <c r="BG23" s="31"/>
      <c r="BJ23" s="33"/>
      <c r="BK23" s="33"/>
      <c r="BL23" s="33" t="str">
        <f>HYPERLINK("http://exon.niaid.nih.gov/transcriptome/S_calcitrans/S1/links/NR-LIGHT/XP_013116854.1-NR-LIGHT.txt","attacin-A-like precursor")</f>
        <v>attacin-A-like precursor</v>
      </c>
      <c r="BM23" t="str">
        <f>HYPERLINK("http://www.ncbi.nlm.nih.gov/sutils/blink.cgi?pid=822092426","8E-096")</f>
        <v>8E-096</v>
      </c>
      <c r="BN23" t="str">
        <f>HYPERLINK("http://www.ncbi.nlm.nih.gov/protein/822092426","gi|822092426")</f>
        <v>gi|822092426</v>
      </c>
      <c r="BO23">
        <v>79</v>
      </c>
      <c r="BP23">
        <v>87</v>
      </c>
      <c r="BQ23">
        <v>100</v>
      </c>
      <c r="BR23" t="s">
        <v>251</v>
      </c>
      <c r="BS23" s="33" t="str">
        <f>HYPERLINK("http://exon.niaid.nih.gov/transcriptome/S_calcitrans/S1/links/SWISSP/XP_013116854.1-SWISSP.txt","Attacin-A")</f>
        <v>Attacin-A</v>
      </c>
      <c r="BT23" t="str">
        <f>HYPERLINK("http://www.uniprot.org/uniprot/Q8WTD3","4E-069")</f>
        <v>4E-069</v>
      </c>
      <c r="BU23" t="str">
        <f>HYPERLINK("http://www.uniprot.org/uniprot/Q8WTD3#expression","Q8WTD3")</f>
        <v>Q8WTD3</v>
      </c>
      <c r="BV23">
        <v>64</v>
      </c>
      <c r="BW23">
        <v>75</v>
      </c>
      <c r="BX23">
        <v>96</v>
      </c>
      <c r="BY23" t="s">
        <v>419</v>
      </c>
      <c r="BZ23" s="33" t="str">
        <f>HYPERLINK("http://exon.niaid.nih.gov/transcriptome/S_calcitrans/S1/links/REFSEQ-INVERTEBRATE/XP_013116854.1-REFSEQ-INVERTEBRATE.txt","attacin-A-like")</f>
        <v>attacin-A-like</v>
      </c>
      <c r="CA23" t="str">
        <f>HYPERLINK("http://www.ncbi.nlm.nih.gov/sutils/blink.cgi?pid=907744095","1E-118")</f>
        <v>1E-118</v>
      </c>
      <c r="CB23" t="str">
        <f>HYPERLINK("http://www.ncbi.nlm.nih.gov/protein/907744095","gi|907744095")</f>
        <v>gi|907744095</v>
      </c>
      <c r="CC23">
        <v>100</v>
      </c>
      <c r="CD23">
        <v>100</v>
      </c>
      <c r="CE23">
        <v>100</v>
      </c>
      <c r="CF23" t="s">
        <v>253</v>
      </c>
      <c r="CG23" s="33" t="str">
        <f>HYPERLINK("http://exon.niaid.nih.gov/transcriptome/S_calcitrans/S1/links/DIPTERA/XP_013116854.1-DIPTERA.txt","attacin-A-like")</f>
        <v>attacin-A-like</v>
      </c>
      <c r="CH23" t="str">
        <f>HYPERLINK("http://www.ncbi.nlm.nih.gov/sutils/blink.cgi?pid=907744095","1E-119")</f>
        <v>1E-119</v>
      </c>
      <c r="CI23" t="str">
        <f>HYPERLINK("http://www.ncbi.nlm.nih.gov/protein/907744095","gi|907744095")</f>
        <v>gi|907744095</v>
      </c>
      <c r="CJ23">
        <v>100</v>
      </c>
      <c r="CK23">
        <v>100</v>
      </c>
      <c r="CL23">
        <v>100</v>
      </c>
      <c r="CM23" t="s">
        <v>253</v>
      </c>
      <c r="CN23" s="33" t="s">
        <v>242</v>
      </c>
      <c r="CO23" t="s">
        <v>242</v>
      </c>
      <c r="CP23" t="s">
        <v>242</v>
      </c>
      <c r="CQ23" t="s">
        <v>242</v>
      </c>
      <c r="CR23" t="s">
        <v>242</v>
      </c>
      <c r="CS23" t="s">
        <v>242</v>
      </c>
      <c r="CT23" t="s">
        <v>242</v>
      </c>
      <c r="CU23" s="33" t="s">
        <v>420</v>
      </c>
      <c r="CV23">
        <f>HYPERLINK("http://exon.niaid.nih.gov/transcriptome/S_calcitrans/S1/links/GO/XP_013116854.1-GO.txt",7E-69)</f>
        <v>7.0000000000000003E-69</v>
      </c>
      <c r="CW23" t="str">
        <f>HYPERLINK("http://amigo.geneontology.org/cgi-bin/amigo/term_details?term=GO:0003674","GO:0003674")</f>
        <v>GO:0003674</v>
      </c>
      <c r="CX23" t="s">
        <v>255</v>
      </c>
      <c r="CY23" t="s">
        <v>256</v>
      </c>
      <c r="CZ23" t="s">
        <v>257</v>
      </c>
      <c r="DA23" t="s">
        <v>242</v>
      </c>
      <c r="DC23" t="s">
        <v>258</v>
      </c>
      <c r="DD23" s="37">
        <v>7.0000000000000003E-69</v>
      </c>
      <c r="DE23" s="33" t="str">
        <f>HYPERLINK("http://exon.niaid.nih.gov/transcriptome/S_calcitrans/S1/links/CDD/XP_013116854.1-CDD.txt","Attacin_C")</f>
        <v>Attacin_C</v>
      </c>
      <c r="DF23" t="str">
        <f>HYPERLINK("http://www.ncbi.nlm.nih.gov/Structure/cdd/cddsrv.cgi?uid=pfam03769&amp;version=v4.0","3E-032")</f>
        <v>3E-032</v>
      </c>
      <c r="DG23" t="s">
        <v>421</v>
      </c>
      <c r="DH23" s="33" t="str">
        <f>HYPERLINK("http://exon.niaid.nih.gov/transcriptome/S_calcitrans/S1/links/KOG/XP_013116854.1-KOG.txt","Ca2+-binding actin-bundling protein (spectrin), alpha chain (EF-Hand protein superfamily)")</f>
        <v>Ca2+-binding actin-bundling protein (spectrin), alpha chain (EF-Hand protein superfamily)</v>
      </c>
      <c r="DI23" t="str">
        <f>HYPERLINK("http://www.ncbi.nlm.nih.gov/Structure/cdd/cddsrv.cgi?uid=KOG0040","0.27")</f>
        <v>0.27</v>
      </c>
      <c r="DJ23" t="s">
        <v>422</v>
      </c>
      <c r="DK23" t="str">
        <f>HYPERLINK("http://exon.niaid.nih.gov/transcriptome/S_calcitrans/S1/links/KOG/XP_013116854.1-KOG.txt","KOG0040")</f>
        <v>KOG0040</v>
      </c>
      <c r="DL23" s="33" t="str">
        <f>HYPERLINK("http://exon.niaid.nih.gov/transcriptome/S_calcitrans/S1/links/PFAM/XP_013116854.1-PFAM.txt","Attacin_C")</f>
        <v>Attacin_C</v>
      </c>
      <c r="DM23" t="str">
        <f>HYPERLINK("http://pfam.sanger.ac.uk/family?acc=PF03769","7E-033")</f>
        <v>7E-033</v>
      </c>
      <c r="DN23" s="33" t="str">
        <f>HYPERLINK("http://exon.niaid.nih.gov/transcriptome/S_calcitrans/S1/links/SMART/XP_013116854.1-SMART.txt","VKc")</f>
        <v>VKc</v>
      </c>
      <c r="DO23" t="str">
        <f>HYPERLINK("http://smart.embl-heidelberg.de/smart/do_annotation.pl?DOMAIN=VKc&amp;BLAST=DUMMY","0.26")</f>
        <v>0.26</v>
      </c>
      <c r="DP23" s="33"/>
      <c r="EB23" s="33">
        <f>HYPERLINK("http://exon.niaid.nih.gov/transcriptome/S_calcitrans/S1/links/cluster-b/Scalc-pep25-50SimCLU133.txt", 133)</f>
        <v>133</v>
      </c>
      <c r="EC23">
        <f>HYPERLINK("http://exon.niaid.nih.gov/transcriptome/S_calcitrans/S1/links/cluster-b/Scalc-pep25-50SimCLTL133.txt", 13)</f>
        <v>13</v>
      </c>
      <c r="ED23" s="33">
        <f>HYPERLINK("http://exon.niaid.nih.gov/transcriptome/S_calcitrans/S1/links/cluster-b/Scalc-pep30-50SimCLU257.txt", 257)</f>
        <v>257</v>
      </c>
      <c r="EE23">
        <f>HYPERLINK("http://exon.niaid.nih.gov/transcriptome/S_calcitrans/S1/links/cluster-b/Scalc-pep30-50SimCLTL257.txt", 10)</f>
        <v>10</v>
      </c>
      <c r="EF23" s="33">
        <f>HYPERLINK("http://exon.niaid.nih.gov/transcriptome/S_calcitrans/S1/links/cluster-b/Scalc-pep35-50SimCLU245.txt", 245)</f>
        <v>245</v>
      </c>
      <c r="EG23">
        <f>HYPERLINK("http://exon.niaid.nih.gov/transcriptome/S_calcitrans/S1/links/cluster-b/Scalc-pep35-50SimCLTL245.txt", 10)</f>
        <v>10</v>
      </c>
      <c r="EH23" s="33">
        <f>HYPERLINK("http://exon.niaid.nih.gov/transcriptome/S_calcitrans/S1/links/cluster-b/Scalc-pep40-50SimCLU346.txt", 346)</f>
        <v>346</v>
      </c>
      <c r="EI23">
        <f>HYPERLINK("http://exon.niaid.nih.gov/transcriptome/S_calcitrans/S1/links/cluster-b/Scalc-pep40-50SimCLTL346.txt", 8)</f>
        <v>8</v>
      </c>
      <c r="EJ23" s="33">
        <f>HYPERLINK("http://exon.niaid.nih.gov/transcriptome/S_calcitrans/S1/links/cluster-b/Scalc-pep45-50SimCLU324.txt", 324)</f>
        <v>324</v>
      </c>
      <c r="EK23">
        <f>HYPERLINK("http://exon.niaid.nih.gov/transcriptome/S_calcitrans/S1/links/cluster-b/Scalc-pep45-50SimCLTL324.txt", 8)</f>
        <v>8</v>
      </c>
      <c r="EL23" s="33">
        <f>HYPERLINK("http://exon.niaid.nih.gov/transcriptome/S_calcitrans/S1/links/cluster-b/Scalc-pep50-50SimCLU401.txt", 401)</f>
        <v>401</v>
      </c>
      <c r="EM23">
        <f>HYPERLINK("http://exon.niaid.nih.gov/transcriptome/S_calcitrans/S1/links/cluster-b/Scalc-pep50-50SimCLTL401.txt", 7)</f>
        <v>7</v>
      </c>
      <c r="EN23" s="33">
        <f>HYPERLINK("http://exon.niaid.nih.gov/transcriptome/S_calcitrans/S1/links/cluster-b/Scalc-pep55-50SimCLU1576.txt", 1576)</f>
        <v>1576</v>
      </c>
      <c r="EO23">
        <f>HYPERLINK("http://exon.niaid.nih.gov/transcriptome/S_calcitrans/S1/links/cluster-b/Scalc-pep55-50SimCLTL1576.txt", 3)</f>
        <v>3</v>
      </c>
      <c r="EP23" s="33">
        <f>HYPERLINK("http://exon.niaid.nih.gov/transcriptome/S_calcitrans/S1/links/cluster-b/Scalc-pep60-50SimCLU1577.txt", 1577)</f>
        <v>1577</v>
      </c>
      <c r="EQ23">
        <f>HYPERLINK("http://exon.niaid.nih.gov/transcriptome/S_calcitrans/S1/links/cluster-b/Scalc-pep60-50SimCLTL1577.txt", 3)</f>
        <v>3</v>
      </c>
      <c r="ER23" s="33">
        <f>HYPERLINK("http://exon.niaid.nih.gov/transcriptome/S_calcitrans/S1/links/cluster-b/Scalc-pep65-50SimCLU1533.txt", 1533)</f>
        <v>1533</v>
      </c>
      <c r="ES23">
        <f>HYPERLINK("http://exon.niaid.nih.gov/transcriptome/S_calcitrans/S1/links/cluster-b/Scalc-pep65-50SimCLTL1533.txt", 3)</f>
        <v>3</v>
      </c>
      <c r="ET23" s="33">
        <f>HYPERLINK("http://exon.niaid.nih.gov/transcriptome/S_calcitrans/S1/links/cluster-b/Scalc-pep70-50SimCLU1477.txt", 1477)</f>
        <v>1477</v>
      </c>
      <c r="EU23">
        <f>HYPERLINK("http://exon.niaid.nih.gov/transcriptome/S_calcitrans/S1/links/cluster-b/Scalc-pep70-50SimCLTL1477.txt", 3)</f>
        <v>3</v>
      </c>
      <c r="EV23" s="33">
        <f>HYPERLINK("http://exon.niaid.nih.gov/transcriptome/S_calcitrans/S1/links/cluster-b/Scalc-pep75-50SimCLU1428.txt", 1428)</f>
        <v>1428</v>
      </c>
      <c r="EW23">
        <f>HYPERLINK("http://exon.niaid.nih.gov/transcriptome/S_calcitrans/S1/links/cluster-b/Scalc-pep75-50SimCLTL1428.txt", 3)</f>
        <v>3</v>
      </c>
      <c r="EX23" s="33">
        <f>HYPERLINK("http://exon.niaid.nih.gov/transcriptome/S_calcitrans/S1/links/cluster-b/Scalc-pep80-50SimCLU3605.txt", 3605)</f>
        <v>3605</v>
      </c>
      <c r="EY23">
        <f>HYPERLINK("http://exon.niaid.nih.gov/transcriptome/S_calcitrans/S1/links/cluster-b/Scalc-pep80-50SimCLTL3605.txt", 2)</f>
        <v>2</v>
      </c>
      <c r="EZ23" s="33">
        <f>HYPERLINK("http://exon.niaid.nih.gov/transcriptome/S_calcitrans/S1/links/cluster-b/Scalc-pep85-50SimCLU3460.txt", 3460)</f>
        <v>3460</v>
      </c>
      <c r="FA23">
        <f>HYPERLINK("http://exon.niaid.nih.gov/transcriptome/S_calcitrans/S1/links/cluster-b/Scalc-pep85-50SimCLTL3460.txt", 2)</f>
        <v>2</v>
      </c>
      <c r="FB23" s="33">
        <f>HYPERLINK("http://exon.niaid.nih.gov/transcriptome/S_calcitrans/S1/links/cluster-b/Scalc-pep90-50SimCLU3294.txt", 3294)</f>
        <v>3294</v>
      </c>
      <c r="FC23">
        <f>HYPERLINK("http://exon.niaid.nih.gov/transcriptome/S_calcitrans/S1/links/cluster-b/Scalc-pep90-50SimCLTL3294.txt", 2)</f>
        <v>2</v>
      </c>
      <c r="FD23" s="33">
        <f>HYPERLINK("http://exon.niaid.nih.gov/transcriptome/S_calcitrans/S1/links/cluster-b/Scalc-pep95-50SimCLU3044.txt", 3044)</f>
        <v>3044</v>
      </c>
      <c r="FE23">
        <f>HYPERLINK("http://exon.niaid.nih.gov/transcriptome/S_calcitrans/S1/links/cluster-b/Scalc-pep95-50SimCLTL3044.txt", 2)</f>
        <v>2</v>
      </c>
      <c r="FF23" t="s">
        <v>423</v>
      </c>
      <c r="FG23">
        <v>21238</v>
      </c>
      <c r="FH23" s="38" t="str">
        <f>HYPERLINK("http://exon.niaid.nih.gov/transcriptome/S_calcitrans/S1/links/SG_male-stripped_temp-95-h10-1gap/21238-SG_male-stripped_temp-95-h10-1gap.txt","256")</f>
        <v>256</v>
      </c>
      <c r="FI23" s="39">
        <v>97.460317460317498</v>
      </c>
      <c r="FJ23" s="39">
        <v>29.604761904761901</v>
      </c>
      <c r="FK23" s="39">
        <v>0</v>
      </c>
      <c r="FL23" s="39">
        <v>59</v>
      </c>
      <c r="FM23" s="39">
        <v>72.85546875</v>
      </c>
      <c r="FN23" s="38" t="str">
        <f>HYPERLINK("http://exon.niaid.nih.gov/transcriptome/S_calcitrans/S1/links/SG_female-stripped_temp-95-h10-1gap/21238-SG_female-stripped_temp-95-h10-1gap.txt","259")</f>
        <v>259</v>
      </c>
      <c r="FO23" s="39">
        <v>97.460317460317498</v>
      </c>
      <c r="FP23" s="39">
        <v>29.9444444444444</v>
      </c>
      <c r="FQ23" s="39">
        <v>0</v>
      </c>
      <c r="FR23" s="39">
        <v>62</v>
      </c>
      <c r="FS23" s="39">
        <v>72.837837837837796</v>
      </c>
      <c r="FT23" s="38">
        <v>0</v>
      </c>
      <c r="FU23" s="39" t="s">
        <v>242</v>
      </c>
      <c r="FV23" s="39" t="s">
        <v>242</v>
      </c>
      <c r="FW23" s="39" t="s">
        <v>242</v>
      </c>
      <c r="FX23" s="39" t="s">
        <v>242</v>
      </c>
      <c r="FY23" s="39" t="s">
        <v>242</v>
      </c>
      <c r="FZ23" s="38">
        <v>0</v>
      </c>
      <c r="GA23" s="39" t="s">
        <v>242</v>
      </c>
      <c r="GB23" s="39" t="s">
        <v>242</v>
      </c>
      <c r="GC23" s="39" t="s">
        <v>242</v>
      </c>
      <c r="GD23" s="39" t="s">
        <v>242</v>
      </c>
      <c r="GE23" s="39" t="s">
        <v>242</v>
      </c>
      <c r="GF23">
        <f t="shared" si="48"/>
        <v>256</v>
      </c>
      <c r="GG23">
        <f t="shared" si="49"/>
        <v>259</v>
      </c>
      <c r="GH23">
        <f t="shared" si="50"/>
        <v>0</v>
      </c>
      <c r="GI23">
        <f t="shared" si="51"/>
        <v>0</v>
      </c>
      <c r="GJ23">
        <f t="shared" si="52"/>
        <v>515</v>
      </c>
      <c r="GK23" s="34">
        <v>2.0003421944608389E-3</v>
      </c>
      <c r="GL23">
        <v>13.292338908598753</v>
      </c>
      <c r="GM23">
        <v>6.1155068134456396</v>
      </c>
      <c r="GN23">
        <v>0</v>
      </c>
      <c r="GO23">
        <v>0</v>
      </c>
      <c r="GP23">
        <f t="shared" si="53"/>
        <v>13.292338908598753</v>
      </c>
      <c r="GQ23" t="s">
        <v>418</v>
      </c>
      <c r="GR23">
        <v>10.366581537374506</v>
      </c>
      <c r="GS23">
        <v>5.0194012506162098</v>
      </c>
      <c r="GT23">
        <v>0</v>
      </c>
      <c r="GU23">
        <v>0</v>
      </c>
      <c r="GV23">
        <f t="shared" si="54"/>
        <v>10.366581537374506</v>
      </c>
      <c r="GW23">
        <v>769.29913939953576</v>
      </c>
      <c r="GX23">
        <v>515</v>
      </c>
      <c r="GY23">
        <v>0</v>
      </c>
      <c r="GZ23">
        <v>515</v>
      </c>
      <c r="HA23">
        <v>114.32984220434072</v>
      </c>
      <c r="HB23">
        <v>400.67015779565929</v>
      </c>
      <c r="HC23">
        <v>1404.1528637910033</v>
      </c>
      <c r="HD23">
        <v>400.67015779565935</v>
      </c>
      <c r="HE23">
        <v>1804.8230215866627</v>
      </c>
      <c r="HF23">
        <v>0</v>
      </c>
      <c r="HG23">
        <v>114.32984220434072</v>
      </c>
      <c r="HH23">
        <v>1</v>
      </c>
      <c r="HI23">
        <v>1</v>
      </c>
      <c r="HJ23">
        <v>2</v>
      </c>
      <c r="HK23">
        <v>0</v>
      </c>
      <c r="HL23" s="30" t="s">
        <v>262</v>
      </c>
      <c r="HM23">
        <v>1804.8230215866622</v>
      </c>
      <c r="HN23">
        <v>0</v>
      </c>
      <c r="HO23">
        <v>256</v>
      </c>
      <c r="HP23">
        <v>259</v>
      </c>
      <c r="HQ23">
        <v>515</v>
      </c>
      <c r="HR23">
        <v>160.98691155133241</v>
      </c>
      <c r="HS23">
        <v>354.01308844866759</v>
      </c>
      <c r="HT23">
        <v>56.075906355131352</v>
      </c>
      <c r="HU23">
        <v>25.500432812001325</v>
      </c>
      <c r="HV23">
        <v>81.576339167132673</v>
      </c>
      <c r="HW23">
        <v>1.6862084606888027E-19</v>
      </c>
      <c r="HX23">
        <v>160.98691155133241</v>
      </c>
      <c r="HY23">
        <v>1</v>
      </c>
      <c r="HZ23">
        <v>1</v>
      </c>
      <c r="IA23">
        <v>2</v>
      </c>
      <c r="IB23" s="37">
        <v>6.0183488871224198E-18</v>
      </c>
      <c r="IC23" s="30" t="s">
        <v>262</v>
      </c>
      <c r="ID23">
        <v>2.1651867837132883</v>
      </c>
      <c r="IE23">
        <v>0.45828737207032244</v>
      </c>
      <c r="IF23">
        <v>2.1651867837132883</v>
      </c>
      <c r="IG23" t="str">
        <f t="shared" si="1"/>
        <v/>
      </c>
    </row>
    <row r="24" spans="1:241">
      <c r="A24" t="str">
        <f>HYPERLINK("http://exon.niaid.nih.gov/transcriptome/S_calcitrans/S1/links/pep/XP_013116855.1-pep.txt","XP_013116855.1")</f>
        <v>XP_013116855.1</v>
      </c>
      <c r="B24" s="30" t="s">
        <v>232</v>
      </c>
      <c r="C24">
        <v>208</v>
      </c>
      <c r="D24" t="s">
        <v>410</v>
      </c>
      <c r="E24">
        <v>0</v>
      </c>
      <c r="F24" t="s">
        <v>424</v>
      </c>
      <c r="G24" t="str">
        <f>HYPERLINK("http://exon.niaid.nih.gov/transcriptome/S_calcitrans/S1/links/cds/XM_013261401_1-cds.txt","XM_013261401_1")</f>
        <v>XM_013261401_1</v>
      </c>
      <c r="H24">
        <v>627</v>
      </c>
      <c r="I24" t="s">
        <v>425</v>
      </c>
      <c r="J24" s="30" t="s">
        <v>236</v>
      </c>
      <c r="K24" s="30" t="s">
        <v>91</v>
      </c>
      <c r="L24" s="31" t="s">
        <v>413</v>
      </c>
      <c r="M24" s="30">
        <v>7178</v>
      </c>
      <c r="N24" s="30">
        <v>7876</v>
      </c>
      <c r="O24" s="30" t="s">
        <v>238</v>
      </c>
      <c r="P24" s="30">
        <v>2</v>
      </c>
      <c r="Q24" s="31" t="s">
        <v>426</v>
      </c>
      <c r="R24" s="32" t="str">
        <f>HYPERLINK("http://exon.niaid.nih.gov/transcriptome/S_calcitrans/S1/links/Sigp/XP_013116855.1-SigP.txt","SIG")</f>
        <v>SIG</v>
      </c>
      <c r="S24" t="s">
        <v>240</v>
      </c>
      <c r="T24">
        <v>21.661999999999999</v>
      </c>
      <c r="U24">
        <v>10.06</v>
      </c>
      <c r="V24">
        <v>19.613</v>
      </c>
      <c r="W24">
        <v>10.08</v>
      </c>
      <c r="X24" t="s">
        <v>427</v>
      </c>
      <c r="Y24" s="32">
        <v>0</v>
      </c>
      <c r="Z24" t="s">
        <v>242</v>
      </c>
      <c r="AA24" t="s">
        <v>242</v>
      </c>
      <c r="AB24" t="s">
        <v>242</v>
      </c>
      <c r="AC24" t="s">
        <v>242</v>
      </c>
      <c r="AD24" t="s">
        <v>242</v>
      </c>
      <c r="AE24" s="32" t="str">
        <f>HYPERLINK("http://exon.niaid.nih.gov/transcriptome/S_calcitrans/S1/links/netoglyc/XP_013116855.1-netoglyc.txt","0")</f>
        <v>0</v>
      </c>
      <c r="AF24">
        <v>16.3</v>
      </c>
      <c r="AG24">
        <v>15.9</v>
      </c>
      <c r="AH24">
        <v>1.9</v>
      </c>
      <c r="AI24" t="s">
        <v>243</v>
      </c>
      <c r="AJ24" t="s">
        <v>242</v>
      </c>
      <c r="AK24">
        <v>2134.2470294102473</v>
      </c>
      <c r="AL24" s="33">
        <f>HYPERLINK("http://exon.niaid.nih.gov/transcriptome/S_calcitrans/S1/links/cluster-b/Scalc-pep95-50SimCLU3044.txt", 3044)</f>
        <v>3044</v>
      </c>
      <c r="AM24">
        <f>HYPERLINK("http://exon.niaid.nih.gov/transcriptome/S_calcitrans/S1/links/cluster-b/Scalc-pep95-50SimCLTL3044.txt", 2)</f>
        <v>2</v>
      </c>
      <c r="AN24" s="30">
        <f t="shared" si="0"/>
        <v>1</v>
      </c>
      <c r="AO24" s="30" t="s">
        <v>244</v>
      </c>
      <c r="AP24">
        <v>609</v>
      </c>
      <c r="AQ24" s="34">
        <v>2.365453196944953E-3</v>
      </c>
      <c r="AR24" s="35">
        <v>902.68947721910592</v>
      </c>
      <c r="AS24" t="s">
        <v>428</v>
      </c>
      <c r="AT24" s="36" t="s">
        <v>417</v>
      </c>
      <c r="AU24" t="s">
        <v>418</v>
      </c>
      <c r="AV24" t="str">
        <f>HYPERLINK("http://exon.niaid.nih.gov/transcriptome/S_calcitrans/S1/links/REFSEQ-INVERTEBRATE/XP_013116855.1-REFSEQ-INVERTEBRATE.txt","REFSEQ-INVERTEBRATE")</f>
        <v>REFSEQ-INVERTEBRATE</v>
      </c>
      <c r="AW24">
        <v>0</v>
      </c>
      <c r="AX24">
        <v>100</v>
      </c>
      <c r="AY24" s="33"/>
      <c r="BG24" s="31"/>
      <c r="BJ24" s="33"/>
      <c r="BK24" s="33"/>
      <c r="BL24" s="33" t="str">
        <f>HYPERLINK("http://exon.niaid.nih.gov/transcriptome/S_calcitrans/S1/links/NR-LIGHT/XP_013116855.1-NR-LIGHT.txt","attacin-A-like precursor")</f>
        <v>attacin-A-like precursor</v>
      </c>
      <c r="BM24" t="str">
        <f>HYPERLINK("http://www.ncbi.nlm.nih.gov/sutils/blink.cgi?pid=822092426","6E-099")</f>
        <v>6E-099</v>
      </c>
      <c r="BN24" t="str">
        <f>HYPERLINK("http://www.ncbi.nlm.nih.gov/protein/822092426","gi|822092426")</f>
        <v>gi|822092426</v>
      </c>
      <c r="BO24">
        <v>82</v>
      </c>
      <c r="BP24">
        <v>89</v>
      </c>
      <c r="BQ24">
        <v>100</v>
      </c>
      <c r="BR24" t="s">
        <v>251</v>
      </c>
      <c r="BS24" s="33" t="str">
        <f>HYPERLINK("http://exon.niaid.nih.gov/transcriptome/S_calcitrans/S1/links/SWISSP/XP_013116855.1-SWISSP.txt","Attacin-A")</f>
        <v>Attacin-A</v>
      </c>
      <c r="BT24" t="str">
        <f>HYPERLINK("http://www.uniprot.org/uniprot/Q8WTD3","1E-069")</f>
        <v>1E-069</v>
      </c>
      <c r="BU24" t="str">
        <f>HYPERLINK("http://www.uniprot.org/uniprot/Q8WTD3#expression","Q8WTD3")</f>
        <v>Q8WTD3</v>
      </c>
      <c r="BV24">
        <v>62</v>
      </c>
      <c r="BW24">
        <v>74</v>
      </c>
      <c r="BX24">
        <v>100</v>
      </c>
      <c r="BY24" t="s">
        <v>419</v>
      </c>
      <c r="BZ24" s="33" t="str">
        <f>HYPERLINK("http://exon.niaid.nih.gov/transcriptome/S_calcitrans/S1/links/REFSEQ-INVERTEBRATE/XP_013116855.1-REFSEQ-INVERTEBRATE.txt","attacin-A-like")</f>
        <v>attacin-A-like</v>
      </c>
      <c r="CA24" t="str">
        <f>HYPERLINK("http://www.ncbi.nlm.nih.gov/sutils/blink.cgi?pid=907744098","1E-117")</f>
        <v>1E-117</v>
      </c>
      <c r="CB24" t="str">
        <f>HYPERLINK("http://www.ncbi.nlm.nih.gov/protein/907744098","gi|907744098")</f>
        <v>gi|907744098</v>
      </c>
      <c r="CC24">
        <v>100</v>
      </c>
      <c r="CD24">
        <v>100</v>
      </c>
      <c r="CE24">
        <v>100</v>
      </c>
      <c r="CF24" t="s">
        <v>253</v>
      </c>
      <c r="CG24" s="33" t="str">
        <f>HYPERLINK("http://exon.niaid.nih.gov/transcriptome/S_calcitrans/S1/links/DIPTERA/XP_013116855.1-DIPTERA.txt","attacin-A-like")</f>
        <v>attacin-A-like</v>
      </c>
      <c r="CH24" t="str">
        <f>HYPERLINK("http://www.ncbi.nlm.nih.gov/sutils/blink.cgi?pid=907744098","1E-118")</f>
        <v>1E-118</v>
      </c>
      <c r="CI24" t="str">
        <f>HYPERLINK("http://www.ncbi.nlm.nih.gov/protein/907744098","gi|907744098")</f>
        <v>gi|907744098</v>
      </c>
      <c r="CJ24">
        <v>100</v>
      </c>
      <c r="CK24">
        <v>100</v>
      </c>
      <c r="CL24">
        <v>100</v>
      </c>
      <c r="CM24" t="s">
        <v>253</v>
      </c>
      <c r="CN24" s="33" t="s">
        <v>242</v>
      </c>
      <c r="CO24" t="s">
        <v>242</v>
      </c>
      <c r="CP24" t="s">
        <v>242</v>
      </c>
      <c r="CQ24" t="s">
        <v>242</v>
      </c>
      <c r="CR24" t="s">
        <v>242</v>
      </c>
      <c r="CS24" t="s">
        <v>242</v>
      </c>
      <c r="CT24" t="s">
        <v>242</v>
      </c>
      <c r="CU24" s="33" t="s">
        <v>420</v>
      </c>
      <c r="CV24">
        <f>HYPERLINK("http://exon.niaid.nih.gov/transcriptome/S_calcitrans/S1/links/GO/XP_013116855.1-GO.txt",2E-69)</f>
        <v>1.9999999999999999E-69</v>
      </c>
      <c r="CW24" t="str">
        <f>HYPERLINK("http://amigo.geneontology.org/cgi-bin/amigo/term_details?term=GO:0003674","GO:0003674")</f>
        <v>GO:0003674</v>
      </c>
      <c r="CX24" t="s">
        <v>255</v>
      </c>
      <c r="CY24" t="s">
        <v>256</v>
      </c>
      <c r="CZ24" t="s">
        <v>257</v>
      </c>
      <c r="DA24" t="s">
        <v>242</v>
      </c>
      <c r="DC24" t="s">
        <v>258</v>
      </c>
      <c r="DD24" s="37">
        <v>1.9999999999999999E-69</v>
      </c>
      <c r="DE24" s="33" t="str">
        <f>HYPERLINK("http://exon.niaid.nih.gov/transcriptome/S_calcitrans/S1/links/CDD/XP_013116855.1-CDD.txt","Attacin_C")</f>
        <v>Attacin_C</v>
      </c>
      <c r="DF24" t="str">
        <f>HYPERLINK("http://www.ncbi.nlm.nih.gov/Structure/cdd/cddsrv.cgi?uid=pfam03769&amp;version=v4.0","1E-032")</f>
        <v>1E-032</v>
      </c>
      <c r="DG24" t="s">
        <v>429</v>
      </c>
      <c r="DH24" s="33" t="str">
        <f>HYPERLINK("http://exon.niaid.nih.gov/transcriptome/S_calcitrans/S1/links/KOG/XP_013116855.1-KOG.txt","Ca2+-binding actin-bundling protein (spectrin), alpha chain (EF-Hand protein superfamily)")</f>
        <v>Ca2+-binding actin-bundling protein (spectrin), alpha chain (EF-Hand protein superfamily)</v>
      </c>
      <c r="DI24" t="str">
        <f>HYPERLINK("http://www.ncbi.nlm.nih.gov/Structure/cdd/cddsrv.cgi?uid=KOG0040","0.27")</f>
        <v>0.27</v>
      </c>
      <c r="DJ24" t="s">
        <v>422</v>
      </c>
      <c r="DK24" t="str">
        <f>HYPERLINK("http://exon.niaid.nih.gov/transcriptome/S_calcitrans/S1/links/KOG/XP_013116855.1-KOG.txt","KOG0040")</f>
        <v>KOG0040</v>
      </c>
      <c r="DL24" s="33" t="str">
        <f>HYPERLINK("http://exon.niaid.nih.gov/transcriptome/S_calcitrans/S1/links/PFAM/XP_013116855.1-PFAM.txt","Attacin_C")</f>
        <v>Attacin_C</v>
      </c>
      <c r="DM24" t="str">
        <f>HYPERLINK("http://pfam.sanger.ac.uk/family?acc=PF03769","3E-033")</f>
        <v>3E-033</v>
      </c>
      <c r="DN24" s="33" t="str">
        <f>HYPERLINK("http://exon.niaid.nih.gov/transcriptome/S_calcitrans/S1/links/SMART/XP_013116855.1-SMART.txt","ZP")</f>
        <v>ZP</v>
      </c>
      <c r="DO24" t="str">
        <f>HYPERLINK("http://smart.embl-heidelberg.de/smart/do_annotation.pl?DOMAIN=ZP&amp;BLAST=DUMMY","0.45")</f>
        <v>0.45</v>
      </c>
      <c r="DP24" s="33"/>
      <c r="EB24" s="33">
        <f>HYPERLINK("http://exon.niaid.nih.gov/transcriptome/S_calcitrans/S1/links/cluster-b/Scalc-pep25-50SimCLU133.txt", 133)</f>
        <v>133</v>
      </c>
      <c r="EC24">
        <f>HYPERLINK("http://exon.niaid.nih.gov/transcriptome/S_calcitrans/S1/links/cluster-b/Scalc-pep25-50SimCLTL133.txt", 13)</f>
        <v>13</v>
      </c>
      <c r="ED24" s="33">
        <f>HYPERLINK("http://exon.niaid.nih.gov/transcriptome/S_calcitrans/S1/links/cluster-b/Scalc-pep30-50SimCLU257.txt", 257)</f>
        <v>257</v>
      </c>
      <c r="EE24">
        <f>HYPERLINK("http://exon.niaid.nih.gov/transcriptome/S_calcitrans/S1/links/cluster-b/Scalc-pep30-50SimCLTL257.txt", 10)</f>
        <v>10</v>
      </c>
      <c r="EF24" s="33">
        <f>HYPERLINK("http://exon.niaid.nih.gov/transcriptome/S_calcitrans/S1/links/cluster-b/Scalc-pep35-50SimCLU245.txt", 245)</f>
        <v>245</v>
      </c>
      <c r="EG24">
        <f>HYPERLINK("http://exon.niaid.nih.gov/transcriptome/S_calcitrans/S1/links/cluster-b/Scalc-pep35-50SimCLTL245.txt", 10)</f>
        <v>10</v>
      </c>
      <c r="EH24" s="33">
        <f>HYPERLINK("http://exon.niaid.nih.gov/transcriptome/S_calcitrans/S1/links/cluster-b/Scalc-pep40-50SimCLU346.txt", 346)</f>
        <v>346</v>
      </c>
      <c r="EI24">
        <f>HYPERLINK("http://exon.niaid.nih.gov/transcriptome/S_calcitrans/S1/links/cluster-b/Scalc-pep40-50SimCLTL346.txt", 8)</f>
        <v>8</v>
      </c>
      <c r="EJ24" s="33">
        <f>HYPERLINK("http://exon.niaid.nih.gov/transcriptome/S_calcitrans/S1/links/cluster-b/Scalc-pep45-50SimCLU324.txt", 324)</f>
        <v>324</v>
      </c>
      <c r="EK24">
        <f>HYPERLINK("http://exon.niaid.nih.gov/transcriptome/S_calcitrans/S1/links/cluster-b/Scalc-pep45-50SimCLTL324.txt", 8)</f>
        <v>8</v>
      </c>
      <c r="EL24" s="33">
        <f>HYPERLINK("http://exon.niaid.nih.gov/transcriptome/S_calcitrans/S1/links/cluster-b/Scalc-pep50-50SimCLU401.txt", 401)</f>
        <v>401</v>
      </c>
      <c r="EM24">
        <f>HYPERLINK("http://exon.niaid.nih.gov/transcriptome/S_calcitrans/S1/links/cluster-b/Scalc-pep50-50SimCLTL401.txt", 7)</f>
        <v>7</v>
      </c>
      <c r="EN24" s="33">
        <f>HYPERLINK("http://exon.niaid.nih.gov/transcriptome/S_calcitrans/S1/links/cluster-b/Scalc-pep55-50SimCLU1576.txt", 1576)</f>
        <v>1576</v>
      </c>
      <c r="EO24">
        <f>HYPERLINK("http://exon.niaid.nih.gov/transcriptome/S_calcitrans/S1/links/cluster-b/Scalc-pep55-50SimCLTL1576.txt", 3)</f>
        <v>3</v>
      </c>
      <c r="EP24" s="33">
        <f>HYPERLINK("http://exon.niaid.nih.gov/transcriptome/S_calcitrans/S1/links/cluster-b/Scalc-pep60-50SimCLU1577.txt", 1577)</f>
        <v>1577</v>
      </c>
      <c r="EQ24">
        <f>HYPERLINK("http://exon.niaid.nih.gov/transcriptome/S_calcitrans/S1/links/cluster-b/Scalc-pep60-50SimCLTL1577.txt", 3)</f>
        <v>3</v>
      </c>
      <c r="ER24" s="33">
        <f>HYPERLINK("http://exon.niaid.nih.gov/transcriptome/S_calcitrans/S1/links/cluster-b/Scalc-pep65-50SimCLU1533.txt", 1533)</f>
        <v>1533</v>
      </c>
      <c r="ES24">
        <f>HYPERLINK("http://exon.niaid.nih.gov/transcriptome/S_calcitrans/S1/links/cluster-b/Scalc-pep65-50SimCLTL1533.txt", 3)</f>
        <v>3</v>
      </c>
      <c r="ET24" s="33">
        <f>HYPERLINK("http://exon.niaid.nih.gov/transcriptome/S_calcitrans/S1/links/cluster-b/Scalc-pep70-50SimCLU1477.txt", 1477)</f>
        <v>1477</v>
      </c>
      <c r="EU24">
        <f>HYPERLINK("http://exon.niaid.nih.gov/transcriptome/S_calcitrans/S1/links/cluster-b/Scalc-pep70-50SimCLTL1477.txt", 3)</f>
        <v>3</v>
      </c>
      <c r="EV24" s="33">
        <f>HYPERLINK("http://exon.niaid.nih.gov/transcriptome/S_calcitrans/S1/links/cluster-b/Scalc-pep75-50SimCLU1428.txt", 1428)</f>
        <v>1428</v>
      </c>
      <c r="EW24">
        <f>HYPERLINK("http://exon.niaid.nih.gov/transcriptome/S_calcitrans/S1/links/cluster-b/Scalc-pep75-50SimCLTL1428.txt", 3)</f>
        <v>3</v>
      </c>
      <c r="EX24" s="33">
        <f>HYPERLINK("http://exon.niaid.nih.gov/transcriptome/S_calcitrans/S1/links/cluster-b/Scalc-pep80-50SimCLU3605.txt", 3605)</f>
        <v>3605</v>
      </c>
      <c r="EY24">
        <f>HYPERLINK("http://exon.niaid.nih.gov/transcriptome/S_calcitrans/S1/links/cluster-b/Scalc-pep80-50SimCLTL3605.txt", 2)</f>
        <v>2</v>
      </c>
      <c r="EZ24" s="33">
        <f>HYPERLINK("http://exon.niaid.nih.gov/transcriptome/S_calcitrans/S1/links/cluster-b/Scalc-pep85-50SimCLU3460.txt", 3460)</f>
        <v>3460</v>
      </c>
      <c r="FA24">
        <f>HYPERLINK("http://exon.niaid.nih.gov/transcriptome/S_calcitrans/S1/links/cluster-b/Scalc-pep85-50SimCLTL3460.txt", 2)</f>
        <v>2</v>
      </c>
      <c r="FB24" s="33">
        <f>HYPERLINK("http://exon.niaid.nih.gov/transcriptome/S_calcitrans/S1/links/cluster-b/Scalc-pep90-50SimCLU3294.txt", 3294)</f>
        <v>3294</v>
      </c>
      <c r="FC24">
        <f>HYPERLINK("http://exon.niaid.nih.gov/transcriptome/S_calcitrans/S1/links/cluster-b/Scalc-pep90-50SimCLTL3294.txt", 2)</f>
        <v>2</v>
      </c>
      <c r="FD24" s="33">
        <f>HYPERLINK("http://exon.niaid.nih.gov/transcriptome/S_calcitrans/S1/links/cluster-b/Scalc-pep95-50SimCLU3044.txt", 3044)</f>
        <v>3044</v>
      </c>
      <c r="FE24">
        <f>HYPERLINK("http://exon.niaid.nih.gov/transcriptome/S_calcitrans/S1/links/cluster-b/Scalc-pep95-50SimCLTL3044.txt", 2)</f>
        <v>2</v>
      </c>
      <c r="FF24" t="s">
        <v>430</v>
      </c>
      <c r="FG24">
        <v>21239</v>
      </c>
      <c r="FH24" s="38" t="str">
        <f>HYPERLINK("http://exon.niaid.nih.gov/transcriptome/S_calcitrans/S1/links/SG_male-stripped_temp-95-h10-1gap/21239-SG_male-stripped_temp-95-h10-1gap.txt","292")</f>
        <v>292</v>
      </c>
      <c r="FI24" s="39">
        <v>100</v>
      </c>
      <c r="FJ24" s="39">
        <v>34.079744816586903</v>
      </c>
      <c r="FK24" s="39">
        <v>2</v>
      </c>
      <c r="FL24" s="39">
        <v>58</v>
      </c>
      <c r="FM24" s="39">
        <v>73.178082191780803</v>
      </c>
      <c r="FN24" s="38" t="str">
        <f>HYPERLINK("http://exon.niaid.nih.gov/transcriptome/S_calcitrans/S1/links/SG_female-stripped_temp-95-h10-1gap/21239-SG_female-stripped_temp-95-h10-1gap.txt","317")</f>
        <v>317</v>
      </c>
      <c r="FO24" s="39">
        <v>100</v>
      </c>
      <c r="FP24" s="39">
        <v>36.808612440191403</v>
      </c>
      <c r="FQ24" s="39">
        <v>5</v>
      </c>
      <c r="FR24" s="39">
        <v>63</v>
      </c>
      <c r="FS24" s="39">
        <v>72.804416403785496</v>
      </c>
      <c r="FT24" s="38">
        <v>0</v>
      </c>
      <c r="FU24" s="39" t="s">
        <v>242</v>
      </c>
      <c r="FV24" s="39" t="s">
        <v>242</v>
      </c>
      <c r="FW24" s="39" t="s">
        <v>242</v>
      </c>
      <c r="FX24" s="39" t="s">
        <v>242</v>
      </c>
      <c r="FY24" s="39" t="s">
        <v>242</v>
      </c>
      <c r="FZ24" s="38">
        <v>0</v>
      </c>
      <c r="GA24" s="39" t="s">
        <v>242</v>
      </c>
      <c r="GB24" s="39" t="s">
        <v>242</v>
      </c>
      <c r="GC24" s="39" t="s">
        <v>242</v>
      </c>
      <c r="GD24" s="39" t="s">
        <v>242</v>
      </c>
      <c r="GE24" s="39" t="s">
        <v>242</v>
      </c>
      <c r="GF24">
        <f t="shared" si="48"/>
        <v>292</v>
      </c>
      <c r="GG24">
        <f t="shared" si="49"/>
        <v>317</v>
      </c>
      <c r="GH24">
        <f t="shared" si="50"/>
        <v>0</v>
      </c>
      <c r="GI24">
        <f t="shared" si="51"/>
        <v>0</v>
      </c>
      <c r="GJ24">
        <f t="shared" si="52"/>
        <v>609</v>
      </c>
      <c r="GK24" s="34">
        <v>2.365453196944953E-3</v>
      </c>
      <c r="GL24">
        <v>15.234117484211939</v>
      </c>
      <c r="GM24">
        <v>7.5208159570500497</v>
      </c>
      <c r="GN24">
        <v>0</v>
      </c>
      <c r="GO24">
        <v>0</v>
      </c>
      <c r="GP24">
        <f t="shared" si="53"/>
        <v>15.234117484211939</v>
      </c>
      <c r="GQ24" t="s">
        <v>418</v>
      </c>
      <c r="GR24">
        <v>11.880958056814533</v>
      </c>
      <c r="GS24">
        <v>6.1728314875675876</v>
      </c>
      <c r="GT24">
        <v>0</v>
      </c>
      <c r="GU24">
        <v>0</v>
      </c>
      <c r="GV24">
        <f t="shared" si="54"/>
        <v>11.880958056814533</v>
      </c>
      <c r="GW24">
        <v>902.68947721910592</v>
      </c>
      <c r="GX24">
        <v>609</v>
      </c>
      <c r="GY24">
        <v>0</v>
      </c>
      <c r="GZ24">
        <v>609</v>
      </c>
      <c r="HA24">
        <v>135.19781340280292</v>
      </c>
      <c r="HB24">
        <v>473.80218659719708</v>
      </c>
      <c r="HC24">
        <v>1660.4448428130499</v>
      </c>
      <c r="HD24">
        <v>473.80218659719708</v>
      </c>
      <c r="HE24">
        <v>2134.2470294102468</v>
      </c>
      <c r="HF24">
        <v>0</v>
      </c>
      <c r="HG24">
        <v>135.19781340280292</v>
      </c>
      <c r="HH24">
        <v>1</v>
      </c>
      <c r="HI24">
        <v>1</v>
      </c>
      <c r="HJ24">
        <v>2</v>
      </c>
      <c r="HK24">
        <v>0</v>
      </c>
      <c r="HL24" s="30" t="s">
        <v>262</v>
      </c>
      <c r="HM24">
        <v>2134.2470294102473</v>
      </c>
      <c r="HN24">
        <v>0</v>
      </c>
      <c r="HO24">
        <v>292</v>
      </c>
      <c r="HP24">
        <v>317</v>
      </c>
      <c r="HQ24">
        <v>609</v>
      </c>
      <c r="HR24">
        <v>190.37093035876006</v>
      </c>
      <c r="HS24">
        <v>418.62906964123994</v>
      </c>
      <c r="HT24">
        <v>54.254437779337799</v>
      </c>
      <c r="HU24">
        <v>24.672122757732449</v>
      </c>
      <c r="HV24">
        <v>78.926560537070245</v>
      </c>
      <c r="HW24">
        <v>6.4462238805968529E-19</v>
      </c>
      <c r="HX24">
        <v>190.37093035876006</v>
      </c>
      <c r="HY24">
        <v>1</v>
      </c>
      <c r="HZ24">
        <v>1</v>
      </c>
      <c r="IA24">
        <v>2</v>
      </c>
      <c r="IB24" s="37">
        <v>2.2402111300309601E-17</v>
      </c>
      <c r="IC24" s="30" t="s">
        <v>262</v>
      </c>
      <c r="ID24">
        <v>2.0192239168080883</v>
      </c>
      <c r="IE24">
        <v>0.49199749515987051</v>
      </c>
      <c r="IF24">
        <v>2.0192239168080883</v>
      </c>
      <c r="IG24" t="str">
        <f t="shared" si="1"/>
        <v/>
      </c>
    </row>
    <row r="25" spans="1:241">
      <c r="A25" t="str">
        <f>HYPERLINK("http://exon.niaid.nih.gov/transcriptome/S_calcitrans/S1/links/pep/XP_013119118.1-pep.txt","XP_013119118.1")</f>
        <v>XP_013119118.1</v>
      </c>
      <c r="B25" s="30" t="s">
        <v>232</v>
      </c>
      <c r="C25">
        <v>88</v>
      </c>
      <c r="D25" t="s">
        <v>431</v>
      </c>
      <c r="E25">
        <v>0</v>
      </c>
      <c r="F25" t="s">
        <v>432</v>
      </c>
      <c r="G25" t="str">
        <f>HYPERLINK("http://exon.niaid.nih.gov/transcriptome/S_calcitrans/S1/links/cds/XM_013263664_1-cds.txt","XM_013263664_1")</f>
        <v>XM_013263664_1</v>
      </c>
      <c r="H25">
        <v>267</v>
      </c>
      <c r="I25" t="s">
        <v>433</v>
      </c>
      <c r="J25" s="30" t="s">
        <v>236</v>
      </c>
      <c r="K25" s="30" t="s">
        <v>91</v>
      </c>
      <c r="L25" s="31" t="s">
        <v>434</v>
      </c>
      <c r="M25" s="30">
        <v>307279</v>
      </c>
      <c r="N25" s="30">
        <v>307545</v>
      </c>
      <c r="O25" s="30" t="s">
        <v>276</v>
      </c>
      <c r="P25" s="30">
        <v>1</v>
      </c>
      <c r="Q25" s="31" t="s">
        <v>435</v>
      </c>
      <c r="R25" s="32" t="str">
        <f>HYPERLINK("http://exon.niaid.nih.gov/transcriptome/S_calcitrans/S1/links/Sigp/XP_013119118.1-SigP.txt","SIG")</f>
        <v>SIG</v>
      </c>
      <c r="S25" t="s">
        <v>240</v>
      </c>
      <c r="T25">
        <v>9.6240000000000006</v>
      </c>
      <c r="U25">
        <v>8.7899999999999991</v>
      </c>
      <c r="V25">
        <v>7.26</v>
      </c>
      <c r="W25">
        <v>8.65</v>
      </c>
      <c r="X25" t="s">
        <v>436</v>
      </c>
      <c r="Y25" s="32">
        <v>0</v>
      </c>
      <c r="Z25" t="s">
        <v>242</v>
      </c>
      <c r="AA25" t="s">
        <v>242</v>
      </c>
      <c r="AB25" t="s">
        <v>242</v>
      </c>
      <c r="AC25" t="s">
        <v>242</v>
      </c>
      <c r="AD25" t="s">
        <v>242</v>
      </c>
      <c r="AE25" s="32" t="str">
        <f>HYPERLINK("http://exon.niaid.nih.gov/transcriptome/S_calcitrans/S1/links/netoglyc/XP_013119118.1-netoglyc.txt","0")</f>
        <v>0</v>
      </c>
      <c r="AF25">
        <v>8</v>
      </c>
      <c r="AG25">
        <v>8</v>
      </c>
      <c r="AH25">
        <v>2.2999999999999998</v>
      </c>
      <c r="AI25">
        <v>3.4</v>
      </c>
      <c r="AJ25" t="s">
        <v>437</v>
      </c>
      <c r="AK25">
        <v>613.28937626731238</v>
      </c>
      <c r="AL25" s="33">
        <v>4716</v>
      </c>
      <c r="AM25">
        <v>1</v>
      </c>
      <c r="AN25" s="30">
        <f t="shared" si="0"/>
        <v>1</v>
      </c>
      <c r="AO25" s="30" t="s">
        <v>244</v>
      </c>
      <c r="AP25">
        <v>175</v>
      </c>
      <c r="AQ25" s="34">
        <v>6.7972793015659571E-4</v>
      </c>
      <c r="AR25" s="35">
        <v>58.943834983291445</v>
      </c>
      <c r="AS25" t="s">
        <v>438</v>
      </c>
      <c r="AT25" s="36" t="s">
        <v>439</v>
      </c>
      <c r="AU25" t="s">
        <v>440</v>
      </c>
      <c r="AV25" t="str">
        <f>HYPERLINK("http://exon.niaid.nih.gov/transcriptome/S_calcitrans/S1/links/NR-LIGHT/XP_013119118.1-NR-LIGHT.txt","NR-LIGHT")</f>
        <v>NR-LIGHT</v>
      </c>
      <c r="AW25" s="37">
        <v>3E-34</v>
      </c>
      <c r="AX25">
        <v>98.9</v>
      </c>
      <c r="AY25" s="33"/>
      <c r="BG25" s="31"/>
      <c r="BJ25" s="33"/>
      <c r="BK25" s="33"/>
      <c r="BL25" s="33" t="str">
        <f>HYPERLINK("http://exon.niaid.nih.gov/transcriptome/S_calcitrans/S1/links/NR-LIGHT/XP_013119118.1-NR-LIGHT.txt","defensin precursor")</f>
        <v>defensin precursor</v>
      </c>
      <c r="BM25" t="str">
        <f>HYPERLINK("http://www.ncbi.nlm.nih.gov/sutils/blink.cgi?pid=122703768","3E-034")</f>
        <v>3E-034</v>
      </c>
      <c r="BN25" t="str">
        <f>HYPERLINK("http://www.ncbi.nlm.nih.gov/protein/122703768","gi|122703768")</f>
        <v>gi|122703768</v>
      </c>
      <c r="BO25">
        <v>75</v>
      </c>
      <c r="BP25">
        <v>82</v>
      </c>
      <c r="BQ25">
        <v>99</v>
      </c>
      <c r="BR25" t="s">
        <v>251</v>
      </c>
      <c r="BS25" s="33" t="str">
        <f>HYPERLINK("http://exon.niaid.nih.gov/transcriptome/S_calcitrans/S1/links/SWISSP/XP_013119118.1-SWISSP.txt","Phormicin")</f>
        <v>Phormicin</v>
      </c>
      <c r="BT25" t="str">
        <f>HYPERLINK("http://www.uniprot.org/uniprot/P10891","5E-033")</f>
        <v>5E-033</v>
      </c>
      <c r="BU25" t="str">
        <f>HYPERLINK("http://www.uniprot.org/uniprot/P10891#expression","P10891")</f>
        <v>P10891</v>
      </c>
      <c r="BV25">
        <v>70</v>
      </c>
      <c r="BW25">
        <v>78</v>
      </c>
      <c r="BX25">
        <v>99</v>
      </c>
      <c r="BY25" t="s">
        <v>441</v>
      </c>
      <c r="BZ25" s="33" t="str">
        <f>HYPERLINK("http://exon.niaid.nih.gov/transcriptome/S_calcitrans/S1/links/REFSEQ-INVERTEBRATE/XP_013119118.1-REFSEQ-INVERTEBRATE.txt","phormicin-like")</f>
        <v>phormicin-like</v>
      </c>
      <c r="CA25" t="str">
        <f>HYPERLINK("http://www.ncbi.nlm.nih.gov/sutils/blink.cgi?pid=907616734","1E-045")</f>
        <v>1E-045</v>
      </c>
      <c r="CB25" t="str">
        <f>HYPERLINK("http://www.ncbi.nlm.nih.gov/protein/907616734","gi|907616734")</f>
        <v>gi|907616734</v>
      </c>
      <c r="CC25">
        <v>100</v>
      </c>
      <c r="CD25">
        <v>100</v>
      </c>
      <c r="CE25">
        <v>100</v>
      </c>
      <c r="CF25" t="s">
        <v>253</v>
      </c>
      <c r="CG25" s="33" t="str">
        <f>HYPERLINK("http://exon.niaid.nih.gov/transcriptome/S_calcitrans/S1/links/DIPTERA/XP_013119118.1-DIPTERA.txt","phormicin-like")</f>
        <v>phormicin-like</v>
      </c>
      <c r="CH25" t="str">
        <f>HYPERLINK("http://www.ncbi.nlm.nih.gov/sutils/blink.cgi?pid=907616734","6E-046")</f>
        <v>6E-046</v>
      </c>
      <c r="CI25" t="str">
        <f>HYPERLINK("http://www.ncbi.nlm.nih.gov/protein/907616734","gi|907616734")</f>
        <v>gi|907616734</v>
      </c>
      <c r="CJ25">
        <v>100</v>
      </c>
      <c r="CK25">
        <v>100</v>
      </c>
      <c r="CL25">
        <v>100</v>
      </c>
      <c r="CM25" t="s">
        <v>253</v>
      </c>
      <c r="CN25" s="33" t="s">
        <v>242</v>
      </c>
      <c r="CO25" t="s">
        <v>242</v>
      </c>
      <c r="CP25" t="s">
        <v>242</v>
      </c>
      <c r="CQ25" t="s">
        <v>242</v>
      </c>
      <c r="CR25" t="s">
        <v>242</v>
      </c>
      <c r="CS25" t="s">
        <v>242</v>
      </c>
      <c r="CT25" t="s">
        <v>242</v>
      </c>
      <c r="CU25" s="33" t="s">
        <v>442</v>
      </c>
      <c r="CV25">
        <f>HYPERLINK("http://exon.niaid.nih.gov/transcriptome/S_calcitrans/S1/links/GO/XP_013119118.1-GO.txt",0.000000000000000003)</f>
        <v>2.9999999999999998E-18</v>
      </c>
      <c r="CW25" t="s">
        <v>242</v>
      </c>
      <c r="CX25" t="s">
        <v>242</v>
      </c>
      <c r="CY25" t="s">
        <v>242</v>
      </c>
      <c r="CZ25" t="s">
        <v>242</v>
      </c>
      <c r="DA25" t="s">
        <v>242</v>
      </c>
      <c r="DC25" t="s">
        <v>242</v>
      </c>
      <c r="DD25" t="s">
        <v>242</v>
      </c>
      <c r="DE25" s="33" t="str">
        <f>HYPERLINK("http://exon.niaid.nih.gov/transcriptome/S_calcitrans/S1/links/CDD/XP_013119118.1-CDD.txt","Defensin_2")</f>
        <v>Defensin_2</v>
      </c>
      <c r="DF25" t="str">
        <f>HYPERLINK("http://www.ncbi.nlm.nih.gov/Structure/cdd/cddsrv.cgi?uid=pfam01097&amp;version=v4.0","4E-007")</f>
        <v>4E-007</v>
      </c>
      <c r="DG25" t="s">
        <v>443</v>
      </c>
      <c r="DH25" s="33" t="str">
        <f>HYPERLINK("http://exon.niaid.nih.gov/transcriptome/S_calcitrans/S1/links/KOG/XP_013119118.1-KOG.txt","Alpha amylase")</f>
        <v>Alpha amylase</v>
      </c>
      <c r="DI25" t="str">
        <f>HYPERLINK("http://www.ncbi.nlm.nih.gov/Structure/cdd/cddsrv.cgi?uid=KOG3625","1.7")</f>
        <v>1.7</v>
      </c>
      <c r="DJ25" t="s">
        <v>444</v>
      </c>
      <c r="DK25" t="str">
        <f>HYPERLINK("http://exon.niaid.nih.gov/transcriptome/S_calcitrans/S1/links/KOG/XP_013119118.1-KOG.txt","KOG3625")</f>
        <v>KOG3625</v>
      </c>
      <c r="DL25" s="33" t="str">
        <f>HYPERLINK("http://exon.niaid.nih.gov/transcriptome/S_calcitrans/S1/links/PFAM/XP_013119118.1-PFAM.txt","Defensin_2")</f>
        <v>Defensin_2</v>
      </c>
      <c r="DM25" t="str">
        <f>HYPERLINK("http://pfam.sanger.ac.uk/family?acc=PF01097","8E-008")</f>
        <v>8E-008</v>
      </c>
      <c r="DN25" s="33" t="str">
        <f>HYPERLINK("http://exon.niaid.nih.gov/transcriptome/S_calcitrans/S1/links/SMART/XP_013119118.1-SMART.txt","Knot1")</f>
        <v>Knot1</v>
      </c>
      <c r="DO25" t="str">
        <f>HYPERLINK("http://smart.embl-heidelberg.de/smart/do_annotation.pl?DOMAIN=Knot1&amp;BLAST=DUMMY","6E-004")</f>
        <v>6E-004</v>
      </c>
      <c r="DP25" s="33"/>
      <c r="EB25" s="33">
        <f>HYPERLINK("http://exon.niaid.nih.gov/transcriptome/S_calcitrans/S1/links/cluster-b/Scalc-pep25-50SimCLU1.txt", 1)</f>
        <v>1</v>
      </c>
      <c r="EC25">
        <f>HYPERLINK("http://exon.niaid.nih.gov/transcriptome/S_calcitrans/S1/links/cluster-b/Scalc-pep25-50SimCLTL1.txt", 5170)</f>
        <v>5170</v>
      </c>
      <c r="ED25" s="33">
        <f>HYPERLINK("http://exon.niaid.nih.gov/transcriptome/S_calcitrans/S1/links/cluster-b/Scalc-pep30-50SimCLU1.txt", 1)</f>
        <v>1</v>
      </c>
      <c r="EE25">
        <f>HYPERLINK("http://exon.niaid.nih.gov/transcriptome/S_calcitrans/S1/links/cluster-b/Scalc-pep30-50SimCLTL1.txt", 1550)</f>
        <v>1550</v>
      </c>
      <c r="EF25" s="33">
        <f>HYPERLINK("http://exon.niaid.nih.gov/transcriptome/S_calcitrans/S1/links/cluster-b/Scalc-pep35-50SimCLU699.txt", 699)</f>
        <v>699</v>
      </c>
      <c r="EG25">
        <f>HYPERLINK("http://exon.niaid.nih.gov/transcriptome/S_calcitrans/S1/links/cluster-b/Scalc-pep35-50SimCLTL699.txt", 5)</f>
        <v>5</v>
      </c>
      <c r="EH25" s="33">
        <f>HYPERLINK("http://exon.niaid.nih.gov/transcriptome/S_calcitrans/S1/links/cluster-b/Scalc-pep40-50SimCLU685.txt", 685)</f>
        <v>685</v>
      </c>
      <c r="EI25">
        <f>HYPERLINK("http://exon.niaid.nih.gov/transcriptome/S_calcitrans/S1/links/cluster-b/Scalc-pep40-50SimCLTL685.txt", 5)</f>
        <v>5</v>
      </c>
      <c r="EJ25" s="33">
        <f>HYPERLINK("http://exon.niaid.nih.gov/transcriptome/S_calcitrans/S1/links/cluster-b/Scalc-pep45-50SimCLU677.txt", 677)</f>
        <v>677</v>
      </c>
      <c r="EK25">
        <f>HYPERLINK("http://exon.niaid.nih.gov/transcriptome/S_calcitrans/S1/links/cluster-b/Scalc-pep45-50SimCLTL677.txt", 5)</f>
        <v>5</v>
      </c>
      <c r="EL25" s="33">
        <f>HYPERLINK("http://exon.niaid.nih.gov/transcriptome/S_calcitrans/S1/links/cluster-b/Scalc-pep50-50SimCLU671.txt", 671)</f>
        <v>671</v>
      </c>
      <c r="EM25">
        <f>HYPERLINK("http://exon.niaid.nih.gov/transcriptome/S_calcitrans/S1/links/cluster-b/Scalc-pep50-50SimCLTL671.txt", 5)</f>
        <v>5</v>
      </c>
      <c r="EN25" s="33">
        <f>HYPERLINK("http://exon.niaid.nih.gov/transcriptome/S_calcitrans/S1/links/cluster-b/Scalc-pep55-50SimCLU629.txt", 629)</f>
        <v>629</v>
      </c>
      <c r="EO25">
        <f>HYPERLINK("http://exon.niaid.nih.gov/transcriptome/S_calcitrans/S1/links/cluster-b/Scalc-pep55-50SimCLTL629.txt", 5)</f>
        <v>5</v>
      </c>
      <c r="EP25" s="33">
        <f>HYPERLINK("http://exon.niaid.nih.gov/transcriptome/S_calcitrans/S1/links/cluster-b/Scalc-pep60-50SimCLU606.txt", 606)</f>
        <v>606</v>
      </c>
      <c r="EQ25">
        <f>HYPERLINK("http://exon.niaid.nih.gov/transcriptome/S_calcitrans/S1/links/cluster-b/Scalc-pep60-50SimCLTL606.txt", 5)</f>
        <v>5</v>
      </c>
      <c r="ER25" s="33">
        <f>HYPERLINK("http://exon.niaid.nih.gov/transcriptome/S_calcitrans/S1/links/cluster-b/Scalc-pep65-50SimCLU560.txt", 560)</f>
        <v>560</v>
      </c>
      <c r="ES25">
        <f>HYPERLINK("http://exon.niaid.nih.gov/transcriptome/S_calcitrans/S1/links/cluster-b/Scalc-pep65-50SimCLTL560.txt", 5)</f>
        <v>5</v>
      </c>
      <c r="ET25" s="33">
        <f>HYPERLINK("http://exon.niaid.nih.gov/transcriptome/S_calcitrans/S1/links/cluster-b/Scalc-pep70-50SimCLU517.txt", 517)</f>
        <v>517</v>
      </c>
      <c r="EU25">
        <f>HYPERLINK("http://exon.niaid.nih.gov/transcriptome/S_calcitrans/S1/links/cluster-b/Scalc-pep70-50SimCLTL517.txt", 5)</f>
        <v>5</v>
      </c>
      <c r="EV25" s="33">
        <f>HYPERLINK("http://exon.niaid.nih.gov/transcriptome/S_calcitrans/S1/links/cluster-b/Scalc-pep75-50SimCLU713.txt", 713)</f>
        <v>713</v>
      </c>
      <c r="EW25">
        <f>HYPERLINK("http://exon.niaid.nih.gov/transcriptome/S_calcitrans/S1/links/cluster-b/Scalc-pep75-50SimCLTL713.txt", 4)</f>
        <v>4</v>
      </c>
      <c r="EX25" s="33">
        <f>HYPERLINK("http://exon.niaid.nih.gov/transcriptome/S_calcitrans/S1/links/cluster-b/Scalc-pep80-50SimCLU1121.txt", 1121)</f>
        <v>1121</v>
      </c>
      <c r="EY25">
        <f>HYPERLINK("http://exon.niaid.nih.gov/transcriptome/S_calcitrans/S1/links/cluster-b/Scalc-pep80-50SimCLTL1121.txt", 3)</f>
        <v>3</v>
      </c>
      <c r="EZ25" s="33">
        <f>HYPERLINK("http://exon.niaid.nih.gov/transcriptome/S_calcitrans/S1/links/cluster-b/Scalc-pep85-50SimCLU1043.txt", 1043)</f>
        <v>1043</v>
      </c>
      <c r="FA25">
        <f>HYPERLINK("http://exon.niaid.nih.gov/transcriptome/S_calcitrans/S1/links/cluster-b/Scalc-pep85-50SimCLTL1043.txt", 3)</f>
        <v>3</v>
      </c>
      <c r="FB25" s="33">
        <f>HYPERLINK("http://exon.niaid.nih.gov/transcriptome/S_calcitrans/S1/links/cluster-b/Scalc-pep90-50SimCLU1821.txt", 1821)</f>
        <v>1821</v>
      </c>
      <c r="FC25">
        <f>HYPERLINK("http://exon.niaid.nih.gov/transcriptome/S_calcitrans/S1/links/cluster-b/Scalc-pep90-50SimCLTL1821.txt", 2)</f>
        <v>2</v>
      </c>
      <c r="FD25" s="33">
        <v>4716</v>
      </c>
      <c r="FE25">
        <v>1</v>
      </c>
      <c r="FF25" t="s">
        <v>445</v>
      </c>
      <c r="FG25">
        <v>3197</v>
      </c>
      <c r="FH25" s="38" t="str">
        <f>HYPERLINK("http://exon.niaid.nih.gov/transcriptome/S_calcitrans/S1/links/SG_male-stripped_temp-95-h10-1gap/3197-SG_male-stripped_temp-95-h10-1gap.txt","76")</f>
        <v>76</v>
      </c>
      <c r="FI25" s="39">
        <v>97.378277153558102</v>
      </c>
      <c r="FJ25" s="39">
        <v>21.262172284644201</v>
      </c>
      <c r="FK25" s="39">
        <v>0</v>
      </c>
      <c r="FL25" s="39">
        <v>38</v>
      </c>
      <c r="FM25" s="39">
        <v>74.697368421052602</v>
      </c>
      <c r="FN25" s="38" t="str">
        <f>HYPERLINK("http://exon.niaid.nih.gov/transcriptome/S_calcitrans/S1/links/SG_female-stripped_temp-95-h10-1gap/3197-SG_female-stripped_temp-95-h10-1gap.txt","99")</f>
        <v>99</v>
      </c>
      <c r="FO25" s="39">
        <v>100</v>
      </c>
      <c r="FP25" s="39">
        <v>27.434456928839001</v>
      </c>
      <c r="FQ25" s="39">
        <v>2</v>
      </c>
      <c r="FR25" s="39">
        <v>58</v>
      </c>
      <c r="FS25" s="39">
        <v>73.989898989899004</v>
      </c>
      <c r="FT25" s="38">
        <v>0</v>
      </c>
      <c r="FU25" s="39" t="s">
        <v>242</v>
      </c>
      <c r="FV25" s="39" t="s">
        <v>242</v>
      </c>
      <c r="FW25" s="39" t="s">
        <v>242</v>
      </c>
      <c r="FX25" s="39" t="s">
        <v>242</v>
      </c>
      <c r="FY25" s="39" t="s">
        <v>242</v>
      </c>
      <c r="FZ25" s="38">
        <v>0</v>
      </c>
      <c r="GA25" s="39" t="s">
        <v>242</v>
      </c>
      <c r="GB25" s="39" t="s">
        <v>242</v>
      </c>
      <c r="GC25" s="39" t="s">
        <v>242</v>
      </c>
      <c r="GD25" s="39" t="s">
        <v>242</v>
      </c>
      <c r="GE25" s="39" t="s">
        <v>242</v>
      </c>
      <c r="GF25">
        <f t="shared" si="48"/>
        <v>76</v>
      </c>
      <c r="GG25">
        <f t="shared" si="49"/>
        <v>99</v>
      </c>
      <c r="GH25">
        <f t="shared" si="50"/>
        <v>0</v>
      </c>
      <c r="GI25">
        <f t="shared" si="51"/>
        <v>0</v>
      </c>
      <c r="GJ25">
        <f t="shared" si="52"/>
        <v>175</v>
      </c>
      <c r="GK25" s="34">
        <v>6.7972793015659571E-4</v>
      </c>
      <c r="GL25">
        <v>9.3111713913814995</v>
      </c>
      <c r="GM25">
        <v>5.515656008482706</v>
      </c>
      <c r="GN25">
        <v>0</v>
      </c>
      <c r="GO25">
        <v>0</v>
      </c>
      <c r="GP25">
        <f t="shared" si="53"/>
        <v>9.3111713913814995</v>
      </c>
      <c r="GQ25" t="s">
        <v>440</v>
      </c>
      <c r="GR25">
        <v>7.2617030080976619</v>
      </c>
      <c r="GS25">
        <v>4.5270639885606263</v>
      </c>
      <c r="GT25">
        <v>0</v>
      </c>
      <c r="GU25">
        <v>0</v>
      </c>
      <c r="GV25">
        <f t="shared" si="54"/>
        <v>7.2617030080976619</v>
      </c>
      <c r="GW25">
        <v>58.943834983291445</v>
      </c>
      <c r="GX25">
        <v>175</v>
      </c>
      <c r="GY25">
        <v>0</v>
      </c>
      <c r="GZ25">
        <v>175</v>
      </c>
      <c r="HA25">
        <v>38.849946380115782</v>
      </c>
      <c r="HB25">
        <v>136.15005361988423</v>
      </c>
      <c r="HC25">
        <v>477.13932264742806</v>
      </c>
      <c r="HD25">
        <v>136.15005361988423</v>
      </c>
      <c r="HE25">
        <v>613.28937626731226</v>
      </c>
      <c r="HF25">
        <v>2.1542996127130666E-135</v>
      </c>
      <c r="HG25">
        <v>38.849946380115782</v>
      </c>
      <c r="HH25">
        <v>1</v>
      </c>
      <c r="HI25">
        <v>1</v>
      </c>
      <c r="HJ25">
        <v>2</v>
      </c>
      <c r="HK25" s="37">
        <v>5.7796408938814499E-135</v>
      </c>
      <c r="HL25" s="30" t="s">
        <v>262</v>
      </c>
      <c r="HM25">
        <v>613.28937626731238</v>
      </c>
      <c r="HN25">
        <v>0</v>
      </c>
      <c r="HO25">
        <v>76</v>
      </c>
      <c r="HP25">
        <v>99</v>
      </c>
      <c r="HQ25">
        <v>175</v>
      </c>
      <c r="HR25">
        <v>54.704290332977031</v>
      </c>
      <c r="HS25">
        <v>120.29570966702298</v>
      </c>
      <c r="HT25">
        <v>8.2901587327374706</v>
      </c>
      <c r="HU25">
        <v>3.7699370283232732</v>
      </c>
      <c r="HV25">
        <v>12.060095761060744</v>
      </c>
      <c r="HW25">
        <v>5.1512645845248363E-4</v>
      </c>
      <c r="HX25">
        <v>54.704290332977031</v>
      </c>
      <c r="HY25">
        <v>1</v>
      </c>
      <c r="HZ25">
        <v>1</v>
      </c>
      <c r="IA25">
        <v>2</v>
      </c>
      <c r="IB25">
        <v>3.7450060556994801E-3</v>
      </c>
      <c r="IC25" s="30" t="s">
        <v>262</v>
      </c>
      <c r="ID25">
        <v>1.6712535486786944</v>
      </c>
      <c r="IE25">
        <v>0.58467660871409588</v>
      </c>
      <c r="IF25">
        <v>1.6712535486786944</v>
      </c>
      <c r="IG25" t="str">
        <f t="shared" si="1"/>
        <v/>
      </c>
    </row>
    <row r="26" spans="1:241">
      <c r="A26" t="str">
        <f>HYPERLINK("http://exon.niaid.nih.gov/transcriptome/S_calcitrans/S1/links/pep/XP_013119114.1-pep.txt","XP_013119114.1")</f>
        <v>XP_013119114.1</v>
      </c>
      <c r="B26" s="30" t="s">
        <v>232</v>
      </c>
      <c r="C26">
        <v>90</v>
      </c>
      <c r="D26" t="s">
        <v>431</v>
      </c>
      <c r="E26">
        <v>0</v>
      </c>
      <c r="F26" t="s">
        <v>446</v>
      </c>
      <c r="G26" t="str">
        <f>HYPERLINK("http://exon.niaid.nih.gov/transcriptome/S_calcitrans/S1/links/cds/XM_013263660_1-cds.txt","XM_013263660_1")</f>
        <v>XM_013263660_1</v>
      </c>
      <c r="H26">
        <v>273</v>
      </c>
      <c r="I26" t="s">
        <v>447</v>
      </c>
      <c r="J26" s="30" t="s">
        <v>236</v>
      </c>
      <c r="K26" s="30" t="s">
        <v>91</v>
      </c>
      <c r="L26" s="31" t="s">
        <v>434</v>
      </c>
      <c r="M26" s="30">
        <v>319215</v>
      </c>
      <c r="N26" s="30">
        <v>319487</v>
      </c>
      <c r="O26" s="30" t="s">
        <v>276</v>
      </c>
      <c r="P26" s="30">
        <v>1</v>
      </c>
      <c r="Q26" s="31" t="s">
        <v>448</v>
      </c>
      <c r="R26" s="32" t="str">
        <f>HYPERLINK("http://exon.niaid.nih.gov/transcriptome/S_calcitrans/S1/links/Sigp/XP_013119114.1-SigP.txt","SIG")</f>
        <v>SIG</v>
      </c>
      <c r="S26" t="s">
        <v>240</v>
      </c>
      <c r="T26">
        <v>9.6739999999999995</v>
      </c>
      <c r="U26">
        <v>9.18</v>
      </c>
      <c r="V26">
        <v>7.4249999999999998</v>
      </c>
      <c r="W26">
        <v>9.24</v>
      </c>
      <c r="X26" t="s">
        <v>449</v>
      </c>
      <c r="Y26" s="32" t="str">
        <f>HYPERLINK("http://exon.niaid.nih.gov/transcriptome/S_calcitrans/S1/links/tmhmm/XP_013119114.1-tmhmm.txt","1")</f>
        <v>1</v>
      </c>
      <c r="Z26">
        <v>21.1</v>
      </c>
      <c r="AA26">
        <v>4.4000000000000004</v>
      </c>
      <c r="AB26">
        <v>74.400000000000006</v>
      </c>
      <c r="AC26" t="s">
        <v>242</v>
      </c>
      <c r="AD26">
        <v>67</v>
      </c>
      <c r="AE26" s="32" t="str">
        <f>HYPERLINK("http://exon.niaid.nih.gov/transcriptome/S_calcitrans/S1/links/netoglyc/XP_013119114.1-netoglyc.txt","0")</f>
        <v>0</v>
      </c>
      <c r="AF26">
        <v>7.8</v>
      </c>
      <c r="AG26">
        <v>7.8</v>
      </c>
      <c r="AH26">
        <v>2.2000000000000002</v>
      </c>
      <c r="AI26">
        <v>3.3</v>
      </c>
      <c r="AJ26" t="s">
        <v>450</v>
      </c>
      <c r="AK26">
        <v>427.55030802635491</v>
      </c>
      <c r="AL26" s="33">
        <v>4717</v>
      </c>
      <c r="AM26">
        <v>1</v>
      </c>
      <c r="AN26" s="30">
        <f t="shared" si="0"/>
        <v>1</v>
      </c>
      <c r="AO26" s="30" t="s">
        <v>244</v>
      </c>
      <c r="AP26">
        <v>122</v>
      </c>
      <c r="AQ26" s="34">
        <v>4.7386747130916958E-4</v>
      </c>
      <c r="AR26" s="35">
        <v>37.026143412881808</v>
      </c>
      <c r="AS26" t="s">
        <v>451</v>
      </c>
      <c r="AT26" s="36" t="s">
        <v>439</v>
      </c>
      <c r="AU26" t="s">
        <v>440</v>
      </c>
      <c r="AV26" t="str">
        <f>HYPERLINK("http://exon.niaid.nih.gov/transcriptome/S_calcitrans/S1/links/NR-LIGHT/XP_013119114.1-NR-LIGHT.txt","NR-LIGHT")</f>
        <v>NR-LIGHT</v>
      </c>
      <c r="AW26" s="37">
        <v>4.0000000000000003E-30</v>
      </c>
      <c r="AX26">
        <v>98.9</v>
      </c>
      <c r="AY26" s="33"/>
      <c r="BG26" s="31"/>
      <c r="BJ26" s="33"/>
      <c r="BK26" s="33"/>
      <c r="BL26" s="33" t="str">
        <f>HYPERLINK("http://exon.niaid.nih.gov/transcriptome/S_calcitrans/S1/links/NR-LIGHT/XP_013119114.1-NR-LIGHT.txt","uncharacterized protein LOC101887540")</f>
        <v>uncharacterized protein LOC101887540</v>
      </c>
      <c r="BM26" t="str">
        <f>HYPERLINK("http://www.ncbi.nlm.nih.gov/sutils/blink.cgi?pid=755849045","9E-033")</f>
        <v>9E-033</v>
      </c>
      <c r="BN26" t="str">
        <f>HYPERLINK("http://www.ncbi.nlm.nih.gov/protein/755849045","gi|755849045")</f>
        <v>gi|755849045</v>
      </c>
      <c r="BO26">
        <v>75</v>
      </c>
      <c r="BP26">
        <v>81</v>
      </c>
      <c r="BQ26">
        <v>73</v>
      </c>
      <c r="BR26" t="s">
        <v>251</v>
      </c>
      <c r="BS26" s="33" t="str">
        <f>HYPERLINK("http://exon.niaid.nih.gov/transcriptome/S_calcitrans/S1/links/SWISSP/XP_013119114.1-SWISSP.txt","Phormicin")</f>
        <v>Phormicin</v>
      </c>
      <c r="BT26" t="str">
        <f>HYPERLINK("http://www.uniprot.org/uniprot/P10891","1E-033")</f>
        <v>1E-033</v>
      </c>
      <c r="BU26" t="str">
        <f>HYPERLINK("http://www.uniprot.org/uniprot/P10891#expression","P10891")</f>
        <v>P10891</v>
      </c>
      <c r="BV26">
        <v>69</v>
      </c>
      <c r="BW26">
        <v>77</v>
      </c>
      <c r="BX26">
        <v>99</v>
      </c>
      <c r="BY26" t="s">
        <v>441</v>
      </c>
      <c r="BZ26" s="33" t="str">
        <f>HYPERLINK("http://exon.niaid.nih.gov/transcriptome/S_calcitrans/S1/links/REFSEQ-INVERTEBRATE/XP_013119114.1-REFSEQ-INVERTEBRATE.txt","phormicin-like")</f>
        <v>phormicin-like</v>
      </c>
      <c r="CA26" t="str">
        <f>HYPERLINK("http://www.ncbi.nlm.nih.gov/sutils/blink.cgi?pid=907616699","3E-047")</f>
        <v>3E-047</v>
      </c>
      <c r="CB26" t="str">
        <f>HYPERLINK("http://www.ncbi.nlm.nih.gov/protein/907616699","gi|907616699")</f>
        <v>gi|907616699</v>
      </c>
      <c r="CC26">
        <v>100</v>
      </c>
      <c r="CD26">
        <v>100</v>
      </c>
      <c r="CE26">
        <v>100</v>
      </c>
      <c r="CF26" t="s">
        <v>253</v>
      </c>
      <c r="CG26" s="33" t="str">
        <f>HYPERLINK("http://exon.niaid.nih.gov/transcriptome/S_calcitrans/S1/links/DIPTERA/XP_013119114.1-DIPTERA.txt","phormicin-like")</f>
        <v>phormicin-like</v>
      </c>
      <c r="CH26" t="str">
        <f>HYPERLINK("http://www.ncbi.nlm.nih.gov/sutils/blink.cgi?pid=907616699","2E-047")</f>
        <v>2E-047</v>
      </c>
      <c r="CI26" t="str">
        <f>HYPERLINK("http://www.ncbi.nlm.nih.gov/protein/907616699","gi|907616699")</f>
        <v>gi|907616699</v>
      </c>
      <c r="CJ26">
        <v>100</v>
      </c>
      <c r="CK26">
        <v>100</v>
      </c>
      <c r="CL26">
        <v>100</v>
      </c>
      <c r="CM26" t="s">
        <v>253</v>
      </c>
      <c r="CN26" s="33" t="s">
        <v>242</v>
      </c>
      <c r="CO26" t="s">
        <v>242</v>
      </c>
      <c r="CP26" t="s">
        <v>242</v>
      </c>
      <c r="CQ26" t="s">
        <v>242</v>
      </c>
      <c r="CR26" t="s">
        <v>242</v>
      </c>
      <c r="CS26" t="s">
        <v>242</v>
      </c>
      <c r="CT26" t="s">
        <v>242</v>
      </c>
      <c r="CU26" s="33" t="s">
        <v>442</v>
      </c>
      <c r="CV26">
        <f>HYPERLINK("http://exon.niaid.nih.gov/transcriptome/S_calcitrans/S1/links/GO/XP_013119114.1-GO.txt",0.000000000000000002)</f>
        <v>2.0000000000000001E-18</v>
      </c>
      <c r="CW26" t="s">
        <v>242</v>
      </c>
      <c r="CX26" t="s">
        <v>242</v>
      </c>
      <c r="CY26" t="s">
        <v>242</v>
      </c>
      <c r="CZ26" t="s">
        <v>242</v>
      </c>
      <c r="DA26" t="s">
        <v>242</v>
      </c>
      <c r="DC26" t="s">
        <v>242</v>
      </c>
      <c r="DD26" t="s">
        <v>242</v>
      </c>
      <c r="DE26" s="33" t="str">
        <f>HYPERLINK("http://exon.niaid.nih.gov/transcriptome/S_calcitrans/S1/links/CDD/XP_013119114.1-CDD.txt","Defensin_2")</f>
        <v>Defensin_2</v>
      </c>
      <c r="DF26" t="str">
        <f>HYPERLINK("http://www.ncbi.nlm.nih.gov/Structure/cdd/cddsrv.cgi?uid=pfam01097&amp;version=v4.0","7E-007")</f>
        <v>7E-007</v>
      </c>
      <c r="DG26" t="s">
        <v>452</v>
      </c>
      <c r="DH26" s="33" t="str">
        <f>HYPERLINK("http://exon.niaid.nih.gov/transcriptome/S_calcitrans/S1/links/KOG/XP_013119114.1-KOG.txt","Phosphoglycerate mutase")</f>
        <v>Phosphoglycerate mutase</v>
      </c>
      <c r="DI26" t="str">
        <f>HYPERLINK("http://www.ncbi.nlm.nih.gov/Structure/cdd/cddsrv.cgi?uid=KOG4513","2.1")</f>
        <v>2.1</v>
      </c>
      <c r="DJ26" t="s">
        <v>444</v>
      </c>
      <c r="DK26" t="str">
        <f>HYPERLINK("http://exon.niaid.nih.gov/transcriptome/S_calcitrans/S1/links/KOG/XP_013119114.1-KOG.txt","KOG4513")</f>
        <v>KOG4513</v>
      </c>
      <c r="DL26" s="33" t="str">
        <f>HYPERLINK("http://exon.niaid.nih.gov/transcriptome/S_calcitrans/S1/links/PFAM/XP_013119114.1-PFAM.txt","Defensin_2")</f>
        <v>Defensin_2</v>
      </c>
      <c r="DM26" t="str">
        <f>HYPERLINK("http://pfam.sanger.ac.uk/family?acc=PF01097","2E-007")</f>
        <v>2E-007</v>
      </c>
      <c r="DN26" s="33" t="str">
        <f>HYPERLINK("http://exon.niaid.nih.gov/transcriptome/S_calcitrans/S1/links/SMART/XP_013119114.1-SMART.txt","Knot1")</f>
        <v>Knot1</v>
      </c>
      <c r="DO26" t="str">
        <f>HYPERLINK("http://smart.embl-heidelberg.de/smart/do_annotation.pl?DOMAIN=Knot1&amp;BLAST=DUMMY","7E-004")</f>
        <v>7E-004</v>
      </c>
      <c r="DP26" s="33"/>
      <c r="EB26" s="33">
        <f>HYPERLINK("http://exon.niaid.nih.gov/transcriptome/S_calcitrans/S1/links/cluster-b/Scalc-pep25-50SimCLU1.txt", 1)</f>
        <v>1</v>
      </c>
      <c r="EC26">
        <f>HYPERLINK("http://exon.niaid.nih.gov/transcriptome/S_calcitrans/S1/links/cluster-b/Scalc-pep25-50SimCLTL1.txt", 5170)</f>
        <v>5170</v>
      </c>
      <c r="ED26" s="33">
        <f>HYPERLINK("http://exon.niaid.nih.gov/transcriptome/S_calcitrans/S1/links/cluster-b/Scalc-pep30-50SimCLU1.txt", 1)</f>
        <v>1</v>
      </c>
      <c r="EE26">
        <f>HYPERLINK("http://exon.niaid.nih.gov/transcriptome/S_calcitrans/S1/links/cluster-b/Scalc-pep30-50SimCLTL1.txt", 1550)</f>
        <v>1550</v>
      </c>
      <c r="EF26" s="33">
        <f>HYPERLINK("http://exon.niaid.nih.gov/transcriptome/S_calcitrans/S1/links/cluster-b/Scalc-pep35-50SimCLU699.txt", 699)</f>
        <v>699</v>
      </c>
      <c r="EG26">
        <f>HYPERLINK("http://exon.niaid.nih.gov/transcriptome/S_calcitrans/S1/links/cluster-b/Scalc-pep35-50SimCLTL699.txt", 5)</f>
        <v>5</v>
      </c>
      <c r="EH26" s="33">
        <f>HYPERLINK("http://exon.niaid.nih.gov/transcriptome/S_calcitrans/S1/links/cluster-b/Scalc-pep40-50SimCLU685.txt", 685)</f>
        <v>685</v>
      </c>
      <c r="EI26">
        <f>HYPERLINK("http://exon.niaid.nih.gov/transcriptome/S_calcitrans/S1/links/cluster-b/Scalc-pep40-50SimCLTL685.txt", 5)</f>
        <v>5</v>
      </c>
      <c r="EJ26" s="33">
        <f>HYPERLINK("http://exon.niaid.nih.gov/transcriptome/S_calcitrans/S1/links/cluster-b/Scalc-pep45-50SimCLU677.txt", 677)</f>
        <v>677</v>
      </c>
      <c r="EK26">
        <f>HYPERLINK("http://exon.niaid.nih.gov/transcriptome/S_calcitrans/S1/links/cluster-b/Scalc-pep45-50SimCLTL677.txt", 5)</f>
        <v>5</v>
      </c>
      <c r="EL26" s="33">
        <f>HYPERLINK("http://exon.niaid.nih.gov/transcriptome/S_calcitrans/S1/links/cluster-b/Scalc-pep50-50SimCLU671.txt", 671)</f>
        <v>671</v>
      </c>
      <c r="EM26">
        <f>HYPERLINK("http://exon.niaid.nih.gov/transcriptome/S_calcitrans/S1/links/cluster-b/Scalc-pep50-50SimCLTL671.txt", 5)</f>
        <v>5</v>
      </c>
      <c r="EN26" s="33">
        <f>HYPERLINK("http://exon.niaid.nih.gov/transcriptome/S_calcitrans/S1/links/cluster-b/Scalc-pep55-50SimCLU629.txt", 629)</f>
        <v>629</v>
      </c>
      <c r="EO26">
        <f>HYPERLINK("http://exon.niaid.nih.gov/transcriptome/S_calcitrans/S1/links/cluster-b/Scalc-pep55-50SimCLTL629.txt", 5)</f>
        <v>5</v>
      </c>
      <c r="EP26" s="33">
        <f>HYPERLINK("http://exon.niaid.nih.gov/transcriptome/S_calcitrans/S1/links/cluster-b/Scalc-pep60-50SimCLU606.txt", 606)</f>
        <v>606</v>
      </c>
      <c r="EQ26">
        <f>HYPERLINK("http://exon.niaid.nih.gov/transcriptome/S_calcitrans/S1/links/cluster-b/Scalc-pep60-50SimCLTL606.txt", 5)</f>
        <v>5</v>
      </c>
      <c r="ER26" s="33">
        <f>HYPERLINK("http://exon.niaid.nih.gov/transcriptome/S_calcitrans/S1/links/cluster-b/Scalc-pep65-50SimCLU560.txt", 560)</f>
        <v>560</v>
      </c>
      <c r="ES26">
        <f>HYPERLINK("http://exon.niaid.nih.gov/transcriptome/S_calcitrans/S1/links/cluster-b/Scalc-pep65-50SimCLTL560.txt", 5)</f>
        <v>5</v>
      </c>
      <c r="ET26" s="33">
        <f>HYPERLINK("http://exon.niaid.nih.gov/transcriptome/S_calcitrans/S1/links/cluster-b/Scalc-pep70-50SimCLU517.txt", 517)</f>
        <v>517</v>
      </c>
      <c r="EU26">
        <f>HYPERLINK("http://exon.niaid.nih.gov/transcriptome/S_calcitrans/S1/links/cluster-b/Scalc-pep70-50SimCLTL517.txt", 5)</f>
        <v>5</v>
      </c>
      <c r="EV26" s="33">
        <f>HYPERLINK("http://exon.niaid.nih.gov/transcriptome/S_calcitrans/S1/links/cluster-b/Scalc-pep75-50SimCLU713.txt", 713)</f>
        <v>713</v>
      </c>
      <c r="EW26">
        <f>HYPERLINK("http://exon.niaid.nih.gov/transcriptome/S_calcitrans/S1/links/cluster-b/Scalc-pep75-50SimCLTL713.txt", 4)</f>
        <v>4</v>
      </c>
      <c r="EX26" s="33">
        <f>HYPERLINK("http://exon.niaid.nih.gov/transcriptome/S_calcitrans/S1/links/cluster-b/Scalc-pep80-50SimCLU1121.txt", 1121)</f>
        <v>1121</v>
      </c>
      <c r="EY26">
        <f>HYPERLINK("http://exon.niaid.nih.gov/transcriptome/S_calcitrans/S1/links/cluster-b/Scalc-pep80-50SimCLTL1121.txt", 3)</f>
        <v>3</v>
      </c>
      <c r="EZ26" s="33">
        <f>HYPERLINK("http://exon.niaid.nih.gov/transcriptome/S_calcitrans/S1/links/cluster-b/Scalc-pep85-50SimCLU1043.txt", 1043)</f>
        <v>1043</v>
      </c>
      <c r="FA26">
        <f>HYPERLINK("http://exon.niaid.nih.gov/transcriptome/S_calcitrans/S1/links/cluster-b/Scalc-pep85-50SimCLTL1043.txt", 3)</f>
        <v>3</v>
      </c>
      <c r="FB26" s="33">
        <v>4811</v>
      </c>
      <c r="FC26">
        <v>1</v>
      </c>
      <c r="FD26" s="33">
        <v>4717</v>
      </c>
      <c r="FE26">
        <v>1</v>
      </c>
      <c r="FF26" t="s">
        <v>453</v>
      </c>
      <c r="FG26">
        <v>3198</v>
      </c>
      <c r="FH26" s="38" t="str">
        <f>HYPERLINK("http://exon.niaid.nih.gov/transcriptome/S_calcitrans/S1/links/SG_male-stripped_temp-95-h10-1gap/3198-SG_male-stripped_temp-95-h10-1gap.txt","40")</f>
        <v>40</v>
      </c>
      <c r="FI26" s="39">
        <v>100</v>
      </c>
      <c r="FJ26" s="39">
        <v>10.553113553113601</v>
      </c>
      <c r="FK26" s="39">
        <v>2</v>
      </c>
      <c r="FL26" s="39">
        <v>21</v>
      </c>
      <c r="FM26" s="39">
        <v>72.025000000000006</v>
      </c>
      <c r="FN26" s="38" t="str">
        <f>HYPERLINK("http://exon.niaid.nih.gov/transcriptome/S_calcitrans/S1/links/SG_female-stripped_temp-95-h10-1gap/3198-SG_female-stripped_temp-95-h10-1gap.txt","82")</f>
        <v>82</v>
      </c>
      <c r="FO26" s="39">
        <v>100</v>
      </c>
      <c r="FP26" s="39">
        <v>21.278388278388299</v>
      </c>
      <c r="FQ26" s="39">
        <v>2</v>
      </c>
      <c r="FR26" s="39">
        <v>50</v>
      </c>
      <c r="FS26" s="39">
        <v>70.841463414634106</v>
      </c>
      <c r="FT26" s="38">
        <v>0</v>
      </c>
      <c r="FU26" s="39" t="s">
        <v>242</v>
      </c>
      <c r="FV26" s="39" t="s">
        <v>242</v>
      </c>
      <c r="FW26" s="39" t="s">
        <v>242</v>
      </c>
      <c r="FX26" s="39" t="s">
        <v>242</v>
      </c>
      <c r="FY26" s="39" t="s">
        <v>242</v>
      </c>
      <c r="FZ26" s="38">
        <v>0</v>
      </c>
      <c r="GA26" s="39" t="s">
        <v>242</v>
      </c>
      <c r="GB26" s="39" t="s">
        <v>242</v>
      </c>
      <c r="GC26" s="39" t="s">
        <v>242</v>
      </c>
      <c r="GD26" s="39" t="s">
        <v>242</v>
      </c>
      <c r="GE26" s="39" t="s">
        <v>242</v>
      </c>
      <c r="GF26">
        <f t="shared" si="48"/>
        <v>40</v>
      </c>
      <c r="GG26">
        <f t="shared" si="49"/>
        <v>82</v>
      </c>
      <c r="GH26">
        <f t="shared" si="50"/>
        <v>0</v>
      </c>
      <c r="GI26">
        <f t="shared" si="51"/>
        <v>0</v>
      </c>
      <c r="GJ26">
        <f t="shared" si="52"/>
        <v>122</v>
      </c>
      <c r="GK26" s="34">
        <v>4.7386747130916958E-4</v>
      </c>
      <c r="GL26">
        <v>4.792910664158204</v>
      </c>
      <c r="GM26">
        <v>4.4681160561557096</v>
      </c>
      <c r="GN26">
        <v>0</v>
      </c>
      <c r="GO26">
        <v>0</v>
      </c>
      <c r="GP26">
        <f t="shared" si="53"/>
        <v>4.792910664158204</v>
      </c>
      <c r="GQ26" t="s">
        <v>440</v>
      </c>
      <c r="GR26">
        <v>3.7379500735725379</v>
      </c>
      <c r="GS26">
        <v>3.6672786090038243</v>
      </c>
      <c r="GT26">
        <v>0</v>
      </c>
      <c r="GU26">
        <v>0</v>
      </c>
      <c r="GV26">
        <f t="shared" si="54"/>
        <v>3.7379500735725379</v>
      </c>
      <c r="GW26">
        <v>37.026143412881808</v>
      </c>
      <c r="GX26">
        <v>122</v>
      </c>
      <c r="GY26">
        <v>0</v>
      </c>
      <c r="GZ26">
        <v>122</v>
      </c>
      <c r="HA26">
        <v>27.083962619280715</v>
      </c>
      <c r="HB26">
        <v>94.916037380719288</v>
      </c>
      <c r="HC26">
        <v>332.6342706456357</v>
      </c>
      <c r="HD26">
        <v>94.916037380719288</v>
      </c>
      <c r="HE26">
        <v>427.55030802635497</v>
      </c>
      <c r="HF26">
        <v>5.5471101753600708E-95</v>
      </c>
      <c r="HG26">
        <v>27.083962619280715</v>
      </c>
      <c r="HH26">
        <v>1</v>
      </c>
      <c r="HI26">
        <v>1</v>
      </c>
      <c r="HJ26">
        <v>2</v>
      </c>
      <c r="HK26" s="37">
        <v>1.2927708865358699E-94</v>
      </c>
      <c r="HL26" s="30" t="s">
        <v>262</v>
      </c>
      <c r="HM26">
        <v>427.55030802635491</v>
      </c>
      <c r="HN26">
        <v>0</v>
      </c>
      <c r="HO26">
        <v>40</v>
      </c>
      <c r="HP26">
        <v>82</v>
      </c>
      <c r="HQ26">
        <v>122</v>
      </c>
      <c r="HR26">
        <v>38.136705260703984</v>
      </c>
      <c r="HS26">
        <v>83.863294739296009</v>
      </c>
      <c r="HT26">
        <v>9.1037420819506845E-2</v>
      </c>
      <c r="HU26">
        <v>4.1399128143976463E-2</v>
      </c>
      <c r="HV26">
        <v>0.13243654896348331</v>
      </c>
      <c r="HW26">
        <v>0.7159189984707055</v>
      </c>
      <c r="HX26">
        <v>38.136705260703984</v>
      </c>
      <c r="HY26">
        <v>1</v>
      </c>
      <c r="HZ26" t="s">
        <v>244</v>
      </c>
      <c r="IA26">
        <v>1</v>
      </c>
      <c r="IB26">
        <v>1</v>
      </c>
      <c r="IC26" s="30" t="s">
        <v>244</v>
      </c>
      <c r="ID26">
        <v>1.0597676275705101</v>
      </c>
      <c r="IE26">
        <v>0.90949694688859362</v>
      </c>
      <c r="IF26">
        <v>1.0597676275705101</v>
      </c>
      <c r="IG26" t="str">
        <f t="shared" si="1"/>
        <v/>
      </c>
    </row>
    <row r="27" spans="1:241">
      <c r="A27" t="str">
        <f>HYPERLINK("http://exon.niaid.nih.gov/transcriptome/S_calcitrans/S1/links/pep/XP_013101019.1-pep.txt","XP_013101019.1")</f>
        <v>XP_013101019.1</v>
      </c>
      <c r="B27" s="30" t="s">
        <v>232</v>
      </c>
      <c r="C27">
        <v>83</v>
      </c>
      <c r="D27" t="s">
        <v>454</v>
      </c>
      <c r="E27">
        <v>0</v>
      </c>
      <c r="F27" t="s">
        <v>455</v>
      </c>
      <c r="G27" t="str">
        <f>HYPERLINK("http://exon.niaid.nih.gov/transcriptome/S_calcitrans/S1/links/cds/XM_013245565_1-cds.txt","XM_013245565_1")</f>
        <v>XM_013245565_1</v>
      </c>
      <c r="H27">
        <v>252</v>
      </c>
      <c r="I27" t="s">
        <v>456</v>
      </c>
      <c r="J27" s="30" t="s">
        <v>236</v>
      </c>
      <c r="K27" s="30" t="s">
        <v>91</v>
      </c>
      <c r="L27" s="31" t="s">
        <v>457</v>
      </c>
      <c r="M27" s="30">
        <v>344993</v>
      </c>
      <c r="N27" s="30">
        <v>345244</v>
      </c>
      <c r="O27" s="30" t="s">
        <v>276</v>
      </c>
      <c r="P27" s="30">
        <v>1</v>
      </c>
      <c r="Q27" s="31" t="s">
        <v>458</v>
      </c>
      <c r="R27" s="32" t="str">
        <f>HYPERLINK("http://exon.niaid.nih.gov/transcriptome/S_calcitrans/S1/links/Sigp/XP_013101019.1-SigP.txt","SIG")</f>
        <v>SIG</v>
      </c>
      <c r="S27" t="s">
        <v>240</v>
      </c>
      <c r="T27">
        <v>8.8859999999999992</v>
      </c>
      <c r="U27">
        <v>9.69</v>
      </c>
      <c r="V27">
        <v>6.5369999999999999</v>
      </c>
      <c r="W27">
        <v>9.89</v>
      </c>
      <c r="X27" t="s">
        <v>459</v>
      </c>
      <c r="Y27" s="32">
        <v>0</v>
      </c>
      <c r="Z27" t="s">
        <v>242</v>
      </c>
      <c r="AA27" t="s">
        <v>242</v>
      </c>
      <c r="AB27" t="s">
        <v>242</v>
      </c>
      <c r="AC27" t="s">
        <v>242</v>
      </c>
      <c r="AD27" t="s">
        <v>242</v>
      </c>
      <c r="AE27" s="32" t="str">
        <f>HYPERLINK("http://exon.niaid.nih.gov/transcriptome/S_calcitrans/S1/links/netoglyc/XP_013101019.1-netoglyc.txt","0")</f>
        <v>0</v>
      </c>
      <c r="AF27">
        <v>3.6</v>
      </c>
      <c r="AG27">
        <v>33.700000000000003</v>
      </c>
      <c r="AH27" t="s">
        <v>460</v>
      </c>
      <c r="AI27">
        <v>14.5</v>
      </c>
      <c r="AJ27" t="s">
        <v>461</v>
      </c>
      <c r="AK27">
        <v>196208.79402152088</v>
      </c>
      <c r="AL27" s="33">
        <v>6726</v>
      </c>
      <c r="AM27">
        <v>1</v>
      </c>
      <c r="AN27" s="30">
        <f t="shared" si="0"/>
        <v>1</v>
      </c>
      <c r="AO27" s="30" t="s">
        <v>244</v>
      </c>
      <c r="AP27">
        <v>223950</v>
      </c>
      <c r="AQ27" s="34">
        <v>0.86985754262039783</v>
      </c>
      <c r="AR27" s="35">
        <v>108695.65025924174</v>
      </c>
      <c r="AS27" t="s">
        <v>462</v>
      </c>
      <c r="AT27" s="36" t="s">
        <v>463</v>
      </c>
      <c r="AU27" t="s">
        <v>464</v>
      </c>
      <c r="AV27" t="str">
        <f>HYPERLINK("http://exon.niaid.nih.gov/transcriptome/S_calcitrans/S1/links/DIPTERA/XP_013101019.1-DIPTERA.txt","DIPTERA")</f>
        <v>DIPTERA</v>
      </c>
      <c r="AW27" s="37">
        <v>4.9999999999999999E-17</v>
      </c>
      <c r="AX27">
        <v>97.6</v>
      </c>
      <c r="AY27" s="33" t="str">
        <f>HYPERLINK("http://exon.niaid.nih.gov/transcriptome/S_calcitrans/S1/links/WANG/XP_013101019.1-WANG.txt","SC-4-22-3")</f>
        <v>SC-4-22-3</v>
      </c>
      <c r="AZ27">
        <v>9.9999999999999997E-48</v>
      </c>
      <c r="BA27">
        <v>86</v>
      </c>
      <c r="BB27">
        <v>86</v>
      </c>
      <c r="BC27">
        <v>95</v>
      </c>
      <c r="BD27">
        <v>96</v>
      </c>
      <c r="BE27">
        <v>100</v>
      </c>
      <c r="BF27" t="s">
        <v>248</v>
      </c>
      <c r="BG27" s="31" t="s">
        <v>465</v>
      </c>
      <c r="BH27" t="s">
        <v>466</v>
      </c>
      <c r="BI27">
        <v>16</v>
      </c>
      <c r="BJ27" s="33" t="str">
        <f>HYPERLINK("http://exon.niaid.nih.gov/transcriptome/S_calcitrans/S1/links/TICK-BLOCKS/XP_013101019.1-TICK-BLOCKS.txt","GGY_REPEATS |")</f>
        <v>GGY_REPEATS |</v>
      </c>
      <c r="BK27" s="33" t="s">
        <v>467</v>
      </c>
      <c r="BL27" s="33" t="str">
        <f>HYPERLINK("http://exon.niaid.nih.gov/transcriptome/S_calcitrans/S1/links/NR-LIGHT/XP_013101019.1-NR-LIGHT.txt","neuropeptide-like protein 29")</f>
        <v>neuropeptide-like protein 29</v>
      </c>
      <c r="BM27" t="str">
        <f>HYPERLINK("http://www.ncbi.nlm.nih.gov/sutils/blink.cgi?pid=557759870","2E-016")</f>
        <v>2E-016</v>
      </c>
      <c r="BN27" t="str">
        <f>HYPERLINK("http://www.ncbi.nlm.nih.gov/protein/557759870","gi|557759870")</f>
        <v>gi|557759870</v>
      </c>
      <c r="BO27">
        <v>58</v>
      </c>
      <c r="BP27">
        <v>72</v>
      </c>
      <c r="BQ27">
        <v>98</v>
      </c>
      <c r="BR27" t="s">
        <v>251</v>
      </c>
      <c r="BS27" s="33" t="str">
        <f>HYPERLINK("http://exon.niaid.nih.gov/transcriptome/S_calcitrans/S1/links/SWISSP/XP_013101019.1-SWISSP.txt","Protein decapping 5")</f>
        <v>Protein decapping 5</v>
      </c>
      <c r="BT27" t="str">
        <f>HYPERLINK("http://www.uniprot.org/uniprot/Q9C658","2E-010")</f>
        <v>2E-010</v>
      </c>
      <c r="BU27" t="str">
        <f>HYPERLINK("http://www.uniprot.org/uniprot/Q9C658#expression","Q9C658")</f>
        <v>Q9C658</v>
      </c>
      <c r="BV27">
        <v>61</v>
      </c>
      <c r="BW27">
        <v>66</v>
      </c>
      <c r="BX27">
        <v>9</v>
      </c>
      <c r="BY27" t="s">
        <v>468</v>
      </c>
      <c r="BZ27" s="33" t="str">
        <f>HYPERLINK("http://exon.niaid.nih.gov/transcriptome/S_calcitrans/S1/links/REFSEQ-INVERTEBRATE/XP_013101019.1-REFSEQ-INVERTEBRATE.txt","prismalin-14")</f>
        <v>prismalin-14</v>
      </c>
      <c r="CA27" t="str">
        <f>HYPERLINK("http://www.ncbi.nlm.nih.gov/sutils/blink.cgi?pid=907644021","9E-045")</f>
        <v>9E-045</v>
      </c>
      <c r="CB27" t="str">
        <f>HYPERLINK("http://www.ncbi.nlm.nih.gov/protein/907644021","gi|907644021")</f>
        <v>gi|907644021</v>
      </c>
      <c r="CC27">
        <v>100</v>
      </c>
      <c r="CD27">
        <v>100</v>
      </c>
      <c r="CE27">
        <v>100</v>
      </c>
      <c r="CF27" t="s">
        <v>253</v>
      </c>
      <c r="CG27" s="33" t="str">
        <f>HYPERLINK("http://exon.niaid.nih.gov/transcriptome/S_calcitrans/S1/links/DIPTERA/XP_013101019.1-DIPTERA.txt","prismalin-14")</f>
        <v>prismalin-14</v>
      </c>
      <c r="CH27" t="str">
        <f>HYPERLINK("http://www.ncbi.nlm.nih.gov/sutils/blink.cgi?pid=907644021","5E-045")</f>
        <v>5E-045</v>
      </c>
      <c r="CI27" t="str">
        <f>HYPERLINK("http://www.ncbi.nlm.nih.gov/protein/907644021","gi|907644021")</f>
        <v>gi|907644021</v>
      </c>
      <c r="CJ27">
        <v>100</v>
      </c>
      <c r="CK27">
        <v>100</v>
      </c>
      <c r="CL27">
        <v>100</v>
      </c>
      <c r="CM27" t="s">
        <v>253</v>
      </c>
      <c r="CN27" s="33" t="str">
        <f>HYPERLINK("http://exon.niaid.nih.gov/transcriptome/S_calcitrans/S1/links/VIRUS/XP_013101019.1-VIRUS.txt","orf98 gene product")</f>
        <v>orf98 gene product</v>
      </c>
      <c r="CO27" t="str">
        <f>HYPERLINK("http://www.ncbi.nlm.nih.gov/sutils/blink.cgi?pid=370703044","9E-009")</f>
        <v>9E-009</v>
      </c>
      <c r="CP27" t="str">
        <f>HYPERLINK("http://www.ncbi.nlm.nih.gov/protein/370703044","gi|370703044")</f>
        <v>gi|370703044</v>
      </c>
      <c r="CQ27">
        <v>60</v>
      </c>
      <c r="CR27">
        <v>66</v>
      </c>
      <c r="CS27">
        <v>4</v>
      </c>
      <c r="CT27" t="s">
        <v>469</v>
      </c>
      <c r="CU27" s="33" t="s">
        <v>470</v>
      </c>
      <c r="CV27">
        <f>HYPERLINK("http://exon.niaid.nih.gov/transcriptome/S_calcitrans/S1/links/GO/XP_013101019.1-GO.txt",0.00000000009)</f>
        <v>8.9999999999999999E-11</v>
      </c>
      <c r="CW27" t="str">
        <f>HYPERLINK("http://amigo.geneontology.org/cgi-bin/amigo/term_details?term=GO:0003674","GO:0003674")</f>
        <v>GO:0003674</v>
      </c>
      <c r="CX27" t="s">
        <v>255</v>
      </c>
      <c r="CY27" t="s">
        <v>256</v>
      </c>
      <c r="CZ27" t="s">
        <v>257</v>
      </c>
      <c r="DA27" t="s">
        <v>242</v>
      </c>
      <c r="DC27" t="s">
        <v>258</v>
      </c>
      <c r="DD27">
        <v>8.9999999999999999E-11</v>
      </c>
      <c r="DE27" s="33" t="str">
        <f>HYPERLINK("http://exon.niaid.nih.gov/transcriptome/S_calcitrans/S1/links/CDD/XP_013101019.1-CDD.txt","PTZ00146")</f>
        <v>PTZ00146</v>
      </c>
      <c r="DF27" t="str">
        <f>HYPERLINK("http://www.ncbi.nlm.nih.gov/Structure/cdd/cddsrv.cgi?uid=PTZ00146&amp;version=v4.0","5E-004")</f>
        <v>5E-004</v>
      </c>
      <c r="DG27" t="s">
        <v>471</v>
      </c>
      <c r="DH27" s="33" t="str">
        <f>HYPERLINK("http://exon.niaid.nih.gov/transcriptome/S_calcitrans/S1/links/KOG/XP_013101019.1-KOG.txt","Dosage compensation complex, subunit MLE")</f>
        <v>Dosage compensation complex, subunit MLE</v>
      </c>
      <c r="DI27" t="str">
        <f>HYPERLINK("http://www.ncbi.nlm.nih.gov/Structure/cdd/cddsrv.cgi?uid=KOG0921","9E-007")</f>
        <v>9E-007</v>
      </c>
      <c r="DJ27" t="s">
        <v>392</v>
      </c>
      <c r="DK27" t="str">
        <f>HYPERLINK("http://exon.niaid.nih.gov/transcriptome/S_calcitrans/S1/links/KOG/XP_013101019.1-KOG.txt","KOG0921")</f>
        <v>KOG0921</v>
      </c>
      <c r="DL27" s="33" t="str">
        <f>HYPERLINK("http://exon.niaid.nih.gov/transcriptome/S_calcitrans/S1/links/PFAM/XP_013101019.1-PFAM.txt","API5")</f>
        <v>API5</v>
      </c>
      <c r="DM27" t="str">
        <f>HYPERLINK("http://pfam.sanger.ac.uk/family?acc=PF05918","2E-004")</f>
        <v>2E-004</v>
      </c>
      <c r="DN27" s="33" t="str">
        <f>HYPERLINK("http://exon.niaid.nih.gov/transcriptome/S_calcitrans/S1/links/SMART/XP_013101019.1-SMART.txt","PRP")</f>
        <v>PRP</v>
      </c>
      <c r="DO27" t="str">
        <f>HYPERLINK("http://smart.embl-heidelberg.de/smart/do_annotation.pl?DOMAIN=PRP&amp;BLAST=DUMMY","0.36")</f>
        <v>0.36</v>
      </c>
      <c r="DP27" s="33"/>
      <c r="EB27" s="33">
        <f>HYPERLINK("http://exon.niaid.nih.gov/transcriptome/S_calcitrans/S1/links/cluster-b/Scalc-pep25-50SimCLU1.txt", 1)</f>
        <v>1</v>
      </c>
      <c r="EC27">
        <f>HYPERLINK("http://exon.niaid.nih.gov/transcriptome/S_calcitrans/S1/links/cluster-b/Scalc-pep25-50SimCLTL1.txt", 5170)</f>
        <v>5170</v>
      </c>
      <c r="ED27" s="33">
        <f>HYPERLINK("http://exon.niaid.nih.gov/transcriptome/S_calcitrans/S1/links/cluster-b/Scalc-pep30-50SimCLU1.txt", 1)</f>
        <v>1</v>
      </c>
      <c r="EE27">
        <f>HYPERLINK("http://exon.niaid.nih.gov/transcriptome/S_calcitrans/S1/links/cluster-b/Scalc-pep30-50SimCLTL1.txt", 1550)</f>
        <v>1550</v>
      </c>
      <c r="EF27" s="33">
        <f>HYPERLINK("http://exon.niaid.nih.gov/transcriptome/S_calcitrans/S1/links/cluster-b/Scalc-pep35-50SimCLU1.txt", 1)</f>
        <v>1</v>
      </c>
      <c r="EG27">
        <f>HYPERLINK("http://exon.niaid.nih.gov/transcriptome/S_calcitrans/S1/links/cluster-b/Scalc-pep35-50SimCLTL1.txt", 566)</f>
        <v>566</v>
      </c>
      <c r="EH27" s="33">
        <f>HYPERLINK("http://exon.niaid.nih.gov/transcriptome/S_calcitrans/S1/links/cluster-b/Scalc-pep40-50SimCLU1.txt", 1)</f>
        <v>1</v>
      </c>
      <c r="EI27">
        <f>HYPERLINK("http://exon.niaid.nih.gov/transcriptome/S_calcitrans/S1/links/cluster-b/Scalc-pep40-50SimCLTL1.txt", 404)</f>
        <v>404</v>
      </c>
      <c r="EJ27" s="33">
        <f>HYPERLINK("http://exon.niaid.nih.gov/transcriptome/S_calcitrans/S1/links/cluster-b/Scalc-pep45-50SimCLU8.txt", 8)</f>
        <v>8</v>
      </c>
      <c r="EK27">
        <f>HYPERLINK("http://exon.niaid.nih.gov/transcriptome/S_calcitrans/S1/links/cluster-b/Scalc-pep45-50SimCLTL8.txt", 56)</f>
        <v>56</v>
      </c>
      <c r="EL27" s="33">
        <f>HYPERLINK("http://exon.niaid.nih.gov/transcriptome/S_calcitrans/S1/links/cluster-b/Scalc-pep50-50SimCLU10.txt", 10)</f>
        <v>10</v>
      </c>
      <c r="EM27">
        <f>HYPERLINK("http://exon.niaid.nih.gov/transcriptome/S_calcitrans/S1/links/cluster-b/Scalc-pep50-50SimCLTL10.txt", 45)</f>
        <v>45</v>
      </c>
      <c r="EN27" s="33">
        <v>5851</v>
      </c>
      <c r="EO27">
        <v>1</v>
      </c>
      <c r="EP27" s="33">
        <v>6050</v>
      </c>
      <c r="EQ27">
        <v>1</v>
      </c>
      <c r="ER27" s="33">
        <v>6206</v>
      </c>
      <c r="ES27">
        <v>1</v>
      </c>
      <c r="ET27" s="33">
        <v>6325</v>
      </c>
      <c r="EU27">
        <v>1</v>
      </c>
      <c r="EV27" s="33">
        <v>6429</v>
      </c>
      <c r="EW27">
        <v>1</v>
      </c>
      <c r="EX27" s="33">
        <v>6518</v>
      </c>
      <c r="EY27">
        <v>1</v>
      </c>
      <c r="EZ27" s="33">
        <v>6584</v>
      </c>
      <c r="FA27">
        <v>1</v>
      </c>
      <c r="FB27" s="33">
        <v>6638</v>
      </c>
      <c r="FC27">
        <v>1</v>
      </c>
      <c r="FD27" s="33">
        <v>6726</v>
      </c>
      <c r="FE27">
        <v>1</v>
      </c>
      <c r="FF27" t="s">
        <v>472</v>
      </c>
      <c r="FG27">
        <v>7098</v>
      </c>
      <c r="FH27" s="38" t="str">
        <f>HYPERLINK("http://exon.niaid.nih.gov/transcriptome/S_calcitrans/S1/links/SG_male-stripped_temp-95-h10-1gap/7098-SG_male-stripped_temp-95-h10-1gap.txt","89645")</f>
        <v>89645</v>
      </c>
      <c r="FI27" s="39">
        <v>100</v>
      </c>
      <c r="FJ27" s="39">
        <v>21619.0793650794</v>
      </c>
      <c r="FK27" s="39">
        <v>241</v>
      </c>
      <c r="FL27" s="39">
        <v>31999</v>
      </c>
      <c r="FM27" s="39">
        <v>71.932321936527401</v>
      </c>
      <c r="FN27" s="38" t="str">
        <f>HYPERLINK("http://exon.niaid.nih.gov/transcriptome/S_calcitrans/S1/links/SG_female-stripped_temp-95-h10-1gap/7098-SG_female-stripped_temp-95-h10-1gap.txt","134305")</f>
        <v>134305</v>
      </c>
      <c r="FO27" s="39">
        <v>100</v>
      </c>
      <c r="FP27" s="39">
        <v>25160.853174603199</v>
      </c>
      <c r="FQ27" s="39">
        <v>430</v>
      </c>
      <c r="FR27" s="39">
        <v>31999</v>
      </c>
      <c r="FS27" s="39">
        <v>71.798488514947294</v>
      </c>
      <c r="FT27" s="38" t="str">
        <f>HYPERLINK("http://exon.niaid.nih.gov/transcriptome/S_calcitrans/S1/links/SRR694289-stripped_temp-95-h10-1gap/7098-SRR694289-stripped_temp-95-h10-1gap.txt","3")</f>
        <v>3</v>
      </c>
      <c r="FU27" s="39">
        <v>44.841269841269799</v>
      </c>
      <c r="FV27" s="39">
        <v>1.09920634920635</v>
      </c>
      <c r="FW27" s="39">
        <v>0</v>
      </c>
      <c r="FX27" s="39">
        <v>3</v>
      </c>
      <c r="FY27" s="39">
        <v>92.3333333333333</v>
      </c>
      <c r="FZ27" s="38">
        <v>0</v>
      </c>
      <c r="GA27" s="39" t="s">
        <v>242</v>
      </c>
      <c r="GB27" s="39" t="s">
        <v>242</v>
      </c>
      <c r="GC27" s="39" t="s">
        <v>242</v>
      </c>
      <c r="GD27" s="39" t="s">
        <v>242</v>
      </c>
      <c r="GE27" s="39" t="s">
        <v>242</v>
      </c>
      <c r="GF27">
        <f t="shared" si="48"/>
        <v>89645</v>
      </c>
      <c r="GG27">
        <f t="shared" si="49"/>
        <v>134305</v>
      </c>
      <c r="GH27">
        <f t="shared" si="50"/>
        <v>3</v>
      </c>
      <c r="GI27">
        <f t="shared" si="51"/>
        <v>0</v>
      </c>
      <c r="GJ27">
        <f t="shared" si="52"/>
        <v>223950</v>
      </c>
      <c r="GK27" s="34">
        <v>0.86985754262039783</v>
      </c>
      <c r="GL27">
        <v>11636.637904895852</v>
      </c>
      <c r="GM27">
        <v>7928.0226117742923</v>
      </c>
      <c r="GN27">
        <v>6.8431057749247459E-2</v>
      </c>
      <c r="GO27">
        <v>0</v>
      </c>
      <c r="GP27">
        <f t="shared" si="53"/>
        <v>11636.637904895852</v>
      </c>
      <c r="GQ27" t="s">
        <v>473</v>
      </c>
      <c r="GR27">
        <v>9075.3144718548592</v>
      </c>
      <c r="GS27">
        <v>6507.0529436680508</v>
      </c>
      <c r="GT27">
        <v>0.12335778274805467</v>
      </c>
      <c r="GU27">
        <v>0</v>
      </c>
      <c r="GV27">
        <f t="shared" si="54"/>
        <v>9075.3144718548592</v>
      </c>
      <c r="GW27">
        <v>108695.65025924174</v>
      </c>
      <c r="GX27">
        <v>223950</v>
      </c>
      <c r="GY27">
        <v>3</v>
      </c>
      <c r="GZ27">
        <v>223953</v>
      </c>
      <c r="HA27">
        <v>49717.497380948967</v>
      </c>
      <c r="HB27">
        <v>174235.50261905103</v>
      </c>
      <c r="HC27">
        <v>610589.16011589055</v>
      </c>
      <c r="HD27">
        <v>174229.50267070523</v>
      </c>
      <c r="HE27">
        <v>784818.66278659576</v>
      </c>
      <c r="HF27">
        <v>0</v>
      </c>
      <c r="HG27">
        <v>49717.497380948967</v>
      </c>
      <c r="HH27">
        <v>1</v>
      </c>
      <c r="HI27">
        <v>1</v>
      </c>
      <c r="HJ27">
        <v>2</v>
      </c>
      <c r="HK27">
        <v>0</v>
      </c>
      <c r="HL27" s="30" t="s">
        <v>262</v>
      </c>
      <c r="HM27">
        <v>196208.79402152088</v>
      </c>
      <c r="HN27">
        <v>3.8224415719657795E-6</v>
      </c>
      <c r="HO27">
        <v>89645</v>
      </c>
      <c r="HP27">
        <v>134305</v>
      </c>
      <c r="HQ27">
        <v>223950</v>
      </c>
      <c r="HR27">
        <v>70005.8618289726</v>
      </c>
      <c r="HS27">
        <v>153944.13817102739</v>
      </c>
      <c r="HT27">
        <v>5509.4778926224371</v>
      </c>
      <c r="HU27">
        <v>2505.4266611451503</v>
      </c>
      <c r="HV27">
        <v>8014.9045537675875</v>
      </c>
      <c r="HW27">
        <v>0</v>
      </c>
      <c r="HX27">
        <v>70005.8618289726</v>
      </c>
      <c r="HY27">
        <v>1</v>
      </c>
      <c r="HZ27">
        <v>1</v>
      </c>
      <c r="IA27">
        <v>2</v>
      </c>
      <c r="IB27">
        <v>0</v>
      </c>
      <c r="IC27" s="30" t="s">
        <v>262</v>
      </c>
      <c r="ID27">
        <v>1.4677747317330099</v>
      </c>
      <c r="IE27">
        <v>0.68129078515423191</v>
      </c>
      <c r="IF27">
        <v>1.4677747317330099</v>
      </c>
      <c r="IG27" t="str">
        <f t="shared" si="1"/>
        <v/>
      </c>
    </row>
    <row r="28" spans="1:241">
      <c r="A28" t="str">
        <f>HYPERLINK("http://exon.niaid.nih.gov/transcriptome/S_calcitrans/S1/links/pep/XP_013106342.1-pep.txt","XP_013106342.1")</f>
        <v>XP_013106342.1</v>
      </c>
      <c r="B28" s="30" t="s">
        <v>232</v>
      </c>
      <c r="C28">
        <v>96</v>
      </c>
      <c r="D28" t="s">
        <v>474</v>
      </c>
      <c r="E28">
        <v>1</v>
      </c>
      <c r="F28" t="s">
        <v>475</v>
      </c>
      <c r="G28" t="str">
        <f>HYPERLINK("http://exon.niaid.nih.gov/transcriptome/S_calcitrans/S1/links/cds/XM_013250888_1-cds.txt","XM_013250888_1")</f>
        <v>XM_013250888_1</v>
      </c>
      <c r="H28">
        <v>291</v>
      </c>
      <c r="I28" t="s">
        <v>476</v>
      </c>
      <c r="J28" s="30" t="s">
        <v>236</v>
      </c>
      <c r="K28" s="30" t="s">
        <v>91</v>
      </c>
      <c r="L28" s="31" t="s">
        <v>477</v>
      </c>
      <c r="M28" s="30">
        <v>406546</v>
      </c>
      <c r="N28" s="30">
        <v>406931</v>
      </c>
      <c r="O28" s="30" t="s">
        <v>276</v>
      </c>
      <c r="P28" s="30">
        <v>2</v>
      </c>
      <c r="Q28" s="31" t="s">
        <v>478</v>
      </c>
      <c r="R28" s="32" t="str">
        <f>HYPERLINK("http://exon.niaid.nih.gov/transcriptome/S_calcitrans/S1/links/Sigp/XP_013106342.1-SigP.txt","SIG")</f>
        <v>SIG</v>
      </c>
      <c r="S28" t="s">
        <v>278</v>
      </c>
      <c r="T28">
        <v>10.49</v>
      </c>
      <c r="U28">
        <v>9.3699999999999992</v>
      </c>
      <c r="V28">
        <v>8.3409999999999993</v>
      </c>
      <c r="W28">
        <v>9.4</v>
      </c>
      <c r="X28" t="s">
        <v>479</v>
      </c>
      <c r="Y28" s="32">
        <v>0</v>
      </c>
      <c r="Z28" t="s">
        <v>242</v>
      </c>
      <c r="AA28" t="s">
        <v>242</v>
      </c>
      <c r="AB28" t="s">
        <v>242</v>
      </c>
      <c r="AC28" t="s">
        <v>242</v>
      </c>
      <c r="AD28" t="s">
        <v>242</v>
      </c>
      <c r="AE28" s="32" t="str">
        <f>HYPERLINK("http://exon.niaid.nih.gov/transcriptome/S_calcitrans/S1/links/netoglyc/XP_013106342.1-netoglyc.txt","1")</f>
        <v>1</v>
      </c>
      <c r="AF28">
        <v>11.5</v>
      </c>
      <c r="AG28">
        <v>13.5</v>
      </c>
      <c r="AH28">
        <v>7.3</v>
      </c>
      <c r="AI28">
        <v>3.1</v>
      </c>
      <c r="AJ28" t="s">
        <v>242</v>
      </c>
      <c r="AK28">
        <v>6006.7313766981342</v>
      </c>
      <c r="AL28" s="33">
        <v>9226</v>
      </c>
      <c r="AM28">
        <v>1</v>
      </c>
      <c r="AN28" s="30">
        <f t="shared" si="0"/>
        <v>1</v>
      </c>
      <c r="AO28" s="30" t="s">
        <v>244</v>
      </c>
      <c r="AP28">
        <v>1714</v>
      </c>
      <c r="AQ28" s="34">
        <v>6.6574495559337428E-3</v>
      </c>
      <c r="AR28" s="35">
        <v>5586.4278887003265</v>
      </c>
      <c r="AS28" t="s">
        <v>480</v>
      </c>
      <c r="AT28" s="36" t="s">
        <v>481</v>
      </c>
      <c r="AU28" t="s">
        <v>418</v>
      </c>
      <c r="AV28" t="str">
        <f>HYPERLINK("http://exon.niaid.nih.gov/transcriptome/S_calcitrans/S1/links/DIPTERA/XP_013106342.1-DIPTERA.txt","DIPTERA")</f>
        <v>DIPTERA</v>
      </c>
      <c r="AW28" s="37">
        <v>4E-52</v>
      </c>
      <c r="AX28">
        <v>100</v>
      </c>
      <c r="AY28" s="33" t="str">
        <f>HYPERLINK("http://exon.niaid.nih.gov/transcriptome/S_calcitrans/S1/links/WANG/XP_013106342.1-WANG.txt","SC-4-11-1")</f>
        <v>SC-4-11-1</v>
      </c>
      <c r="AZ28">
        <v>3.0000000000000002E-55</v>
      </c>
      <c r="BA28">
        <v>96</v>
      </c>
      <c r="BB28">
        <v>96</v>
      </c>
      <c r="BC28">
        <v>96</v>
      </c>
      <c r="BD28">
        <v>96</v>
      </c>
      <c r="BE28">
        <v>100</v>
      </c>
      <c r="BF28" t="s">
        <v>248</v>
      </c>
      <c r="BG28" s="31" t="s">
        <v>465</v>
      </c>
      <c r="BH28" t="s">
        <v>482</v>
      </c>
      <c r="BI28">
        <v>18</v>
      </c>
      <c r="BJ28" s="33"/>
      <c r="BK28" s="33"/>
      <c r="BL28" s="33" t="str">
        <f>HYPERLINK("http://exon.niaid.nih.gov/transcriptome/S_calcitrans/S1/links/NR-LIGHT/XP_013106342.1-NR-LIGHT.txt","antimicrobial peptide diptericin DipA")</f>
        <v>antimicrobial peptide diptericin DipA</v>
      </c>
      <c r="BM28" t="str">
        <f>HYPERLINK("http://www.ncbi.nlm.nih.gov/sutils/blink.cgi?pid=17027169","1E-039")</f>
        <v>1E-039</v>
      </c>
      <c r="BN28" t="str">
        <f>HYPERLINK("http://www.ncbi.nlm.nih.gov/protein/17027169","gi|17027169")</f>
        <v>gi|17027169</v>
      </c>
      <c r="BO28">
        <v>98</v>
      </c>
      <c r="BP28">
        <v>98</v>
      </c>
      <c r="BQ28">
        <v>100</v>
      </c>
      <c r="BR28" t="s">
        <v>419</v>
      </c>
      <c r="BS28" s="33" t="str">
        <f>HYPERLINK("http://exon.niaid.nih.gov/transcriptome/S_calcitrans/S1/links/SWISSP/XP_013106342.1-SWISSP.txt","Diptericin-D")</f>
        <v>Diptericin-D</v>
      </c>
      <c r="BT28" t="str">
        <f>HYPERLINK("http://www.uniprot.org/uniprot/P18684","6E-024")</f>
        <v>6E-024</v>
      </c>
      <c r="BU28" t="str">
        <f>HYPERLINK("http://www.uniprot.org/uniprot/P18684#expression","P18684")</f>
        <v>P18684</v>
      </c>
      <c r="BV28">
        <v>53</v>
      </c>
      <c r="BW28">
        <v>63</v>
      </c>
      <c r="BX28">
        <v>101</v>
      </c>
      <c r="BY28" t="s">
        <v>441</v>
      </c>
      <c r="BZ28" s="33" t="str">
        <f>HYPERLINK("http://exon.niaid.nih.gov/transcriptome/S_calcitrans/S1/links/REFSEQ-INVERTEBRATE/XP_013106342.1-REFSEQ-INVERTEBRATE.txt","diptericin-D-like precursor")</f>
        <v>diptericin-D-like precursor</v>
      </c>
      <c r="CA28" t="str">
        <f>HYPERLINK("http://www.ncbi.nlm.nih.gov/sutils/blink.cgi?pid=910242260","7E-052")</f>
        <v>7E-052</v>
      </c>
      <c r="CB28" t="str">
        <f>HYPERLINK("http://www.ncbi.nlm.nih.gov/protein/910242260","gi|910242260")</f>
        <v>gi|910242260</v>
      </c>
      <c r="CC28">
        <v>98</v>
      </c>
      <c r="CD28">
        <v>98</v>
      </c>
      <c r="CE28">
        <v>100</v>
      </c>
      <c r="CF28" t="s">
        <v>253</v>
      </c>
      <c r="CG28" s="33" t="str">
        <f>HYPERLINK("http://exon.niaid.nih.gov/transcriptome/S_calcitrans/S1/links/DIPTERA/XP_013106342.1-DIPTERA.txt","diptericin A")</f>
        <v>diptericin A</v>
      </c>
      <c r="CH28" t="str">
        <f>HYPERLINK("http://www.ncbi.nlm.nih.gov/sutils/blink.cgi?pid=68500452","4E-052")</f>
        <v>4E-052</v>
      </c>
      <c r="CI28" t="str">
        <f>HYPERLINK("http://www.ncbi.nlm.nih.gov/protein/68500452","gi|68500452")</f>
        <v>gi|68500452</v>
      </c>
      <c r="CJ28">
        <v>98</v>
      </c>
      <c r="CK28">
        <v>98</v>
      </c>
      <c r="CL28">
        <v>100</v>
      </c>
      <c r="CM28" t="s">
        <v>253</v>
      </c>
      <c r="CN28" s="33" t="s">
        <v>242</v>
      </c>
      <c r="CO28" t="s">
        <v>242</v>
      </c>
      <c r="CP28" t="s">
        <v>242</v>
      </c>
      <c r="CQ28" t="s">
        <v>242</v>
      </c>
      <c r="CR28" t="s">
        <v>242</v>
      </c>
      <c r="CS28" t="s">
        <v>242</v>
      </c>
      <c r="CT28" t="s">
        <v>242</v>
      </c>
      <c r="CU28" s="33" t="s">
        <v>483</v>
      </c>
      <c r="CV28">
        <f>HYPERLINK("http://exon.niaid.nih.gov/transcriptome/S_calcitrans/S1/links/GO/XP_013106342.1-GO.txt",0.0000000000000000002)</f>
        <v>2E-19</v>
      </c>
      <c r="CW28" t="s">
        <v>242</v>
      </c>
      <c r="CX28" t="s">
        <v>242</v>
      </c>
      <c r="CY28" t="s">
        <v>242</v>
      </c>
      <c r="CZ28" t="s">
        <v>242</v>
      </c>
      <c r="DA28" t="s">
        <v>242</v>
      </c>
      <c r="DC28" t="s">
        <v>242</v>
      </c>
      <c r="DD28" t="s">
        <v>242</v>
      </c>
      <c r="DE28" s="33" t="str">
        <f>HYPERLINK("http://exon.niaid.nih.gov/transcriptome/S_calcitrans/S1/links/CDD/XP_013106342.1-CDD.txt","Attacin_C")</f>
        <v>Attacin_C</v>
      </c>
      <c r="DF28" t="str">
        <f>HYPERLINK("http://www.ncbi.nlm.nih.gov/Structure/cdd/cddsrv.cgi?uid=pfam03769&amp;version=v4.0","8E-020")</f>
        <v>8E-020</v>
      </c>
      <c r="DG28" t="s">
        <v>484</v>
      </c>
      <c r="DH28" s="33" t="str">
        <f>HYPERLINK("http://exon.niaid.nih.gov/transcriptome/S_calcitrans/S1/links/KOG/XP_013106342.1-KOG.txt","Nuclear export receptor CSE1/CAS (importin beta superfamily)")</f>
        <v>Nuclear export receptor CSE1/CAS (importin beta superfamily)</v>
      </c>
      <c r="DI28" t="str">
        <f>HYPERLINK("http://www.ncbi.nlm.nih.gov/Structure/cdd/cddsrv.cgi?uid=KOG1992","0.065")</f>
        <v>0.065</v>
      </c>
      <c r="DJ28" t="s">
        <v>485</v>
      </c>
      <c r="DK28" t="str">
        <f>HYPERLINK("http://exon.niaid.nih.gov/transcriptome/S_calcitrans/S1/links/KOG/XP_013106342.1-KOG.txt","KOG1992")</f>
        <v>KOG1992</v>
      </c>
      <c r="DL28" s="33" t="str">
        <f>HYPERLINK("http://exon.niaid.nih.gov/transcriptome/S_calcitrans/S1/links/PFAM/XP_013106342.1-PFAM.txt","Attacin_C")</f>
        <v>Attacin_C</v>
      </c>
      <c r="DM28" t="str">
        <f>HYPERLINK("http://pfam.sanger.ac.uk/family?acc=PF03769","2E-020")</f>
        <v>2E-020</v>
      </c>
      <c r="DN28" s="33" t="str">
        <f>HYPERLINK("http://exon.niaid.nih.gov/transcriptome/S_calcitrans/S1/links/SMART/XP_013106342.1-SMART.txt","PAX")</f>
        <v>PAX</v>
      </c>
      <c r="DO28" t="str">
        <f>HYPERLINK("http://smart.embl-heidelberg.de/smart/do_annotation.pl?DOMAIN=PAX&amp;BLAST=DUMMY","1.3")</f>
        <v>1.3</v>
      </c>
      <c r="DP28" s="33"/>
      <c r="EB28" s="33">
        <f>HYPERLINK("http://exon.niaid.nih.gov/transcriptome/S_calcitrans/S1/links/cluster-b/Scalc-pep25-50SimCLU1.txt", 1)</f>
        <v>1</v>
      </c>
      <c r="EC28">
        <f>HYPERLINK("http://exon.niaid.nih.gov/transcriptome/S_calcitrans/S1/links/cluster-b/Scalc-pep25-50SimCLTL1.txt", 5170)</f>
        <v>5170</v>
      </c>
      <c r="ED28" s="33">
        <f>HYPERLINK("http://exon.niaid.nih.gov/transcriptome/S_calcitrans/S1/links/cluster-b/Scalc-pep30-50SimCLU1.txt", 1)</f>
        <v>1</v>
      </c>
      <c r="EE28">
        <f>HYPERLINK("http://exon.niaid.nih.gov/transcriptome/S_calcitrans/S1/links/cluster-b/Scalc-pep30-50SimCLTL1.txt", 1550)</f>
        <v>1550</v>
      </c>
      <c r="EF28" s="33">
        <f>HYPERLINK("http://exon.niaid.nih.gov/transcriptome/S_calcitrans/S1/links/cluster-b/Scalc-pep35-50SimCLU1.txt", 1)</f>
        <v>1</v>
      </c>
      <c r="EG28">
        <f>HYPERLINK("http://exon.niaid.nih.gov/transcriptome/S_calcitrans/S1/links/cluster-b/Scalc-pep35-50SimCLTL1.txt", 566)</f>
        <v>566</v>
      </c>
      <c r="EH28" s="33">
        <v>6156</v>
      </c>
      <c r="EI28">
        <v>1</v>
      </c>
      <c r="EJ28" s="33">
        <v>6574</v>
      </c>
      <c r="EK28">
        <v>1</v>
      </c>
      <c r="EL28" s="33">
        <v>6905</v>
      </c>
      <c r="EM28">
        <v>1</v>
      </c>
      <c r="EN28" s="33">
        <v>7297</v>
      </c>
      <c r="EO28">
        <v>1</v>
      </c>
      <c r="EP28" s="33">
        <v>7594</v>
      </c>
      <c r="EQ28">
        <v>1</v>
      </c>
      <c r="ER28" s="33">
        <v>7856</v>
      </c>
      <c r="ES28">
        <v>1</v>
      </c>
      <c r="ET28" s="33">
        <v>8058</v>
      </c>
      <c r="EU28">
        <v>1</v>
      </c>
      <c r="EV28" s="33">
        <v>8264</v>
      </c>
      <c r="EW28">
        <v>1</v>
      </c>
      <c r="EX28" s="33">
        <v>8467</v>
      </c>
      <c r="EY28">
        <v>1</v>
      </c>
      <c r="EZ28" s="33">
        <v>8671</v>
      </c>
      <c r="FA28">
        <v>1</v>
      </c>
      <c r="FB28" s="33">
        <v>8891</v>
      </c>
      <c r="FC28">
        <v>1</v>
      </c>
      <c r="FD28" s="33">
        <v>9226</v>
      </c>
      <c r="FE28">
        <v>1</v>
      </c>
      <c r="FF28" t="s">
        <v>486</v>
      </c>
      <c r="FG28">
        <v>11858</v>
      </c>
      <c r="FH28" s="38" t="str">
        <f>HYPERLINK("http://exon.niaid.nih.gov/transcriptome/S_calcitrans/S1/links/SG_male-stripped_temp-95-h10-1gap/11858-SG_male-stripped_temp-95-h10-1gap.txt","871")</f>
        <v>871</v>
      </c>
      <c r="FI28" s="39">
        <v>100</v>
      </c>
      <c r="FJ28" s="39">
        <v>206.80412371134</v>
      </c>
      <c r="FK28" s="39">
        <v>6</v>
      </c>
      <c r="FL28" s="39">
        <v>462</v>
      </c>
      <c r="FM28" s="39">
        <v>69.092996555683101</v>
      </c>
      <c r="FN28" s="38" t="str">
        <f>HYPERLINK("http://exon.niaid.nih.gov/transcriptome/S_calcitrans/S1/links/SG_female-stripped_temp-95-h10-1gap/11858-SG_female-stripped_temp-95-h10-1gap.txt","843")</f>
        <v>843</v>
      </c>
      <c r="FO28" s="39">
        <v>100</v>
      </c>
      <c r="FP28" s="39">
        <v>202.209621993127</v>
      </c>
      <c r="FQ28" s="39">
        <v>2</v>
      </c>
      <c r="FR28" s="39">
        <v>404</v>
      </c>
      <c r="FS28" s="39">
        <v>69.801897983392607</v>
      </c>
      <c r="FT28" s="38">
        <v>0</v>
      </c>
      <c r="FU28" s="39" t="s">
        <v>242</v>
      </c>
      <c r="FV28" s="39" t="s">
        <v>242</v>
      </c>
      <c r="FW28" s="39" t="s">
        <v>242</v>
      </c>
      <c r="FX28" s="39" t="s">
        <v>242</v>
      </c>
      <c r="FY28" s="39" t="s">
        <v>242</v>
      </c>
      <c r="FZ28" s="38">
        <v>0</v>
      </c>
      <c r="GA28" s="39" t="s">
        <v>242</v>
      </c>
      <c r="GB28" s="39" t="s">
        <v>242</v>
      </c>
      <c r="GC28" s="39" t="s">
        <v>242</v>
      </c>
      <c r="GD28" s="39" t="s">
        <v>242</v>
      </c>
      <c r="GE28" s="39" t="s">
        <v>242</v>
      </c>
      <c r="GF28">
        <f t="shared" si="48"/>
        <v>871</v>
      </c>
      <c r="GG28">
        <f t="shared" si="49"/>
        <v>843</v>
      </c>
      <c r="GH28">
        <f t="shared" si="50"/>
        <v>0</v>
      </c>
      <c r="GI28">
        <f t="shared" si="51"/>
        <v>0</v>
      </c>
      <c r="GJ28">
        <f t="shared" si="52"/>
        <v>1714</v>
      </c>
      <c r="GK28" s="34">
        <v>6.6574495559337428E-3</v>
      </c>
      <c r="GL28">
        <v>97.910023750475119</v>
      </c>
      <c r="GM28">
        <v>43.093108752309902</v>
      </c>
      <c r="GN28">
        <v>0</v>
      </c>
      <c r="GO28">
        <v>0</v>
      </c>
      <c r="GP28">
        <f t="shared" si="53"/>
        <v>97.910023750475119</v>
      </c>
      <c r="GQ28" t="s">
        <v>418</v>
      </c>
      <c r="GR28">
        <v>76.359190923049738</v>
      </c>
      <c r="GS28">
        <v>35.369366850956801</v>
      </c>
      <c r="GT28">
        <v>0</v>
      </c>
      <c r="GU28">
        <v>0</v>
      </c>
      <c r="GV28">
        <f t="shared" si="54"/>
        <v>76.359190923049738</v>
      </c>
      <c r="GW28">
        <v>5586.4278887003265</v>
      </c>
      <c r="GX28">
        <v>1714</v>
      </c>
      <c r="GY28">
        <v>0</v>
      </c>
      <c r="GZ28">
        <v>1714</v>
      </c>
      <c r="HA28">
        <v>380.50747483153401</v>
      </c>
      <c r="HB28">
        <v>1333.492525168466</v>
      </c>
      <c r="HC28">
        <v>4673.238851529668</v>
      </c>
      <c r="HD28">
        <v>1333.492525168466</v>
      </c>
      <c r="HE28">
        <v>6006.7313766981342</v>
      </c>
      <c r="HF28">
        <v>0</v>
      </c>
      <c r="HG28">
        <v>380.50747483153401</v>
      </c>
      <c r="HH28">
        <v>1</v>
      </c>
      <c r="HI28">
        <v>1</v>
      </c>
      <c r="HJ28">
        <v>2</v>
      </c>
      <c r="HK28">
        <v>0</v>
      </c>
      <c r="HL28" s="30" t="s">
        <v>262</v>
      </c>
      <c r="HM28">
        <v>6006.7313766981342</v>
      </c>
      <c r="HN28">
        <v>0</v>
      </c>
      <c r="HO28">
        <v>871</v>
      </c>
      <c r="HP28">
        <v>843</v>
      </c>
      <c r="HQ28">
        <v>1714</v>
      </c>
      <c r="HR28">
        <v>535.789449318415</v>
      </c>
      <c r="HS28">
        <v>1178.2105506815849</v>
      </c>
      <c r="HT28">
        <v>209.7206531991138</v>
      </c>
      <c r="HU28">
        <v>95.37014689203771</v>
      </c>
      <c r="HV28">
        <v>305.09080009115149</v>
      </c>
      <c r="HW28">
        <v>2.5626424366898103E-68</v>
      </c>
      <c r="HX28">
        <v>535.789449318415</v>
      </c>
      <c r="HY28">
        <v>1</v>
      </c>
      <c r="HZ28">
        <v>1</v>
      </c>
      <c r="IA28">
        <v>2</v>
      </c>
      <c r="IB28" s="37">
        <v>2.6269985388127899E-66</v>
      </c>
      <c r="IC28" s="30" t="s">
        <v>262</v>
      </c>
      <c r="ID28">
        <v>2.2693655539086164</v>
      </c>
      <c r="IE28">
        <v>0.43962495769901622</v>
      </c>
      <c r="IF28">
        <v>2.2693655539086164</v>
      </c>
      <c r="IG28" t="str">
        <f t="shared" si="1"/>
        <v/>
      </c>
    </row>
    <row r="29" spans="1:241">
      <c r="A29" t="str">
        <f>HYPERLINK("http://exon.niaid.nih.gov/transcriptome/S_calcitrans/S1/links/pep/XP_013106587.1-pep.txt","XP_013106587.1")</f>
        <v>XP_013106587.1</v>
      </c>
      <c r="B29" s="30" t="s">
        <v>232</v>
      </c>
      <c r="C29">
        <v>241</v>
      </c>
      <c r="D29" t="s">
        <v>487</v>
      </c>
      <c r="E29">
        <v>0</v>
      </c>
      <c r="F29" t="s">
        <v>488</v>
      </c>
      <c r="G29" t="str">
        <f>HYPERLINK("http://exon.niaid.nih.gov/transcriptome/S_calcitrans/S1/links/cds/XM_013251133_1-cds.txt","XM_013251133_1")</f>
        <v>XM_013251133_1</v>
      </c>
      <c r="H29">
        <v>726</v>
      </c>
      <c r="I29" t="s">
        <v>489</v>
      </c>
      <c r="J29" s="30" t="s">
        <v>236</v>
      </c>
      <c r="K29" s="30" t="s">
        <v>91</v>
      </c>
      <c r="L29" s="31" t="s">
        <v>490</v>
      </c>
      <c r="M29" s="30">
        <v>457729</v>
      </c>
      <c r="N29" s="30">
        <v>458515</v>
      </c>
      <c r="O29" s="30" t="s">
        <v>276</v>
      </c>
      <c r="P29" s="30">
        <v>2</v>
      </c>
      <c r="Q29" s="31" t="s">
        <v>491</v>
      </c>
      <c r="R29" s="32" t="str">
        <f>HYPERLINK("http://exon.niaid.nih.gov/transcriptome/S_calcitrans/S1/links/Sigp/XP_013106587.1-SigP.txt","SIG")</f>
        <v>SIG</v>
      </c>
      <c r="S29" t="s">
        <v>492</v>
      </c>
      <c r="T29">
        <v>25.844999999999999</v>
      </c>
      <c r="U29">
        <v>10.199999999999999</v>
      </c>
      <c r="V29">
        <v>23.507999999999999</v>
      </c>
      <c r="W29">
        <v>10.38</v>
      </c>
      <c r="X29" t="s">
        <v>493</v>
      </c>
      <c r="Y29" s="32">
        <v>0</v>
      </c>
      <c r="Z29" t="s">
        <v>242</v>
      </c>
      <c r="AA29" t="s">
        <v>242</v>
      </c>
      <c r="AB29" t="s">
        <v>242</v>
      </c>
      <c r="AC29" t="s">
        <v>242</v>
      </c>
      <c r="AD29" t="s">
        <v>242</v>
      </c>
      <c r="AE29" s="32" t="str">
        <f>HYPERLINK("http://exon.niaid.nih.gov/transcriptome/S_calcitrans/S1/links/netoglyc/XP_013106587.1-netoglyc.txt","3")</f>
        <v>3</v>
      </c>
      <c r="AF29">
        <v>17.8</v>
      </c>
      <c r="AG29">
        <v>11.6</v>
      </c>
      <c r="AH29">
        <v>5.4</v>
      </c>
      <c r="AI29" t="s">
        <v>243</v>
      </c>
      <c r="AJ29" t="s">
        <v>494</v>
      </c>
      <c r="AK29">
        <v>485.37473493155869</v>
      </c>
      <c r="AL29" s="33">
        <v>9342</v>
      </c>
      <c r="AM29">
        <v>1</v>
      </c>
      <c r="AN29" s="30">
        <f t="shared" si="0"/>
        <v>1</v>
      </c>
      <c r="AO29" s="30" t="s">
        <v>244</v>
      </c>
      <c r="AP29">
        <v>277</v>
      </c>
      <c r="AQ29" s="34">
        <v>1.0759122094478686E-3</v>
      </c>
      <c r="AR29" s="35">
        <v>186.70869877023387</v>
      </c>
      <c r="AS29" t="s">
        <v>495</v>
      </c>
      <c r="AT29" s="36" t="s">
        <v>496</v>
      </c>
      <c r="AU29" t="s">
        <v>497</v>
      </c>
      <c r="AV29" t="str">
        <f>HYPERLINK("http://exon.niaid.nih.gov/transcriptome/S_calcitrans/S1/links/REFSEQ-INVERTEBRATE/XP_013106587.1-REFSEQ-INVERTEBRATE.txt","REFSEQ-INVERTEBRATE")</f>
        <v>REFSEQ-INVERTEBRATE</v>
      </c>
      <c r="AW29">
        <v>0</v>
      </c>
      <c r="AX29">
        <v>100</v>
      </c>
      <c r="AY29" s="33"/>
      <c r="BG29" s="31"/>
      <c r="BJ29" s="33"/>
      <c r="BK29" s="33"/>
      <c r="BL29" s="33" t="str">
        <f>HYPERLINK("http://exon.niaid.nih.gov/transcriptome/S_calcitrans/S1/links/NR-LIGHT/XP_013106587.1-NR-LIGHT.txt","sarcotoxin II-1-like")</f>
        <v>sarcotoxin II-1-like</v>
      </c>
      <c r="BM29" t="str">
        <f>HYPERLINK("http://www.ncbi.nlm.nih.gov/sutils/blink.cgi?pid=557760712","4E-093")</f>
        <v>4E-093</v>
      </c>
      <c r="BN29" t="str">
        <f>HYPERLINK("http://www.ncbi.nlm.nih.gov/protein/557760712","gi|557760712")</f>
        <v>gi|557760712</v>
      </c>
      <c r="BO29">
        <v>64</v>
      </c>
      <c r="BP29">
        <v>79</v>
      </c>
      <c r="BQ29">
        <v>100</v>
      </c>
      <c r="BR29" t="s">
        <v>251</v>
      </c>
      <c r="BS29" s="33" t="str">
        <f>HYPERLINK("http://exon.niaid.nih.gov/transcriptome/S_calcitrans/S1/links/SWISSP/XP_013106587.1-SWISSP.txt","Sarcotoxin II-1")</f>
        <v>Sarcotoxin II-1</v>
      </c>
      <c r="BT29" t="str">
        <f>HYPERLINK("http://www.uniprot.org/uniprot/P24491","1E-042")</f>
        <v>1E-042</v>
      </c>
      <c r="BU29" t="str">
        <f>HYPERLINK("http://www.uniprot.org/uniprot/P24491#expression","P24491")</f>
        <v>P24491</v>
      </c>
      <c r="BV29">
        <v>37</v>
      </c>
      <c r="BW29">
        <v>56</v>
      </c>
      <c r="BX29">
        <v>100</v>
      </c>
      <c r="BY29" t="s">
        <v>498</v>
      </c>
      <c r="BZ29" s="33" t="str">
        <f>HYPERLINK("http://exon.niaid.nih.gov/transcriptome/S_calcitrans/S1/links/REFSEQ-INVERTEBRATE/XP_013106587.1-REFSEQ-INVERTEBRATE.txt","sarcotoxin II-1-like")</f>
        <v>sarcotoxin II-1-like</v>
      </c>
      <c r="CA29" t="str">
        <f>HYPERLINK("http://www.ncbi.nlm.nih.gov/sutils/blink.cgi?pid=907682533","1E-137")</f>
        <v>1E-137</v>
      </c>
      <c r="CB29" t="str">
        <f>HYPERLINK("http://www.ncbi.nlm.nih.gov/protein/907682533","gi|907682533")</f>
        <v>gi|907682533</v>
      </c>
      <c r="CC29">
        <v>100</v>
      </c>
      <c r="CD29">
        <v>100</v>
      </c>
      <c r="CE29">
        <v>100</v>
      </c>
      <c r="CF29" t="s">
        <v>253</v>
      </c>
      <c r="CG29" s="33" t="str">
        <f>HYPERLINK("http://exon.niaid.nih.gov/transcriptome/S_calcitrans/S1/links/DIPTERA/XP_013106587.1-DIPTERA.txt","sarcotoxin II-1-like")</f>
        <v>sarcotoxin II-1-like</v>
      </c>
      <c r="CH29" t="str">
        <f>HYPERLINK("http://www.ncbi.nlm.nih.gov/sutils/blink.cgi?pid=907682533","1E-137")</f>
        <v>1E-137</v>
      </c>
      <c r="CI29" t="str">
        <f>HYPERLINK("http://www.ncbi.nlm.nih.gov/protein/907682533","gi|907682533")</f>
        <v>gi|907682533</v>
      </c>
      <c r="CJ29">
        <v>100</v>
      </c>
      <c r="CK29">
        <v>100</v>
      </c>
      <c r="CL29">
        <v>100</v>
      </c>
      <c r="CM29" t="s">
        <v>253</v>
      </c>
      <c r="CN29" s="33" t="s">
        <v>242</v>
      </c>
      <c r="CO29" t="s">
        <v>242</v>
      </c>
      <c r="CP29" t="s">
        <v>242</v>
      </c>
      <c r="CQ29" t="s">
        <v>242</v>
      </c>
      <c r="CR29" t="s">
        <v>242</v>
      </c>
      <c r="CS29" t="s">
        <v>242</v>
      </c>
      <c r="CT29" t="s">
        <v>242</v>
      </c>
      <c r="CU29" s="33" t="s">
        <v>499</v>
      </c>
      <c r="CV29">
        <f>HYPERLINK("http://exon.niaid.nih.gov/transcriptome/S_calcitrans/S1/links/GO/XP_013106587.1-GO.txt",9E-30)</f>
        <v>8.9999999999999993E-30</v>
      </c>
      <c r="CW29" t="str">
        <f>HYPERLINK("http://amigo.geneontology.org/cgi-bin/amigo/term_details?term=GO:0003674","GO:0003674")</f>
        <v>GO:0003674</v>
      </c>
      <c r="CX29" t="s">
        <v>255</v>
      </c>
      <c r="CY29" t="s">
        <v>256</v>
      </c>
      <c r="CZ29" t="s">
        <v>257</v>
      </c>
      <c r="DA29" t="s">
        <v>242</v>
      </c>
      <c r="DC29" t="s">
        <v>258</v>
      </c>
      <c r="DD29" s="37">
        <v>8.9999999999999993E-30</v>
      </c>
      <c r="DE29" s="33" t="str">
        <f>HYPERLINK("http://exon.niaid.nih.gov/transcriptome/S_calcitrans/S1/links/CDD/XP_013106587.1-CDD.txt","Attacin_C")</f>
        <v>Attacin_C</v>
      </c>
      <c r="DF29" t="str">
        <f>HYPERLINK("http://www.ncbi.nlm.nih.gov/Structure/cdd/cddsrv.cgi?uid=pfam03769&amp;version=v4.0","1E-020")</f>
        <v>1E-020</v>
      </c>
      <c r="DG29" t="s">
        <v>500</v>
      </c>
      <c r="DH29" s="33" t="str">
        <f>HYPERLINK("http://exon.niaid.nih.gov/transcriptome/S_calcitrans/S1/links/KOG/XP_013106587.1-KOG.txt","Uncharacterized conserved protein")</f>
        <v>Uncharacterized conserved protein</v>
      </c>
      <c r="DI29" t="str">
        <f>HYPERLINK("http://www.ncbi.nlm.nih.gov/Structure/cdd/cddsrv.cgi?uid=KOG2654","0.14")</f>
        <v>0.14</v>
      </c>
      <c r="DJ29" t="s">
        <v>260</v>
      </c>
      <c r="DK29" t="str">
        <f>HYPERLINK("http://exon.niaid.nih.gov/transcriptome/S_calcitrans/S1/links/KOG/XP_013106587.1-KOG.txt","KOG2654")</f>
        <v>KOG2654</v>
      </c>
      <c r="DL29" s="33" t="str">
        <f>HYPERLINK("http://exon.niaid.nih.gov/transcriptome/S_calcitrans/S1/links/PFAM/XP_013106587.1-PFAM.txt","Attacin_C")</f>
        <v>Attacin_C</v>
      </c>
      <c r="DM29" t="str">
        <f>HYPERLINK("http://pfam.sanger.ac.uk/family?acc=PF03769","2E-021")</f>
        <v>2E-021</v>
      </c>
      <c r="DN29" s="33" t="str">
        <f>HYPERLINK("http://exon.niaid.nih.gov/transcriptome/S_calcitrans/S1/links/SMART/XP_013106587.1-SMART.txt","OmpH")</f>
        <v>OmpH</v>
      </c>
      <c r="DO29" t="str">
        <f>HYPERLINK("http://smart.embl-heidelberg.de/smart/do_annotation.pl?DOMAIN=OmpH&amp;BLAST=DUMMY","1.1")</f>
        <v>1.1</v>
      </c>
      <c r="DP29" s="33"/>
      <c r="EB29" s="33">
        <f>HYPERLINK("http://exon.niaid.nih.gov/transcriptome/S_calcitrans/S1/links/cluster-b/Scalc-pep25-50SimCLU133.txt", 133)</f>
        <v>133</v>
      </c>
      <c r="EC29">
        <f>HYPERLINK("http://exon.niaid.nih.gov/transcriptome/S_calcitrans/S1/links/cluster-b/Scalc-pep25-50SimCLTL133.txt", 13)</f>
        <v>13</v>
      </c>
      <c r="ED29" s="33">
        <f>HYPERLINK("http://exon.niaid.nih.gov/transcriptome/S_calcitrans/S1/links/cluster-b/Scalc-pep30-50SimCLU257.txt", 257)</f>
        <v>257</v>
      </c>
      <c r="EE29">
        <f>HYPERLINK("http://exon.niaid.nih.gov/transcriptome/S_calcitrans/S1/links/cluster-b/Scalc-pep30-50SimCLTL257.txt", 10)</f>
        <v>10</v>
      </c>
      <c r="EF29" s="33">
        <f>HYPERLINK("http://exon.niaid.nih.gov/transcriptome/S_calcitrans/S1/links/cluster-b/Scalc-pep35-50SimCLU245.txt", 245)</f>
        <v>245</v>
      </c>
      <c r="EG29">
        <f>HYPERLINK("http://exon.niaid.nih.gov/transcriptome/S_calcitrans/S1/links/cluster-b/Scalc-pep35-50SimCLTL245.txt", 10)</f>
        <v>10</v>
      </c>
      <c r="EH29" s="33">
        <f>HYPERLINK("http://exon.niaid.nih.gov/transcriptome/S_calcitrans/S1/links/cluster-b/Scalc-pep40-50SimCLU2697.txt", 2697)</f>
        <v>2697</v>
      </c>
      <c r="EI29">
        <f>HYPERLINK("http://exon.niaid.nih.gov/transcriptome/S_calcitrans/S1/links/cluster-b/Scalc-pep40-50SimCLTL2697.txt", 2)</f>
        <v>2</v>
      </c>
      <c r="EJ29" s="33">
        <f>HYPERLINK("http://exon.niaid.nih.gov/transcriptome/S_calcitrans/S1/links/cluster-b/Scalc-pep45-50SimCLU2800.txt", 2800)</f>
        <v>2800</v>
      </c>
      <c r="EK29">
        <f>HYPERLINK("http://exon.niaid.nih.gov/transcriptome/S_calcitrans/S1/links/cluster-b/Scalc-pep45-50SimCLTL2800.txt", 2)</f>
        <v>2</v>
      </c>
      <c r="EL29" s="33">
        <f>HYPERLINK("http://exon.niaid.nih.gov/transcriptome/S_calcitrans/S1/links/cluster-b/Scalc-pep50-50SimCLU2874.txt", 2874)</f>
        <v>2874</v>
      </c>
      <c r="EM29">
        <f>HYPERLINK("http://exon.niaid.nih.gov/transcriptome/S_calcitrans/S1/links/cluster-b/Scalc-pep50-50SimCLTL2874.txt", 2)</f>
        <v>2</v>
      </c>
      <c r="EN29" s="33">
        <f>HYPERLINK("http://exon.niaid.nih.gov/transcriptome/S_calcitrans/S1/links/cluster-b/Scalc-pep55-50SimCLU2937.txt", 2937)</f>
        <v>2937</v>
      </c>
      <c r="EO29">
        <f>HYPERLINK("http://exon.niaid.nih.gov/transcriptome/S_calcitrans/S1/links/cluster-b/Scalc-pep55-50SimCLTL2937.txt", 2)</f>
        <v>2</v>
      </c>
      <c r="EP29" s="33">
        <f>HYPERLINK("http://exon.niaid.nih.gov/transcriptome/S_calcitrans/S1/links/cluster-b/Scalc-pep60-50SimCLU2964.txt", 2964)</f>
        <v>2964</v>
      </c>
      <c r="EQ29">
        <f>HYPERLINK("http://exon.niaid.nih.gov/transcriptome/S_calcitrans/S1/links/cluster-b/Scalc-pep60-50SimCLTL2964.txt", 2)</f>
        <v>2</v>
      </c>
      <c r="ER29" s="33">
        <f>HYPERLINK("http://exon.niaid.nih.gov/transcriptome/S_calcitrans/S1/links/cluster-b/Scalc-pep65-50SimCLU2963.txt", 2963)</f>
        <v>2963</v>
      </c>
      <c r="ES29">
        <f>HYPERLINK("http://exon.niaid.nih.gov/transcriptome/S_calcitrans/S1/links/cluster-b/Scalc-pep65-50SimCLTL2963.txt", 2)</f>
        <v>2</v>
      </c>
      <c r="ET29" s="33">
        <f>HYPERLINK("http://exon.niaid.nih.gov/transcriptome/S_calcitrans/S1/links/cluster-b/Scalc-pep70-50SimCLU2927.txt", 2927)</f>
        <v>2927</v>
      </c>
      <c r="EU29">
        <f>HYPERLINK("http://exon.niaid.nih.gov/transcriptome/S_calcitrans/S1/links/cluster-b/Scalc-pep70-50SimCLTL2927.txt", 2)</f>
        <v>2</v>
      </c>
      <c r="EV29" s="33">
        <f>HYPERLINK("http://exon.niaid.nih.gov/transcriptome/S_calcitrans/S1/links/cluster-b/Scalc-pep75-50SimCLU2884.txt", 2884)</f>
        <v>2884</v>
      </c>
      <c r="EW29">
        <f>HYPERLINK("http://exon.niaid.nih.gov/transcriptome/S_calcitrans/S1/links/cluster-b/Scalc-pep75-50SimCLTL2884.txt", 2)</f>
        <v>2</v>
      </c>
      <c r="EX29" s="33">
        <f>HYPERLINK("http://exon.niaid.nih.gov/transcriptome/S_calcitrans/S1/links/cluster-b/Scalc-pep80-50SimCLU2805.txt", 2805)</f>
        <v>2805</v>
      </c>
      <c r="EY29">
        <f>HYPERLINK("http://exon.niaid.nih.gov/transcriptome/S_calcitrans/S1/links/cluster-b/Scalc-pep80-50SimCLTL2805.txt", 2)</f>
        <v>2</v>
      </c>
      <c r="EZ29" s="33">
        <v>8767</v>
      </c>
      <c r="FA29">
        <v>1</v>
      </c>
      <c r="FB29" s="33">
        <v>9002</v>
      </c>
      <c r="FC29">
        <v>1</v>
      </c>
      <c r="FD29" s="33">
        <v>9342</v>
      </c>
      <c r="FE29">
        <v>1</v>
      </c>
      <c r="FF29" t="s">
        <v>501</v>
      </c>
      <c r="FG29">
        <v>12064</v>
      </c>
      <c r="FH29" s="38" t="str">
        <f>HYPERLINK("http://exon.niaid.nih.gov/transcriptome/S_calcitrans/S1/links/SG_male-stripped_temp-95-h10-1gap/12064-SG_male-stripped_temp-95-h10-1gap.txt","95")</f>
        <v>95</v>
      </c>
      <c r="FI29" s="39">
        <v>95.316804407713505</v>
      </c>
      <c r="FJ29" s="39">
        <v>9.4063360881542692</v>
      </c>
      <c r="FK29" s="39">
        <v>0</v>
      </c>
      <c r="FL29" s="39">
        <v>23</v>
      </c>
      <c r="FM29" s="39">
        <v>71.884210526315798</v>
      </c>
      <c r="FN29" s="38" t="str">
        <f>HYPERLINK("http://exon.niaid.nih.gov/transcriptome/S_calcitrans/S1/links/SG_female-stripped_temp-95-h10-1gap/12064-SG_female-stripped_temp-95-h10-1gap.txt","182")</f>
        <v>182</v>
      </c>
      <c r="FO29" s="39">
        <v>97.107438016528903</v>
      </c>
      <c r="FP29" s="39">
        <v>18.220385674931102</v>
      </c>
      <c r="FQ29" s="39">
        <v>0</v>
      </c>
      <c r="FR29" s="39">
        <v>42</v>
      </c>
      <c r="FS29" s="39">
        <v>72.6813186813187</v>
      </c>
      <c r="FT29" s="38" t="str">
        <f>HYPERLINK("http://exon.niaid.nih.gov/transcriptome/S_calcitrans/S1/links/SRR694289-stripped_temp-95-h10-1gap/12064-SRR694289-stripped_temp-95-h10-1gap.txt","1")</f>
        <v>1</v>
      </c>
      <c r="FU29" s="39">
        <v>13.774104683195601</v>
      </c>
      <c r="FV29" s="39">
        <v>0.13774104683195601</v>
      </c>
      <c r="FW29" s="39">
        <v>0</v>
      </c>
      <c r="FX29" s="39">
        <v>1</v>
      </c>
      <c r="FY29" s="39">
        <v>100</v>
      </c>
      <c r="FZ29" s="38">
        <v>0</v>
      </c>
      <c r="GA29" s="39" t="s">
        <v>242</v>
      </c>
      <c r="GB29" s="39" t="s">
        <v>242</v>
      </c>
      <c r="GC29" s="39" t="s">
        <v>242</v>
      </c>
      <c r="GD29" s="39" t="s">
        <v>242</v>
      </c>
      <c r="GE29" s="39" t="s">
        <v>242</v>
      </c>
      <c r="GF29">
        <f t="shared" si="48"/>
        <v>95</v>
      </c>
      <c r="GG29">
        <f t="shared" si="49"/>
        <v>182</v>
      </c>
      <c r="GH29">
        <f t="shared" si="50"/>
        <v>1</v>
      </c>
      <c r="GI29">
        <f t="shared" si="51"/>
        <v>0</v>
      </c>
      <c r="GJ29">
        <f t="shared" si="52"/>
        <v>277</v>
      </c>
      <c r="GK29" s="34">
        <v>1.0759122094478686E-3</v>
      </c>
      <c r="GL29">
        <v>4.2804455259966607</v>
      </c>
      <c r="GM29">
        <v>3.7291341524919805</v>
      </c>
      <c r="GN29">
        <v>7.9176430453674757E-3</v>
      </c>
      <c r="GO29">
        <v>0</v>
      </c>
      <c r="GP29">
        <f t="shared" si="53"/>
        <v>4.2804455259966607</v>
      </c>
      <c r="GQ29" t="s">
        <v>497</v>
      </c>
      <c r="GR29">
        <v>3.3382828911192766</v>
      </c>
      <c r="GS29">
        <v>3.0607472446241353</v>
      </c>
      <c r="GT29">
        <v>1.4272801309692279E-2</v>
      </c>
      <c r="GU29">
        <v>0</v>
      </c>
      <c r="GV29">
        <f t="shared" si="54"/>
        <v>3.3382828911192766</v>
      </c>
      <c r="GW29">
        <v>186.70869877023387</v>
      </c>
      <c r="GX29">
        <v>277</v>
      </c>
      <c r="GY29">
        <v>1</v>
      </c>
      <c r="GZ29">
        <v>278</v>
      </c>
      <c r="HA29">
        <v>61.715914820983926</v>
      </c>
      <c r="HB29">
        <v>216.28408517901607</v>
      </c>
      <c r="HC29">
        <v>750.97707723855046</v>
      </c>
      <c r="HD29">
        <v>214.28870872771208</v>
      </c>
      <c r="HE29">
        <v>965.26578596626257</v>
      </c>
      <c r="HF29">
        <v>6.3733186798733023E-212</v>
      </c>
      <c r="HG29">
        <v>61.715914820983926</v>
      </c>
      <c r="HH29">
        <v>1</v>
      </c>
      <c r="HI29">
        <v>1</v>
      </c>
      <c r="HJ29">
        <v>2</v>
      </c>
      <c r="HK29" s="37">
        <v>2.1320307703769902E-211</v>
      </c>
      <c r="HL29" s="30" t="s">
        <v>262</v>
      </c>
      <c r="HM29">
        <v>485.37473493155869</v>
      </c>
      <c r="HN29">
        <v>1.0264263938648782E-3</v>
      </c>
      <c r="HO29">
        <v>95</v>
      </c>
      <c r="HP29">
        <v>182</v>
      </c>
      <c r="HQ29">
        <v>277</v>
      </c>
      <c r="HR29">
        <v>86.589076698483638</v>
      </c>
      <c r="HS29">
        <v>190.41092330151636</v>
      </c>
      <c r="HT29">
        <v>0.8170041012255046</v>
      </c>
      <c r="HU29">
        <v>0.37153136783002794</v>
      </c>
      <c r="HV29">
        <v>1.1885354690555325</v>
      </c>
      <c r="HW29">
        <v>0.27562516868179143</v>
      </c>
      <c r="HX29">
        <v>86.589076698483638</v>
      </c>
      <c r="HY29">
        <v>1</v>
      </c>
      <c r="HZ29" t="s">
        <v>244</v>
      </c>
      <c r="IA29">
        <v>1</v>
      </c>
      <c r="IB29">
        <v>0.57770376659975697</v>
      </c>
      <c r="IC29" s="30" t="s">
        <v>244</v>
      </c>
      <c r="ID29">
        <v>1.1415666316111301</v>
      </c>
      <c r="IE29">
        <v>0.86212731423814593</v>
      </c>
      <c r="IF29">
        <v>1.1415666316111301</v>
      </c>
      <c r="IG29" t="str">
        <f t="shared" si="1"/>
        <v/>
      </c>
    </row>
    <row r="30" spans="1:241">
      <c r="A30" t="str">
        <f>HYPERLINK("http://exon.niaid.nih.gov/transcriptome/S_calcitrans/S1/links/pep/XP_013113265.1-pep.txt","XP_013113265.1")</f>
        <v>XP_013113265.1</v>
      </c>
      <c r="B30" s="30" t="s">
        <v>232</v>
      </c>
      <c r="C30">
        <v>207</v>
      </c>
      <c r="D30" t="s">
        <v>502</v>
      </c>
      <c r="E30">
        <v>0</v>
      </c>
      <c r="F30" t="s">
        <v>503</v>
      </c>
      <c r="G30" t="str">
        <f>HYPERLINK("http://exon.niaid.nih.gov/transcriptome/S_calcitrans/S1/links/cds/XM_013257811_1-cds.txt","XM_013257811_1")</f>
        <v>XM_013257811_1</v>
      </c>
      <c r="H30">
        <v>624</v>
      </c>
      <c r="I30" t="s">
        <v>504</v>
      </c>
      <c r="J30" s="30" t="s">
        <v>236</v>
      </c>
      <c r="K30" s="30" t="s">
        <v>91</v>
      </c>
      <c r="L30" s="31" t="s">
        <v>505</v>
      </c>
      <c r="M30" s="30">
        <v>23548</v>
      </c>
      <c r="N30" s="30">
        <v>24241</v>
      </c>
      <c r="O30" s="30" t="s">
        <v>276</v>
      </c>
      <c r="P30" s="30">
        <v>2</v>
      </c>
      <c r="Q30" s="31" t="s">
        <v>506</v>
      </c>
      <c r="R30" s="32" t="str">
        <f>HYPERLINK("http://exon.niaid.nih.gov/transcriptome/S_calcitrans/S1/links/Sigp/XP_013113265.1-SigP.txt","SIG")</f>
        <v>SIG</v>
      </c>
      <c r="S30" t="s">
        <v>317</v>
      </c>
      <c r="T30">
        <v>23.55</v>
      </c>
      <c r="U30">
        <v>5.71</v>
      </c>
      <c r="V30">
        <v>21.295000000000002</v>
      </c>
      <c r="W30">
        <v>5.49</v>
      </c>
      <c r="X30" t="s">
        <v>507</v>
      </c>
      <c r="Y30" s="32">
        <v>0</v>
      </c>
      <c r="Z30" t="s">
        <v>242</v>
      </c>
      <c r="AA30" t="s">
        <v>242</v>
      </c>
      <c r="AB30" t="s">
        <v>242</v>
      </c>
      <c r="AC30" t="s">
        <v>242</v>
      </c>
      <c r="AD30" t="s">
        <v>242</v>
      </c>
      <c r="AE30" s="32" t="str">
        <f>HYPERLINK("http://exon.niaid.nih.gov/transcriptome/S_calcitrans/S1/links/netoglyc/XP_013113265.1-netoglyc.txt","1")</f>
        <v>1</v>
      </c>
      <c r="AF30">
        <v>15</v>
      </c>
      <c r="AG30">
        <v>1.4</v>
      </c>
      <c r="AH30">
        <v>2.4</v>
      </c>
      <c r="AI30" t="s">
        <v>243</v>
      </c>
      <c r="AJ30" t="s">
        <v>242</v>
      </c>
      <c r="AK30">
        <v>317.62833759015092</v>
      </c>
      <c r="AL30" s="33">
        <v>12872</v>
      </c>
      <c r="AM30">
        <v>1</v>
      </c>
      <c r="AN30" s="30">
        <f t="shared" si="0"/>
        <v>1</v>
      </c>
      <c r="AO30" s="30" t="s">
        <v>244</v>
      </c>
      <c r="AP30">
        <v>3716</v>
      </c>
      <c r="AQ30" s="34">
        <v>1.4433537076925199E-2</v>
      </c>
      <c r="AR30" s="35">
        <v>114.45813539179898</v>
      </c>
      <c r="AS30" t="s">
        <v>508</v>
      </c>
      <c r="AT30" s="36" t="s">
        <v>509</v>
      </c>
      <c r="AU30" t="s">
        <v>510</v>
      </c>
      <c r="AV30" t="str">
        <f>HYPERLINK("http://exon.niaid.nih.gov/transcriptome/S_calcitrans/S1/links/DIPTERA/XP_013113265.1-DIPTERA.txt","DIPTERA")</f>
        <v>DIPTERA</v>
      </c>
      <c r="AW30" s="37">
        <v>8.0000000000000002E-46</v>
      </c>
      <c r="AX30">
        <v>100.4</v>
      </c>
      <c r="AY30" s="33"/>
      <c r="BG30" s="31"/>
      <c r="BJ30" s="33"/>
      <c r="BK30" s="33"/>
      <c r="BL30" s="33" t="str">
        <f>HYPERLINK("http://exon.niaid.nih.gov/transcriptome/S_calcitrans/S1/links/NR-LIGHT/XP_013113265.1-NR-LIGHT.txt","uncharacterized protein LOC101894205")</f>
        <v>uncharacterized protein LOC101894205</v>
      </c>
      <c r="BM30" t="str">
        <f>HYPERLINK("http://www.ncbi.nlm.nih.gov/sutils/blink.cgi?pid=557764068","3E-045")</f>
        <v>3E-045</v>
      </c>
      <c r="BN30" t="str">
        <f>HYPERLINK("http://www.ncbi.nlm.nih.gov/protein/557764068","gi|557764068")</f>
        <v>gi|557764068</v>
      </c>
      <c r="BO30">
        <v>44</v>
      </c>
      <c r="BP30">
        <v>65</v>
      </c>
      <c r="BQ30">
        <v>93</v>
      </c>
      <c r="BR30" t="s">
        <v>251</v>
      </c>
      <c r="BS30" s="33" t="str">
        <f>HYPERLINK("http://exon.niaid.nih.gov/transcriptome/S_calcitrans/S1/links/SWISSP/XP_013113265.1-SWISSP.txt","Protein transport protein sec31")</f>
        <v>Protein transport protein sec31</v>
      </c>
      <c r="BT30" t="str">
        <f>HYPERLINK("http://www.uniprot.org/uniprot/Q873A1","0.12")</f>
        <v>0.12</v>
      </c>
      <c r="BU30" t="str">
        <f>HYPERLINK("http://www.uniprot.org/uniprot/Q873A1#expression","Q873A1")</f>
        <v>Q873A1</v>
      </c>
      <c r="BV30">
        <v>27</v>
      </c>
      <c r="BW30">
        <v>47</v>
      </c>
      <c r="BX30">
        <v>9</v>
      </c>
      <c r="BY30" t="s">
        <v>511</v>
      </c>
      <c r="BZ30" s="33" t="str">
        <f>HYPERLINK("http://exon.niaid.nih.gov/transcriptome/S_calcitrans/S1/links/REFSEQ-INVERTEBRATE/XP_013113265.1-REFSEQ-INVERTEBRATE.txt","uncharacterized protein LOC106091327")</f>
        <v>uncharacterized protein LOC106091327</v>
      </c>
      <c r="CA30" t="str">
        <f>HYPERLINK("http://www.ncbi.nlm.nih.gov/sutils/blink.cgi?pid=907723795","1E-114")</f>
        <v>1E-114</v>
      </c>
      <c r="CB30" t="str">
        <f>HYPERLINK("http://www.ncbi.nlm.nih.gov/protein/907723795","gi|907723795")</f>
        <v>gi|907723795</v>
      </c>
      <c r="CC30">
        <v>100</v>
      </c>
      <c r="CD30">
        <v>100</v>
      </c>
      <c r="CE30">
        <v>100</v>
      </c>
      <c r="CF30" t="s">
        <v>253</v>
      </c>
      <c r="CG30" s="33" t="str">
        <f>HYPERLINK("http://exon.niaid.nih.gov/transcriptome/S_calcitrans/S1/links/DIPTERA/XP_013113265.1-DIPTERA.txt","uncharacterized protein LOC106091327")</f>
        <v>uncharacterized protein LOC106091327</v>
      </c>
      <c r="CH30" t="str">
        <f>HYPERLINK("http://www.ncbi.nlm.nih.gov/sutils/blink.cgi?pid=907723795","1E-114")</f>
        <v>1E-114</v>
      </c>
      <c r="CI30" t="str">
        <f>HYPERLINK("http://www.ncbi.nlm.nih.gov/protein/907723795","gi|907723795")</f>
        <v>gi|907723795</v>
      </c>
      <c r="CJ30">
        <v>100</v>
      </c>
      <c r="CK30">
        <v>100</v>
      </c>
      <c r="CL30">
        <v>100</v>
      </c>
      <c r="CM30" t="s">
        <v>253</v>
      </c>
      <c r="CN30" s="33" t="s">
        <v>242</v>
      </c>
      <c r="CO30" t="s">
        <v>242</v>
      </c>
      <c r="CP30" t="s">
        <v>242</v>
      </c>
      <c r="CQ30" t="s">
        <v>242</v>
      </c>
      <c r="CR30" t="s">
        <v>242</v>
      </c>
      <c r="CS30" t="s">
        <v>242</v>
      </c>
      <c r="CT30" t="s">
        <v>242</v>
      </c>
      <c r="CU30" s="33" t="s">
        <v>242</v>
      </c>
      <c r="CV30" t="s">
        <v>242</v>
      </c>
      <c r="CW30" t="s">
        <v>242</v>
      </c>
      <c r="CX30" t="s">
        <v>242</v>
      </c>
      <c r="CY30" t="s">
        <v>242</v>
      </c>
      <c r="CZ30" t="s">
        <v>242</v>
      </c>
      <c r="DA30" t="s">
        <v>242</v>
      </c>
      <c r="DB30" t="s">
        <v>242</v>
      </c>
      <c r="DC30" t="s">
        <v>242</v>
      </c>
      <c r="DD30" t="s">
        <v>242</v>
      </c>
      <c r="DE30" s="33" t="str">
        <f>HYPERLINK("http://exon.niaid.nih.gov/transcriptome/S_calcitrans/S1/links/CDD/XP_013113265.1-CDD.txt","DUF3414")</f>
        <v>DUF3414</v>
      </c>
      <c r="DF30" t="str">
        <f>HYPERLINK("http://www.ncbi.nlm.nih.gov/Structure/cdd/cddsrv.cgi?uid=pfam11894&amp;version=v4.0","0.11")</f>
        <v>0.11</v>
      </c>
      <c r="DG30" t="s">
        <v>512</v>
      </c>
      <c r="DH30" s="33" t="str">
        <f>HYPERLINK("http://exon.niaid.nih.gov/transcriptome/S_calcitrans/S1/links/KOG/XP_013113265.1-KOG.txt","DEAD box containing helicases")</f>
        <v>DEAD box containing helicases</v>
      </c>
      <c r="DI30" t="str">
        <f>HYPERLINK("http://www.ncbi.nlm.nih.gov/Structure/cdd/cddsrv.cgi?uid=KOG1806","0.47")</f>
        <v>0.47</v>
      </c>
      <c r="DJ30" t="s">
        <v>513</v>
      </c>
      <c r="DK30" t="str">
        <f>HYPERLINK("http://exon.niaid.nih.gov/transcriptome/S_calcitrans/S1/links/KOG/XP_013113265.1-KOG.txt","KOG1806")</f>
        <v>KOG1806</v>
      </c>
      <c r="DL30" s="33" t="str">
        <f>HYPERLINK("http://exon.niaid.nih.gov/transcriptome/S_calcitrans/S1/links/PFAM/XP_013113265.1-PFAM.txt","DUF3414")</f>
        <v>DUF3414</v>
      </c>
      <c r="DM30" t="str">
        <f>HYPERLINK("http://pfam.sanger.ac.uk/family?acc=PF11894","0.023")</f>
        <v>0.023</v>
      </c>
      <c r="DN30" s="33" t="str">
        <f>HYPERLINK("http://exon.niaid.nih.gov/transcriptome/S_calcitrans/S1/links/SMART/XP_013113265.1-SMART.txt","CAP10")</f>
        <v>CAP10</v>
      </c>
      <c r="DO30" t="str">
        <f>HYPERLINK("http://smart.embl-heidelberg.de/smart/do_annotation.pl?DOMAIN=CAP10&amp;BLAST=DUMMY","0.35")</f>
        <v>0.35</v>
      </c>
      <c r="DP30" s="33"/>
      <c r="EB30" s="33">
        <f>HYPERLINK("http://exon.niaid.nih.gov/transcriptome/S_calcitrans/S1/links/cluster-b/Scalc-pep25-50SimCLU623.txt", 623)</f>
        <v>623</v>
      </c>
      <c r="EC30">
        <f>HYPERLINK("http://exon.niaid.nih.gov/transcriptome/S_calcitrans/S1/links/cluster-b/Scalc-pep25-50SimCLTL623.txt", 5)</f>
        <v>5</v>
      </c>
      <c r="ED30" s="33">
        <f>HYPERLINK("http://exon.niaid.nih.gov/transcriptome/S_calcitrans/S1/links/cluster-b/Scalc-pep30-50SimCLU1651.txt", 1651)</f>
        <v>1651</v>
      </c>
      <c r="EE30">
        <f>HYPERLINK("http://exon.niaid.nih.gov/transcriptome/S_calcitrans/S1/links/cluster-b/Scalc-pep30-50SimCLTL1651.txt", 3)</f>
        <v>3</v>
      </c>
      <c r="EF30" s="33">
        <v>7306</v>
      </c>
      <c r="EG30">
        <v>1</v>
      </c>
      <c r="EH30" s="33">
        <v>7894</v>
      </c>
      <c r="EI30">
        <v>1</v>
      </c>
      <c r="EJ30" s="33">
        <v>8501</v>
      </c>
      <c r="EK30">
        <v>1</v>
      </c>
      <c r="EL30" s="33">
        <v>8977</v>
      </c>
      <c r="EM30">
        <v>1</v>
      </c>
      <c r="EN30" s="33">
        <v>9506</v>
      </c>
      <c r="EO30">
        <v>1</v>
      </c>
      <c r="EP30" s="33">
        <v>9938</v>
      </c>
      <c r="EQ30">
        <v>1</v>
      </c>
      <c r="ER30" s="33">
        <v>10331</v>
      </c>
      <c r="ES30">
        <v>1</v>
      </c>
      <c r="ET30" s="33">
        <v>10669</v>
      </c>
      <c r="EU30">
        <v>1</v>
      </c>
      <c r="EV30" s="33">
        <v>11038</v>
      </c>
      <c r="EW30">
        <v>1</v>
      </c>
      <c r="EX30" s="33">
        <v>11364</v>
      </c>
      <c r="EY30">
        <v>1</v>
      </c>
      <c r="EZ30" s="33">
        <v>11775</v>
      </c>
      <c r="FA30">
        <v>1</v>
      </c>
      <c r="FB30" s="33">
        <v>12222</v>
      </c>
      <c r="FC30">
        <v>1</v>
      </c>
      <c r="FD30" s="33">
        <v>12872</v>
      </c>
      <c r="FE30">
        <v>1</v>
      </c>
      <c r="FF30" t="s">
        <v>514</v>
      </c>
      <c r="FG30">
        <v>18036</v>
      </c>
      <c r="FH30" s="38" t="str">
        <f>HYPERLINK("http://exon.niaid.nih.gov/transcriptome/S_calcitrans/S1/links/SG_male-stripped_temp-95-h10-1gap/18036-SG_male-stripped_temp-95-h10-1gap.txt","1436")</f>
        <v>1436</v>
      </c>
      <c r="FI30" s="39">
        <v>100</v>
      </c>
      <c r="FJ30" s="39">
        <v>170.30448717948701</v>
      </c>
      <c r="FK30" s="39">
        <v>3</v>
      </c>
      <c r="FL30" s="39">
        <v>315</v>
      </c>
      <c r="FM30" s="39">
        <v>74.004178272980496</v>
      </c>
      <c r="FN30" s="38" t="str">
        <f>HYPERLINK("http://exon.niaid.nih.gov/transcriptome/S_calcitrans/S1/links/SG_female-stripped_temp-95-h10-1gap/18036-SG_female-stripped_temp-95-h10-1gap.txt","2280")</f>
        <v>2280</v>
      </c>
      <c r="FO30" s="39">
        <v>100</v>
      </c>
      <c r="FP30" s="39">
        <v>270.86858974359001</v>
      </c>
      <c r="FQ30" s="39">
        <v>4</v>
      </c>
      <c r="FR30" s="39">
        <v>495</v>
      </c>
      <c r="FS30" s="39">
        <v>74.132456140350897</v>
      </c>
      <c r="FT30" s="38" t="str">
        <f>HYPERLINK("http://exon.niaid.nih.gov/transcriptome/S_calcitrans/S1/links/SRR694289-stripped_temp-95-h10-1gap/18036-SRR694289-stripped_temp-95-h10-1gap.txt","12")</f>
        <v>12</v>
      </c>
      <c r="FU30" s="39">
        <v>92.147435897435898</v>
      </c>
      <c r="FV30" s="39">
        <v>1.7932692307692299</v>
      </c>
      <c r="FW30" s="39">
        <v>0</v>
      </c>
      <c r="FX30" s="39">
        <v>5</v>
      </c>
      <c r="FY30" s="39">
        <v>93.25</v>
      </c>
      <c r="FZ30" s="38" t="str">
        <f>HYPERLINK("http://exon.niaid.nih.gov/transcriptome/S_calcitrans/S1/links/SRR694925-stripped_temp-95-h10-1gap/18036-SRR694925-stripped_temp-95-h10-1gap.txt","28")</f>
        <v>28</v>
      </c>
      <c r="GA30" s="39">
        <v>89.262820512820497</v>
      </c>
      <c r="GB30" s="39">
        <v>4.4294871794871797</v>
      </c>
      <c r="GC30" s="39">
        <v>0</v>
      </c>
      <c r="GD30" s="39">
        <v>11</v>
      </c>
      <c r="GE30" s="39">
        <v>98.714285714285694</v>
      </c>
      <c r="GF30">
        <f t="shared" si="48"/>
        <v>1436</v>
      </c>
      <c r="GG30">
        <f t="shared" si="49"/>
        <v>2280</v>
      </c>
      <c r="GH30">
        <f t="shared" si="50"/>
        <v>12</v>
      </c>
      <c r="GI30">
        <f t="shared" si="51"/>
        <v>28</v>
      </c>
      <c r="GJ30">
        <f t="shared" si="52"/>
        <v>3716</v>
      </c>
      <c r="GK30" s="34">
        <v>1.4433537076925199E-2</v>
      </c>
      <c r="GL30">
        <v>75.278653118934798</v>
      </c>
      <c r="GM30">
        <v>54.352997146528296</v>
      </c>
      <c r="GN30">
        <v>0.11054247790263053</v>
      </c>
      <c r="GO30">
        <v>0.26589932509542702</v>
      </c>
      <c r="GP30">
        <f t="shared" si="53"/>
        <v>75.278653118934798</v>
      </c>
      <c r="GQ30" t="s">
        <v>510</v>
      </c>
      <c r="GR30">
        <v>58.709178343048684</v>
      </c>
      <c r="GS30">
        <v>44.611102591235543</v>
      </c>
      <c r="GT30">
        <v>0.19927026443916529</v>
      </c>
      <c r="GU30">
        <v>0.50342031828447409</v>
      </c>
      <c r="GV30">
        <f t="shared" si="54"/>
        <v>58.709178343048684</v>
      </c>
      <c r="GW30">
        <v>114.45813539179898</v>
      </c>
      <c r="GX30">
        <v>3716</v>
      </c>
      <c r="GY30">
        <v>40</v>
      </c>
      <c r="GZ30">
        <v>3756</v>
      </c>
      <c r="HA30">
        <v>833.83084916408495</v>
      </c>
      <c r="HB30">
        <v>2922.1691508359149</v>
      </c>
      <c r="HC30">
        <v>9962.3311159066398</v>
      </c>
      <c r="HD30">
        <v>2842.7166892970413</v>
      </c>
      <c r="HE30">
        <v>12805.047805203681</v>
      </c>
      <c r="HF30">
        <v>0</v>
      </c>
      <c r="HG30">
        <v>833.83084916408495</v>
      </c>
      <c r="HH30">
        <v>1</v>
      </c>
      <c r="HI30">
        <v>1</v>
      </c>
      <c r="HJ30">
        <v>2</v>
      </c>
      <c r="HK30">
        <v>0</v>
      </c>
      <c r="HL30" s="30" t="s">
        <v>262</v>
      </c>
      <c r="HM30">
        <v>317.62833759015092</v>
      </c>
      <c r="HN30">
        <v>3.0707187247181718E-3</v>
      </c>
      <c r="HO30">
        <v>1436</v>
      </c>
      <c r="HP30">
        <v>2280</v>
      </c>
      <c r="HQ30">
        <v>3716</v>
      </c>
      <c r="HR30">
        <v>1161.6065307276722</v>
      </c>
      <c r="HS30">
        <v>2554.3934692723278</v>
      </c>
      <c r="HT30">
        <v>64.81693584499601</v>
      </c>
      <c r="HU30">
        <v>29.475402628848855</v>
      </c>
      <c r="HV30">
        <v>94.292338473844865</v>
      </c>
      <c r="HW30">
        <v>2.722018388262454E-22</v>
      </c>
      <c r="HX30">
        <v>1161.6065307276722</v>
      </c>
      <c r="HY30">
        <v>1</v>
      </c>
      <c r="HZ30">
        <v>1</v>
      </c>
      <c r="IA30">
        <v>2</v>
      </c>
      <c r="IB30" s="37">
        <v>1.0683452622377599E-20</v>
      </c>
      <c r="IC30" s="30" t="s">
        <v>262</v>
      </c>
      <c r="ID30">
        <v>1.3843882507110254</v>
      </c>
      <c r="IE30">
        <v>0.72152158625817431</v>
      </c>
      <c r="IF30">
        <v>1.3843882507110254</v>
      </c>
      <c r="IG30" t="str">
        <f t="shared" si="1"/>
        <v/>
      </c>
    </row>
    <row r="31" spans="1:241">
      <c r="A31" s="22" t="s">
        <v>515</v>
      </c>
      <c r="B31" s="23"/>
      <c r="C31" s="24"/>
      <c r="D31" s="24"/>
      <c r="E31" s="24"/>
      <c r="F31" s="24"/>
      <c r="G31" s="24"/>
      <c r="H31" s="24"/>
      <c r="I31" s="24"/>
      <c r="J31" s="23"/>
      <c r="K31" s="23"/>
      <c r="L31" s="25"/>
      <c r="M31" s="23"/>
      <c r="N31" s="23"/>
      <c r="O31" s="23"/>
      <c r="P31" s="23"/>
      <c r="Q31" s="25"/>
      <c r="R31" s="23"/>
      <c r="S31" s="24"/>
      <c r="T31" s="24"/>
      <c r="U31" s="24"/>
      <c r="V31" s="24"/>
      <c r="W31" s="24"/>
      <c r="X31" s="24"/>
      <c r="Y31" s="23"/>
      <c r="Z31" s="24"/>
      <c r="AA31" s="24"/>
      <c r="AB31" s="24"/>
      <c r="AC31" s="24"/>
      <c r="AD31" s="24"/>
      <c r="AE31" s="23"/>
      <c r="AF31" s="24"/>
      <c r="AG31" s="24"/>
      <c r="AH31" s="24"/>
      <c r="AI31" s="24"/>
      <c r="AJ31" s="24"/>
      <c r="AK31" s="24"/>
      <c r="AL31" s="24"/>
      <c r="AM31" s="24"/>
      <c r="AN31" s="23" t="str">
        <f t="shared" si="0"/>
        <v/>
      </c>
      <c r="AO31" s="23" t="s">
        <v>244</v>
      </c>
      <c r="AP31" s="24" t="s">
        <v>244</v>
      </c>
      <c r="AQ31" s="26"/>
      <c r="AR31" s="27"/>
      <c r="AS31" s="24"/>
      <c r="AT31" s="24"/>
      <c r="AU31" s="24"/>
      <c r="AV31" s="24"/>
      <c r="AW31" s="24"/>
      <c r="AX31" s="24"/>
      <c r="AY31" s="24"/>
      <c r="AZ31" s="24"/>
      <c r="BA31" s="24"/>
      <c r="BB31" s="24"/>
      <c r="BC31" s="24"/>
      <c r="BD31" s="24"/>
      <c r="BE31" s="24"/>
      <c r="BF31" s="24"/>
      <c r="BG31" s="25"/>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4"/>
      <c r="GG31" s="24"/>
      <c r="GH31" s="24"/>
      <c r="GI31" s="24"/>
      <c r="GJ31" s="24" t="str">
        <f t="shared" si="2"/>
        <v/>
      </c>
      <c r="GK31" s="26"/>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8"/>
      <c r="HL31" s="23"/>
      <c r="HM31" s="24"/>
      <c r="HN31" s="24"/>
      <c r="HO31" s="24"/>
      <c r="HP31" s="24"/>
      <c r="HQ31" s="24"/>
      <c r="HR31" s="24"/>
      <c r="HS31" s="24"/>
      <c r="HT31" s="24"/>
      <c r="HU31" s="24"/>
      <c r="HV31" s="24"/>
      <c r="HW31" s="24"/>
      <c r="HX31" s="24"/>
      <c r="HY31" s="24"/>
      <c r="HZ31" s="24"/>
      <c r="IA31" s="24"/>
      <c r="IB31" s="24"/>
      <c r="IC31" s="23"/>
      <c r="ID31" s="24"/>
      <c r="IE31" s="24"/>
      <c r="IF31" s="24"/>
      <c r="IG31" s="24" t="str">
        <f t="shared" si="1"/>
        <v/>
      </c>
    </row>
    <row r="32" spans="1:241">
      <c r="A32" s="22" t="s">
        <v>50</v>
      </c>
      <c r="B32" s="23"/>
      <c r="C32" s="24"/>
      <c r="D32" s="24"/>
      <c r="E32" s="24"/>
      <c r="F32" s="24"/>
      <c r="G32" s="24"/>
      <c r="H32" s="24"/>
      <c r="I32" s="24"/>
      <c r="J32" s="23"/>
      <c r="K32" s="23"/>
      <c r="L32" s="25"/>
      <c r="M32" s="23"/>
      <c r="N32" s="23"/>
      <c r="O32" s="23"/>
      <c r="P32" s="23"/>
      <c r="Q32" s="25"/>
      <c r="R32" s="23"/>
      <c r="S32" s="24"/>
      <c r="T32" s="24"/>
      <c r="U32" s="24"/>
      <c r="V32" s="24"/>
      <c r="W32" s="24"/>
      <c r="X32" s="24"/>
      <c r="Y32" s="23"/>
      <c r="Z32" s="24"/>
      <c r="AA32" s="24"/>
      <c r="AB32" s="24"/>
      <c r="AC32" s="24"/>
      <c r="AD32" s="24"/>
      <c r="AE32" s="23"/>
      <c r="AF32" s="24"/>
      <c r="AG32" s="24"/>
      <c r="AH32" s="24"/>
      <c r="AI32" s="24"/>
      <c r="AJ32" s="24"/>
      <c r="AK32" s="24"/>
      <c r="AL32" s="24"/>
      <c r="AM32" s="24"/>
      <c r="AN32" s="23" t="str">
        <f t="shared" si="0"/>
        <v/>
      </c>
      <c r="AO32" s="23" t="s">
        <v>244</v>
      </c>
      <c r="AP32" s="24" t="s">
        <v>244</v>
      </c>
      <c r="AQ32" s="26"/>
      <c r="AR32" s="27"/>
      <c r="AS32" s="24"/>
      <c r="AT32" s="24"/>
      <c r="AU32" s="24"/>
      <c r="AV32" s="24"/>
      <c r="AW32" s="24"/>
      <c r="AX32" s="24"/>
      <c r="AY32" s="24"/>
      <c r="AZ32" s="24"/>
      <c r="BA32" s="24"/>
      <c r="BB32" s="24"/>
      <c r="BC32" s="24"/>
      <c r="BD32" s="24"/>
      <c r="BE32" s="24"/>
      <c r="BF32" s="24"/>
      <c r="BG32" s="25"/>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4"/>
      <c r="GG32" s="24"/>
      <c r="GH32" s="24"/>
      <c r="GI32" s="24"/>
      <c r="GJ32" s="24" t="str">
        <f t="shared" si="2"/>
        <v/>
      </c>
      <c r="GK32" s="26"/>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8"/>
      <c r="HL32" s="23"/>
      <c r="HM32" s="24"/>
      <c r="HN32" s="24"/>
      <c r="HO32" s="24"/>
      <c r="HP32" s="24"/>
      <c r="HQ32" s="24"/>
      <c r="HR32" s="24"/>
      <c r="HS32" s="24"/>
      <c r="HT32" s="24"/>
      <c r="HU32" s="24"/>
      <c r="HV32" s="24"/>
      <c r="HW32" s="24"/>
      <c r="HX32" s="24"/>
      <c r="HY32" s="24"/>
      <c r="HZ32" s="24"/>
      <c r="IA32" s="24"/>
      <c r="IB32" s="24"/>
      <c r="IC32" s="23"/>
      <c r="ID32" s="24"/>
      <c r="IE32" s="24"/>
      <c r="IF32" s="24"/>
      <c r="IG32" s="24" t="str">
        <f t="shared" si="1"/>
        <v/>
      </c>
    </row>
    <row r="33" spans="1:241">
      <c r="A33" t="str">
        <f>HYPERLINK("http://exon.niaid.nih.gov/transcriptome/S_calcitrans/S1/links/pep/XP_013104684.1-pep.txt","XP_013104684.1")</f>
        <v>XP_013104684.1</v>
      </c>
      <c r="B33" s="30" t="s">
        <v>232</v>
      </c>
      <c r="C33">
        <v>395</v>
      </c>
      <c r="D33" t="s">
        <v>516</v>
      </c>
      <c r="E33">
        <v>0</v>
      </c>
      <c r="F33" t="s">
        <v>517</v>
      </c>
      <c r="G33" t="str">
        <f>HYPERLINK("http://exon.niaid.nih.gov/transcriptome/S_calcitrans/S1/links/cds/XM_013249230_1-cds.txt","XM_013249230_1")</f>
        <v>XM_013249230_1</v>
      </c>
      <c r="H33">
        <v>1188</v>
      </c>
      <c r="I33" t="s">
        <v>518</v>
      </c>
      <c r="J33" s="30" t="s">
        <v>236</v>
      </c>
      <c r="K33" s="30" t="s">
        <v>91</v>
      </c>
      <c r="L33" s="31" t="s">
        <v>519</v>
      </c>
      <c r="M33" s="30">
        <v>5270</v>
      </c>
      <c r="N33" s="30">
        <v>15724</v>
      </c>
      <c r="O33" s="30" t="s">
        <v>238</v>
      </c>
      <c r="P33" s="30">
        <v>4</v>
      </c>
      <c r="Q33" s="31" t="s">
        <v>520</v>
      </c>
      <c r="R33" s="32" t="str">
        <f>HYPERLINK("http://exon.niaid.nih.gov/transcriptome/S_calcitrans/S1/links/Sigp/XP_013104684.1-SigP.txt","BL")</f>
        <v>BL</v>
      </c>
      <c r="S33" t="s">
        <v>492</v>
      </c>
      <c r="T33">
        <v>44.469000000000001</v>
      </c>
      <c r="U33">
        <v>5.23</v>
      </c>
      <c r="V33">
        <v>42.002000000000002</v>
      </c>
      <c r="W33">
        <v>5.03</v>
      </c>
      <c r="X33" t="s">
        <v>521</v>
      </c>
      <c r="Y33" s="32">
        <v>0</v>
      </c>
      <c r="Z33" t="s">
        <v>242</v>
      </c>
      <c r="AA33" t="s">
        <v>242</v>
      </c>
      <c r="AB33" t="s">
        <v>242</v>
      </c>
      <c r="AC33" t="s">
        <v>242</v>
      </c>
      <c r="AD33" t="s">
        <v>242</v>
      </c>
      <c r="AE33" s="32" t="str">
        <f>HYPERLINK("http://exon.niaid.nih.gov/transcriptome/S_calcitrans/S1/links/netoglyc/XP_013104684.1-netoglyc.txt","0")</f>
        <v>0</v>
      </c>
      <c r="AF33">
        <v>14.4</v>
      </c>
      <c r="AG33">
        <v>3</v>
      </c>
      <c r="AH33">
        <v>3.8</v>
      </c>
      <c r="AI33" t="s">
        <v>243</v>
      </c>
      <c r="AJ33" t="s">
        <v>242</v>
      </c>
      <c r="AK33">
        <v>2796.5995557789447</v>
      </c>
      <c r="AL33" s="33">
        <v>8420</v>
      </c>
      <c r="AM33">
        <v>1</v>
      </c>
      <c r="AN33" s="30">
        <f t="shared" si="0"/>
        <v>1</v>
      </c>
      <c r="AO33" s="30" t="s">
        <v>244</v>
      </c>
      <c r="AP33">
        <v>798</v>
      </c>
      <c r="AQ33" s="34">
        <v>3.0995593615140765E-3</v>
      </c>
      <c r="AR33" s="35">
        <v>505.23700050134465</v>
      </c>
      <c r="AS33" t="s">
        <v>522</v>
      </c>
      <c r="AT33" s="36" t="s">
        <v>523</v>
      </c>
      <c r="AU33" t="s">
        <v>524</v>
      </c>
      <c r="AV33" t="str">
        <f>HYPERLINK("http://exon.niaid.nih.gov/transcriptome/S_calcitrans/S1/links/NR-LIGHT/XP_013104684.1-NR-LIGHT.txt","NR-LIGHT")</f>
        <v>NR-LIGHT</v>
      </c>
      <c r="AW33">
        <v>0</v>
      </c>
      <c r="AX33">
        <v>99.2</v>
      </c>
      <c r="AY33" s="33"/>
      <c r="BG33" s="31"/>
      <c r="BJ33" s="33"/>
      <c r="BK33" s="33"/>
      <c r="BL33" s="33" t="str">
        <f>HYPERLINK("http://exon.niaid.nih.gov/transcriptome/S_calcitrans/S1/links/NR-LIGHT/XP_013104684.1-NR-LIGHT.txt","antichymotrypsin-2-like isoform X2")</f>
        <v>antichymotrypsin-2-like isoform X2</v>
      </c>
      <c r="BM33" t="str">
        <f>HYPERLINK("http://www.ncbi.nlm.nih.gov/sutils/blink.cgi?pid=557756166","1E-106")</f>
        <v>1E-106</v>
      </c>
      <c r="BN33" t="str">
        <f>HYPERLINK("http://www.ncbi.nlm.nih.gov/protein/557756166","gi|557756166")</f>
        <v>gi|557756166</v>
      </c>
      <c r="BO33">
        <v>47</v>
      </c>
      <c r="BP33">
        <v>72</v>
      </c>
      <c r="BQ33">
        <v>99</v>
      </c>
      <c r="BR33" t="s">
        <v>251</v>
      </c>
      <c r="BS33" s="33" t="str">
        <f>HYPERLINK("http://exon.niaid.nih.gov/transcriptome/S_calcitrans/S1/links/SWISSP/XP_013104684.1-SWISSP.txt","Antitrypsin")</f>
        <v>Antitrypsin</v>
      </c>
      <c r="BT33" t="str">
        <f>HYPERLINK("http://www.uniprot.org/uniprot/P22922","6E-049")</f>
        <v>6E-049</v>
      </c>
      <c r="BU33" t="str">
        <f>HYPERLINK("http://www.uniprot.org/uniprot/P22922#expression","P22922")</f>
        <v>P22922</v>
      </c>
      <c r="BV33">
        <v>32</v>
      </c>
      <c r="BW33">
        <v>53</v>
      </c>
      <c r="BX33">
        <v>100</v>
      </c>
      <c r="BY33" t="s">
        <v>525</v>
      </c>
      <c r="BZ33" s="33" t="str">
        <f>HYPERLINK("http://exon.niaid.nih.gov/transcriptome/S_calcitrans/S1/links/REFSEQ-INVERTEBRATE/XP_013104684.1-REFSEQ-INVERTEBRATE.txt","antichymotrypsin-2-like isoform X1")</f>
        <v>antichymotrypsin-2-like isoform X1</v>
      </c>
      <c r="CA33" t="str">
        <f>HYPERLINK("http://www.ncbi.nlm.nih.gov/sutils/blink.cgi?pid=907672766","0.0")</f>
        <v>0.0</v>
      </c>
      <c r="CB33" t="str">
        <f>HYPERLINK("http://www.ncbi.nlm.nih.gov/protein/907672766","gi|907672766")</f>
        <v>gi|907672766</v>
      </c>
      <c r="CC33">
        <v>100</v>
      </c>
      <c r="CD33">
        <v>100</v>
      </c>
      <c r="CE33">
        <v>100</v>
      </c>
      <c r="CF33" t="s">
        <v>253</v>
      </c>
      <c r="CG33" s="33" t="str">
        <f>HYPERLINK("http://exon.niaid.nih.gov/transcriptome/S_calcitrans/S1/links/DIPTERA/XP_013104684.1-DIPTERA.txt","antichymotrypsin-2-like isoform X1")</f>
        <v>antichymotrypsin-2-like isoform X1</v>
      </c>
      <c r="CH33" t="str">
        <f>HYPERLINK("http://www.ncbi.nlm.nih.gov/sutils/blink.cgi?pid=907672766","0.0")</f>
        <v>0.0</v>
      </c>
      <c r="CI33" t="str">
        <f>HYPERLINK("http://www.ncbi.nlm.nih.gov/protein/907672766","gi|907672766")</f>
        <v>gi|907672766</v>
      </c>
      <c r="CJ33">
        <v>100</v>
      </c>
      <c r="CK33">
        <v>100</v>
      </c>
      <c r="CL33">
        <v>100</v>
      </c>
      <c r="CM33" t="s">
        <v>253</v>
      </c>
      <c r="CN33" s="33" t="str">
        <f>HYPERLINK("http://exon.niaid.nih.gov/transcriptome/S_calcitrans/S1/links/VIRUS/XP_013104684.1-VIRUS.txt","hypothetical protein VARVgp193")</f>
        <v>hypothetical protein VARVgp193</v>
      </c>
      <c r="CO33" t="str">
        <f>HYPERLINK("http://www.ncbi.nlm.nih.gov/sutils/blink.cgi?pid=9627714","2E-033")</f>
        <v>2E-033</v>
      </c>
      <c r="CP33" t="str">
        <f>HYPERLINK("http://www.ncbi.nlm.nih.gov/protein/9627714","gi|9627714")</f>
        <v>gi|9627714</v>
      </c>
      <c r="CQ33">
        <v>29</v>
      </c>
      <c r="CR33">
        <v>49</v>
      </c>
      <c r="CS33">
        <v>99</v>
      </c>
      <c r="CT33" t="s">
        <v>526</v>
      </c>
      <c r="CU33" s="33" t="s">
        <v>527</v>
      </c>
      <c r="CV33">
        <f>HYPERLINK("http://exon.niaid.nih.gov/transcriptome/S_calcitrans/S1/links/GO/XP_013104684.1-GO.txt",7E-82)</f>
        <v>6.9999999999999997E-82</v>
      </c>
      <c r="CW33" t="str">
        <f>HYPERLINK("http://amigo.geneontology.org/cgi-bin/amigo/term_details?term=GO:0004867","GO:0004867")</f>
        <v>GO:0004867</v>
      </c>
      <c r="CX33" t="s">
        <v>528</v>
      </c>
      <c r="CY33" t="s">
        <v>529</v>
      </c>
      <c r="CZ33" t="s">
        <v>530</v>
      </c>
      <c r="DA33" t="s">
        <v>242</v>
      </c>
      <c r="DC33" t="s">
        <v>531</v>
      </c>
      <c r="DD33" s="37">
        <v>6.9999999999999997E-82</v>
      </c>
      <c r="DE33" s="33" t="str">
        <f>HYPERLINK("http://exon.niaid.nih.gov/transcriptome/S_calcitrans/S1/links/CDD/XP_013104684.1-CDD.txt","Serpin")</f>
        <v>Serpin</v>
      </c>
      <c r="DF33" t="str">
        <f>HYPERLINK("http://www.ncbi.nlm.nih.gov/Structure/cdd/cddsrv.cgi?uid=pfam00079&amp;version=v4.0","8E-098")</f>
        <v>8E-098</v>
      </c>
      <c r="DG33" t="s">
        <v>532</v>
      </c>
      <c r="DH33" s="33" t="str">
        <f>HYPERLINK("http://exon.niaid.nih.gov/transcriptome/S_calcitrans/S1/links/KOG/XP_013104684.1-KOG.txt","Serpin")</f>
        <v>Serpin</v>
      </c>
      <c r="DI33" t="str">
        <f>HYPERLINK("http://www.ncbi.nlm.nih.gov/Structure/cdd/cddsrv.cgi?uid=KOG2392","2E-094")</f>
        <v>2E-094</v>
      </c>
      <c r="DJ33" t="s">
        <v>533</v>
      </c>
      <c r="DK33" t="str">
        <f>HYPERLINK("http://exon.niaid.nih.gov/transcriptome/S_calcitrans/S1/links/KOG/XP_013104684.1-KOG.txt","KOG2392")</f>
        <v>KOG2392</v>
      </c>
      <c r="DL33" s="33" t="str">
        <f>HYPERLINK("http://exon.niaid.nih.gov/transcriptome/S_calcitrans/S1/links/PFAM/XP_013104684.1-PFAM.txt","Serpin")</f>
        <v>Serpin</v>
      </c>
      <c r="DM33" t="str">
        <f>HYPERLINK("http://pfam.sanger.ac.uk/family?acc=PF00079","2E-098")</f>
        <v>2E-098</v>
      </c>
      <c r="DN33" s="33" t="str">
        <f>HYPERLINK("http://exon.niaid.nih.gov/transcriptome/S_calcitrans/S1/links/SMART/XP_013104684.1-SMART.txt","SERPIN")</f>
        <v>SERPIN</v>
      </c>
      <c r="DO33" t="str">
        <f>HYPERLINK("http://smart.embl-heidelberg.de/smart/do_annotation.pl?DOMAIN=SERPIN&amp;BLAST=DUMMY","2E-079")</f>
        <v>2E-079</v>
      </c>
      <c r="DP33" s="33"/>
      <c r="EB33" s="33">
        <f>HYPERLINK("http://exon.niaid.nih.gov/transcriptome/S_calcitrans/S1/links/cluster-b/Scalc-pep25-50SimCLU19.txt", 19)</f>
        <v>19</v>
      </c>
      <c r="EC33">
        <f>HYPERLINK("http://exon.niaid.nih.gov/transcriptome/S_calcitrans/S1/links/cluster-b/Scalc-pep25-50SimCLTL19.txt", 57)</f>
        <v>57</v>
      </c>
      <c r="ED33" s="33">
        <f>HYPERLINK("http://exon.niaid.nih.gov/transcriptome/S_calcitrans/S1/links/cluster-b/Scalc-pep30-50SimCLU24.txt", 24)</f>
        <v>24</v>
      </c>
      <c r="EE33">
        <f>HYPERLINK("http://exon.niaid.nih.gov/transcriptome/S_calcitrans/S1/links/cluster-b/Scalc-pep30-50SimCLTL24.txt", 57)</f>
        <v>57</v>
      </c>
      <c r="EF33" s="33">
        <f>HYPERLINK("http://exon.niaid.nih.gov/transcriptome/S_calcitrans/S1/links/cluster-b/Scalc-pep35-50SimCLU21.txt", 21)</f>
        <v>21</v>
      </c>
      <c r="EG33">
        <f>HYPERLINK("http://exon.niaid.nih.gov/transcriptome/S_calcitrans/S1/links/cluster-b/Scalc-pep35-50SimCLTL21.txt", 55)</f>
        <v>55</v>
      </c>
      <c r="EH33" s="33">
        <f>HYPERLINK("http://exon.niaid.nih.gov/transcriptome/S_calcitrans/S1/links/cluster-b/Scalc-pep40-50SimCLU18.txt", 18)</f>
        <v>18</v>
      </c>
      <c r="EI33">
        <f>HYPERLINK("http://exon.niaid.nih.gov/transcriptome/S_calcitrans/S1/links/cluster-b/Scalc-pep40-50SimCLTL18.txt", 54)</f>
        <v>54</v>
      </c>
      <c r="EJ33" s="33">
        <f>HYPERLINK("http://exon.niaid.nih.gov/transcriptome/S_calcitrans/S1/links/cluster-b/Scalc-pep45-50SimCLU12.txt", 12)</f>
        <v>12</v>
      </c>
      <c r="EK33">
        <f>HYPERLINK("http://exon.niaid.nih.gov/transcriptome/S_calcitrans/S1/links/cluster-b/Scalc-pep45-50SimCLTL12.txt", 51)</f>
        <v>51</v>
      </c>
      <c r="EL33" s="33">
        <f>HYPERLINK("http://exon.niaid.nih.gov/transcriptome/S_calcitrans/S1/links/cluster-b/Scalc-pep50-50SimCLU9.txt", 9)</f>
        <v>9</v>
      </c>
      <c r="EM33">
        <f>HYPERLINK("http://exon.niaid.nih.gov/transcriptome/S_calcitrans/S1/links/cluster-b/Scalc-pep50-50SimCLTL9.txt", 48)</f>
        <v>48</v>
      </c>
      <c r="EN33" s="33">
        <f>HYPERLINK("http://exon.niaid.nih.gov/transcriptome/S_calcitrans/S1/links/cluster-b/Scalc-pep55-50SimCLU6.txt", 6)</f>
        <v>6</v>
      </c>
      <c r="EO33">
        <f>HYPERLINK("http://exon.niaid.nih.gov/transcriptome/S_calcitrans/S1/links/cluster-b/Scalc-pep55-50SimCLTL6.txt", 44)</f>
        <v>44</v>
      </c>
      <c r="EP33" s="33">
        <f>HYPERLINK("http://exon.niaid.nih.gov/transcriptome/S_calcitrans/S1/links/cluster-b/Scalc-pep60-50SimCLU3.txt", 3)</f>
        <v>3</v>
      </c>
      <c r="EQ33">
        <f>HYPERLINK("http://exon.niaid.nih.gov/transcriptome/S_calcitrans/S1/links/cluster-b/Scalc-pep60-50SimCLTL3.txt", 41)</f>
        <v>41</v>
      </c>
      <c r="ER33" s="33">
        <f>HYPERLINK("http://exon.niaid.nih.gov/transcriptome/S_calcitrans/S1/links/cluster-b/Scalc-pep65-50SimCLU7.txt", 7)</f>
        <v>7</v>
      </c>
      <c r="ES33">
        <f>HYPERLINK("http://exon.niaid.nih.gov/transcriptome/S_calcitrans/S1/links/cluster-b/Scalc-pep65-50SimCLTL7.txt", 32)</f>
        <v>32</v>
      </c>
      <c r="ET33" s="33">
        <f>HYPERLINK("http://exon.niaid.nih.gov/transcriptome/S_calcitrans/S1/links/cluster-b/Scalc-pep70-50SimCLU2767.txt", 2767)</f>
        <v>2767</v>
      </c>
      <c r="EU33">
        <f>HYPERLINK("http://exon.niaid.nih.gov/transcriptome/S_calcitrans/S1/links/cluster-b/Scalc-pep70-50SimCLTL2767.txt", 2)</f>
        <v>2</v>
      </c>
      <c r="EV33" s="33">
        <f>HYPERLINK("http://exon.niaid.nih.gov/transcriptome/S_calcitrans/S1/links/cluster-b/Scalc-pep75-50SimCLU2715.txt", 2715)</f>
        <v>2715</v>
      </c>
      <c r="EW33">
        <f>HYPERLINK("http://exon.niaid.nih.gov/transcriptome/S_calcitrans/S1/links/cluster-b/Scalc-pep75-50SimCLTL2715.txt", 2)</f>
        <v>2</v>
      </c>
      <c r="EX33" s="33">
        <f>HYPERLINK("http://exon.niaid.nih.gov/transcriptome/S_calcitrans/S1/links/cluster-b/Scalc-pep80-50SimCLU2645.txt", 2645)</f>
        <v>2645</v>
      </c>
      <c r="EY33">
        <f>HYPERLINK("http://exon.niaid.nih.gov/transcriptome/S_calcitrans/S1/links/cluster-b/Scalc-pep80-50SimCLTL2645.txt", 2)</f>
        <v>2</v>
      </c>
      <c r="EZ33" s="33">
        <f>HYPERLINK("http://exon.niaid.nih.gov/transcriptome/S_calcitrans/S1/links/cluster-b/Scalc-pep85-50SimCLU2520.txt", 2520)</f>
        <v>2520</v>
      </c>
      <c r="FA33">
        <f>HYPERLINK("http://exon.niaid.nih.gov/transcriptome/S_calcitrans/S1/links/cluster-b/Scalc-pep85-50SimCLTL2520.txt", 2)</f>
        <v>2</v>
      </c>
      <c r="FB33" s="33">
        <v>8173</v>
      </c>
      <c r="FC33">
        <v>1</v>
      </c>
      <c r="FD33" s="33">
        <v>8420</v>
      </c>
      <c r="FE33">
        <v>1</v>
      </c>
      <c r="FF33" t="s">
        <v>534</v>
      </c>
      <c r="FG33">
        <v>10362</v>
      </c>
      <c r="FH33" s="38" t="str">
        <f>HYPERLINK("http://exon.niaid.nih.gov/transcriptome/S_calcitrans/S1/links/SG_male-stripped_temp-95-h10-1gap/10362-SG_male-stripped_temp-95-h10-1gap.txt","170")</f>
        <v>170</v>
      </c>
      <c r="FI33" s="39">
        <v>98.148148148148195</v>
      </c>
      <c r="FJ33" s="39">
        <v>10.5</v>
      </c>
      <c r="FK33" s="39">
        <v>0</v>
      </c>
      <c r="FL33" s="39">
        <v>28</v>
      </c>
      <c r="FM33" s="39">
        <v>73.376470588235307</v>
      </c>
      <c r="FN33" s="38" t="str">
        <f>HYPERLINK("http://exon.niaid.nih.gov/transcriptome/S_calcitrans/S1/links/SG_female-stripped_temp-95-h10-1gap/10362-SG_female-stripped_temp-95-h10-1gap.txt","628")</f>
        <v>628</v>
      </c>
      <c r="FO33" s="39">
        <v>95.7912457912458</v>
      </c>
      <c r="FP33" s="39">
        <v>38.835858585858603</v>
      </c>
      <c r="FQ33" s="39">
        <v>0</v>
      </c>
      <c r="FR33" s="39">
        <v>73</v>
      </c>
      <c r="FS33" s="39">
        <v>73.4665605095541</v>
      </c>
      <c r="FT33" s="38">
        <v>0</v>
      </c>
      <c r="FU33" s="39" t="s">
        <v>242</v>
      </c>
      <c r="FV33" s="39" t="s">
        <v>242</v>
      </c>
      <c r="FW33" s="39" t="s">
        <v>242</v>
      </c>
      <c r="FX33" s="39" t="s">
        <v>242</v>
      </c>
      <c r="FY33" s="39" t="s">
        <v>242</v>
      </c>
      <c r="FZ33" s="38">
        <v>0</v>
      </c>
      <c r="GA33" s="39" t="s">
        <v>242</v>
      </c>
      <c r="GB33" s="39" t="s">
        <v>242</v>
      </c>
      <c r="GC33" s="39" t="s">
        <v>242</v>
      </c>
      <c r="GD33" s="39" t="s">
        <v>242</v>
      </c>
      <c r="GE33" s="39" t="s">
        <v>242</v>
      </c>
      <c r="GF33">
        <f>1*FH33</f>
        <v>170</v>
      </c>
      <c r="GG33">
        <f>1*FN33</f>
        <v>628</v>
      </c>
      <c r="GH33">
        <f>1*FT33</f>
        <v>0</v>
      </c>
      <c r="GI33">
        <f>1*FZ33</f>
        <v>0</v>
      </c>
      <c r="GJ33">
        <f>IF(FZ33&lt;&gt;"",SUM(GF33:GG33),"")</f>
        <v>798</v>
      </c>
      <c r="GK33" s="34">
        <v>3.0995593615140765E-3</v>
      </c>
      <c r="GL33">
        <v>4.6809550488969336</v>
      </c>
      <c r="GM33">
        <v>7.8635099894427967</v>
      </c>
      <c r="GN33">
        <v>0</v>
      </c>
      <c r="GO33">
        <v>0</v>
      </c>
      <c r="GP33">
        <f>MAX(GL33:GO33)</f>
        <v>7.8635099894427967</v>
      </c>
      <c r="GQ33" t="s">
        <v>524</v>
      </c>
      <c r="GR33">
        <v>3.6506368458438878</v>
      </c>
      <c r="GS33">
        <v>6.4541031641830049</v>
      </c>
      <c r="GT33">
        <v>0</v>
      </c>
      <c r="GU33">
        <v>0</v>
      </c>
      <c r="GV33">
        <f>MAX(GR33:GU33)</f>
        <v>6.4541031641830049</v>
      </c>
      <c r="GW33">
        <v>505.23700050134465</v>
      </c>
      <c r="GX33">
        <v>798</v>
      </c>
      <c r="GY33">
        <v>0</v>
      </c>
      <c r="GZ33">
        <v>798</v>
      </c>
      <c r="HA33">
        <v>177.15575549332797</v>
      </c>
      <c r="HB33">
        <v>620.844244506672</v>
      </c>
      <c r="HC33">
        <v>2175.7553112722721</v>
      </c>
      <c r="HD33">
        <v>620.844244506672</v>
      </c>
      <c r="HE33">
        <v>2796.5995557789443</v>
      </c>
      <c r="HF33">
        <v>0</v>
      </c>
      <c r="HG33">
        <v>177.15575549332797</v>
      </c>
      <c r="HH33">
        <v>1</v>
      </c>
      <c r="HI33">
        <v>1</v>
      </c>
      <c r="HJ33">
        <v>2</v>
      </c>
      <c r="HK33">
        <v>0</v>
      </c>
      <c r="HL33" s="30" t="s">
        <v>262</v>
      </c>
      <c r="HM33">
        <v>2796.5995557789447</v>
      </c>
      <c r="HN33">
        <v>0</v>
      </c>
      <c r="HO33">
        <v>170</v>
      </c>
      <c r="HP33">
        <v>628</v>
      </c>
      <c r="HQ33">
        <v>798</v>
      </c>
      <c r="HR33">
        <v>249.45156391837526</v>
      </c>
      <c r="HS33">
        <v>548.5484360816248</v>
      </c>
      <c r="HT33">
        <v>25.305718312278216</v>
      </c>
      <c r="HU33">
        <v>11.507736771919888</v>
      </c>
      <c r="HV33">
        <v>36.813455084198104</v>
      </c>
      <c r="HW33">
        <v>1.2999001819544479E-9</v>
      </c>
      <c r="HX33">
        <v>249.45156391837526</v>
      </c>
      <c r="HY33">
        <v>1</v>
      </c>
      <c r="HZ33">
        <v>1</v>
      </c>
      <c r="IA33">
        <v>2</v>
      </c>
      <c r="IB33" s="37">
        <v>2.3477679002413498E-8</v>
      </c>
      <c r="IC33" s="30" t="s">
        <v>262</v>
      </c>
      <c r="ID33">
        <v>0.59432914248886715</v>
      </c>
      <c r="IE33">
        <v>1.6700704170936747</v>
      </c>
      <c r="IF33">
        <v>1.6700704170936747</v>
      </c>
      <c r="IG33" t="str">
        <f t="shared" si="1"/>
        <v/>
      </c>
    </row>
    <row r="34" spans="1:241">
      <c r="A34" t="str">
        <f>HYPERLINK("http://exon.niaid.nih.gov/transcriptome/S_calcitrans/S1/links/pep/XP_013104685.1-pep.txt","XP_013104685.1")</f>
        <v>XP_013104685.1</v>
      </c>
      <c r="B34" s="30" t="s">
        <v>232</v>
      </c>
      <c r="C34">
        <v>342</v>
      </c>
      <c r="D34" t="s">
        <v>535</v>
      </c>
      <c r="E34">
        <v>0</v>
      </c>
      <c r="F34" t="s">
        <v>536</v>
      </c>
      <c r="G34" t="str">
        <f>HYPERLINK("http://exon.niaid.nih.gov/transcriptome/S_calcitrans/S1/links/cds/XM_013249231_1-cds.txt","XM_013249231_1")</f>
        <v>XM_013249231_1</v>
      </c>
      <c r="H34">
        <v>1029</v>
      </c>
      <c r="I34" t="s">
        <v>518</v>
      </c>
      <c r="J34" s="30" t="s">
        <v>236</v>
      </c>
      <c r="K34" s="30" t="s">
        <v>91</v>
      </c>
      <c r="L34" s="31" t="s">
        <v>519</v>
      </c>
      <c r="M34" s="30">
        <v>5270</v>
      </c>
      <c r="N34" s="30">
        <v>6448</v>
      </c>
      <c r="O34" s="30" t="s">
        <v>238</v>
      </c>
      <c r="P34" s="30">
        <v>3</v>
      </c>
      <c r="Q34" s="31" t="s">
        <v>537</v>
      </c>
      <c r="R34" s="32" t="str">
        <f>HYPERLINK("http://exon.niaid.nih.gov/transcriptome/S_calcitrans/S1/links/Sigp/XP_013104685.1-SigP.txt","CYT")</f>
        <v>CYT</v>
      </c>
      <c r="S34" t="s">
        <v>242</v>
      </c>
      <c r="T34">
        <v>38.475999999999999</v>
      </c>
      <c r="U34">
        <v>4.8899999999999997</v>
      </c>
      <c r="V34" t="s">
        <v>242</v>
      </c>
      <c r="W34" t="s">
        <v>242</v>
      </c>
      <c r="X34" t="s">
        <v>538</v>
      </c>
      <c r="Y34" s="32">
        <v>0</v>
      </c>
      <c r="Z34" t="s">
        <v>242</v>
      </c>
      <c r="AA34" t="s">
        <v>242</v>
      </c>
      <c r="AB34" t="s">
        <v>242</v>
      </c>
      <c r="AC34" t="s">
        <v>242</v>
      </c>
      <c r="AD34" t="s">
        <v>242</v>
      </c>
      <c r="AE34" s="32" t="str">
        <f>HYPERLINK("http://exon.niaid.nih.gov/transcriptome/S_calcitrans/S1/links/netoglyc/XP_013104685.1-netoglyc.txt","0")</f>
        <v>0</v>
      </c>
      <c r="AF34">
        <v>14</v>
      </c>
      <c r="AG34">
        <v>3.5</v>
      </c>
      <c r="AH34">
        <v>4.0999999999999996</v>
      </c>
      <c r="AI34" t="s">
        <v>243</v>
      </c>
      <c r="AJ34" t="s">
        <v>242</v>
      </c>
      <c r="AK34">
        <v>2744.0318949560319</v>
      </c>
      <c r="AL34" s="33">
        <v>8421</v>
      </c>
      <c r="AM34">
        <v>1</v>
      </c>
      <c r="AN34" s="30">
        <f t="shared" si="0"/>
        <v>1</v>
      </c>
      <c r="AO34" s="30">
        <v>1</v>
      </c>
      <c r="AP34">
        <v>783</v>
      </c>
      <c r="AQ34" s="34">
        <v>3.041296967500654E-3</v>
      </c>
      <c r="AR34" s="35">
        <v>570.52856593093463</v>
      </c>
      <c r="AS34" t="s">
        <v>539</v>
      </c>
      <c r="AT34" s="36" t="s">
        <v>540</v>
      </c>
      <c r="AU34" t="s">
        <v>524</v>
      </c>
      <c r="AV34" t="str">
        <f>HYPERLINK("http://exon.niaid.nih.gov/transcriptome/S_calcitrans/S1/links/NR-LIGHT/XP_013104685.1-NR-LIGHT.txt","NR-LIGHT")</f>
        <v>NR-LIGHT</v>
      </c>
      <c r="AW34">
        <v>0</v>
      </c>
      <c r="AX34">
        <v>90.4</v>
      </c>
      <c r="AY34" s="33"/>
      <c r="BG34" s="31"/>
      <c r="BJ34" s="33"/>
      <c r="BK34" s="33"/>
      <c r="BL34" s="33" t="str">
        <f>HYPERLINK("http://exon.niaid.nih.gov/transcriptome/S_calcitrans/S1/links/NR-LIGHT/XP_013104685.1-NR-LIGHT.txt","antitrypsin-like isoform X3")</f>
        <v>antitrypsin-like isoform X3</v>
      </c>
      <c r="BM34" t="str">
        <f>HYPERLINK("http://www.ncbi.nlm.nih.gov/sutils/blink.cgi?pid=755858263","1E-100")</f>
        <v>1E-100</v>
      </c>
      <c r="BN34" t="str">
        <f>HYPERLINK("http://www.ncbi.nlm.nih.gov/protein/755858263","gi|755858263")</f>
        <v>gi|755858263</v>
      </c>
      <c r="BO34">
        <v>49</v>
      </c>
      <c r="BP34">
        <v>74</v>
      </c>
      <c r="BQ34">
        <v>90</v>
      </c>
      <c r="BR34" t="s">
        <v>251</v>
      </c>
      <c r="BS34" s="33" t="str">
        <f>HYPERLINK("http://exon.niaid.nih.gov/transcriptome/S_calcitrans/S1/links/SWISSP/XP_013104685.1-SWISSP.txt","Serpin B4")</f>
        <v>Serpin B4</v>
      </c>
      <c r="BT34" t="str">
        <f>HYPERLINK("http://www.uniprot.org/uniprot/P48594","1E-045")</f>
        <v>1E-045</v>
      </c>
      <c r="BU34" t="str">
        <f>HYPERLINK("http://www.uniprot.org/uniprot/P48594#expression","P48594")</f>
        <v>P48594</v>
      </c>
      <c r="BV34">
        <v>32</v>
      </c>
      <c r="BW34">
        <v>53</v>
      </c>
      <c r="BX34">
        <v>93</v>
      </c>
      <c r="BY34" t="s">
        <v>353</v>
      </c>
      <c r="BZ34" s="33" t="str">
        <f>HYPERLINK("http://exon.niaid.nih.gov/transcriptome/S_calcitrans/S1/links/REFSEQ-INVERTEBRATE/XP_013104685.1-REFSEQ-INVERTEBRATE.txt","serpin B4-like isoform X2")</f>
        <v>serpin B4-like isoform X2</v>
      </c>
      <c r="CA34" t="str">
        <f>HYPERLINK("http://www.ncbi.nlm.nih.gov/sutils/blink.cgi?pid=907672769","0.0")</f>
        <v>0.0</v>
      </c>
      <c r="CB34" t="str">
        <f>HYPERLINK("http://www.ncbi.nlm.nih.gov/protein/907672769","gi|907672769")</f>
        <v>gi|907672769</v>
      </c>
      <c r="CC34">
        <v>100</v>
      </c>
      <c r="CD34">
        <v>100</v>
      </c>
      <c r="CE34">
        <v>100</v>
      </c>
      <c r="CF34" t="s">
        <v>253</v>
      </c>
      <c r="CG34" s="33" t="str">
        <f>HYPERLINK("http://exon.niaid.nih.gov/transcriptome/S_calcitrans/S1/links/DIPTERA/XP_013104685.1-DIPTERA.txt","antichymotrypsin-2-like isoform X1")</f>
        <v>antichymotrypsin-2-like isoform X1</v>
      </c>
      <c r="CH34" t="str">
        <f>HYPERLINK("http://www.ncbi.nlm.nih.gov/sutils/blink.cgi?pid=907672766","0.0")</f>
        <v>0.0</v>
      </c>
      <c r="CI34" t="str">
        <f>HYPERLINK("http://www.ncbi.nlm.nih.gov/protein/907672766","gi|907672766")</f>
        <v>gi|907672766</v>
      </c>
      <c r="CJ34">
        <v>100</v>
      </c>
      <c r="CK34">
        <v>100</v>
      </c>
      <c r="CL34">
        <v>87</v>
      </c>
      <c r="CM34" t="s">
        <v>253</v>
      </c>
      <c r="CN34" s="33" t="str">
        <f>HYPERLINK("http://exon.niaid.nih.gov/transcriptome/S_calcitrans/S1/links/VIRUS/XP_013104685.1-VIRUS.txt","hypothetical protein VARVgp193")</f>
        <v>hypothetical protein VARVgp193</v>
      </c>
      <c r="CO34" t="str">
        <f>HYPERLINK("http://www.ncbi.nlm.nih.gov/sutils/blink.cgi?pid=9627714","4E-031")</f>
        <v>4E-031</v>
      </c>
      <c r="CP34" t="str">
        <f>HYPERLINK("http://www.ncbi.nlm.nih.gov/protein/9627714","gi|9627714")</f>
        <v>gi|9627714</v>
      </c>
      <c r="CQ34">
        <v>29</v>
      </c>
      <c r="CR34">
        <v>49</v>
      </c>
      <c r="CS34">
        <v>94</v>
      </c>
      <c r="CT34" t="s">
        <v>526</v>
      </c>
      <c r="CU34" s="33" t="s">
        <v>527</v>
      </c>
      <c r="CV34">
        <f>HYPERLINK("http://exon.niaid.nih.gov/transcriptome/S_calcitrans/S1/links/GO/XP_013104685.1-GO.txt",1E-78)</f>
        <v>1E-78</v>
      </c>
      <c r="CW34" t="str">
        <f>HYPERLINK("http://amigo.geneontology.org/cgi-bin/amigo/term_details?term=GO:0004867","GO:0004867")</f>
        <v>GO:0004867</v>
      </c>
      <c r="CX34" t="s">
        <v>528</v>
      </c>
      <c r="CY34" t="s">
        <v>529</v>
      </c>
      <c r="CZ34" t="s">
        <v>530</v>
      </c>
      <c r="DA34" t="s">
        <v>242</v>
      </c>
      <c r="DC34" t="s">
        <v>531</v>
      </c>
      <c r="DD34" s="37">
        <v>1E-78</v>
      </c>
      <c r="DE34" s="33" t="str">
        <f>HYPERLINK("http://exon.niaid.nih.gov/transcriptome/S_calcitrans/S1/links/CDD/XP_013104685.1-CDD.txt","Serpin")</f>
        <v>Serpin</v>
      </c>
      <c r="DF34" t="str">
        <f>HYPERLINK("http://www.ncbi.nlm.nih.gov/Structure/cdd/cddsrv.cgi?uid=pfam00079&amp;version=v4.0","2E-091")</f>
        <v>2E-091</v>
      </c>
      <c r="DG34" t="s">
        <v>541</v>
      </c>
      <c r="DH34" s="33" t="str">
        <f>HYPERLINK("http://exon.niaid.nih.gov/transcriptome/S_calcitrans/S1/links/KOG/XP_013104685.1-KOG.txt","Serpin")</f>
        <v>Serpin</v>
      </c>
      <c r="DI34" t="str">
        <f>HYPERLINK("http://www.ncbi.nlm.nih.gov/Structure/cdd/cddsrv.cgi?uid=KOG2392","2E-090")</f>
        <v>2E-090</v>
      </c>
      <c r="DJ34" t="s">
        <v>533</v>
      </c>
      <c r="DK34" t="str">
        <f>HYPERLINK("http://exon.niaid.nih.gov/transcriptome/S_calcitrans/S1/links/KOG/XP_013104685.1-KOG.txt","KOG2392")</f>
        <v>KOG2392</v>
      </c>
      <c r="DL34" s="33" t="str">
        <f>HYPERLINK("http://exon.niaid.nih.gov/transcriptome/S_calcitrans/S1/links/PFAM/XP_013104685.1-PFAM.txt","Serpin")</f>
        <v>Serpin</v>
      </c>
      <c r="DM34" t="str">
        <f>HYPERLINK("http://pfam.sanger.ac.uk/family?acc=PF00079","5E-092")</f>
        <v>5E-092</v>
      </c>
      <c r="DN34" s="33" t="str">
        <f>HYPERLINK("http://exon.niaid.nih.gov/transcriptome/S_calcitrans/S1/links/SMART/XP_013104685.1-SMART.txt","SERPIN")</f>
        <v>SERPIN</v>
      </c>
      <c r="DO34" t="str">
        <f>HYPERLINK("http://smart.embl-heidelberg.de/smart/do_annotation.pl?DOMAIN=SERPIN&amp;BLAST=DUMMY","3E-075")</f>
        <v>3E-075</v>
      </c>
      <c r="DP34" s="33"/>
      <c r="EB34" s="33">
        <f>HYPERLINK("http://exon.niaid.nih.gov/transcriptome/S_calcitrans/S1/links/cluster-b/Scalc-pep25-50SimCLU19.txt", 19)</f>
        <v>19</v>
      </c>
      <c r="EC34">
        <f>HYPERLINK("http://exon.niaid.nih.gov/transcriptome/S_calcitrans/S1/links/cluster-b/Scalc-pep25-50SimCLTL19.txt", 57)</f>
        <v>57</v>
      </c>
      <c r="ED34" s="33">
        <f>HYPERLINK("http://exon.niaid.nih.gov/transcriptome/S_calcitrans/S1/links/cluster-b/Scalc-pep30-50SimCLU24.txt", 24)</f>
        <v>24</v>
      </c>
      <c r="EE34">
        <f>HYPERLINK("http://exon.niaid.nih.gov/transcriptome/S_calcitrans/S1/links/cluster-b/Scalc-pep30-50SimCLTL24.txt", 57)</f>
        <v>57</v>
      </c>
      <c r="EF34" s="33">
        <f>HYPERLINK("http://exon.niaid.nih.gov/transcriptome/S_calcitrans/S1/links/cluster-b/Scalc-pep35-50SimCLU21.txt", 21)</f>
        <v>21</v>
      </c>
      <c r="EG34">
        <f>HYPERLINK("http://exon.niaid.nih.gov/transcriptome/S_calcitrans/S1/links/cluster-b/Scalc-pep35-50SimCLTL21.txt", 55)</f>
        <v>55</v>
      </c>
      <c r="EH34" s="33">
        <f>HYPERLINK("http://exon.niaid.nih.gov/transcriptome/S_calcitrans/S1/links/cluster-b/Scalc-pep40-50SimCLU18.txt", 18)</f>
        <v>18</v>
      </c>
      <c r="EI34">
        <f>HYPERLINK("http://exon.niaid.nih.gov/transcriptome/S_calcitrans/S1/links/cluster-b/Scalc-pep40-50SimCLTL18.txt", 54)</f>
        <v>54</v>
      </c>
      <c r="EJ34" s="33">
        <f>HYPERLINK("http://exon.niaid.nih.gov/transcriptome/S_calcitrans/S1/links/cluster-b/Scalc-pep45-50SimCLU12.txt", 12)</f>
        <v>12</v>
      </c>
      <c r="EK34">
        <f>HYPERLINK("http://exon.niaid.nih.gov/transcriptome/S_calcitrans/S1/links/cluster-b/Scalc-pep45-50SimCLTL12.txt", 51)</f>
        <v>51</v>
      </c>
      <c r="EL34" s="33">
        <f>HYPERLINK("http://exon.niaid.nih.gov/transcriptome/S_calcitrans/S1/links/cluster-b/Scalc-pep50-50SimCLU9.txt", 9)</f>
        <v>9</v>
      </c>
      <c r="EM34">
        <f>HYPERLINK("http://exon.niaid.nih.gov/transcriptome/S_calcitrans/S1/links/cluster-b/Scalc-pep50-50SimCLTL9.txt", 48)</f>
        <v>48</v>
      </c>
      <c r="EN34" s="33">
        <f>HYPERLINK("http://exon.niaid.nih.gov/transcriptome/S_calcitrans/S1/links/cluster-b/Scalc-pep55-50SimCLU6.txt", 6)</f>
        <v>6</v>
      </c>
      <c r="EO34">
        <f>HYPERLINK("http://exon.niaid.nih.gov/transcriptome/S_calcitrans/S1/links/cluster-b/Scalc-pep55-50SimCLTL6.txt", 44)</f>
        <v>44</v>
      </c>
      <c r="EP34" s="33">
        <f>HYPERLINK("http://exon.niaid.nih.gov/transcriptome/S_calcitrans/S1/links/cluster-b/Scalc-pep60-50SimCLU3.txt", 3)</f>
        <v>3</v>
      </c>
      <c r="EQ34">
        <f>HYPERLINK("http://exon.niaid.nih.gov/transcriptome/S_calcitrans/S1/links/cluster-b/Scalc-pep60-50SimCLTL3.txt", 41)</f>
        <v>41</v>
      </c>
      <c r="ER34" s="33">
        <f>HYPERLINK("http://exon.niaid.nih.gov/transcriptome/S_calcitrans/S1/links/cluster-b/Scalc-pep65-50SimCLU7.txt", 7)</f>
        <v>7</v>
      </c>
      <c r="ES34">
        <f>HYPERLINK("http://exon.niaid.nih.gov/transcriptome/S_calcitrans/S1/links/cluster-b/Scalc-pep65-50SimCLTL7.txt", 32)</f>
        <v>32</v>
      </c>
      <c r="ET34" s="33">
        <f>HYPERLINK("http://exon.niaid.nih.gov/transcriptome/S_calcitrans/S1/links/cluster-b/Scalc-pep70-50SimCLU2767.txt", 2767)</f>
        <v>2767</v>
      </c>
      <c r="EU34">
        <f>HYPERLINK("http://exon.niaid.nih.gov/transcriptome/S_calcitrans/S1/links/cluster-b/Scalc-pep70-50SimCLTL2767.txt", 2)</f>
        <v>2</v>
      </c>
      <c r="EV34" s="33">
        <f>HYPERLINK("http://exon.niaid.nih.gov/transcriptome/S_calcitrans/S1/links/cluster-b/Scalc-pep75-50SimCLU2715.txt", 2715)</f>
        <v>2715</v>
      </c>
      <c r="EW34">
        <f>HYPERLINK("http://exon.niaid.nih.gov/transcriptome/S_calcitrans/S1/links/cluster-b/Scalc-pep75-50SimCLTL2715.txt", 2)</f>
        <v>2</v>
      </c>
      <c r="EX34" s="33">
        <f>HYPERLINK("http://exon.niaid.nih.gov/transcriptome/S_calcitrans/S1/links/cluster-b/Scalc-pep80-50SimCLU2645.txt", 2645)</f>
        <v>2645</v>
      </c>
      <c r="EY34">
        <f>HYPERLINK("http://exon.niaid.nih.gov/transcriptome/S_calcitrans/S1/links/cluster-b/Scalc-pep80-50SimCLTL2645.txt", 2)</f>
        <v>2</v>
      </c>
      <c r="EZ34" s="33">
        <f>HYPERLINK("http://exon.niaid.nih.gov/transcriptome/S_calcitrans/S1/links/cluster-b/Scalc-pep85-50SimCLU2520.txt", 2520)</f>
        <v>2520</v>
      </c>
      <c r="FA34">
        <f>HYPERLINK("http://exon.niaid.nih.gov/transcriptome/S_calcitrans/S1/links/cluster-b/Scalc-pep85-50SimCLTL2520.txt", 2)</f>
        <v>2</v>
      </c>
      <c r="FB34" s="33">
        <v>8174</v>
      </c>
      <c r="FC34">
        <v>1</v>
      </c>
      <c r="FD34" s="33">
        <v>8421</v>
      </c>
      <c r="FE34">
        <v>1</v>
      </c>
      <c r="FF34" t="s">
        <v>542</v>
      </c>
      <c r="FG34">
        <v>10361</v>
      </c>
      <c r="FH34" s="38" t="str">
        <f>HYPERLINK("http://exon.niaid.nih.gov/transcriptome/S_calcitrans/S1/links/SG_male-stripped_temp-95-h10-1gap/10361-SG_male-stripped_temp-95-h10-1gap.txt","164")</f>
        <v>164</v>
      </c>
      <c r="FI34" s="39">
        <v>100</v>
      </c>
      <c r="FJ34" s="39">
        <v>11.6861030126336</v>
      </c>
      <c r="FK34" s="39">
        <v>3</v>
      </c>
      <c r="FL34" s="39">
        <v>28</v>
      </c>
      <c r="FM34" s="39">
        <v>73.323170731707293</v>
      </c>
      <c r="FN34" s="38" t="str">
        <f>HYPERLINK("http://exon.niaid.nih.gov/transcriptome/S_calcitrans/S1/links/SG_female-stripped_temp-95-h10-1gap/10361-SG_female-stripped_temp-95-h10-1gap.txt","619")</f>
        <v>619</v>
      </c>
      <c r="FO34" s="39">
        <v>100</v>
      </c>
      <c r="FP34" s="39">
        <v>43.779397473274997</v>
      </c>
      <c r="FQ34" s="39">
        <v>14</v>
      </c>
      <c r="FR34" s="39">
        <v>73</v>
      </c>
      <c r="FS34" s="39">
        <v>72.777059773828796</v>
      </c>
      <c r="FT34" s="38">
        <v>0</v>
      </c>
      <c r="FU34" s="39" t="s">
        <v>242</v>
      </c>
      <c r="FV34" s="39" t="s">
        <v>242</v>
      </c>
      <c r="FW34" s="39" t="s">
        <v>242</v>
      </c>
      <c r="FX34" s="39" t="s">
        <v>242</v>
      </c>
      <c r="FY34" s="39" t="s">
        <v>242</v>
      </c>
      <c r="FZ34" s="38">
        <v>0</v>
      </c>
      <c r="GA34" s="39" t="s">
        <v>242</v>
      </c>
      <c r="GB34" s="39" t="s">
        <v>242</v>
      </c>
      <c r="GC34" s="39" t="s">
        <v>242</v>
      </c>
      <c r="GD34" s="39" t="s">
        <v>242</v>
      </c>
      <c r="GE34" s="39" t="s">
        <v>242</v>
      </c>
      <c r="GF34">
        <f>1*FH34</f>
        <v>164</v>
      </c>
      <c r="GG34">
        <f>1*FN34</f>
        <v>619</v>
      </c>
      <c r="GH34">
        <f>1*FT34</f>
        <v>0</v>
      </c>
      <c r="GI34">
        <f>1*FZ34</f>
        <v>0</v>
      </c>
      <c r="GJ34">
        <f>IF(FZ34&lt;&gt;"",SUM(GF34:GG34),"")</f>
        <v>783</v>
      </c>
      <c r="GK34" s="34">
        <v>3.041296967500654E-3</v>
      </c>
      <c r="GL34">
        <v>5.2135130285639244</v>
      </c>
      <c r="GM34">
        <v>8.9484643862331996</v>
      </c>
      <c r="GN34">
        <v>0</v>
      </c>
      <c r="GO34">
        <v>0</v>
      </c>
      <c r="GP34">
        <f>MAX(GL34:GO34)</f>
        <v>8.9484643862331996</v>
      </c>
      <c r="GQ34" t="s">
        <v>524</v>
      </c>
      <c r="GR34">
        <v>4.0659742637023735</v>
      </c>
      <c r="GS34">
        <v>7.3445970549163198</v>
      </c>
      <c r="GT34">
        <v>0</v>
      </c>
      <c r="GU34">
        <v>0</v>
      </c>
      <c r="GV34">
        <f>MAX(GR34:GU34)</f>
        <v>7.3445970549163198</v>
      </c>
      <c r="GW34">
        <v>570.52856593093463</v>
      </c>
      <c r="GX34">
        <v>783</v>
      </c>
      <c r="GY34">
        <v>0</v>
      </c>
      <c r="GZ34">
        <v>783</v>
      </c>
      <c r="HA34">
        <v>173.82576008931804</v>
      </c>
      <c r="HB34">
        <v>609.17423991068199</v>
      </c>
      <c r="HC34">
        <v>2134.8576550453504</v>
      </c>
      <c r="HD34">
        <v>609.17423991068199</v>
      </c>
      <c r="HE34">
        <v>2744.0318949560324</v>
      </c>
      <c r="HF34">
        <v>0</v>
      </c>
      <c r="HG34">
        <v>173.82576008931804</v>
      </c>
      <c r="HH34">
        <v>1</v>
      </c>
      <c r="HI34">
        <v>1</v>
      </c>
      <c r="HJ34">
        <v>2</v>
      </c>
      <c r="HK34">
        <v>0</v>
      </c>
      <c r="HL34" s="30" t="s">
        <v>262</v>
      </c>
      <c r="HM34">
        <v>2744.0318949560319</v>
      </c>
      <c r="HN34">
        <v>0</v>
      </c>
      <c r="HO34">
        <v>164</v>
      </c>
      <c r="HP34">
        <v>619</v>
      </c>
      <c r="HQ34">
        <v>783</v>
      </c>
      <c r="HR34">
        <v>244.76262474697722</v>
      </c>
      <c r="HS34">
        <v>538.23737525302283</v>
      </c>
      <c r="HT34">
        <v>26.648682832045054</v>
      </c>
      <c r="HU34">
        <v>12.11844783717371</v>
      </c>
      <c r="HV34">
        <v>38.767130669218766</v>
      </c>
      <c r="HW34">
        <v>4.7750115348749852E-10</v>
      </c>
      <c r="HX34">
        <v>244.76262474697722</v>
      </c>
      <c r="HY34">
        <v>1</v>
      </c>
      <c r="HZ34">
        <v>1</v>
      </c>
      <c r="IA34">
        <v>2</v>
      </c>
      <c r="IB34" s="37">
        <v>9.1779943921232895E-9</v>
      </c>
      <c r="IC34" s="30" t="s">
        <v>262</v>
      </c>
      <c r="ID34">
        <v>0.58167568332620101</v>
      </c>
      <c r="IE34">
        <v>1.7059957882546648</v>
      </c>
      <c r="IF34">
        <v>1.7059957882546648</v>
      </c>
      <c r="IG34" t="str">
        <f t="shared" si="1"/>
        <v/>
      </c>
    </row>
    <row r="35" spans="1:241">
      <c r="A35" t="str">
        <f>HYPERLINK("http://exon.niaid.nih.gov/transcriptome/S_calcitrans/S1/links/pep/XP_013104683.1-pep.txt","XP_013104683.1")</f>
        <v>XP_013104683.1</v>
      </c>
      <c r="B35" s="30" t="s">
        <v>232</v>
      </c>
      <c r="C35">
        <v>420</v>
      </c>
      <c r="D35" t="s">
        <v>543</v>
      </c>
      <c r="E35">
        <v>0</v>
      </c>
      <c r="F35" t="s">
        <v>544</v>
      </c>
      <c r="G35" t="str">
        <f>HYPERLINK("http://exon.niaid.nih.gov/transcriptome/S_calcitrans/S1/links/cds/XM_013249229_1-cds.txt","XM_013249229_1")</f>
        <v>XM_013249229_1</v>
      </c>
      <c r="H35">
        <v>1263</v>
      </c>
      <c r="I35" t="s">
        <v>545</v>
      </c>
      <c r="J35" s="30" t="s">
        <v>236</v>
      </c>
      <c r="K35" s="30" t="s">
        <v>91</v>
      </c>
      <c r="L35" s="31" t="s">
        <v>519</v>
      </c>
      <c r="M35" s="30">
        <v>27379</v>
      </c>
      <c r="N35" s="30">
        <v>33847</v>
      </c>
      <c r="O35" s="30" t="s">
        <v>238</v>
      </c>
      <c r="P35" s="30">
        <v>3</v>
      </c>
      <c r="Q35" s="31" t="s">
        <v>546</v>
      </c>
      <c r="R35" s="32" t="str">
        <f>HYPERLINK("http://exon.niaid.nih.gov/transcriptome/S_calcitrans/S1/links/Sigp/XP_013104683.1-SigP.txt","SIG")</f>
        <v>SIG</v>
      </c>
      <c r="S35" t="s">
        <v>492</v>
      </c>
      <c r="T35">
        <v>47.447000000000003</v>
      </c>
      <c r="U35">
        <v>5.15</v>
      </c>
      <c r="V35">
        <v>45.195999999999998</v>
      </c>
      <c r="W35">
        <v>5.0999999999999996</v>
      </c>
      <c r="X35" t="s">
        <v>547</v>
      </c>
      <c r="Y35" s="32" t="str">
        <f>HYPERLINK("http://exon.niaid.nih.gov/transcriptome/S_calcitrans/S1/links/tmhmm/XP_013104683.1-tmhmm.txt","1")</f>
        <v>1</v>
      </c>
      <c r="Z35">
        <v>5.2</v>
      </c>
      <c r="AA35">
        <v>93.6</v>
      </c>
      <c r="AB35">
        <v>1.2</v>
      </c>
      <c r="AC35" t="s">
        <v>242</v>
      </c>
      <c r="AD35">
        <v>393</v>
      </c>
      <c r="AE35" s="32" t="str">
        <f>HYPERLINK("http://exon.niaid.nih.gov/transcriptome/S_calcitrans/S1/links/netoglyc/XP_013104683.1-netoglyc.txt","0")</f>
        <v>0</v>
      </c>
      <c r="AF35">
        <v>14.3</v>
      </c>
      <c r="AG35">
        <v>4</v>
      </c>
      <c r="AH35">
        <v>2.9</v>
      </c>
      <c r="AI35" t="s">
        <v>243</v>
      </c>
      <c r="AJ35" t="s">
        <v>242</v>
      </c>
      <c r="AK35">
        <v>322.03612035658108</v>
      </c>
      <c r="AL35" s="33">
        <v>8422</v>
      </c>
      <c r="AM35">
        <v>1</v>
      </c>
      <c r="AN35" s="30">
        <f t="shared" si="0"/>
        <v>1</v>
      </c>
      <c r="AO35" s="30" t="s">
        <v>244</v>
      </c>
      <c r="AP35">
        <v>3400</v>
      </c>
      <c r="AQ35" s="34">
        <v>1.3206142643042431E-2</v>
      </c>
      <c r="AR35" s="35">
        <v>89.098724537215404</v>
      </c>
      <c r="AS35" t="s">
        <v>548</v>
      </c>
      <c r="AT35" s="36" t="s">
        <v>549</v>
      </c>
      <c r="AU35" t="s">
        <v>550</v>
      </c>
      <c r="AV35" t="str">
        <f>HYPERLINK("http://exon.niaid.nih.gov/transcriptome/S_calcitrans/S1/links/KOG/XP_013104683.1-KOG.txt","KOG")</f>
        <v>KOG</v>
      </c>
      <c r="AW35">
        <v>0</v>
      </c>
      <c r="AX35">
        <v>97.6</v>
      </c>
      <c r="AY35" s="33"/>
      <c r="BG35" s="31"/>
      <c r="BJ35" s="33"/>
      <c r="BK35" s="33"/>
      <c r="BL35" s="33" t="str">
        <f>HYPERLINK("http://exon.niaid.nih.gov/transcriptome/S_calcitrans/S1/links/NR-LIGHT/XP_013104683.1-NR-LIGHT.txt","antichymotrypsin-2-like")</f>
        <v>antichymotrypsin-2-like</v>
      </c>
      <c r="BM35" t="str">
        <f>HYPERLINK("http://www.ncbi.nlm.nih.gov/sutils/blink.cgi?pid=755858266","1E-125")</f>
        <v>1E-125</v>
      </c>
      <c r="BN35" t="str">
        <f>HYPERLINK("http://www.ncbi.nlm.nih.gov/protein/755858266","gi|755858266")</f>
        <v>gi|755858266</v>
      </c>
      <c r="BO35">
        <v>54</v>
      </c>
      <c r="BP35">
        <v>70</v>
      </c>
      <c r="BQ35">
        <v>100</v>
      </c>
      <c r="BR35" t="s">
        <v>251</v>
      </c>
      <c r="BS35" s="33" t="str">
        <f>HYPERLINK("http://exon.niaid.nih.gov/transcriptome/S_calcitrans/S1/links/SWISSP/XP_013104683.1-SWISSP.txt","Antitrypsin")</f>
        <v>Antitrypsin</v>
      </c>
      <c r="BT35" t="str">
        <f>HYPERLINK("http://www.uniprot.org/uniprot/P22922","4E-059")</f>
        <v>4E-059</v>
      </c>
      <c r="BU35" t="str">
        <f>HYPERLINK("http://www.uniprot.org/uniprot/P22922#expression","P22922")</f>
        <v>P22922</v>
      </c>
      <c r="BV35">
        <v>37</v>
      </c>
      <c r="BW35">
        <v>56</v>
      </c>
      <c r="BX35">
        <v>97</v>
      </c>
      <c r="BY35" t="s">
        <v>525</v>
      </c>
      <c r="BZ35" s="33" t="str">
        <f>HYPERLINK("http://exon.niaid.nih.gov/transcriptome/S_calcitrans/S1/links/REFSEQ-INVERTEBRATE/XP_013104683.1-REFSEQ-INVERTEBRATE.txt","antichymotrypsin-2-like")</f>
        <v>antichymotrypsin-2-like</v>
      </c>
      <c r="CA35" t="str">
        <f>HYPERLINK("http://www.ncbi.nlm.nih.gov/sutils/blink.cgi?pid=907672763","0.0")</f>
        <v>0.0</v>
      </c>
      <c r="CB35" t="str">
        <f>HYPERLINK("http://www.ncbi.nlm.nih.gov/protein/907672763","gi|907672763")</f>
        <v>gi|907672763</v>
      </c>
      <c r="CC35">
        <v>100</v>
      </c>
      <c r="CD35">
        <v>100</v>
      </c>
      <c r="CE35">
        <v>100</v>
      </c>
      <c r="CF35" t="s">
        <v>253</v>
      </c>
      <c r="CG35" s="33" t="str">
        <f>HYPERLINK("http://exon.niaid.nih.gov/transcriptome/S_calcitrans/S1/links/DIPTERA/XP_013104683.1-DIPTERA.txt","antichymotrypsin-2-like")</f>
        <v>antichymotrypsin-2-like</v>
      </c>
      <c r="CH35" t="str">
        <f>HYPERLINK("http://www.ncbi.nlm.nih.gov/sutils/blink.cgi?pid=907672763","0.0")</f>
        <v>0.0</v>
      </c>
      <c r="CI35" t="str">
        <f>HYPERLINK("http://www.ncbi.nlm.nih.gov/protein/907672763","gi|907672763")</f>
        <v>gi|907672763</v>
      </c>
      <c r="CJ35">
        <v>100</v>
      </c>
      <c r="CK35">
        <v>100</v>
      </c>
      <c r="CL35">
        <v>100</v>
      </c>
      <c r="CM35" t="s">
        <v>253</v>
      </c>
      <c r="CN35" s="33" t="str">
        <f>HYPERLINK("http://exon.niaid.nih.gov/transcriptome/S_calcitrans/S1/links/VIRUS/XP_013104683.1-VIRUS.txt","SPI-2/CrmA inhibits Fas-mediated apoptosis, IL-1 convertase, lipoxygenase")</f>
        <v>SPI-2/CrmA inhibits Fas-mediated apoptosis, IL-1 convertase, lipoxygenase</v>
      </c>
      <c r="CO35" t="str">
        <f>HYPERLINK("http://www.ncbi.nlm.nih.gov/sutils/blink.cgi?pid=66275992","9E-036")</f>
        <v>9E-036</v>
      </c>
      <c r="CP35" t="str">
        <f>HYPERLINK("http://www.ncbi.nlm.nih.gov/protein/66275992","gi|66275992")</f>
        <v>gi|66275992</v>
      </c>
      <c r="CQ35">
        <v>30</v>
      </c>
      <c r="CR35">
        <v>51</v>
      </c>
      <c r="CS35">
        <v>103</v>
      </c>
      <c r="CT35" t="s">
        <v>551</v>
      </c>
      <c r="CU35" s="33" t="s">
        <v>527</v>
      </c>
      <c r="CV35">
        <f>HYPERLINK("http://exon.niaid.nih.gov/transcriptome/S_calcitrans/S1/links/GO/XP_013104683.1-GO.txt",6E-88)</f>
        <v>5.9999999999999999E-88</v>
      </c>
      <c r="CW35" t="str">
        <f>HYPERLINK("http://amigo.geneontology.org/cgi-bin/amigo/term_details?term=GO:0004867","GO:0004867")</f>
        <v>GO:0004867</v>
      </c>
      <c r="CX35" t="s">
        <v>528</v>
      </c>
      <c r="CY35" t="s">
        <v>529</v>
      </c>
      <c r="CZ35" t="s">
        <v>530</v>
      </c>
      <c r="DA35" t="s">
        <v>242</v>
      </c>
      <c r="DC35" t="s">
        <v>531</v>
      </c>
      <c r="DD35" s="37">
        <v>5.9999999999999999E-88</v>
      </c>
      <c r="DE35" s="33" t="str">
        <f>HYPERLINK("http://exon.niaid.nih.gov/transcriptome/S_calcitrans/S1/links/CDD/XP_013104683.1-CDD.txt","SERPIN")</f>
        <v>SERPIN</v>
      </c>
      <c r="DF35" t="str">
        <f>HYPERLINK("http://www.ncbi.nlm.nih.gov/Structure/cdd/cddsrv.cgi?uid=cd00172&amp;version=v4.0","1E-123")</f>
        <v>1E-123</v>
      </c>
      <c r="DG35" t="s">
        <v>552</v>
      </c>
      <c r="DH35" s="33" t="str">
        <f>HYPERLINK("http://exon.niaid.nih.gov/transcriptome/S_calcitrans/S1/links/KOG/XP_013104683.1-KOG.txt","Serpin")</f>
        <v>Serpin</v>
      </c>
      <c r="DI35" t="str">
        <f>HYPERLINK("http://www.ncbi.nlm.nih.gov/Structure/cdd/cddsrv.cgi?uid=KOG2392","1E-103")</f>
        <v>1E-103</v>
      </c>
      <c r="DJ35" t="s">
        <v>533</v>
      </c>
      <c r="DK35" t="str">
        <f>HYPERLINK("http://exon.niaid.nih.gov/transcriptome/S_calcitrans/S1/links/KOG/XP_013104683.1-KOG.txt","KOG2392")</f>
        <v>KOG2392</v>
      </c>
      <c r="DL35" s="33" t="str">
        <f>HYPERLINK("http://exon.niaid.nih.gov/transcriptome/S_calcitrans/S1/links/PFAM/XP_013104683.1-PFAM.txt","Serpin")</f>
        <v>Serpin</v>
      </c>
      <c r="DM35" t="str">
        <f>HYPERLINK("http://pfam.sanger.ac.uk/family?acc=PF00079","1E-097")</f>
        <v>1E-097</v>
      </c>
      <c r="DN35" s="33" t="str">
        <f>HYPERLINK("http://exon.niaid.nih.gov/transcriptome/S_calcitrans/S1/links/SMART/XP_013104683.1-SMART.txt","SERPIN")</f>
        <v>SERPIN</v>
      </c>
      <c r="DO35" t="str">
        <f>HYPERLINK("http://smart.embl-heidelberg.de/smart/do_annotation.pl?DOMAIN=SERPIN&amp;BLAST=DUMMY","1E-078")</f>
        <v>1E-078</v>
      </c>
      <c r="DP35" s="33"/>
      <c r="EB35" s="33">
        <f>HYPERLINK("http://exon.niaid.nih.gov/transcriptome/S_calcitrans/S1/links/cluster-b/Scalc-pep25-50SimCLU19.txt", 19)</f>
        <v>19</v>
      </c>
      <c r="EC35">
        <f>HYPERLINK("http://exon.niaid.nih.gov/transcriptome/S_calcitrans/S1/links/cluster-b/Scalc-pep25-50SimCLTL19.txt", 57)</f>
        <v>57</v>
      </c>
      <c r="ED35" s="33">
        <f>HYPERLINK("http://exon.niaid.nih.gov/transcriptome/S_calcitrans/S1/links/cluster-b/Scalc-pep30-50SimCLU24.txt", 24)</f>
        <v>24</v>
      </c>
      <c r="EE35">
        <f>HYPERLINK("http://exon.niaid.nih.gov/transcriptome/S_calcitrans/S1/links/cluster-b/Scalc-pep30-50SimCLTL24.txt", 57)</f>
        <v>57</v>
      </c>
      <c r="EF35" s="33">
        <f>HYPERLINK("http://exon.niaid.nih.gov/transcriptome/S_calcitrans/S1/links/cluster-b/Scalc-pep35-50SimCLU21.txt", 21)</f>
        <v>21</v>
      </c>
      <c r="EG35">
        <f>HYPERLINK("http://exon.niaid.nih.gov/transcriptome/S_calcitrans/S1/links/cluster-b/Scalc-pep35-50SimCLTL21.txt", 55)</f>
        <v>55</v>
      </c>
      <c r="EH35" s="33">
        <f>HYPERLINK("http://exon.niaid.nih.gov/transcriptome/S_calcitrans/S1/links/cluster-b/Scalc-pep40-50SimCLU18.txt", 18)</f>
        <v>18</v>
      </c>
      <c r="EI35">
        <f>HYPERLINK("http://exon.niaid.nih.gov/transcriptome/S_calcitrans/S1/links/cluster-b/Scalc-pep40-50SimCLTL18.txt", 54)</f>
        <v>54</v>
      </c>
      <c r="EJ35" s="33">
        <f>HYPERLINK("http://exon.niaid.nih.gov/transcriptome/S_calcitrans/S1/links/cluster-b/Scalc-pep45-50SimCLU12.txt", 12)</f>
        <v>12</v>
      </c>
      <c r="EK35">
        <f>HYPERLINK("http://exon.niaid.nih.gov/transcriptome/S_calcitrans/S1/links/cluster-b/Scalc-pep45-50SimCLTL12.txt", 51)</f>
        <v>51</v>
      </c>
      <c r="EL35" s="33">
        <f>HYPERLINK("http://exon.niaid.nih.gov/transcriptome/S_calcitrans/S1/links/cluster-b/Scalc-pep50-50SimCLU9.txt", 9)</f>
        <v>9</v>
      </c>
      <c r="EM35">
        <f>HYPERLINK("http://exon.niaid.nih.gov/transcriptome/S_calcitrans/S1/links/cluster-b/Scalc-pep50-50SimCLTL9.txt", 48)</f>
        <v>48</v>
      </c>
      <c r="EN35" s="33">
        <f>HYPERLINK("http://exon.niaid.nih.gov/transcriptome/S_calcitrans/S1/links/cluster-b/Scalc-pep55-50SimCLU6.txt", 6)</f>
        <v>6</v>
      </c>
      <c r="EO35">
        <f>HYPERLINK("http://exon.niaid.nih.gov/transcriptome/S_calcitrans/S1/links/cluster-b/Scalc-pep55-50SimCLTL6.txt", 44)</f>
        <v>44</v>
      </c>
      <c r="EP35" s="33">
        <f>HYPERLINK("http://exon.niaid.nih.gov/transcriptome/S_calcitrans/S1/links/cluster-b/Scalc-pep60-50SimCLU3.txt", 3)</f>
        <v>3</v>
      </c>
      <c r="EQ35">
        <f>HYPERLINK("http://exon.niaid.nih.gov/transcriptome/S_calcitrans/S1/links/cluster-b/Scalc-pep60-50SimCLTL3.txt", 41)</f>
        <v>41</v>
      </c>
      <c r="ER35" s="33">
        <v>7345</v>
      </c>
      <c r="ES35">
        <v>1</v>
      </c>
      <c r="ET35" s="33">
        <v>7522</v>
      </c>
      <c r="EU35">
        <v>1</v>
      </c>
      <c r="EV35" s="33">
        <v>7691</v>
      </c>
      <c r="EW35">
        <v>1</v>
      </c>
      <c r="EX35" s="33">
        <v>7843</v>
      </c>
      <c r="EY35">
        <v>1</v>
      </c>
      <c r="EZ35" s="33">
        <v>8004</v>
      </c>
      <c r="FA35">
        <v>1</v>
      </c>
      <c r="FB35" s="33">
        <v>8175</v>
      </c>
      <c r="FC35">
        <v>1</v>
      </c>
      <c r="FD35" s="33">
        <v>8422</v>
      </c>
      <c r="FE35">
        <v>1</v>
      </c>
      <c r="FF35" t="s">
        <v>553</v>
      </c>
      <c r="FG35">
        <v>10363</v>
      </c>
      <c r="FH35" s="38" t="str">
        <f>HYPERLINK("http://exon.niaid.nih.gov/transcriptome/S_calcitrans/S1/links/SG_male-stripped_temp-95-h10-1gap/10363-SG_male-stripped_temp-95-h10-1gap.txt","1133")</f>
        <v>1133</v>
      </c>
      <c r="FI35" s="39">
        <v>100</v>
      </c>
      <c r="FJ35" s="39">
        <v>66.241488519398303</v>
      </c>
      <c r="FK35" s="39">
        <v>4</v>
      </c>
      <c r="FL35" s="39">
        <v>190</v>
      </c>
      <c r="FM35" s="39">
        <v>73.844660194174807</v>
      </c>
      <c r="FN35" s="38" t="str">
        <f>HYPERLINK("http://exon.niaid.nih.gov/transcriptome/S_calcitrans/S1/links/SG_female-stripped_temp-95-h10-1gap/10363-SG_female-stripped_temp-95-h10-1gap.txt","2267")</f>
        <v>2267</v>
      </c>
      <c r="FO35" s="39">
        <v>100</v>
      </c>
      <c r="FP35" s="39">
        <v>132.399841646873</v>
      </c>
      <c r="FQ35" s="39">
        <v>10</v>
      </c>
      <c r="FR35" s="39">
        <v>298</v>
      </c>
      <c r="FS35" s="39">
        <v>73.7631230701367</v>
      </c>
      <c r="FT35" s="38" t="str">
        <f>HYPERLINK("http://exon.niaid.nih.gov/transcriptome/S_calcitrans/S1/links/SRR694289-stripped_temp-95-h10-1gap/10363-SRR694289-stripped_temp-95-h10-1gap.txt","25")</f>
        <v>25</v>
      </c>
      <c r="FU35" s="39">
        <v>71.496437054631798</v>
      </c>
      <c r="FV35" s="39">
        <v>1.98970704671417</v>
      </c>
      <c r="FW35" s="39">
        <v>0</v>
      </c>
      <c r="FX35" s="39">
        <v>9</v>
      </c>
      <c r="FY35" s="39">
        <v>100.52</v>
      </c>
      <c r="FZ35" s="38" t="str">
        <f>HYPERLINK("http://exon.niaid.nih.gov/transcriptome/S_calcitrans/S1/links/SRR694925-stripped_temp-95-h10-1gap/10363-SRR694925-stripped_temp-95-h10-1gap.txt","11")</f>
        <v>11</v>
      </c>
      <c r="GA35" s="39">
        <v>42.042755344418097</v>
      </c>
      <c r="GB35" s="39">
        <v>0.87885985748218498</v>
      </c>
      <c r="GC35" s="39">
        <v>0</v>
      </c>
      <c r="GD35" s="39">
        <v>5</v>
      </c>
      <c r="GE35" s="39">
        <v>100.90909090909101</v>
      </c>
      <c r="GF35">
        <f>1*FH35</f>
        <v>1133</v>
      </c>
      <c r="GG35">
        <f>1*FN35</f>
        <v>2267</v>
      </c>
      <c r="GH35">
        <f>1*FT35</f>
        <v>25</v>
      </c>
      <c r="GI35">
        <f>1*FZ35</f>
        <v>11</v>
      </c>
      <c r="GJ35">
        <f>IF(FZ35&lt;&gt;"",SUM(GF35:GG35),"")</f>
        <v>3400</v>
      </c>
      <c r="GK35" s="34">
        <v>1.3206142643042431E-2</v>
      </c>
      <c r="GL35">
        <v>29.344624002773358</v>
      </c>
      <c r="GM35">
        <v>26.700623893075559</v>
      </c>
      <c r="GN35">
        <v>0.1137808561151383</v>
      </c>
      <c r="GO35">
        <v>5.1609913116587802E-2</v>
      </c>
      <c r="GP35">
        <f>MAX(GL35:GO35)</f>
        <v>29.344624002773358</v>
      </c>
      <c r="GQ35" t="s">
        <v>550</v>
      </c>
      <c r="GR35">
        <v>22.885621522301037</v>
      </c>
      <c r="GS35">
        <v>21.914969445619082</v>
      </c>
      <c r="GT35">
        <v>0.20510795231268</v>
      </c>
      <c r="GU35">
        <v>9.7711714305639352E-2</v>
      </c>
      <c r="GV35">
        <f>MAX(GR35:GU35)</f>
        <v>22.885621522301037</v>
      </c>
      <c r="GW35">
        <v>89.098724537215404</v>
      </c>
      <c r="GX35">
        <v>3400</v>
      </c>
      <c r="GY35">
        <v>36</v>
      </c>
      <c r="GZ35">
        <v>3436</v>
      </c>
      <c r="HA35">
        <v>762.79094721187323</v>
      </c>
      <c r="HB35">
        <v>2673.2090527881269</v>
      </c>
      <c r="HC35">
        <v>9117.6640382648129</v>
      </c>
      <c r="HD35">
        <v>2601.6938633564018</v>
      </c>
      <c r="HE35">
        <v>11719.357901621215</v>
      </c>
      <c r="HF35">
        <v>0</v>
      </c>
      <c r="HG35">
        <v>762.79094721187323</v>
      </c>
      <c r="HH35">
        <v>1</v>
      </c>
      <c r="HI35">
        <v>1</v>
      </c>
      <c r="HJ35">
        <v>2</v>
      </c>
      <c r="HK35">
        <v>0</v>
      </c>
      <c r="HL35" s="30" t="s">
        <v>262</v>
      </c>
      <c r="HM35">
        <v>322.03612035658108</v>
      </c>
      <c r="HN35">
        <v>3.020427918200441E-3</v>
      </c>
      <c r="HO35">
        <v>1133</v>
      </c>
      <c r="HP35">
        <v>2267</v>
      </c>
      <c r="HQ35">
        <v>3400</v>
      </c>
      <c r="HR35">
        <v>1062.8262121835537</v>
      </c>
      <c r="HS35">
        <v>2337.1737878164463</v>
      </c>
      <c r="HT35">
        <v>4.6332697105678582</v>
      </c>
      <c r="HU35">
        <v>2.1069723279364321</v>
      </c>
      <c r="HV35">
        <v>6.7402420385042898</v>
      </c>
      <c r="HW35">
        <v>9.4261835328812941E-3</v>
      </c>
      <c r="HX35">
        <v>1062.8262121835537</v>
      </c>
      <c r="HY35">
        <v>1</v>
      </c>
      <c r="HZ35">
        <v>1</v>
      </c>
      <c r="IA35">
        <v>2</v>
      </c>
      <c r="IB35">
        <v>4.5256165697177102E-2</v>
      </c>
      <c r="IC35" s="30" t="s">
        <v>262</v>
      </c>
      <c r="ID35">
        <v>1.098539329024506</v>
      </c>
      <c r="IE35">
        <v>0.90909593412541512</v>
      </c>
      <c r="IF35">
        <v>1.098539329024506</v>
      </c>
      <c r="IG35" t="str">
        <f t="shared" si="1"/>
        <v/>
      </c>
    </row>
    <row r="36" spans="1:241">
      <c r="A36" s="22" t="s">
        <v>48</v>
      </c>
      <c r="B36" s="23"/>
      <c r="C36" s="24"/>
      <c r="D36" s="24"/>
      <c r="E36" s="24"/>
      <c r="F36" s="24"/>
      <c r="G36" s="24"/>
      <c r="H36" s="24"/>
      <c r="I36" s="24"/>
      <c r="J36" s="23"/>
      <c r="K36" s="23"/>
      <c r="L36" s="25"/>
      <c r="M36" s="23"/>
      <c r="N36" s="23"/>
      <c r="O36" s="23"/>
      <c r="P36" s="23"/>
      <c r="Q36" s="25"/>
      <c r="R36" s="23"/>
      <c r="S36" s="24"/>
      <c r="T36" s="24"/>
      <c r="U36" s="24"/>
      <c r="V36" s="24"/>
      <c r="W36" s="24"/>
      <c r="X36" s="24"/>
      <c r="Y36" s="23"/>
      <c r="Z36" s="24"/>
      <c r="AA36" s="24"/>
      <c r="AB36" s="24"/>
      <c r="AC36" s="24"/>
      <c r="AD36" s="24"/>
      <c r="AE36" s="23"/>
      <c r="AF36" s="24"/>
      <c r="AG36" s="24"/>
      <c r="AH36" s="24"/>
      <c r="AI36" s="24"/>
      <c r="AJ36" s="24"/>
      <c r="AK36" s="24"/>
      <c r="AL36" s="24"/>
      <c r="AM36" s="24"/>
      <c r="AN36" s="23" t="str">
        <f t="shared" si="0"/>
        <v/>
      </c>
      <c r="AO36" s="23" t="s">
        <v>244</v>
      </c>
      <c r="AP36" s="24" t="s">
        <v>244</v>
      </c>
      <c r="AQ36" s="26"/>
      <c r="AR36" s="27"/>
      <c r="AS36" s="24"/>
      <c r="AT36" s="24"/>
      <c r="AU36" s="24"/>
      <c r="AV36" s="24"/>
      <c r="AW36" s="24"/>
      <c r="AX36" s="24"/>
      <c r="AY36" s="24"/>
      <c r="AZ36" s="24"/>
      <c r="BA36" s="24"/>
      <c r="BB36" s="24"/>
      <c r="BC36" s="24"/>
      <c r="BD36" s="24"/>
      <c r="BE36" s="24"/>
      <c r="BF36" s="24"/>
      <c r="BG36" s="25"/>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4"/>
      <c r="GG36" s="24"/>
      <c r="GH36" s="24"/>
      <c r="GI36" s="24"/>
      <c r="GJ36" s="24" t="str">
        <f t="shared" si="2"/>
        <v/>
      </c>
      <c r="GK36" s="26"/>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8"/>
      <c r="HL36" s="23"/>
      <c r="HM36" s="24"/>
      <c r="HN36" s="24"/>
      <c r="HO36" s="24"/>
      <c r="HP36" s="24"/>
      <c r="HQ36" s="24"/>
      <c r="HR36" s="24"/>
      <c r="HS36" s="24"/>
      <c r="HT36" s="24"/>
      <c r="HU36" s="24"/>
      <c r="HV36" s="24"/>
      <c r="HW36" s="24"/>
      <c r="HX36" s="24"/>
      <c r="HY36" s="24"/>
      <c r="HZ36" s="24"/>
      <c r="IA36" s="24"/>
      <c r="IB36" s="24"/>
      <c r="IC36" s="23"/>
      <c r="ID36" s="24"/>
      <c r="IE36" s="24"/>
      <c r="IF36" s="24"/>
      <c r="IG36" s="24" t="str">
        <f t="shared" si="1"/>
        <v/>
      </c>
    </row>
    <row r="37" spans="1:241">
      <c r="A37" t="str">
        <f>HYPERLINK("http://exon.niaid.nih.gov/transcriptome/S_calcitrans/S1/links/pep/XP_013104837.1-pep.txt","XP_013104837.1")</f>
        <v>XP_013104837.1</v>
      </c>
      <c r="B37" s="30" t="s">
        <v>232</v>
      </c>
      <c r="C37">
        <v>309</v>
      </c>
      <c r="D37" t="s">
        <v>554</v>
      </c>
      <c r="E37">
        <v>1</v>
      </c>
      <c r="F37" t="s">
        <v>555</v>
      </c>
      <c r="G37" t="str">
        <f>HYPERLINK("http://exon.niaid.nih.gov/transcriptome/S_calcitrans/S1/links/cds/XM_013249383_1-cds.txt","XM_013249383_1")</f>
        <v>XM_013249383_1</v>
      </c>
      <c r="H37">
        <v>930</v>
      </c>
      <c r="I37" t="s">
        <v>556</v>
      </c>
      <c r="J37" s="30" t="s">
        <v>236</v>
      </c>
      <c r="K37" s="30" t="s">
        <v>91</v>
      </c>
      <c r="L37" s="31" t="s">
        <v>557</v>
      </c>
      <c r="M37" s="30">
        <v>578265</v>
      </c>
      <c r="N37" s="30">
        <v>579255</v>
      </c>
      <c r="O37" s="30" t="s">
        <v>238</v>
      </c>
      <c r="P37" s="30">
        <v>2</v>
      </c>
      <c r="Q37" s="31" t="s">
        <v>558</v>
      </c>
      <c r="R37" s="32" t="str">
        <f>HYPERLINK("http://exon.niaid.nih.gov/transcriptome/S_calcitrans/S1/links/Sigp/XP_013104837.1-SigP.txt","SIG")</f>
        <v>SIG</v>
      </c>
      <c r="S37" t="s">
        <v>336</v>
      </c>
      <c r="T37">
        <v>35.674999999999997</v>
      </c>
      <c r="U37">
        <v>5.26</v>
      </c>
      <c r="V37">
        <v>33.658000000000001</v>
      </c>
      <c r="W37">
        <v>5.2</v>
      </c>
      <c r="X37" t="s">
        <v>559</v>
      </c>
      <c r="Y37" s="32">
        <v>0</v>
      </c>
      <c r="Z37" t="s">
        <v>242</v>
      </c>
      <c r="AA37" t="s">
        <v>242</v>
      </c>
      <c r="AB37" t="s">
        <v>242</v>
      </c>
      <c r="AC37" t="s">
        <v>242</v>
      </c>
      <c r="AD37" t="s">
        <v>242</v>
      </c>
      <c r="AE37" s="32" t="str">
        <f>HYPERLINK("http://exon.niaid.nih.gov/transcriptome/S_calcitrans/S1/links/netoglyc/XP_013104837.1-netoglyc.txt","0")</f>
        <v>0</v>
      </c>
      <c r="AF37">
        <v>8.6999999999999993</v>
      </c>
      <c r="AG37">
        <v>10.7</v>
      </c>
      <c r="AH37">
        <v>8.1</v>
      </c>
      <c r="AI37" t="s">
        <v>243</v>
      </c>
      <c r="AJ37" t="s">
        <v>560</v>
      </c>
      <c r="AK37">
        <v>691.05877369321513</v>
      </c>
      <c r="AL37" s="33">
        <v>8494</v>
      </c>
      <c r="AM37">
        <v>1</v>
      </c>
      <c r="AN37" s="30">
        <f t="shared" si="0"/>
        <v>1</v>
      </c>
      <c r="AO37" s="30" t="s">
        <v>244</v>
      </c>
      <c r="AP37">
        <v>14944926</v>
      </c>
      <c r="AQ37" s="34">
        <v>58.048477807562811</v>
      </c>
      <c r="AR37" s="35">
        <v>298.11950980814618</v>
      </c>
      <c r="AS37" t="s">
        <v>561</v>
      </c>
      <c r="AT37" s="36" t="s">
        <v>562</v>
      </c>
      <c r="AU37" t="s">
        <v>563</v>
      </c>
      <c r="AV37" t="str">
        <f>HYPERLINK("http://exon.niaid.nih.gov/transcriptome/S_calcitrans/S1/links/SWISSP/XP_013104837.1-SWISSP.txt","SWISSP")</f>
        <v>SWISSP</v>
      </c>
      <c r="AW37">
        <v>1000</v>
      </c>
      <c r="AX37">
        <v>15.8</v>
      </c>
      <c r="AY37" s="33" t="str">
        <f>HYPERLINK("http://exon.niaid.nih.gov/transcriptome/S_calcitrans/S1/links/WANG/XP_013104837.1-WANG.txt","SC-4-14-2-SEQ")</f>
        <v>SC-4-14-2-SEQ</v>
      </c>
      <c r="AZ37">
        <v>1E-176</v>
      </c>
      <c r="BA37">
        <v>280</v>
      </c>
      <c r="BB37">
        <v>280</v>
      </c>
      <c r="BC37">
        <v>100</v>
      </c>
      <c r="BD37">
        <v>100</v>
      </c>
      <c r="BE37">
        <v>100</v>
      </c>
      <c r="BF37" t="s">
        <v>248</v>
      </c>
      <c r="BG37" s="31" t="s">
        <v>564</v>
      </c>
      <c r="BH37" t="s">
        <v>562</v>
      </c>
      <c r="BI37">
        <v>8</v>
      </c>
      <c r="BJ37" s="33"/>
      <c r="BK37" s="33"/>
      <c r="BL37" s="33" t="str">
        <f>HYPERLINK("http://exon.niaid.nih.gov/transcriptome/S_calcitrans/S1/links/NR-LIGHT/XP_013104837.1-NR-LIGHT.txt","AGAP001515-PB")</f>
        <v>AGAP001515-PB</v>
      </c>
      <c r="BM37" t="str">
        <f>HYPERLINK("http://www.ncbi.nlm.nih.gov/sutils/blink.cgi?pid=347966072","1E-007")</f>
        <v>1E-007</v>
      </c>
      <c r="BN37" t="str">
        <f>HYPERLINK("http://www.ncbi.nlm.nih.gov/protein/347966072","gi|347966072")</f>
        <v>gi|347966072</v>
      </c>
      <c r="BO37">
        <v>28</v>
      </c>
      <c r="BP37">
        <v>40</v>
      </c>
      <c r="BQ37">
        <v>34</v>
      </c>
      <c r="BR37" t="s">
        <v>565</v>
      </c>
      <c r="BS37" s="33" t="str">
        <f>HYPERLINK("http://exon.niaid.nih.gov/transcriptome/S_calcitrans/S1/links/SWISSP/XP_013104837.1-SWISSP.txt","Protein ORF73")</f>
        <v>Protein ORF73</v>
      </c>
      <c r="BT37" t="str">
        <f>HYPERLINK("http://www.uniprot.org/uniprot/Q9QR71","4E-006")</f>
        <v>4E-006</v>
      </c>
      <c r="BU37" t="str">
        <f>HYPERLINK("http://www.uniprot.org/uniprot/Q9QR71#expression","Q9QR71")</f>
        <v>Q9QR71</v>
      </c>
      <c r="BV37">
        <v>21</v>
      </c>
      <c r="BW37">
        <v>42</v>
      </c>
      <c r="BX37">
        <v>16</v>
      </c>
      <c r="BY37" t="s">
        <v>566</v>
      </c>
      <c r="BZ37" s="33" t="str">
        <f>HYPERLINK("http://exon.niaid.nih.gov/transcriptome/S_calcitrans/S1/links/REFSEQ-INVERTEBRATE/XP_013104837.1-REFSEQ-INVERTEBRATE.txt","uncharacterized LOC106085242 precursor")</f>
        <v>uncharacterized LOC106085242 precursor</v>
      </c>
      <c r="CA37" t="str">
        <f>HYPERLINK("http://www.ncbi.nlm.nih.gov/sutils/blink.cgi?pid=910242144","0.0")</f>
        <v>0.0</v>
      </c>
      <c r="CB37" t="str">
        <f>HYPERLINK("http://www.ncbi.nlm.nih.gov/protein/910242144","gi|910242144")</f>
        <v>gi|910242144</v>
      </c>
      <c r="CC37">
        <v>99</v>
      </c>
      <c r="CD37">
        <v>99</v>
      </c>
      <c r="CE37">
        <v>100</v>
      </c>
      <c r="CF37" t="s">
        <v>253</v>
      </c>
      <c r="CG37" s="33" t="str">
        <f>HYPERLINK("http://exon.niaid.nih.gov/transcriptome/S_calcitrans/S1/links/DIPTERA/XP_013104837.1-DIPTERA.txt","thrombostasin precursor")</f>
        <v>thrombostasin precursor</v>
      </c>
      <c r="CH37" t="str">
        <f>HYPERLINK("http://www.ncbi.nlm.nih.gov/sutils/blink.cgi?pid=37778968","0.0")</f>
        <v>0.0</v>
      </c>
      <c r="CI37" t="str">
        <f>HYPERLINK("http://www.ncbi.nlm.nih.gov/protein/37778968","gi|37778968")</f>
        <v>gi|37778968</v>
      </c>
      <c r="CJ37">
        <v>99</v>
      </c>
      <c r="CK37">
        <v>99</v>
      </c>
      <c r="CL37">
        <v>100</v>
      </c>
      <c r="CM37" t="s">
        <v>253</v>
      </c>
      <c r="CN37" s="33" t="str">
        <f>HYPERLINK("http://exon.niaid.nih.gov/transcriptome/S_calcitrans/S1/links/VIRUS/XP_013104837.1-VIRUS.txt","Von Willebrand factor A domain-containing viral protein")</f>
        <v>Von Willebrand factor A domain-containing viral protein</v>
      </c>
      <c r="CO37" t="str">
        <f>HYPERLINK("http://www.ncbi.nlm.nih.gov/sutils/blink.cgi?pid=589287088","3E-007")</f>
        <v>3E-007</v>
      </c>
      <c r="CP37" t="str">
        <f>HYPERLINK("http://www.ncbi.nlm.nih.gov/protein/589287088","gi|589287088")</f>
        <v>gi|589287088</v>
      </c>
      <c r="CQ37">
        <v>20</v>
      </c>
      <c r="CR37">
        <v>37</v>
      </c>
      <c r="CS37">
        <v>34</v>
      </c>
      <c r="CT37" t="s">
        <v>567</v>
      </c>
      <c r="CU37" s="33" t="s">
        <v>568</v>
      </c>
      <c r="CV37">
        <f>HYPERLINK("http://exon.niaid.nih.gov/transcriptome/S_calcitrans/S1/links/GO/XP_013104837.1-GO.txt",0.0000001)</f>
        <v>9.9999999999999995E-8</v>
      </c>
      <c r="CW37" t="str">
        <f>HYPERLINK("http://amigo.geneontology.org/cgi-bin/amigo/term_details?term=GO:0005509","GO:0005509")</f>
        <v>GO:0005509</v>
      </c>
      <c r="CX37" t="s">
        <v>569</v>
      </c>
      <c r="CY37" t="s">
        <v>570</v>
      </c>
      <c r="CZ37" t="s">
        <v>571</v>
      </c>
      <c r="DA37" t="s">
        <v>242</v>
      </c>
      <c r="DD37">
        <v>4.9999999999999998E-7</v>
      </c>
      <c r="DE37" s="33" t="str">
        <f>HYPERLINK("http://exon.niaid.nih.gov/transcriptome/S_calcitrans/S1/links/CDD/XP_013104837.1-CDD.txt","PRK12678")</f>
        <v>PRK12678</v>
      </c>
      <c r="DF37" t="str">
        <f>HYPERLINK("http://www.ncbi.nlm.nih.gov/Structure/cdd/cddsrv.cgi?uid=PRK12678&amp;version=v4.0","0.017")</f>
        <v>0.017</v>
      </c>
      <c r="DG37" t="s">
        <v>572</v>
      </c>
      <c r="DH37" s="33" t="str">
        <f>HYPERLINK("http://exon.niaid.nih.gov/transcriptome/S_calcitrans/S1/links/KOG/XP_013104837.1-KOG.txt","Transcription factor NF-X1, contains NFX-type Zn2+-binding and R3H domains")</f>
        <v>Transcription factor NF-X1, contains NFX-type Zn2+-binding and R3H domains</v>
      </c>
      <c r="DI37" t="str">
        <f>HYPERLINK("http://www.ncbi.nlm.nih.gov/Structure/cdd/cddsrv.cgi?uid=KOG1952","0.007")</f>
        <v>0.007</v>
      </c>
      <c r="DJ37" t="s">
        <v>392</v>
      </c>
      <c r="DK37" t="str">
        <f>HYPERLINK("http://exon.niaid.nih.gov/transcriptome/S_calcitrans/S1/links/KOG/XP_013104837.1-KOG.txt","KOG1952")</f>
        <v>KOG1952</v>
      </c>
      <c r="DL37" s="33" t="str">
        <f>HYPERLINK("http://exon.niaid.nih.gov/transcriptome/S_calcitrans/S1/links/PFAM/XP_013104837.1-PFAM.txt","Presenilin")</f>
        <v>Presenilin</v>
      </c>
      <c r="DM37" t="str">
        <f>HYPERLINK("http://pfam.sanger.ac.uk/family?acc=PF01080","0.011")</f>
        <v>0.011</v>
      </c>
      <c r="DN37" s="33" t="str">
        <f>HYPERLINK("http://exon.niaid.nih.gov/transcriptome/S_calcitrans/S1/links/SMART/XP_013104837.1-SMART.txt","TOP1Ac")</f>
        <v>TOP1Ac</v>
      </c>
      <c r="DO37" t="str">
        <f>HYPERLINK("http://smart.embl-heidelberg.de/smart/do_annotation.pl?DOMAIN=TOP1Ac&amp;BLAST=DUMMY","1.9")</f>
        <v>1.9</v>
      </c>
      <c r="DP37" s="33"/>
      <c r="EB37" s="33">
        <f>HYPERLINK("http://exon.niaid.nih.gov/transcriptome/S_calcitrans/S1/links/cluster-b/Scalc-pep25-50SimCLU1.txt", 1)</f>
        <v>1</v>
      </c>
      <c r="EC37">
        <f>HYPERLINK("http://exon.niaid.nih.gov/transcriptome/S_calcitrans/S1/links/cluster-b/Scalc-pep25-50SimCLTL1.txt", 5170)</f>
        <v>5170</v>
      </c>
      <c r="ED37" s="33">
        <v>4945</v>
      </c>
      <c r="EE37">
        <v>1</v>
      </c>
      <c r="EF37" s="33">
        <v>5450</v>
      </c>
      <c r="EG37">
        <v>1</v>
      </c>
      <c r="EH37" s="33">
        <v>5833</v>
      </c>
      <c r="EI37">
        <v>1</v>
      </c>
      <c r="EJ37" s="33">
        <v>6224</v>
      </c>
      <c r="EK37">
        <v>1</v>
      </c>
      <c r="EL37" s="33">
        <v>6528</v>
      </c>
      <c r="EM37">
        <v>1</v>
      </c>
      <c r="EN37" s="33">
        <v>6884</v>
      </c>
      <c r="EO37">
        <v>1</v>
      </c>
      <c r="EP37" s="33">
        <v>7158</v>
      </c>
      <c r="EQ37">
        <v>1</v>
      </c>
      <c r="ER37" s="33">
        <v>7386</v>
      </c>
      <c r="ES37">
        <v>1</v>
      </c>
      <c r="ET37" s="33">
        <v>7563</v>
      </c>
      <c r="EU37">
        <v>1</v>
      </c>
      <c r="EV37" s="33">
        <v>7736</v>
      </c>
      <c r="EW37">
        <v>1</v>
      </c>
      <c r="EX37" s="33">
        <v>7893</v>
      </c>
      <c r="EY37">
        <v>1</v>
      </c>
      <c r="EZ37" s="33">
        <v>8056</v>
      </c>
      <c r="FA37">
        <v>1</v>
      </c>
      <c r="FB37" s="33">
        <v>8229</v>
      </c>
      <c r="FC37">
        <v>1</v>
      </c>
      <c r="FD37" s="33">
        <v>8494</v>
      </c>
      <c r="FE37">
        <v>1</v>
      </c>
      <c r="FF37" t="s">
        <v>573</v>
      </c>
      <c r="FG37">
        <v>10498</v>
      </c>
      <c r="FH37" s="38" t="str">
        <f>HYPERLINK("http://exon.niaid.nih.gov/transcriptome/S_calcitrans/S1/links/SG_male-stripped_temp-95-h10-1gap/10498-SG_male-stripped_temp-95-h10-1gap.txt","4750841")</f>
        <v>4750841</v>
      </c>
      <c r="FI37" s="39">
        <v>100</v>
      </c>
      <c r="FJ37" s="39">
        <v>30408.905376344101</v>
      </c>
      <c r="FK37" s="39">
        <v>111</v>
      </c>
      <c r="FL37" s="39">
        <v>31999</v>
      </c>
      <c r="FM37" s="39">
        <v>73.314126277852694</v>
      </c>
      <c r="FN37" s="38" t="str">
        <f>HYPERLINK("http://exon.niaid.nih.gov/transcriptome/S_calcitrans/S1/links/SG_female-stripped_temp-95-h10-1gap/10498-SG_female-stripped_temp-95-h10-1gap.txt","10194085")</f>
        <v>10194085</v>
      </c>
      <c r="FO37" s="39">
        <v>100</v>
      </c>
      <c r="FP37" s="39">
        <v>30867.722580645201</v>
      </c>
      <c r="FQ37" s="39">
        <v>250</v>
      </c>
      <c r="FR37" s="39">
        <v>31999</v>
      </c>
      <c r="FS37" s="39">
        <v>73.574229271190106</v>
      </c>
      <c r="FT37" s="38" t="str">
        <f>HYPERLINK("http://exon.niaid.nih.gov/transcriptome/S_calcitrans/S1/links/SRR694289-stripped_temp-95-h10-1gap/10498-SRR694289-stripped_temp-95-h10-1gap.txt","30622")</f>
        <v>30622</v>
      </c>
      <c r="FU37" s="39">
        <v>100</v>
      </c>
      <c r="FV37" s="39">
        <v>3243.30215053763</v>
      </c>
      <c r="FW37" s="39">
        <v>340</v>
      </c>
      <c r="FX37" s="39">
        <v>6626</v>
      </c>
      <c r="FY37" s="39">
        <v>98.511168440990105</v>
      </c>
      <c r="FZ37" s="38" t="str">
        <f>HYPERLINK("http://exon.niaid.nih.gov/transcriptome/S_calcitrans/S1/links/SRR694925-stripped_temp-95-h10-1gap/10498-SRR694925-stripped_temp-95-h10-1gap.txt","45166")</f>
        <v>45166</v>
      </c>
      <c r="GA37" s="39">
        <v>100</v>
      </c>
      <c r="GB37" s="39">
        <v>4809.2516129032301</v>
      </c>
      <c r="GC37" s="39">
        <v>299</v>
      </c>
      <c r="GD37" s="39">
        <v>8355</v>
      </c>
      <c r="GE37" s="39">
        <v>99.032458043661194</v>
      </c>
      <c r="GF37">
        <f>1*FH37</f>
        <v>4750841</v>
      </c>
      <c r="GG37">
        <f>1*FN37</f>
        <v>10194085</v>
      </c>
      <c r="GH37">
        <f>1*FT37</f>
        <v>30622</v>
      </c>
      <c r="GI37">
        <f>1*FZ37</f>
        <v>45166</v>
      </c>
      <c r="GJ37">
        <f>IF(FZ37&lt;&gt;"",SUM(GF37:GG37),"")</f>
        <v>14944926</v>
      </c>
      <c r="GK37" s="34">
        <v>58.048477807562811</v>
      </c>
      <c r="GL37">
        <v>167105.03555067923</v>
      </c>
      <c r="GM37">
        <v>163056.6598282755</v>
      </c>
      <c r="GN37">
        <v>189.27059293912504</v>
      </c>
      <c r="GO37">
        <v>287.78786345507973</v>
      </c>
      <c r="GP37">
        <f>MAX(GL37:GO37)</f>
        <v>167105.03555067923</v>
      </c>
      <c r="GQ37" t="s">
        <v>574</v>
      </c>
      <c r="GR37">
        <v>130323.78938377503</v>
      </c>
      <c r="GS37">
        <v>133831.39406596674</v>
      </c>
      <c r="GT37">
        <v>341.19011823453565</v>
      </c>
      <c r="GU37">
        <v>544.86132210741982</v>
      </c>
      <c r="GV37">
        <f>MAX(GR37:GU37)</f>
        <v>133831.39406596674</v>
      </c>
      <c r="GW37">
        <v>298.11950980814618</v>
      </c>
      <c r="GX37">
        <v>14944926</v>
      </c>
      <c r="GY37">
        <v>75788</v>
      </c>
      <c r="GZ37">
        <v>15020714</v>
      </c>
      <c r="HA37">
        <v>3334593.9056631681</v>
      </c>
      <c r="HB37">
        <v>11686120.094336832</v>
      </c>
      <c r="HC37">
        <v>40424655.941419512</v>
      </c>
      <c r="HD37">
        <v>11535035.602287943</v>
      </c>
      <c r="HE37">
        <v>51959691.543707453</v>
      </c>
      <c r="HF37">
        <v>0</v>
      </c>
      <c r="HG37">
        <v>3334593.9056631681</v>
      </c>
      <c r="HH37">
        <v>1</v>
      </c>
      <c r="HI37">
        <v>1</v>
      </c>
      <c r="HJ37">
        <v>2</v>
      </c>
      <c r="HK37">
        <v>0</v>
      </c>
      <c r="HL37" s="30" t="s">
        <v>262</v>
      </c>
      <c r="HM37">
        <v>691.05877369321513</v>
      </c>
      <c r="HN37">
        <v>1.4470357321670641E-3</v>
      </c>
      <c r="HO37">
        <v>4750841</v>
      </c>
      <c r="HP37">
        <v>10194085</v>
      </c>
      <c r="HQ37">
        <v>14944926</v>
      </c>
      <c r="HR37">
        <v>4671723.2623363258</v>
      </c>
      <c r="HS37">
        <v>10273202.737663673</v>
      </c>
      <c r="HT37">
        <v>1339.8945231801972</v>
      </c>
      <c r="HU37">
        <v>609.31498899255416</v>
      </c>
      <c r="HV37">
        <v>1949.2095121727514</v>
      </c>
      <c r="HW37">
        <v>0</v>
      </c>
      <c r="HX37">
        <v>4671723.2623363258</v>
      </c>
      <c r="HY37">
        <v>1</v>
      </c>
      <c r="HZ37">
        <v>1</v>
      </c>
      <c r="IA37">
        <v>2</v>
      </c>
      <c r="IB37">
        <v>0</v>
      </c>
      <c r="IC37" s="30" t="s">
        <v>262</v>
      </c>
      <c r="ID37">
        <v>1.024827929961992</v>
      </c>
      <c r="IE37">
        <v>0.97577326122641073</v>
      </c>
      <c r="IF37">
        <v>1.024827929961992</v>
      </c>
      <c r="IG37" t="str">
        <f t="shared" si="1"/>
        <v/>
      </c>
    </row>
    <row r="38" spans="1:241">
      <c r="A38" t="str">
        <f>HYPERLINK("http://exon.niaid.nih.gov/transcriptome/S_calcitrans/S1/links/pep/XP_013114163.1-pep.txt","XP_013114163.1")</f>
        <v>XP_013114163.1</v>
      </c>
      <c r="B38" s="30" t="s">
        <v>232</v>
      </c>
      <c r="C38">
        <v>472</v>
      </c>
      <c r="D38" t="s">
        <v>575</v>
      </c>
      <c r="E38">
        <v>1</v>
      </c>
      <c r="F38" t="s">
        <v>576</v>
      </c>
      <c r="G38" t="str">
        <f>HYPERLINK("http://exon.niaid.nih.gov/transcriptome/S_calcitrans/S1/links/cds/XM_013258709_1-cds.txt","XM_013258709_1")</f>
        <v>XM_013258709_1</v>
      </c>
      <c r="H38">
        <v>1419</v>
      </c>
      <c r="I38" t="s">
        <v>577</v>
      </c>
      <c r="J38" s="30" t="s">
        <v>236</v>
      </c>
      <c r="K38" s="30" t="s">
        <v>91</v>
      </c>
      <c r="L38" s="31" t="s">
        <v>578</v>
      </c>
      <c r="M38" s="30">
        <v>146648</v>
      </c>
      <c r="N38" s="30">
        <v>148505</v>
      </c>
      <c r="O38" s="30" t="s">
        <v>238</v>
      </c>
      <c r="P38" s="30">
        <v>3</v>
      </c>
      <c r="Q38" s="31" t="s">
        <v>579</v>
      </c>
      <c r="R38" s="32" t="str">
        <f>HYPERLINK("http://exon.niaid.nih.gov/transcriptome/S_calcitrans/S1/links/Sigp/XP_013114163.1-SigP.txt","SIG")</f>
        <v>SIG</v>
      </c>
      <c r="S38" t="s">
        <v>336</v>
      </c>
      <c r="T38">
        <v>55.822000000000003</v>
      </c>
      <c r="U38">
        <v>4</v>
      </c>
      <c r="V38">
        <v>53.98</v>
      </c>
      <c r="W38">
        <v>3.99</v>
      </c>
      <c r="X38" t="s">
        <v>580</v>
      </c>
      <c r="Y38" s="32">
        <v>0</v>
      </c>
      <c r="Z38" t="s">
        <v>242</v>
      </c>
      <c r="AA38" t="s">
        <v>242</v>
      </c>
      <c r="AB38" t="s">
        <v>242</v>
      </c>
      <c r="AC38" t="s">
        <v>242</v>
      </c>
      <c r="AD38" t="s">
        <v>242</v>
      </c>
      <c r="AE38" s="32" t="s">
        <v>242</v>
      </c>
      <c r="AF38" t="s">
        <v>242</v>
      </c>
      <c r="AG38" t="s">
        <v>242</v>
      </c>
      <c r="AH38" t="s">
        <v>242</v>
      </c>
      <c r="AI38" t="s">
        <v>242</v>
      </c>
      <c r="AJ38" t="s">
        <v>242</v>
      </c>
      <c r="AK38">
        <v>549.49021255229252</v>
      </c>
      <c r="AL38" s="33">
        <v>13375</v>
      </c>
      <c r="AM38">
        <v>1</v>
      </c>
      <c r="AN38" s="30">
        <f t="shared" si="0"/>
        <v>1</v>
      </c>
      <c r="AO38" s="30" t="s">
        <v>244</v>
      </c>
      <c r="AP38">
        <v>9374624</v>
      </c>
      <c r="AQ38" s="34">
        <v>36.412535814379119</v>
      </c>
      <c r="AR38" s="35">
        <v>224.43078248856983</v>
      </c>
      <c r="AS38" t="s">
        <v>581</v>
      </c>
      <c r="AT38" s="36" t="s">
        <v>582</v>
      </c>
      <c r="AU38" t="s">
        <v>583</v>
      </c>
      <c r="AV38" t="str">
        <f>HYPERLINK("http://exon.niaid.nih.gov/transcriptome/S_calcitrans/S1/links/NR-LIGHT/XP_013114163.1-NR-LIGHT.txt","NR-LIGHT")</f>
        <v>NR-LIGHT</v>
      </c>
      <c r="AW38" s="37">
        <v>3.9999999999999999E-66</v>
      </c>
      <c r="AX38">
        <v>78.7</v>
      </c>
      <c r="AY38" s="33" t="str">
        <f>HYPERLINK("http://exon.niaid.nih.gov/transcriptome/S_calcitrans/S1/links/WANG/XP_013114163.1-WANG.txt","SC-4-15-4")</f>
        <v>SC-4-15-4</v>
      </c>
      <c r="AZ38">
        <v>0</v>
      </c>
      <c r="BA38">
        <v>561</v>
      </c>
      <c r="BB38">
        <v>561</v>
      </c>
      <c r="BC38">
        <v>83</v>
      </c>
      <c r="BD38">
        <v>83</v>
      </c>
      <c r="BE38">
        <v>100</v>
      </c>
      <c r="BF38" t="s">
        <v>248</v>
      </c>
      <c r="BG38" s="31" t="s">
        <v>564</v>
      </c>
      <c r="BH38" t="s">
        <v>582</v>
      </c>
      <c r="BI38">
        <v>10</v>
      </c>
      <c r="BJ38" s="33"/>
      <c r="BK38" s="33"/>
      <c r="BL38" s="33" t="str">
        <f>HYPERLINK("http://exon.niaid.nih.gov/transcriptome/S_calcitrans/S1/links/NR-LIGHT/XP_013114163.1-NR-LIGHT.txt","5' nucleotidase")</f>
        <v>5' nucleotidase</v>
      </c>
      <c r="BM38" s="40" t="str">
        <f>HYPERLINK("http://www.ncbi.nlm.nih.gov/sutils/blink.cgi?pid=126143295","4E-070")</f>
        <v>4E-070</v>
      </c>
      <c r="BN38" t="str">
        <f>HYPERLINK("http://www.ncbi.nlm.nih.gov/protein/126143295","gi|126143295")</f>
        <v>gi|126143295</v>
      </c>
      <c r="BO38">
        <v>36</v>
      </c>
      <c r="BP38">
        <v>64</v>
      </c>
      <c r="BQ38">
        <v>44</v>
      </c>
      <c r="BR38" t="s">
        <v>419</v>
      </c>
      <c r="BS38" s="33" t="str">
        <f>HYPERLINK("http://exon.niaid.nih.gov/transcriptome/S_calcitrans/S1/links/SWISSP/XP_013114163.1-SWISSP.txt","Serine-aspartate repeat-containing protein F")</f>
        <v>Serine-aspartate repeat-containing protein F</v>
      </c>
      <c r="BT38" t="str">
        <f>HYPERLINK("http://www.uniprot.org/uniprot/Q8CMP4","2E-048")</f>
        <v>2E-048</v>
      </c>
      <c r="BU38" t="str">
        <f>HYPERLINK("http://www.uniprot.org/uniprot/Q8CMP4#expression","Q8CMP4")</f>
        <v>Q8CMP4</v>
      </c>
      <c r="BV38">
        <v>27</v>
      </c>
      <c r="BW38">
        <v>49</v>
      </c>
      <c r="BX38">
        <v>21</v>
      </c>
      <c r="BY38" t="s">
        <v>584</v>
      </c>
      <c r="BZ38" s="33" t="str">
        <f>HYPERLINK("http://exon.niaid.nih.gov/transcriptome/S_calcitrans/S1/links/REFSEQ-INVERTEBRATE/XP_013114163.1-REFSEQ-INVERTEBRATE.txt","protein starmaker-like")</f>
        <v>protein starmaker-like</v>
      </c>
      <c r="CA38" t="str">
        <f>HYPERLINK("http://www.ncbi.nlm.nih.gov/sutils/blink.cgi?pid=907728739","0.0")</f>
        <v>0.0</v>
      </c>
      <c r="CB38" t="str">
        <f>HYPERLINK("http://www.ncbi.nlm.nih.gov/protein/907728739","gi|907728739")</f>
        <v>gi|907728739</v>
      </c>
      <c r="CC38">
        <v>100</v>
      </c>
      <c r="CD38">
        <v>100</v>
      </c>
      <c r="CE38">
        <v>100</v>
      </c>
      <c r="CF38" t="s">
        <v>253</v>
      </c>
      <c r="CG38" s="33" t="str">
        <f>HYPERLINK("http://exon.niaid.nih.gov/transcriptome/S_calcitrans/S1/links/DIPTERA/XP_013114163.1-DIPTERA.txt","protein starmaker-like")</f>
        <v>protein starmaker-like</v>
      </c>
      <c r="CH38" t="str">
        <f>HYPERLINK("http://www.ncbi.nlm.nih.gov/sutils/blink.cgi?pid=907728739","0.0")</f>
        <v>0.0</v>
      </c>
      <c r="CI38" t="str">
        <f>HYPERLINK("http://www.ncbi.nlm.nih.gov/protein/907728739","gi|907728739")</f>
        <v>gi|907728739</v>
      </c>
      <c r="CJ38">
        <v>100</v>
      </c>
      <c r="CK38">
        <v>100</v>
      </c>
      <c r="CL38">
        <v>100</v>
      </c>
      <c r="CM38" t="s">
        <v>253</v>
      </c>
      <c r="CN38" s="33" t="str">
        <f>HYPERLINK("http://exon.niaid.nih.gov/transcriptome/S_calcitrans/S1/links/VIRUS/XP_013114163.1-VIRUS.txt","orf 48")</f>
        <v>orf 48</v>
      </c>
      <c r="CO38" t="str">
        <f>HYPERLINK("http://www.ncbi.nlm.nih.gov/sutils/blink.cgi?pid=9631239","6E-055")</f>
        <v>6E-055</v>
      </c>
      <c r="CP38" t="str">
        <f>HYPERLINK("http://www.ncbi.nlm.nih.gov/protein/9631239","gi|9631239")</f>
        <v>gi|9631239</v>
      </c>
      <c r="CQ38">
        <v>29</v>
      </c>
      <c r="CR38">
        <v>54</v>
      </c>
      <c r="CS38">
        <v>48</v>
      </c>
      <c r="CT38" t="s">
        <v>585</v>
      </c>
      <c r="CU38" s="33" t="s">
        <v>586</v>
      </c>
      <c r="CV38">
        <f>HYPERLINK("http://exon.niaid.nih.gov/transcriptome/S_calcitrans/S1/links/GO/XP_013114163.1-GO.txt",3E-59)</f>
        <v>3.0000000000000001E-59</v>
      </c>
      <c r="CW38" t="s">
        <v>242</v>
      </c>
      <c r="CX38" t="s">
        <v>242</v>
      </c>
      <c r="CY38" t="s">
        <v>242</v>
      </c>
      <c r="CZ38" t="s">
        <v>242</v>
      </c>
      <c r="DA38" t="s">
        <v>242</v>
      </c>
      <c r="DC38" t="s">
        <v>242</v>
      </c>
      <c r="DD38" t="s">
        <v>242</v>
      </c>
      <c r="DE38" s="33" t="str">
        <f>HYPERLINK("http://exon.niaid.nih.gov/transcriptome/S_calcitrans/S1/links/CDD/XP_013114163.1-CDD.txt","MDN1")</f>
        <v>MDN1</v>
      </c>
      <c r="DF38" t="str">
        <f>HYPERLINK("http://www.ncbi.nlm.nih.gov/Structure/cdd/cddsrv.cgi?uid=COG5271&amp;version=v4.0","2E-019")</f>
        <v>2E-019</v>
      </c>
      <c r="DG38" t="s">
        <v>587</v>
      </c>
      <c r="DH38" s="33" t="str">
        <f>HYPERLINK("http://exon.niaid.nih.gov/transcriptome/S_calcitrans/S1/links/KOG/XP_013114163.1-KOG.txt","SNF2 family DNA-dependent ATPase")</f>
        <v>SNF2 family DNA-dependent ATPase</v>
      </c>
      <c r="DI38" t="str">
        <f>HYPERLINK("http://www.ncbi.nlm.nih.gov/Structure/cdd/cddsrv.cgi?uid=KOG0391","8E-011")</f>
        <v>8E-011</v>
      </c>
      <c r="DJ38" t="s">
        <v>342</v>
      </c>
      <c r="DK38" t="str">
        <f>HYPERLINK("http://exon.niaid.nih.gov/transcriptome/S_calcitrans/S1/links/KOG/XP_013114163.1-KOG.txt","KOG0391")</f>
        <v>KOG0391</v>
      </c>
      <c r="DL38" s="33" t="str">
        <f>HYPERLINK("http://exon.niaid.nih.gov/transcriptome/S_calcitrans/S1/links/PFAM/XP_013114163.1-PFAM.txt","Nop14")</f>
        <v>Nop14</v>
      </c>
      <c r="DM38" t="str">
        <f>HYPERLINK("http://pfam.sanger.ac.uk/family?acc=PF04147","4E-009")</f>
        <v>4E-009</v>
      </c>
      <c r="DN38" s="33" t="str">
        <f>HYPERLINK("http://exon.niaid.nih.gov/transcriptome/S_calcitrans/S1/links/SMART/XP_013114163.1-SMART.txt","LYZ2")</f>
        <v>LYZ2</v>
      </c>
      <c r="DO38" t="str">
        <f>HYPERLINK("http://smart.embl-heidelberg.de/smart/do_annotation.pl?DOMAIN=LYZ2&amp;BLAST=DUMMY","0.14")</f>
        <v>0.14</v>
      </c>
      <c r="DP38" s="33" t="str">
        <f>HYPERLINK("http://exon.niaid.nih.gov/transcriptome/S_calcitrans/S1/links/REPBASE-RPS/XP_013114163.1-REPBASE-RPS.txt","HELITRON-1_SP")</f>
        <v>HELITRON-1_SP</v>
      </c>
      <c r="DQ38" t="str">
        <f>HYPERLINK("http://www.girinst.org/protected/repbase_extract.php?access=Helitron-1_SP","1E-017")</f>
        <v>1E-017</v>
      </c>
      <c r="DR38">
        <v>8</v>
      </c>
      <c r="DS38">
        <v>30</v>
      </c>
      <c r="DT38">
        <v>12</v>
      </c>
      <c r="DU38" t="s">
        <v>588</v>
      </c>
      <c r="DV38" t="s">
        <v>589</v>
      </c>
      <c r="DW38" t="s">
        <v>590</v>
      </c>
      <c r="DX38" t="s">
        <v>591</v>
      </c>
      <c r="DY38" t="s">
        <v>592</v>
      </c>
      <c r="DZ38" t="s">
        <v>593</v>
      </c>
      <c r="EA38" t="s">
        <v>594</v>
      </c>
      <c r="EB38" s="33">
        <f>HYPERLINK("http://exon.niaid.nih.gov/transcriptome/S_calcitrans/S1/links/cluster-b/Scalc-pep25-50SimCLU1.txt", 1)</f>
        <v>1</v>
      </c>
      <c r="EC38">
        <f>HYPERLINK("http://exon.niaid.nih.gov/transcriptome/S_calcitrans/S1/links/cluster-b/Scalc-pep25-50SimCLTL1.txt", 5170)</f>
        <v>5170</v>
      </c>
      <c r="ED38" s="33">
        <f>HYPERLINK("http://exon.niaid.nih.gov/transcriptome/S_calcitrans/S1/links/cluster-b/Scalc-pep30-50SimCLU1.txt", 1)</f>
        <v>1</v>
      </c>
      <c r="EE38">
        <f>HYPERLINK("http://exon.niaid.nih.gov/transcriptome/S_calcitrans/S1/links/cluster-b/Scalc-pep30-50SimCLTL1.txt", 1550)</f>
        <v>1550</v>
      </c>
      <c r="EF38" s="33">
        <f>HYPERLINK("http://exon.niaid.nih.gov/transcriptome/S_calcitrans/S1/links/cluster-b/Scalc-pep35-50SimCLU56.txt", 56)</f>
        <v>56</v>
      </c>
      <c r="EG38">
        <f>HYPERLINK("http://exon.niaid.nih.gov/transcriptome/S_calcitrans/S1/links/cluster-b/Scalc-pep35-50SimCLTL56.txt", 28)</f>
        <v>28</v>
      </c>
      <c r="EH38" s="33">
        <v>8112</v>
      </c>
      <c r="EI38">
        <v>1</v>
      </c>
      <c r="EJ38" s="33">
        <v>8752</v>
      </c>
      <c r="EK38">
        <v>1</v>
      </c>
      <c r="EL38" s="33">
        <v>9247</v>
      </c>
      <c r="EM38">
        <v>1</v>
      </c>
      <c r="EN38" s="33">
        <v>9795</v>
      </c>
      <c r="EO38">
        <v>1</v>
      </c>
      <c r="EP38" s="33">
        <v>10247</v>
      </c>
      <c r="EQ38">
        <v>1</v>
      </c>
      <c r="ER38" s="33">
        <v>10657</v>
      </c>
      <c r="ES38">
        <v>1</v>
      </c>
      <c r="ET38" s="33">
        <v>11019</v>
      </c>
      <c r="EU38">
        <v>1</v>
      </c>
      <c r="EV38" s="33">
        <v>11406</v>
      </c>
      <c r="EW38">
        <v>1</v>
      </c>
      <c r="EX38" s="33">
        <v>11750</v>
      </c>
      <c r="EY38">
        <v>1</v>
      </c>
      <c r="EZ38" s="33">
        <v>12196</v>
      </c>
      <c r="FA38">
        <v>1</v>
      </c>
      <c r="FB38" s="33">
        <v>12682</v>
      </c>
      <c r="FC38">
        <v>1</v>
      </c>
      <c r="FD38" s="33">
        <v>13375</v>
      </c>
      <c r="FE38">
        <v>1</v>
      </c>
      <c r="FF38" t="s">
        <v>595</v>
      </c>
      <c r="FG38">
        <v>18844</v>
      </c>
      <c r="FH38" s="38" t="str">
        <f>HYPERLINK("http://exon.niaid.nih.gov/transcriptome/S_calcitrans/S1/links/SG_male-stripped_temp-95-h10-1gap/18844-SG_male-stripped_temp-95-h10-1gap.txt","2328561")</f>
        <v>2328561</v>
      </c>
      <c r="FI38" s="39">
        <v>100</v>
      </c>
      <c r="FJ38" s="39">
        <v>30476.102889358699</v>
      </c>
      <c r="FK38" s="39">
        <v>1</v>
      </c>
      <c r="FL38" s="39">
        <v>31999</v>
      </c>
      <c r="FM38" s="39">
        <v>69.827490454405094</v>
      </c>
      <c r="FN38" s="38" t="str">
        <f>HYPERLINK("http://exon.niaid.nih.gov/transcriptome/S_calcitrans/S1/links/SG_female-stripped_temp-95-h10-1gap/18844-SG_female-stripped_temp-95-h10-1gap.txt","7046063")</f>
        <v>7046063</v>
      </c>
      <c r="FO38" s="39">
        <v>100</v>
      </c>
      <c r="FP38" s="39">
        <v>31324.169133192401</v>
      </c>
      <c r="FQ38" s="39">
        <v>22</v>
      </c>
      <c r="FR38" s="39">
        <v>31999</v>
      </c>
      <c r="FS38" s="39">
        <v>70.279561508320299</v>
      </c>
      <c r="FT38" s="38" t="str">
        <f>HYPERLINK("http://exon.niaid.nih.gov/transcriptome/S_calcitrans/S1/links/SRR694289-stripped_temp-95-h10-1gap/18844-SRR694289-stripped_temp-95-h10-1gap.txt","26886")</f>
        <v>26886</v>
      </c>
      <c r="FU38" s="39">
        <v>99.224806201550393</v>
      </c>
      <c r="FV38" s="39">
        <v>1847.97392529951</v>
      </c>
      <c r="FW38" s="39">
        <v>0</v>
      </c>
      <c r="FX38" s="39">
        <v>7372</v>
      </c>
      <c r="FY38" s="39">
        <v>97.540058022762807</v>
      </c>
      <c r="FZ38" s="38" t="str">
        <f>HYPERLINK("http://exon.niaid.nih.gov/transcriptome/S_calcitrans/S1/links/SRR694925-stripped_temp-95-h10-1gap/18844-SRR694925-stripped_temp-95-h10-1gap.txt","32902")</f>
        <v>32902</v>
      </c>
      <c r="GA38" s="39">
        <v>99.647639182522894</v>
      </c>
      <c r="GB38" s="39">
        <v>2256.8534178999298</v>
      </c>
      <c r="GC38" s="39">
        <v>0</v>
      </c>
      <c r="GD38" s="39">
        <v>7532</v>
      </c>
      <c r="GE38" s="39">
        <v>97.341498997021503</v>
      </c>
      <c r="GF38">
        <f>1*FH38</f>
        <v>2328561</v>
      </c>
      <c r="GG38">
        <f>1*FN38</f>
        <v>7046063</v>
      </c>
      <c r="GH38">
        <f>1*FT38</f>
        <v>26886</v>
      </c>
      <c r="GI38">
        <f>1*FZ38</f>
        <v>32902</v>
      </c>
      <c r="GJ38">
        <f>IF(FZ38&lt;&gt;"",SUM(GF38:GG38),"")</f>
        <v>9374624</v>
      </c>
      <c r="GK38" s="34">
        <v>36.412535814379119</v>
      </c>
      <c r="GL38">
        <v>53679.34573271159</v>
      </c>
      <c r="GM38">
        <v>73864.772786356029</v>
      </c>
      <c r="GN38">
        <v>108.91215163233718</v>
      </c>
      <c r="GO38">
        <v>137.39903923378631</v>
      </c>
      <c r="GP38">
        <f>MAX(GL38:GO38)</f>
        <v>73864.772786356029</v>
      </c>
      <c r="GQ38" t="s">
        <v>583</v>
      </c>
      <c r="GR38">
        <v>41864.063069524374</v>
      </c>
      <c r="GS38">
        <v>60625.70841801144</v>
      </c>
      <c r="GT38">
        <v>196.33134400633733</v>
      </c>
      <c r="GU38">
        <v>260.13404899854419</v>
      </c>
      <c r="GV38">
        <f>MAX(GR38:GU38)</f>
        <v>60625.70841801144</v>
      </c>
      <c r="GW38">
        <v>224.43078248856983</v>
      </c>
      <c r="GX38">
        <v>9374624</v>
      </c>
      <c r="GY38">
        <v>59788</v>
      </c>
      <c r="GZ38">
        <v>9434412</v>
      </c>
      <c r="HA38">
        <v>2094436.573302405</v>
      </c>
      <c r="HB38">
        <v>7339975.426697595</v>
      </c>
      <c r="HC38">
        <v>25305673.918917567</v>
      </c>
      <c r="HD38">
        <v>7220886.4317263858</v>
      </c>
      <c r="HE38">
        <v>32526560.350643951</v>
      </c>
      <c r="HF38">
        <v>0</v>
      </c>
      <c r="HG38">
        <v>2094436.573302405</v>
      </c>
      <c r="HH38">
        <v>1</v>
      </c>
      <c r="HI38">
        <v>1</v>
      </c>
      <c r="HJ38">
        <v>2</v>
      </c>
      <c r="HK38">
        <v>0</v>
      </c>
      <c r="HL38" s="30" t="s">
        <v>262</v>
      </c>
      <c r="HM38">
        <v>549.49021255229252</v>
      </c>
      <c r="HN38">
        <v>1.8198379971164015E-3</v>
      </c>
      <c r="HO38">
        <v>2328561</v>
      </c>
      <c r="HP38">
        <v>7046063</v>
      </c>
      <c r="HQ38">
        <v>9374624</v>
      </c>
      <c r="HR38">
        <v>2930469.4460485396</v>
      </c>
      <c r="HS38">
        <v>6444154.5539514599</v>
      </c>
      <c r="HT38">
        <v>123629.94533626226</v>
      </c>
      <c r="HU38">
        <v>56220.528913667207</v>
      </c>
      <c r="HV38">
        <v>179850.47424992948</v>
      </c>
      <c r="HW38">
        <v>0</v>
      </c>
      <c r="HX38">
        <v>2930469.4460485396</v>
      </c>
      <c r="HY38">
        <v>1</v>
      </c>
      <c r="HZ38">
        <v>1</v>
      </c>
      <c r="IA38">
        <v>2</v>
      </c>
      <c r="IB38">
        <v>0</v>
      </c>
      <c r="IC38" s="30" t="s">
        <v>262</v>
      </c>
      <c r="ID38">
        <v>0.7267244735136057</v>
      </c>
      <c r="IE38">
        <v>1.3760365380188897</v>
      </c>
      <c r="IF38">
        <v>1.3760365380188897</v>
      </c>
      <c r="IG38" t="str">
        <f t="shared" si="1"/>
        <v/>
      </c>
    </row>
    <row r="39" spans="1:241">
      <c r="A39" s="22" t="s">
        <v>49</v>
      </c>
      <c r="B39" s="23"/>
      <c r="C39" s="24"/>
      <c r="D39" s="24"/>
      <c r="E39" s="24"/>
      <c r="F39" s="24"/>
      <c r="G39" s="24"/>
      <c r="H39" s="24"/>
      <c r="I39" s="24"/>
      <c r="J39" s="23"/>
      <c r="K39" s="23"/>
      <c r="L39" s="25"/>
      <c r="M39" s="23"/>
      <c r="N39" s="23"/>
      <c r="O39" s="23"/>
      <c r="P39" s="23"/>
      <c r="Q39" s="25"/>
      <c r="R39" s="23"/>
      <c r="S39" s="24"/>
      <c r="T39" s="24"/>
      <c r="U39" s="24"/>
      <c r="V39" s="24"/>
      <c r="W39" s="24"/>
      <c r="X39" s="24"/>
      <c r="Y39" s="23"/>
      <c r="Z39" s="24"/>
      <c r="AA39" s="24"/>
      <c r="AB39" s="24"/>
      <c r="AC39" s="24"/>
      <c r="AD39" s="24"/>
      <c r="AE39" s="23"/>
      <c r="AF39" s="24"/>
      <c r="AG39" s="24"/>
      <c r="AH39" s="24"/>
      <c r="AI39" s="24"/>
      <c r="AJ39" s="24"/>
      <c r="AK39" s="24"/>
      <c r="AL39" s="24"/>
      <c r="AM39" s="24"/>
      <c r="AN39" s="23" t="str">
        <f t="shared" si="0"/>
        <v/>
      </c>
      <c r="AO39" s="23" t="s">
        <v>244</v>
      </c>
      <c r="AP39" s="24" t="s">
        <v>244</v>
      </c>
      <c r="AQ39" s="26"/>
      <c r="AR39" s="27"/>
      <c r="AS39" s="24"/>
      <c r="AT39" s="24"/>
      <c r="AU39" s="24"/>
      <c r="AV39" s="24"/>
      <c r="AW39" s="24"/>
      <c r="AX39" s="24"/>
      <c r="AY39" s="24"/>
      <c r="AZ39" s="24"/>
      <c r="BA39" s="24"/>
      <c r="BB39" s="24"/>
      <c r="BC39" s="24"/>
      <c r="BD39" s="24"/>
      <c r="BE39" s="24"/>
      <c r="BF39" s="24"/>
      <c r="BG39" s="25"/>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4"/>
      <c r="GG39" s="24"/>
      <c r="GH39" s="24"/>
      <c r="GI39" s="24"/>
      <c r="GJ39" s="24" t="str">
        <f t="shared" ref="GJ39" si="55">IF(FZ39&lt;&gt;"",SUM(GF39:GG39),"")</f>
        <v/>
      </c>
      <c r="GK39" s="26"/>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8"/>
      <c r="HL39" s="23"/>
      <c r="HM39" s="24"/>
      <c r="HN39" s="24"/>
      <c r="HO39" s="24"/>
      <c r="HP39" s="24"/>
      <c r="HQ39" s="24"/>
      <c r="HR39" s="24"/>
      <c r="HS39" s="24"/>
      <c r="HT39" s="24"/>
      <c r="HU39" s="24"/>
      <c r="HV39" s="24"/>
      <c r="HW39" s="24"/>
      <c r="HX39" s="24"/>
      <c r="HY39" s="24"/>
      <c r="HZ39" s="24"/>
      <c r="IA39" s="24"/>
      <c r="IB39" s="24"/>
      <c r="IC39" s="23"/>
      <c r="ID39" s="24"/>
      <c r="IE39" s="24"/>
      <c r="IF39" s="24"/>
      <c r="IG39" s="24" t="str">
        <f t="shared" si="1"/>
        <v/>
      </c>
    </row>
    <row r="40" spans="1:241">
      <c r="A40" t="str">
        <f>HYPERLINK("http://exon.niaid.nih.gov/transcriptome/S_calcitrans/S1/links/pep/XP_013111302.1-pep.txt","XP_013111302.1")</f>
        <v>XP_013111302.1</v>
      </c>
      <c r="B40" s="30" t="s">
        <v>232</v>
      </c>
      <c r="C40">
        <v>76</v>
      </c>
      <c r="D40" t="s">
        <v>596</v>
      </c>
      <c r="E40">
        <v>2</v>
      </c>
      <c r="F40" t="s">
        <v>597</v>
      </c>
      <c r="G40" t="str">
        <f>HYPERLINK("http://exon.niaid.nih.gov/transcriptome/S_calcitrans/S1/links/cds/XM_013255848_1-cds.txt","XM_013255848_1")</f>
        <v>XM_013255848_1</v>
      </c>
      <c r="H40">
        <v>231</v>
      </c>
      <c r="I40" t="s">
        <v>598</v>
      </c>
      <c r="J40" s="30" t="s">
        <v>236</v>
      </c>
      <c r="K40" s="30" t="s">
        <v>91</v>
      </c>
      <c r="L40" s="31" t="s">
        <v>599</v>
      </c>
      <c r="M40" s="30">
        <v>185299</v>
      </c>
      <c r="N40" s="30">
        <v>185591</v>
      </c>
      <c r="O40" s="30" t="s">
        <v>238</v>
      </c>
      <c r="P40" s="30">
        <v>2</v>
      </c>
      <c r="Q40" s="31" t="s">
        <v>600</v>
      </c>
      <c r="R40" s="32" t="str">
        <f>HYPERLINK("http://exon.niaid.nih.gov/transcriptome/S_calcitrans/S1/links/Sigp/XP_013111302.1-SigP.txt","SIG")</f>
        <v>SIG</v>
      </c>
      <c r="S40" t="s">
        <v>278</v>
      </c>
      <c r="T40">
        <v>8.4629999999999992</v>
      </c>
      <c r="U40">
        <v>4.1100000000000003</v>
      </c>
      <c r="V40">
        <v>6.3070000000000004</v>
      </c>
      <c r="W40">
        <v>3.97</v>
      </c>
      <c r="X40" t="s">
        <v>601</v>
      </c>
      <c r="Y40" s="32">
        <v>0</v>
      </c>
      <c r="Z40" t="s">
        <v>242</v>
      </c>
      <c r="AA40" t="s">
        <v>242</v>
      </c>
      <c r="AB40" t="s">
        <v>242</v>
      </c>
      <c r="AC40" t="s">
        <v>242</v>
      </c>
      <c r="AD40" t="s">
        <v>242</v>
      </c>
      <c r="AE40" s="32" t="str">
        <f>HYPERLINK("http://exon.niaid.nih.gov/transcriptome/S_calcitrans/S1/links/netoglyc/XP_013111302.1-netoglyc.txt","0")</f>
        <v>0</v>
      </c>
      <c r="AF40">
        <v>14.5</v>
      </c>
      <c r="AG40">
        <v>2.6</v>
      </c>
      <c r="AH40">
        <v>6.6</v>
      </c>
      <c r="AI40" t="s">
        <v>243</v>
      </c>
      <c r="AJ40" t="s">
        <v>242</v>
      </c>
      <c r="AK40">
        <v>53694.61134207798</v>
      </c>
      <c r="AL40" s="33">
        <v>11826</v>
      </c>
      <c r="AM40">
        <v>1</v>
      </c>
      <c r="AN40" s="30">
        <f t="shared" si="0"/>
        <v>1</v>
      </c>
      <c r="AO40" s="30" t="s">
        <v>244</v>
      </c>
      <c r="AP40">
        <v>214502</v>
      </c>
      <c r="AQ40" s="34">
        <v>0.83316000271114343</v>
      </c>
      <c r="AR40" s="35">
        <v>27901.790284698396</v>
      </c>
      <c r="AS40" t="s">
        <v>602</v>
      </c>
      <c r="AT40" s="36" t="s">
        <v>603</v>
      </c>
      <c r="AU40" t="s">
        <v>604</v>
      </c>
      <c r="AV40" t="str">
        <f>HYPERLINK("http://exon.niaid.nih.gov/transcriptome/S_calcitrans/S1/links/SWISSP/XP_013111302.1-SWISSP.txt","SWISSP")</f>
        <v>SWISSP</v>
      </c>
      <c r="AW40">
        <v>1000</v>
      </c>
      <c r="AX40">
        <v>12.2</v>
      </c>
      <c r="AY40" s="33" t="str">
        <f>HYPERLINK("http://exon.niaid.nih.gov/transcriptome/S_calcitrans/S1/links/WANG/XP_013111302.1-WANG.txt","SC-4-21-3")</f>
        <v>SC-4-21-3</v>
      </c>
      <c r="AZ40">
        <v>8.0000000000000006E-43</v>
      </c>
      <c r="BA40">
        <v>76</v>
      </c>
      <c r="BB40">
        <v>76</v>
      </c>
      <c r="BC40">
        <v>96</v>
      </c>
      <c r="BD40">
        <v>100</v>
      </c>
      <c r="BE40">
        <v>100</v>
      </c>
      <c r="BF40" t="s">
        <v>248</v>
      </c>
      <c r="BG40" s="31" t="s">
        <v>605</v>
      </c>
      <c r="BH40" t="s">
        <v>606</v>
      </c>
      <c r="BI40">
        <v>12</v>
      </c>
      <c r="BJ40" s="33"/>
      <c r="BK40" s="33"/>
      <c r="BL40" s="33" t="str">
        <f>HYPERLINK("http://exon.niaid.nih.gov/transcriptome/S_calcitrans/S1/links/NR-LIGHT/XP_013111302.1-NR-LIGHT.txt","vasotab-like")</f>
        <v>vasotab-like</v>
      </c>
      <c r="BM40" t="str">
        <f>HYPERLINK("http://www.ncbi.nlm.nih.gov/sutils/blink.cgi?pid=557782712","5E-005")</f>
        <v>5E-005</v>
      </c>
      <c r="BN40" t="str">
        <f>HYPERLINK("http://www.ncbi.nlm.nih.gov/protein/557782712","gi|557782712")</f>
        <v>gi|557782712</v>
      </c>
      <c r="BO40">
        <v>40</v>
      </c>
      <c r="BP40">
        <v>56</v>
      </c>
      <c r="BQ40">
        <v>51</v>
      </c>
      <c r="BR40" t="s">
        <v>251</v>
      </c>
      <c r="BS40" s="33" t="str">
        <f>HYPERLINK("http://exon.niaid.nih.gov/transcriptome/S_calcitrans/S1/links/SWISSP/XP_013111302.1-SWISSP.txt","Bone morphogenetic protein 4")</f>
        <v>Bone morphogenetic protein 4</v>
      </c>
      <c r="BT40" t="str">
        <f>HYPERLINK("http://www.uniprot.org/uniprot/P30885","4.5")</f>
        <v>4.5</v>
      </c>
      <c r="BU40" t="str">
        <f>HYPERLINK("http://www.uniprot.org/uniprot/P30885#expression","P30885")</f>
        <v>P30885</v>
      </c>
      <c r="BV40">
        <v>34</v>
      </c>
      <c r="BW40">
        <v>57</v>
      </c>
      <c r="BX40">
        <v>12</v>
      </c>
      <c r="BY40" t="s">
        <v>607</v>
      </c>
      <c r="BZ40" s="33" t="str">
        <f>HYPERLINK("http://exon.niaid.nih.gov/transcriptome/S_calcitrans/S1/links/REFSEQ-INVERTEBRATE/XP_013111302.1-REFSEQ-INVERTEBRATE.txt","uncharacterized protein LOC106089851")</f>
        <v>uncharacterized protein LOC106089851</v>
      </c>
      <c r="CA40" t="str">
        <f>HYPERLINK("http://www.ncbi.nlm.nih.gov/sutils/blink.cgi?pid=907711402","7E-039")</f>
        <v>7E-039</v>
      </c>
      <c r="CB40" t="str">
        <f>HYPERLINK("http://www.ncbi.nlm.nih.gov/protein/907711402","gi|907711402")</f>
        <v>gi|907711402</v>
      </c>
      <c r="CC40">
        <v>100</v>
      </c>
      <c r="CD40">
        <v>100</v>
      </c>
      <c r="CE40">
        <v>100</v>
      </c>
      <c r="CF40" t="s">
        <v>253</v>
      </c>
      <c r="CG40" s="33" t="str">
        <f>HYPERLINK("http://exon.niaid.nih.gov/transcriptome/S_calcitrans/S1/links/DIPTERA/XP_013111302.1-DIPTERA.txt","uncharacterized protein LOC106089851")</f>
        <v>uncharacterized protein LOC106089851</v>
      </c>
      <c r="CH40" t="str">
        <f>HYPERLINK("http://www.ncbi.nlm.nih.gov/sutils/blink.cgi?pid=907711402","4E-039")</f>
        <v>4E-039</v>
      </c>
      <c r="CI40" t="str">
        <f>HYPERLINK("http://www.ncbi.nlm.nih.gov/protein/907711402","gi|907711402")</f>
        <v>gi|907711402</v>
      </c>
      <c r="CJ40">
        <v>100</v>
      </c>
      <c r="CK40">
        <v>100</v>
      </c>
      <c r="CL40">
        <v>100</v>
      </c>
      <c r="CM40" t="s">
        <v>253</v>
      </c>
      <c r="CN40" s="33" t="s">
        <v>242</v>
      </c>
      <c r="CO40" t="s">
        <v>242</v>
      </c>
      <c r="CP40" t="s">
        <v>242</v>
      </c>
      <c r="CQ40" t="s">
        <v>242</v>
      </c>
      <c r="CR40" t="s">
        <v>242</v>
      </c>
      <c r="CS40" t="s">
        <v>242</v>
      </c>
      <c r="CT40" t="s">
        <v>242</v>
      </c>
      <c r="CU40" s="33" t="s">
        <v>242</v>
      </c>
      <c r="CV40" t="s">
        <v>242</v>
      </c>
      <c r="CW40" t="s">
        <v>242</v>
      </c>
      <c r="CX40" t="s">
        <v>242</v>
      </c>
      <c r="CY40" t="s">
        <v>242</v>
      </c>
      <c r="CZ40" t="s">
        <v>242</v>
      </c>
      <c r="DA40" t="s">
        <v>242</v>
      </c>
      <c r="DB40" t="s">
        <v>242</v>
      </c>
      <c r="DC40" t="s">
        <v>242</v>
      </c>
      <c r="DD40" t="s">
        <v>242</v>
      </c>
      <c r="DE40" s="33" t="str">
        <f>HYPERLINK("http://exon.niaid.nih.gov/transcriptome/S_calcitrans/S1/links/CDD/XP_013111302.1-CDD.txt","KAZAL")</f>
        <v>KAZAL</v>
      </c>
      <c r="DF40" t="str">
        <f>HYPERLINK("http://www.ncbi.nlm.nih.gov/Structure/cdd/cddsrv.cgi?uid=smart00280&amp;version=v4.0","1.6")</f>
        <v>1.6</v>
      </c>
      <c r="DG40" t="s">
        <v>608</v>
      </c>
      <c r="DH40" s="33" t="str">
        <f>HYPERLINK("http://exon.niaid.nih.gov/transcriptome/S_calcitrans/S1/links/KOG/XP_013111302.1-KOG.txt","Cellular repressor of transcription")</f>
        <v>Cellular repressor of transcription</v>
      </c>
      <c r="DI40" t="str">
        <f>HYPERLINK("http://www.ncbi.nlm.nih.gov/Structure/cdd/cddsrv.cgi?uid=KOG3374","0.59")</f>
        <v>0.59</v>
      </c>
      <c r="DJ40" t="s">
        <v>392</v>
      </c>
      <c r="DK40" t="str">
        <f>HYPERLINK("http://exon.niaid.nih.gov/transcriptome/S_calcitrans/S1/links/KOG/XP_013111302.1-KOG.txt","KOG3374")</f>
        <v>KOG3374</v>
      </c>
      <c r="DL40" s="33" t="str">
        <f>HYPERLINK("http://exon.niaid.nih.gov/transcriptome/S_calcitrans/S1/links/PFAM/XP_013111302.1-PFAM.txt","MepB")</f>
        <v>MepB</v>
      </c>
      <c r="DM40" t="str">
        <f>HYPERLINK("http://pfam.sanger.ac.uk/family?acc=PF08877","0.90")</f>
        <v>0.90</v>
      </c>
      <c r="DN40" s="33" t="str">
        <f>HYPERLINK("http://exon.niaid.nih.gov/transcriptome/S_calcitrans/S1/links/SMART/XP_013111302.1-SMART.txt","KAZAL")</f>
        <v>KAZAL</v>
      </c>
      <c r="DO40" t="str">
        <f>HYPERLINK("http://smart.embl-heidelberg.de/smart/do_annotation.pl?DOMAIN=KAZAL&amp;BLAST=DUMMY","0.016")</f>
        <v>0.016</v>
      </c>
      <c r="DP40" s="33"/>
      <c r="EB40" s="33">
        <f>HYPERLINK("http://exon.niaid.nih.gov/transcriptome/S_calcitrans/S1/links/cluster-b/Scalc-pep25-50SimCLU1.txt", 1)</f>
        <v>1</v>
      </c>
      <c r="EC40">
        <f>HYPERLINK("http://exon.niaid.nih.gov/transcriptome/S_calcitrans/S1/links/cluster-b/Scalc-pep25-50SimCLTL1.txt", 5170)</f>
        <v>5170</v>
      </c>
      <c r="ED40" s="33">
        <f>HYPERLINK("http://exon.niaid.nih.gov/transcriptome/S_calcitrans/S1/links/cluster-b/Scalc-pep30-50SimCLU1.txt", 1)</f>
        <v>1</v>
      </c>
      <c r="EE40">
        <f>HYPERLINK("http://exon.niaid.nih.gov/transcriptome/S_calcitrans/S1/links/cluster-b/Scalc-pep30-50SimCLTL1.txt", 1550)</f>
        <v>1550</v>
      </c>
      <c r="EF40" s="33">
        <v>6842</v>
      </c>
      <c r="EG40">
        <v>1</v>
      </c>
      <c r="EH40" s="33">
        <v>7376</v>
      </c>
      <c r="EI40">
        <v>1</v>
      </c>
      <c r="EJ40" s="33">
        <v>7935</v>
      </c>
      <c r="EK40">
        <v>1</v>
      </c>
      <c r="EL40" s="33">
        <v>8368</v>
      </c>
      <c r="EM40">
        <v>1</v>
      </c>
      <c r="EN40" s="33">
        <v>8852</v>
      </c>
      <c r="EO40">
        <v>1</v>
      </c>
      <c r="EP40" s="33">
        <v>9250</v>
      </c>
      <c r="EQ40">
        <v>1</v>
      </c>
      <c r="ER40" s="33">
        <v>9604</v>
      </c>
      <c r="ES40">
        <v>1</v>
      </c>
      <c r="ET40" s="33">
        <v>9906</v>
      </c>
      <c r="EU40">
        <v>1</v>
      </c>
      <c r="EV40" s="33">
        <v>10243</v>
      </c>
      <c r="EW40">
        <v>1</v>
      </c>
      <c r="EX40" s="33">
        <v>10542</v>
      </c>
      <c r="EY40">
        <v>1</v>
      </c>
      <c r="EZ40" s="33">
        <v>10891</v>
      </c>
      <c r="FA40">
        <v>1</v>
      </c>
      <c r="FB40" s="33">
        <v>11272</v>
      </c>
      <c r="FC40">
        <v>1</v>
      </c>
      <c r="FD40" s="33">
        <v>11826</v>
      </c>
      <c r="FE40">
        <v>1</v>
      </c>
      <c r="FF40" t="s">
        <v>609</v>
      </c>
      <c r="FG40">
        <v>16298</v>
      </c>
      <c r="FH40" s="38" t="str">
        <f>HYPERLINK("http://exon.niaid.nih.gov/transcriptome/S_calcitrans/S1/links/SG_male-stripped_temp-95-h10-1gap/16298-SG_male-stripped_temp-95-h10-1gap.txt","95363")</f>
        <v>95363</v>
      </c>
      <c r="FI40" s="39">
        <v>100</v>
      </c>
      <c r="FJ40" s="39">
        <v>22572.086580086601</v>
      </c>
      <c r="FK40" s="39">
        <v>352</v>
      </c>
      <c r="FL40" s="39">
        <v>31999</v>
      </c>
      <c r="FM40" s="39">
        <v>65.732988685339194</v>
      </c>
      <c r="FN40" s="38" t="str">
        <f>HYPERLINK("http://exon.niaid.nih.gov/transcriptome/S_calcitrans/S1/links/SG_female-stripped_temp-95-h10-1gap/16298-SG_female-stripped_temp-95-h10-1gap.txt","119139")</f>
        <v>119139</v>
      </c>
      <c r="FO40" s="39">
        <v>100</v>
      </c>
      <c r="FP40" s="39">
        <v>23776.229437229402</v>
      </c>
      <c r="FQ40" s="39">
        <v>604</v>
      </c>
      <c r="FR40" s="39">
        <v>31999</v>
      </c>
      <c r="FS40" s="39">
        <v>66.103752759381905</v>
      </c>
      <c r="FT40" s="38" t="str">
        <f>HYPERLINK("http://exon.niaid.nih.gov/transcriptome/S_calcitrans/S1/links/SRR694289-stripped_temp-95-h10-1gap/16298-SRR694289-stripped_temp-95-h10-1gap.txt","13")</f>
        <v>13</v>
      </c>
      <c r="FU40" s="39">
        <v>100</v>
      </c>
      <c r="FV40" s="39">
        <v>4.5324675324675301</v>
      </c>
      <c r="FW40" s="39">
        <v>1</v>
      </c>
      <c r="FX40" s="39">
        <v>8</v>
      </c>
      <c r="FY40" s="39">
        <v>80.538461538461505</v>
      </c>
      <c r="FZ40" s="38">
        <v>0</v>
      </c>
      <c r="GA40" s="39" t="s">
        <v>242</v>
      </c>
      <c r="GB40" s="39" t="s">
        <v>242</v>
      </c>
      <c r="GC40" s="39" t="s">
        <v>242</v>
      </c>
      <c r="GD40" s="39" t="s">
        <v>242</v>
      </c>
      <c r="GE40" s="39" t="s">
        <v>242</v>
      </c>
      <c r="GF40">
        <f>1*FH40</f>
        <v>95363</v>
      </c>
      <c r="GG40">
        <f>1*FN40</f>
        <v>119139</v>
      </c>
      <c r="GH40">
        <f>1*FT40</f>
        <v>13</v>
      </c>
      <c r="GI40">
        <f>1*FZ40</f>
        <v>0</v>
      </c>
      <c r="GJ40">
        <f>IF(FZ40&lt;&gt;"",SUM(GF40:GG40),"")</f>
        <v>214502</v>
      </c>
      <c r="GK40" s="34">
        <v>0.83316000271114343</v>
      </c>
      <c r="GL40">
        <v>13504.232762862603</v>
      </c>
      <c r="GM40">
        <v>7672.1168786988428</v>
      </c>
      <c r="GN40">
        <v>0.32349227299644256</v>
      </c>
      <c r="GO40">
        <v>0</v>
      </c>
      <c r="GP40">
        <f>MAX(GL40:GO40)</f>
        <v>13504.232762862603</v>
      </c>
      <c r="GQ40" t="s">
        <v>574</v>
      </c>
      <c r="GR40">
        <v>10531.835743771077</v>
      </c>
      <c r="GS40">
        <v>6297.0141691523131</v>
      </c>
      <c r="GT40">
        <v>0.58314588208171314</v>
      </c>
      <c r="GU40">
        <v>0</v>
      </c>
      <c r="GV40">
        <f>MAX(GR40:GU40)</f>
        <v>10531.835743771077</v>
      </c>
      <c r="GW40">
        <v>27901.790284698396</v>
      </c>
      <c r="GX40">
        <v>214502</v>
      </c>
      <c r="GY40">
        <v>13</v>
      </c>
      <c r="GZ40">
        <v>214515</v>
      </c>
      <c r="HA40">
        <v>47622.264272745924</v>
      </c>
      <c r="HB40">
        <v>166892.73572725407</v>
      </c>
      <c r="HC40">
        <v>584786.26797121798</v>
      </c>
      <c r="HD40">
        <v>166866.73673988052</v>
      </c>
      <c r="HE40">
        <v>751653.0047110985</v>
      </c>
      <c r="HF40">
        <v>0</v>
      </c>
      <c r="HG40">
        <v>47622.264272745924</v>
      </c>
      <c r="HH40">
        <v>1</v>
      </c>
      <c r="HI40">
        <v>1</v>
      </c>
      <c r="HJ40">
        <v>2</v>
      </c>
      <c r="HK40">
        <v>0</v>
      </c>
      <c r="HL40" s="30" t="s">
        <v>262</v>
      </c>
      <c r="HM40">
        <v>53694.61134207798</v>
      </c>
      <c r="HN40">
        <v>1.7293487678156805E-5</v>
      </c>
      <c r="HO40">
        <v>95363</v>
      </c>
      <c r="HP40">
        <v>119139</v>
      </c>
      <c r="HQ40">
        <v>214502</v>
      </c>
      <c r="HR40">
        <v>67052.455342881367</v>
      </c>
      <c r="HS40">
        <v>147449.54465711865</v>
      </c>
      <c r="HT40">
        <v>11953.133329483637</v>
      </c>
      <c r="HU40">
        <v>5435.6691344588335</v>
      </c>
      <c r="HV40">
        <v>17388.802463942469</v>
      </c>
      <c r="HW40">
        <v>0</v>
      </c>
      <c r="HX40">
        <v>67052.455342881367</v>
      </c>
      <c r="HY40">
        <v>1</v>
      </c>
      <c r="HZ40">
        <v>1</v>
      </c>
      <c r="IA40">
        <v>2</v>
      </c>
      <c r="IB40">
        <v>0</v>
      </c>
      <c r="IC40" s="30" t="s">
        <v>262</v>
      </c>
      <c r="ID40">
        <v>1.7601555905331006</v>
      </c>
      <c r="IE40">
        <v>0.56812086717922983</v>
      </c>
      <c r="IF40">
        <v>1.7601555905331006</v>
      </c>
      <c r="IG40" t="str">
        <f t="shared" si="1"/>
        <v/>
      </c>
    </row>
    <row r="41" spans="1:241">
      <c r="A41" s="22" t="s">
        <v>610</v>
      </c>
      <c r="B41" s="23"/>
      <c r="C41" s="24"/>
      <c r="D41" s="24"/>
      <c r="E41" s="24"/>
      <c r="F41" s="24"/>
      <c r="G41" s="24"/>
      <c r="H41" s="24"/>
      <c r="I41" s="24"/>
      <c r="J41" s="23"/>
      <c r="K41" s="23"/>
      <c r="L41" s="25"/>
      <c r="M41" s="23"/>
      <c r="N41" s="23"/>
      <c r="O41" s="23"/>
      <c r="P41" s="23"/>
      <c r="Q41" s="25"/>
      <c r="R41" s="23"/>
      <c r="S41" s="24"/>
      <c r="T41" s="24"/>
      <c r="U41" s="24"/>
      <c r="V41" s="24"/>
      <c r="W41" s="24"/>
      <c r="X41" s="24"/>
      <c r="Y41" s="23"/>
      <c r="Z41" s="24"/>
      <c r="AA41" s="24"/>
      <c r="AB41" s="24"/>
      <c r="AC41" s="24"/>
      <c r="AD41" s="24"/>
      <c r="AE41" s="23"/>
      <c r="AF41" s="24"/>
      <c r="AG41" s="24"/>
      <c r="AH41" s="24"/>
      <c r="AI41" s="24"/>
      <c r="AJ41" s="24"/>
      <c r="AK41" s="24"/>
      <c r="AL41" s="24"/>
      <c r="AM41" s="24"/>
      <c r="AN41" s="23" t="str">
        <f t="shared" si="0"/>
        <v/>
      </c>
      <c r="AO41" s="23" t="s">
        <v>244</v>
      </c>
      <c r="AP41" s="24" t="s">
        <v>244</v>
      </c>
      <c r="AQ41" s="26"/>
      <c r="AR41" s="27"/>
      <c r="AS41" s="24"/>
      <c r="AT41" s="24"/>
      <c r="AU41" s="24"/>
      <c r="AV41" s="24"/>
      <c r="AW41" s="24"/>
      <c r="AX41" s="24"/>
      <c r="AY41" s="24"/>
      <c r="AZ41" s="24"/>
      <c r="BA41" s="24"/>
      <c r="BB41" s="24"/>
      <c r="BC41" s="24"/>
      <c r="BD41" s="24"/>
      <c r="BE41" s="24"/>
      <c r="BF41" s="24"/>
      <c r="BG41" s="25"/>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8"/>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4"/>
      <c r="GG41" s="24"/>
      <c r="GH41" s="24"/>
      <c r="GI41" s="24"/>
      <c r="GJ41" s="24" t="str">
        <f t="shared" si="2"/>
        <v/>
      </c>
      <c r="GK41" s="26"/>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3"/>
      <c r="HM41" s="24"/>
      <c r="HN41" s="24"/>
      <c r="HO41" s="24"/>
      <c r="HP41" s="24"/>
      <c r="HQ41" s="24"/>
      <c r="HR41" s="24"/>
      <c r="HS41" s="24"/>
      <c r="HT41" s="24"/>
      <c r="HU41" s="24"/>
      <c r="HV41" s="24"/>
      <c r="HW41" s="24"/>
      <c r="HX41" s="24"/>
      <c r="HY41" s="24"/>
      <c r="HZ41" s="24"/>
      <c r="IA41" s="24"/>
      <c r="IB41" s="24"/>
      <c r="IC41" s="23"/>
      <c r="ID41" s="24"/>
      <c r="IE41" s="24"/>
      <c r="IF41" s="24"/>
      <c r="IG41" s="24" t="str">
        <f t="shared" si="1"/>
        <v/>
      </c>
    </row>
    <row r="42" spans="1:241">
      <c r="A42" s="22" t="s">
        <v>53</v>
      </c>
      <c r="B42" s="23"/>
      <c r="C42" s="24"/>
      <c r="D42" s="24"/>
      <c r="E42" s="24"/>
      <c r="F42" s="24"/>
      <c r="G42" s="24"/>
      <c r="H42" s="24"/>
      <c r="I42" s="24"/>
      <c r="J42" s="23"/>
      <c r="K42" s="23"/>
      <c r="L42" s="25"/>
      <c r="M42" s="23"/>
      <c r="N42" s="23"/>
      <c r="O42" s="23"/>
      <c r="P42" s="23"/>
      <c r="Q42" s="25"/>
      <c r="R42" s="23"/>
      <c r="S42" s="24"/>
      <c r="T42" s="24"/>
      <c r="U42" s="24"/>
      <c r="V42" s="24"/>
      <c r="W42" s="24"/>
      <c r="X42" s="24"/>
      <c r="Y42" s="23"/>
      <c r="Z42" s="24"/>
      <c r="AA42" s="24"/>
      <c r="AB42" s="24"/>
      <c r="AC42" s="24"/>
      <c r="AD42" s="24"/>
      <c r="AE42" s="23"/>
      <c r="AF42" s="24"/>
      <c r="AG42" s="24"/>
      <c r="AH42" s="24"/>
      <c r="AI42" s="24"/>
      <c r="AJ42" s="24"/>
      <c r="AK42" s="24"/>
      <c r="AL42" s="24"/>
      <c r="AM42" s="24"/>
      <c r="AN42" s="23" t="str">
        <f t="shared" si="0"/>
        <v/>
      </c>
      <c r="AO42" s="23" t="s">
        <v>244</v>
      </c>
      <c r="AP42" s="24" t="s">
        <v>244</v>
      </c>
      <c r="AQ42" s="26"/>
      <c r="AR42" s="27"/>
      <c r="AS42" s="24"/>
      <c r="AT42" s="24"/>
      <c r="AU42" s="24"/>
      <c r="AV42" s="24"/>
      <c r="AW42" s="24"/>
      <c r="AX42" s="24"/>
      <c r="AY42" s="24"/>
      <c r="AZ42" s="24"/>
      <c r="BA42" s="24"/>
      <c r="BB42" s="24"/>
      <c r="BC42" s="24"/>
      <c r="BD42" s="24"/>
      <c r="BE42" s="24"/>
      <c r="BF42" s="24"/>
      <c r="BG42" s="25"/>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8"/>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4"/>
      <c r="GG42" s="24"/>
      <c r="GH42" s="24"/>
      <c r="GI42" s="24"/>
      <c r="GJ42" s="24" t="str">
        <f t="shared" si="2"/>
        <v/>
      </c>
      <c r="GK42" s="26"/>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3"/>
      <c r="HM42" s="24"/>
      <c r="HN42" s="24"/>
      <c r="HO42" s="24"/>
      <c r="HP42" s="24"/>
      <c r="HQ42" s="24"/>
      <c r="HR42" s="24"/>
      <c r="HS42" s="24"/>
      <c r="HT42" s="24"/>
      <c r="HU42" s="24"/>
      <c r="HV42" s="24"/>
      <c r="HW42" s="24"/>
      <c r="HX42" s="24"/>
      <c r="HY42" s="24"/>
      <c r="HZ42" s="24"/>
      <c r="IA42" s="24"/>
      <c r="IB42" s="24"/>
      <c r="IC42" s="23"/>
      <c r="ID42" s="24"/>
      <c r="IE42" s="24"/>
      <c r="IF42" s="24"/>
      <c r="IG42" s="24" t="str">
        <f t="shared" si="1"/>
        <v/>
      </c>
    </row>
    <row r="43" spans="1:241">
      <c r="A43" t="str">
        <f>HYPERLINK("http://exon.niaid.nih.gov/transcriptome/S_calcitrans/S1/links/pep/XP_013097504.1-pep.txt","XP_013097504.1")</f>
        <v>XP_013097504.1</v>
      </c>
      <c r="B43" s="30" t="s">
        <v>232</v>
      </c>
      <c r="C43">
        <v>243</v>
      </c>
      <c r="D43" t="s">
        <v>611</v>
      </c>
      <c r="E43">
        <v>0</v>
      </c>
      <c r="F43" t="s">
        <v>612</v>
      </c>
      <c r="G43" t="str">
        <f>HYPERLINK("http://exon.niaid.nih.gov/transcriptome/S_calcitrans/S1/links/cds/XM_013242050_1-cds.txt","XM_013242050_1")</f>
        <v>XM_013242050_1</v>
      </c>
      <c r="H43">
        <v>732</v>
      </c>
      <c r="I43" t="s">
        <v>613</v>
      </c>
      <c r="J43" s="30" t="s">
        <v>236</v>
      </c>
      <c r="K43" s="30" t="s">
        <v>91</v>
      </c>
      <c r="L43" s="31" t="s">
        <v>297</v>
      </c>
      <c r="M43" s="30">
        <v>552932</v>
      </c>
      <c r="N43" s="30">
        <v>557789</v>
      </c>
      <c r="O43" s="30" t="s">
        <v>276</v>
      </c>
      <c r="P43" s="30">
        <v>5</v>
      </c>
      <c r="Q43" s="31" t="s">
        <v>614</v>
      </c>
      <c r="R43" s="32" t="str">
        <f>HYPERLINK("http://exon.niaid.nih.gov/transcriptome/S_calcitrans/S1/links/Sigp/XP_013097504.1-SigP.txt","SIG")</f>
        <v>SIG</v>
      </c>
      <c r="S43" t="s">
        <v>615</v>
      </c>
      <c r="T43">
        <v>27.259</v>
      </c>
      <c r="U43">
        <v>6.54</v>
      </c>
      <c r="V43">
        <v>24.66</v>
      </c>
      <c r="W43">
        <v>6.66</v>
      </c>
      <c r="X43" t="s">
        <v>616</v>
      </c>
      <c r="Y43" s="32">
        <v>0</v>
      </c>
      <c r="Z43" t="s">
        <v>242</v>
      </c>
      <c r="AA43" t="s">
        <v>242</v>
      </c>
      <c r="AB43" t="s">
        <v>242</v>
      </c>
      <c r="AC43" t="s">
        <v>242</v>
      </c>
      <c r="AD43" t="s">
        <v>242</v>
      </c>
      <c r="AE43" s="32" t="str">
        <f>HYPERLINK("http://exon.niaid.nih.gov/transcriptome/S_calcitrans/S1/links/netoglyc/XP_013097504.1-netoglyc.txt","0")</f>
        <v>0</v>
      </c>
      <c r="AF43">
        <v>10.7</v>
      </c>
      <c r="AG43">
        <v>9.9</v>
      </c>
      <c r="AH43">
        <v>4.5</v>
      </c>
      <c r="AI43" t="s">
        <v>243</v>
      </c>
      <c r="AJ43" t="s">
        <v>242</v>
      </c>
      <c r="AK43">
        <v>1279.6855688531571</v>
      </c>
      <c r="AL43" s="33">
        <v>5063</v>
      </c>
      <c r="AM43">
        <v>1</v>
      </c>
      <c r="AN43" s="30">
        <f t="shared" si="0"/>
        <v>1</v>
      </c>
      <c r="AO43" s="30" t="s">
        <v>244</v>
      </c>
      <c r="AP43">
        <v>14241</v>
      </c>
      <c r="AQ43" s="34">
        <v>5.5314316876343313E-2</v>
      </c>
      <c r="AR43" s="35">
        <v>615.43274795113518</v>
      </c>
      <c r="AS43" t="s">
        <v>617</v>
      </c>
      <c r="AT43" s="36" t="s">
        <v>618</v>
      </c>
      <c r="AU43" t="s">
        <v>619</v>
      </c>
      <c r="AV43" t="str">
        <f>HYPERLINK("http://exon.niaid.nih.gov/transcriptome/S_calcitrans/S1/links/REFSEQ-INVERTEBRATE/XP_013097504.1-REFSEQ-INVERTEBRATE.txt","REFSEQ-INVERTEBRATE")</f>
        <v>REFSEQ-INVERTEBRATE</v>
      </c>
      <c r="AW43">
        <v>0</v>
      </c>
      <c r="AX43">
        <v>100</v>
      </c>
      <c r="AY43" s="33"/>
      <c r="BG43" s="31"/>
      <c r="BJ43" s="33"/>
      <c r="BK43" s="33"/>
      <c r="BL43" s="33" t="str">
        <f>HYPERLINK("http://exon.niaid.nih.gov/transcriptome/S_calcitrans/S1/links/NR-LIGHT/XP_013097504.1-NR-LIGHT.txt","granzyme K")</f>
        <v>granzyme K</v>
      </c>
      <c r="BM43" t="str">
        <f>HYPERLINK("http://www.ncbi.nlm.nih.gov/sutils/blink.cgi?pid=557784511","2E-091")</f>
        <v>2E-091</v>
      </c>
      <c r="BN43" t="str">
        <f>HYPERLINK("http://www.ncbi.nlm.nih.gov/protein/557784511","gi|557784511")</f>
        <v>gi|557784511</v>
      </c>
      <c r="BO43">
        <v>63</v>
      </c>
      <c r="BP43">
        <v>69</v>
      </c>
      <c r="BQ43">
        <v>99</v>
      </c>
      <c r="BR43" t="s">
        <v>251</v>
      </c>
      <c r="BS43" s="33" t="str">
        <f>HYPERLINK("http://exon.niaid.nih.gov/transcriptome/S_calcitrans/S1/links/SWISSP/XP_013097504.1-SWISSP.txt","Transmembrane protease serine 11A")</f>
        <v>Transmembrane protease serine 11A</v>
      </c>
      <c r="BT43" t="str">
        <f>HYPERLINK("http://www.uniprot.org/uniprot/Q3UQ41","8E-020")</f>
        <v>8E-020</v>
      </c>
      <c r="BU43" t="str">
        <f>HYPERLINK("http://www.uniprot.org/uniprot/Q3UQ41#expression","Q3UQ41")</f>
        <v>Q3UQ41</v>
      </c>
      <c r="BV43">
        <v>30</v>
      </c>
      <c r="BW43">
        <v>43</v>
      </c>
      <c r="BX43">
        <v>64</v>
      </c>
      <c r="BY43" t="s">
        <v>620</v>
      </c>
      <c r="BZ43" s="33" t="str">
        <f>HYPERLINK("http://exon.niaid.nih.gov/transcriptome/S_calcitrans/S1/links/REFSEQ-INVERTEBRATE/XP_013097504.1-REFSEQ-INVERTEBRATE.txt","transmembrane protease serine 11A")</f>
        <v>transmembrane protease serine 11A</v>
      </c>
      <c r="CA43" t="str">
        <f>HYPERLINK("http://www.ncbi.nlm.nih.gov/sutils/blink.cgi?pid=907622132","1E-145")</f>
        <v>1E-145</v>
      </c>
      <c r="CB43" t="str">
        <f>HYPERLINK("http://www.ncbi.nlm.nih.gov/protein/907622132","gi|907622132")</f>
        <v>gi|907622132</v>
      </c>
      <c r="CC43">
        <v>100</v>
      </c>
      <c r="CD43">
        <v>100</v>
      </c>
      <c r="CE43">
        <v>100</v>
      </c>
      <c r="CF43" t="s">
        <v>253</v>
      </c>
      <c r="CG43" s="33" t="str">
        <f>HYPERLINK("http://exon.niaid.nih.gov/transcriptome/S_calcitrans/S1/links/DIPTERA/XP_013097504.1-DIPTERA.txt","transmembrane protease serine 11A")</f>
        <v>transmembrane protease serine 11A</v>
      </c>
      <c r="CH43" t="str">
        <f>HYPERLINK("http://www.ncbi.nlm.nih.gov/sutils/blink.cgi?pid=907622132","1E-145")</f>
        <v>1E-145</v>
      </c>
      <c r="CI43" t="str">
        <f>HYPERLINK("http://www.ncbi.nlm.nih.gov/protein/907622132","gi|907622132")</f>
        <v>gi|907622132</v>
      </c>
      <c r="CJ43">
        <v>100</v>
      </c>
      <c r="CK43">
        <v>100</v>
      </c>
      <c r="CL43">
        <v>100</v>
      </c>
      <c r="CM43" t="s">
        <v>253</v>
      </c>
      <c r="CN43" s="33" t="str">
        <f>HYPERLINK("http://exon.niaid.nih.gov/transcriptome/S_calcitrans/S1/links/VIRUS/XP_013097504.1-VIRUS.txt","unknown")</f>
        <v>unknown</v>
      </c>
      <c r="CO43" t="str">
        <f>HYPERLINK("http://www.ncbi.nlm.nih.gov/sutils/blink.cgi?pid=48843635","1E-016")</f>
        <v>1E-016</v>
      </c>
      <c r="CP43" t="str">
        <f>HYPERLINK("http://www.ncbi.nlm.nih.gov/protein/48843635","gi|48843635")</f>
        <v>gi|48843635</v>
      </c>
      <c r="CQ43">
        <v>28</v>
      </c>
      <c r="CR43">
        <v>39</v>
      </c>
      <c r="CS43">
        <v>108</v>
      </c>
      <c r="CT43" t="s">
        <v>621</v>
      </c>
      <c r="CU43" s="33" t="s">
        <v>622</v>
      </c>
      <c r="CV43">
        <f>HYPERLINK("http://exon.niaid.nih.gov/transcriptome/S_calcitrans/S1/links/GO/XP_013097504.1-GO.txt",9E-62)</f>
        <v>9.0000000000000004E-62</v>
      </c>
      <c r="CW43" t="str">
        <f t="shared" ref="CW43:CW50" si="56">HYPERLINK("http://amigo.geneontology.org/cgi-bin/amigo/term_details?term=GO:0004252","GO:0004252")</f>
        <v>GO:0004252</v>
      </c>
      <c r="CX43" t="s">
        <v>623</v>
      </c>
      <c r="CY43" t="s">
        <v>624</v>
      </c>
      <c r="CZ43" t="s">
        <v>625</v>
      </c>
      <c r="DA43" t="str">
        <f t="shared" ref="DA43:DA50" si="57">HYPERLINK("http://www.genome.jp/dbget-bin/www_bfind_sub?mode=bfind&amp;max_hit=1000&amp;dbkey=kegg&amp;keywords=EC:3.4.21","EC:3.4.21")</f>
        <v>EC:3.4.21</v>
      </c>
      <c r="DC43" t="s">
        <v>626</v>
      </c>
      <c r="DD43" s="37">
        <v>7.9999999999999996E-20</v>
      </c>
      <c r="DE43" s="33" t="str">
        <f>HYPERLINK("http://exon.niaid.nih.gov/transcriptome/S_calcitrans/S1/links/CDD/XP_013097504.1-CDD.txt","Tryp_SPc")</f>
        <v>Tryp_SPc</v>
      </c>
      <c r="DF43" t="str">
        <f>HYPERLINK("http://www.ncbi.nlm.nih.gov/Structure/cdd/cddsrv.cgi?uid=cd00190&amp;version=v4.0","5E-039")</f>
        <v>5E-039</v>
      </c>
      <c r="DG43" t="s">
        <v>627</v>
      </c>
      <c r="DH43" s="33" t="str">
        <f>HYPERLINK("http://exon.niaid.nih.gov/transcriptome/S_calcitrans/S1/links/KOG/XP_013097504.1-KOG.txt","Trypsin")</f>
        <v>Trypsin</v>
      </c>
      <c r="DI43" t="str">
        <f>HYPERLINK("http://www.ncbi.nlm.nih.gov/Structure/cdd/cddsrv.cgi?uid=KOG3627","2E-029")</f>
        <v>2E-029</v>
      </c>
      <c r="DJ43" t="s">
        <v>628</v>
      </c>
      <c r="DK43" t="str">
        <f>HYPERLINK("http://exon.niaid.nih.gov/transcriptome/S_calcitrans/S1/links/KOG/XP_013097504.1-KOG.txt","KOG3627")</f>
        <v>KOG3627</v>
      </c>
      <c r="DL43" s="33" t="str">
        <f>HYPERLINK("http://exon.niaid.nih.gov/transcriptome/S_calcitrans/S1/links/PFAM/XP_013097504.1-PFAM.txt","Trypsin")</f>
        <v>Trypsin</v>
      </c>
      <c r="DM43" t="str">
        <f>HYPERLINK("http://pfam.sanger.ac.uk/family?acc=PF00089","1E-037")</f>
        <v>1E-037</v>
      </c>
      <c r="DN43" s="33" t="str">
        <f>HYPERLINK("http://exon.niaid.nih.gov/transcriptome/S_calcitrans/S1/links/SMART/XP_013097504.1-SMART.txt","Tryp_SPc")</f>
        <v>Tryp_SPc</v>
      </c>
      <c r="DO43" t="str">
        <f>HYPERLINK("http://smart.embl-heidelberg.de/smart/do_annotation.pl?DOMAIN=Tryp_SPc&amp;BLAST=DUMMY","2E-038")</f>
        <v>2E-038</v>
      </c>
      <c r="DP43" s="33"/>
      <c r="EB43" s="33">
        <f t="shared" ref="EB43:EB50" si="58">HYPERLINK("http://exon.niaid.nih.gov/transcriptome/S_calcitrans/S1/links/cluster-b/Scalc-pep25-50SimCLU1.txt", 1)</f>
        <v>1</v>
      </c>
      <c r="EC43">
        <f t="shared" ref="EC43:EC50" si="59">HYPERLINK("http://exon.niaid.nih.gov/transcriptome/S_calcitrans/S1/links/cluster-b/Scalc-pep25-50SimCLTL1.txt", 5170)</f>
        <v>5170</v>
      </c>
      <c r="ED43" s="33">
        <f t="shared" ref="ED43:ED50" si="60">HYPERLINK("http://exon.niaid.nih.gov/transcriptome/S_calcitrans/S1/links/cluster-b/Scalc-pep30-50SimCLU4.txt", 4)</f>
        <v>4</v>
      </c>
      <c r="EE43">
        <f t="shared" ref="EE43:EE50" si="61">HYPERLINK("http://exon.niaid.nih.gov/transcriptome/S_calcitrans/S1/links/cluster-b/Scalc-pep30-50SimCLTL4.txt", 229)</f>
        <v>229</v>
      </c>
      <c r="EF43" s="33">
        <f t="shared" ref="EF43:EF50" si="62">HYPERLINK("http://exon.niaid.nih.gov/transcriptome/S_calcitrans/S1/links/cluster-b/Scalc-pep35-50SimCLU4.txt", 4)</f>
        <v>4</v>
      </c>
      <c r="EG43">
        <f t="shared" ref="EG43:EG50" si="63">HYPERLINK("http://exon.niaid.nih.gov/transcriptome/S_calcitrans/S1/links/cluster-b/Scalc-pep35-50SimCLTL4.txt", 227)</f>
        <v>227</v>
      </c>
      <c r="EH43" s="33">
        <f t="shared" ref="EH43:EH50" si="64">HYPERLINK("http://exon.niaid.nih.gov/transcriptome/S_calcitrans/S1/links/cluster-b/Scalc-pep40-50SimCLU3.txt", 3)</f>
        <v>3</v>
      </c>
      <c r="EI43">
        <f t="shared" ref="EI43:EI50" si="65">HYPERLINK("http://exon.niaid.nih.gov/transcriptome/S_calcitrans/S1/links/cluster-b/Scalc-pep40-50SimCLTL3.txt", 215)</f>
        <v>215</v>
      </c>
      <c r="EJ43" s="33">
        <v>4502</v>
      </c>
      <c r="EK43">
        <v>1</v>
      </c>
      <c r="EL43" s="33">
        <v>4672</v>
      </c>
      <c r="EM43">
        <v>1</v>
      </c>
      <c r="EN43" s="33">
        <v>4864</v>
      </c>
      <c r="EO43">
        <v>1</v>
      </c>
      <c r="EP43" s="33">
        <v>5003</v>
      </c>
      <c r="EQ43">
        <v>1</v>
      </c>
      <c r="ER43" s="33">
        <v>5114</v>
      </c>
      <c r="ES43">
        <v>1</v>
      </c>
      <c r="ET43" s="33">
        <v>5175</v>
      </c>
      <c r="EU43">
        <v>1</v>
      </c>
      <c r="EV43" s="33">
        <v>5197</v>
      </c>
      <c r="EW43">
        <v>1</v>
      </c>
      <c r="EX43" s="33">
        <v>5218</v>
      </c>
      <c r="EY43">
        <v>1</v>
      </c>
      <c r="EZ43" s="33">
        <v>5178</v>
      </c>
      <c r="FA43">
        <v>1</v>
      </c>
      <c r="FB43" s="33">
        <v>5127</v>
      </c>
      <c r="FC43">
        <v>1</v>
      </c>
      <c r="FD43" s="33">
        <v>5063</v>
      </c>
      <c r="FE43">
        <v>1</v>
      </c>
      <c r="FF43" t="s">
        <v>629</v>
      </c>
      <c r="FG43">
        <v>3879</v>
      </c>
      <c r="FH43" s="38" t="str">
        <f>HYPERLINK("http://exon.niaid.nih.gov/transcriptome/S_calcitrans/S1/links/SG_male-stripped_temp-95-h10-1gap/3879-SG_male-stripped_temp-95-h10-1gap.txt","6815")</f>
        <v>6815</v>
      </c>
      <c r="FI43" s="39">
        <v>96.448087431694006</v>
      </c>
      <c r="FJ43" s="39">
        <v>654.02732240437194</v>
      </c>
      <c r="FK43" s="39">
        <v>0</v>
      </c>
      <c r="FL43" s="39">
        <v>1647</v>
      </c>
      <c r="FM43" s="39">
        <v>70.249596478356594</v>
      </c>
      <c r="FN43" s="38" t="str">
        <f>HYPERLINK("http://exon.niaid.nih.gov/transcriptome/S_calcitrans/S1/links/SG_female-stripped_temp-95-h10-1gap/3879-SG_female-stripped_temp-95-h10-1gap.txt","7426")</f>
        <v>7426</v>
      </c>
      <c r="FO43" s="39">
        <v>99.316939890710401</v>
      </c>
      <c r="FP43" s="39">
        <v>716.27185792349701</v>
      </c>
      <c r="FQ43" s="39">
        <v>0</v>
      </c>
      <c r="FR43" s="39">
        <v>1619</v>
      </c>
      <c r="FS43" s="39">
        <v>70.605171020737899</v>
      </c>
      <c r="FT43" s="38" t="str">
        <f>HYPERLINK("http://exon.niaid.nih.gov/transcriptome/S_calcitrans/S1/links/SRR694289-stripped_temp-95-h10-1gap/3879-SRR694289-stripped_temp-95-h10-1gap.txt","13")</f>
        <v>13</v>
      </c>
      <c r="FU43" s="39">
        <v>52.459016393442603</v>
      </c>
      <c r="FV43" s="39">
        <v>1.42622950819672</v>
      </c>
      <c r="FW43" s="39">
        <v>0</v>
      </c>
      <c r="FX43" s="39">
        <v>9</v>
      </c>
      <c r="FY43" s="39">
        <v>80.307692307692307</v>
      </c>
      <c r="FZ43" s="38" t="str">
        <f>HYPERLINK("http://exon.niaid.nih.gov/transcriptome/S_calcitrans/S1/links/SRR694925-stripped_temp-95-h10-1gap/3879-SRR694925-stripped_temp-95-h10-1gap.txt","25")</f>
        <v>25</v>
      </c>
      <c r="GA43" s="39">
        <v>80.191256830601105</v>
      </c>
      <c r="GB43" s="39">
        <v>2.7581967213114802</v>
      </c>
      <c r="GC43" s="39">
        <v>0</v>
      </c>
      <c r="GD43" s="39">
        <v>10</v>
      </c>
      <c r="GE43" s="39">
        <v>80.760000000000005</v>
      </c>
      <c r="GF43">
        <f t="shared" ref="GF43:GF50" si="66">1*FH43</f>
        <v>6815</v>
      </c>
      <c r="GG43">
        <f t="shared" ref="GG43:GG50" si="67">1*FN43</f>
        <v>7426</v>
      </c>
      <c r="GH43">
        <f t="shared" ref="GH43:GH50" si="68">1*FT43</f>
        <v>13</v>
      </c>
      <c r="GI43">
        <f t="shared" ref="GI43:GI50" si="69">1*FZ43</f>
        <v>25</v>
      </c>
      <c r="GJ43">
        <f t="shared" ref="GJ43:GJ50" si="70">IF(FZ43&lt;&gt;"",SUM(GF43:GG43),"")</f>
        <v>14241</v>
      </c>
      <c r="GK43" s="34">
        <v>5.5314316876343313E-2</v>
      </c>
      <c r="GL43">
        <v>304.54871332353207</v>
      </c>
      <c r="GM43">
        <v>150.90968186745897</v>
      </c>
      <c r="GN43">
        <v>0.10208567631445113</v>
      </c>
      <c r="GO43">
        <v>0.20238239029511426</v>
      </c>
      <c r="GP43">
        <f t="shared" ref="GP43:GP50" si="71">MAX(GL43:GO43)</f>
        <v>304.54871332353207</v>
      </c>
      <c r="GQ43" t="s">
        <v>619</v>
      </c>
      <c r="GR43">
        <v>237.51493928044195</v>
      </c>
      <c r="GS43">
        <v>123.86156519852449</v>
      </c>
      <c r="GT43">
        <v>0.1840255447552947</v>
      </c>
      <c r="GU43">
        <v>0.38316534764040772</v>
      </c>
      <c r="GV43">
        <f t="shared" ref="GV43:GV50" si="72">MAX(GR43:GU43)</f>
        <v>237.51493928044195</v>
      </c>
      <c r="GW43">
        <v>615.43274795113518</v>
      </c>
      <c r="GX43">
        <v>14241</v>
      </c>
      <c r="GY43">
        <v>38</v>
      </c>
      <c r="GZ43">
        <v>14279</v>
      </c>
      <c r="HA43">
        <v>3169.9336249238472</v>
      </c>
      <c r="HB43">
        <v>11109.066375076152</v>
      </c>
      <c r="HC43">
        <v>38665.954932821769</v>
      </c>
      <c r="HD43">
        <v>11033.196358996605</v>
      </c>
      <c r="HE43">
        <v>49699.151291818373</v>
      </c>
      <c r="HF43">
        <v>0</v>
      </c>
      <c r="HG43">
        <v>3169.9336249238472</v>
      </c>
      <c r="HH43">
        <v>1</v>
      </c>
      <c r="HI43">
        <v>1</v>
      </c>
      <c r="HJ43">
        <v>2</v>
      </c>
      <c r="HK43">
        <v>0</v>
      </c>
      <c r="HL43" s="30" t="s">
        <v>262</v>
      </c>
      <c r="HM43">
        <v>1279.6855688531571</v>
      </c>
      <c r="HN43">
        <v>7.6135152540293303E-4</v>
      </c>
      <c r="HO43">
        <v>6815</v>
      </c>
      <c r="HP43">
        <v>7426</v>
      </c>
      <c r="HQ43">
        <v>14241</v>
      </c>
      <c r="HR43">
        <v>4451.6788493252907</v>
      </c>
      <c r="HS43">
        <v>9789.3211506747102</v>
      </c>
      <c r="HT43">
        <v>1254.64730279745</v>
      </c>
      <c r="HU43">
        <v>570.54894565814516</v>
      </c>
      <c r="HV43">
        <v>1825.1962484555952</v>
      </c>
      <c r="HW43">
        <v>0</v>
      </c>
      <c r="HX43">
        <v>4451.6788493252907</v>
      </c>
      <c r="HY43">
        <v>1</v>
      </c>
      <c r="HZ43">
        <v>1</v>
      </c>
      <c r="IA43">
        <v>2</v>
      </c>
      <c r="IB43">
        <v>0</v>
      </c>
      <c r="IC43" s="30" t="s">
        <v>262</v>
      </c>
      <c r="ID43">
        <v>2.017814257765993</v>
      </c>
      <c r="IE43">
        <v>0.49544632684820245</v>
      </c>
      <c r="IF43">
        <v>2.017814257765993</v>
      </c>
      <c r="IG43" t="str">
        <f t="shared" si="1"/>
        <v/>
      </c>
    </row>
    <row r="44" spans="1:241">
      <c r="A44" t="str">
        <f>HYPERLINK("http://exon.niaid.nih.gov/transcriptome/S_calcitrans/S1/links/pep/XP_013097463.1-pep.txt","XP_013097463.1")</f>
        <v>XP_013097463.1</v>
      </c>
      <c r="B44" s="30" t="s">
        <v>232</v>
      </c>
      <c r="C44">
        <v>270</v>
      </c>
      <c r="D44" t="s">
        <v>630</v>
      </c>
      <c r="E44">
        <v>0</v>
      </c>
      <c r="F44" t="s">
        <v>631</v>
      </c>
      <c r="G44" t="str">
        <f>HYPERLINK("http://exon.niaid.nih.gov/transcriptome/S_calcitrans/S1/links/cds/XM_013242009_1-cds.txt","XM_013242009_1")</f>
        <v>XM_013242009_1</v>
      </c>
      <c r="H44">
        <v>813</v>
      </c>
      <c r="I44" t="s">
        <v>632</v>
      </c>
      <c r="J44" s="30" t="s">
        <v>236</v>
      </c>
      <c r="K44" s="30" t="s">
        <v>91</v>
      </c>
      <c r="L44" s="31" t="s">
        <v>297</v>
      </c>
      <c r="M44" s="30">
        <v>1339766</v>
      </c>
      <c r="N44" s="30">
        <v>1340578</v>
      </c>
      <c r="O44" s="30" t="s">
        <v>276</v>
      </c>
      <c r="P44" s="30">
        <v>1</v>
      </c>
      <c r="Q44" s="31" t="s">
        <v>633</v>
      </c>
      <c r="R44" s="32" t="str">
        <f>HYPERLINK("http://exon.niaid.nih.gov/transcriptome/S_calcitrans/S1/links/Sigp/XP_013097463.1-SigP.txt","SIG")</f>
        <v>SIG</v>
      </c>
      <c r="S44" t="s">
        <v>634</v>
      </c>
      <c r="T44">
        <v>29.779</v>
      </c>
      <c r="U44">
        <v>9.2100000000000009</v>
      </c>
      <c r="V44">
        <v>25.190999999999999</v>
      </c>
      <c r="W44">
        <v>8.9600000000000009</v>
      </c>
      <c r="X44" t="s">
        <v>635</v>
      </c>
      <c r="Y44" s="32" t="str">
        <f>HYPERLINK("http://exon.niaid.nih.gov/transcriptome/S_calcitrans/S1/links/tmhmm/XP_013097463.1-tmhmm.txt","1")</f>
        <v>1</v>
      </c>
      <c r="Z44">
        <v>8.1</v>
      </c>
      <c r="AA44">
        <v>5.6</v>
      </c>
      <c r="AB44">
        <v>86.3</v>
      </c>
      <c r="AC44" t="s">
        <v>242</v>
      </c>
      <c r="AD44">
        <v>233</v>
      </c>
      <c r="AE44" s="32" t="str">
        <f>HYPERLINK("http://exon.niaid.nih.gov/transcriptome/S_calcitrans/S1/links/netoglyc/XP_013097463.1-netoglyc.txt","0")</f>
        <v>0</v>
      </c>
      <c r="AF44">
        <v>12.6</v>
      </c>
      <c r="AG44">
        <v>10</v>
      </c>
      <c r="AH44">
        <v>3.7</v>
      </c>
      <c r="AI44" t="s">
        <v>243</v>
      </c>
      <c r="AJ44" t="s">
        <v>242</v>
      </c>
      <c r="AK44">
        <v>490.04741589359537</v>
      </c>
      <c r="AL44" s="33">
        <v>5109</v>
      </c>
      <c r="AM44">
        <v>1</v>
      </c>
      <c r="AN44" s="30">
        <f t="shared" si="0"/>
        <v>1</v>
      </c>
      <c r="AO44" s="30" t="s">
        <v>244</v>
      </c>
      <c r="AP44">
        <v>839</v>
      </c>
      <c r="AQ44" s="34">
        <v>3.2588099051507648E-3</v>
      </c>
      <c r="AR44" s="35">
        <v>157.24909198698964</v>
      </c>
      <c r="AS44" t="s">
        <v>636</v>
      </c>
      <c r="AT44" s="36" t="s">
        <v>637</v>
      </c>
      <c r="AU44" t="s">
        <v>524</v>
      </c>
      <c r="AV44" t="str">
        <f>HYPERLINK("http://exon.niaid.nih.gov/transcriptome/S_calcitrans/S1/links/NR-LIGHT/XP_013097463.1-NR-LIGHT.txt","NR-LIGHT")</f>
        <v>NR-LIGHT</v>
      </c>
      <c r="AW44" s="37">
        <v>1.0000000000000001E-63</v>
      </c>
      <c r="AX44">
        <v>100</v>
      </c>
      <c r="AY44" s="33" t="str">
        <f>HYPERLINK("http://exon.niaid.nih.gov/transcriptome/S_calcitrans/S1/links/WANG/XP_013097463.1-WANG.txt","SC-4-19-4")</f>
        <v>SC-4-19-4</v>
      </c>
      <c r="AZ44">
        <v>4.0000000000000002E-32</v>
      </c>
      <c r="BA44">
        <v>187</v>
      </c>
      <c r="BB44">
        <v>192</v>
      </c>
      <c r="BC44">
        <v>37</v>
      </c>
      <c r="BD44">
        <v>55</v>
      </c>
      <c r="BE44">
        <v>97</v>
      </c>
      <c r="BF44" t="s">
        <v>248</v>
      </c>
      <c r="BG44" s="31" t="s">
        <v>638</v>
      </c>
      <c r="BH44" t="s">
        <v>639</v>
      </c>
      <c r="BI44">
        <v>6</v>
      </c>
      <c r="BJ44" s="33"/>
      <c r="BK44" s="33"/>
      <c r="BL44" s="33" t="str">
        <f>HYPERLINK("http://exon.niaid.nih.gov/transcriptome/S_calcitrans/S1/links/NR-LIGHT/XP_013097463.1-NR-LIGHT.txt","vitellin-degrading protease-like")</f>
        <v>vitellin-degrading protease-like</v>
      </c>
      <c r="BM44" t="str">
        <f>HYPERLINK("http://www.ncbi.nlm.nih.gov/sutils/blink.cgi?pid=557784684","1E-063")</f>
        <v>1E-063</v>
      </c>
      <c r="BN44" t="str">
        <f>HYPERLINK("http://www.ncbi.nlm.nih.gov/protein/557784684","gi|557784684")</f>
        <v>gi|557784684</v>
      </c>
      <c r="BO44">
        <v>49</v>
      </c>
      <c r="BP44">
        <v>64</v>
      </c>
      <c r="BQ44">
        <v>100</v>
      </c>
      <c r="BR44" t="s">
        <v>251</v>
      </c>
      <c r="BS44" s="33" t="str">
        <f>HYPERLINK("http://exon.niaid.nih.gov/transcriptome/S_calcitrans/S1/links/SWISSP/XP_013097463.1-SWISSP.txt","Trypsin-1")</f>
        <v>Trypsin-1</v>
      </c>
      <c r="BT44" t="str">
        <f>HYPERLINK("http://www.uniprot.org/uniprot/P35035","6E-038")</f>
        <v>6E-038</v>
      </c>
      <c r="BU44" t="str">
        <f>HYPERLINK("http://www.uniprot.org/uniprot/P35035#expression","P35035")</f>
        <v>P35035</v>
      </c>
      <c r="BV44">
        <v>35</v>
      </c>
      <c r="BW44">
        <v>56</v>
      </c>
      <c r="BX44">
        <v>83</v>
      </c>
      <c r="BY44" t="s">
        <v>385</v>
      </c>
      <c r="BZ44" s="33" t="str">
        <f>HYPERLINK("http://exon.niaid.nih.gov/transcriptome/S_calcitrans/S1/links/REFSEQ-INVERTEBRATE/XP_013097463.1-REFSEQ-INVERTEBRATE.txt","trypsin-like")</f>
        <v>trypsin-like</v>
      </c>
      <c r="CA44" t="str">
        <f>HYPERLINK("http://www.ncbi.nlm.nih.gov/sutils/blink.cgi?pid=907621467","1E-156")</f>
        <v>1E-156</v>
      </c>
      <c r="CB44" t="str">
        <f>HYPERLINK("http://www.ncbi.nlm.nih.gov/protein/907621467","gi|907621467")</f>
        <v>gi|907621467</v>
      </c>
      <c r="CC44">
        <v>100</v>
      </c>
      <c r="CD44">
        <v>100</v>
      </c>
      <c r="CE44">
        <v>100</v>
      </c>
      <c r="CF44" t="s">
        <v>253</v>
      </c>
      <c r="CG44" s="33" t="str">
        <f>HYPERLINK("http://exon.niaid.nih.gov/transcriptome/S_calcitrans/S1/links/DIPTERA/XP_013097463.1-DIPTERA.txt","trypsin-like")</f>
        <v>trypsin-like</v>
      </c>
      <c r="CH44" t="str">
        <f>HYPERLINK("http://www.ncbi.nlm.nih.gov/sutils/blink.cgi?pid=907621467","1E-156")</f>
        <v>1E-156</v>
      </c>
      <c r="CI44" t="str">
        <f>HYPERLINK("http://www.ncbi.nlm.nih.gov/protein/907621467","gi|907621467")</f>
        <v>gi|907621467</v>
      </c>
      <c r="CJ44">
        <v>100</v>
      </c>
      <c r="CK44">
        <v>100</v>
      </c>
      <c r="CL44">
        <v>100</v>
      </c>
      <c r="CM44" t="s">
        <v>253</v>
      </c>
      <c r="CN44" s="33" t="str">
        <f>HYPERLINK("http://exon.niaid.nih.gov/transcriptome/S_calcitrans/S1/links/VIRUS/XP_013097463.1-VIRUS.txt","trypsin-like protein")</f>
        <v>trypsin-like protein</v>
      </c>
      <c r="CO44" t="str">
        <f>HYPERLINK("http://www.ncbi.nlm.nih.gov/sutils/blink.cgi?pid=48843541","2E-026")</f>
        <v>2E-026</v>
      </c>
      <c r="CP44" t="str">
        <f>HYPERLINK("http://www.ncbi.nlm.nih.gov/protein/48843541","gi|48843541")</f>
        <v>gi|48843541</v>
      </c>
      <c r="CQ44">
        <v>34</v>
      </c>
      <c r="CR44">
        <v>51</v>
      </c>
      <c r="CS44">
        <v>86</v>
      </c>
      <c r="CT44" t="s">
        <v>640</v>
      </c>
      <c r="CU44" s="33" t="s">
        <v>641</v>
      </c>
      <c r="CV44">
        <f>HYPERLINK("http://exon.niaid.nih.gov/transcriptome/S_calcitrans/S1/links/GO/XP_013097463.1-GO.txt",2E-52)</f>
        <v>2E-52</v>
      </c>
      <c r="CW44" t="str">
        <f t="shared" si="56"/>
        <v>GO:0004252</v>
      </c>
      <c r="CX44" t="s">
        <v>623</v>
      </c>
      <c r="CY44" t="s">
        <v>624</v>
      </c>
      <c r="CZ44" t="s">
        <v>625</v>
      </c>
      <c r="DA44" t="str">
        <f t="shared" si="57"/>
        <v>EC:3.4.21</v>
      </c>
      <c r="DC44" t="s">
        <v>642</v>
      </c>
      <c r="DD44" s="37">
        <v>2.0000000000000002E-43</v>
      </c>
      <c r="DE44" s="33" t="str">
        <f>HYPERLINK("http://exon.niaid.nih.gov/transcriptome/S_calcitrans/S1/links/CDD/XP_013097463.1-CDD.txt","Tryp_SPc")</f>
        <v>Tryp_SPc</v>
      </c>
      <c r="DF44" t="str">
        <f>HYPERLINK("http://www.ncbi.nlm.nih.gov/Structure/cdd/cddsrv.cgi?uid=cd00190&amp;version=v4.0","1E-061")</f>
        <v>1E-061</v>
      </c>
      <c r="DG44" t="s">
        <v>643</v>
      </c>
      <c r="DH44" s="33" t="str">
        <f>HYPERLINK("http://exon.niaid.nih.gov/transcriptome/S_calcitrans/S1/links/KOG/XP_013097463.1-KOG.txt","Trypsin")</f>
        <v>Trypsin</v>
      </c>
      <c r="DI44" t="str">
        <f>HYPERLINK("http://www.ncbi.nlm.nih.gov/Structure/cdd/cddsrv.cgi?uid=KOG3627","8E-048")</f>
        <v>8E-048</v>
      </c>
      <c r="DJ44" t="s">
        <v>628</v>
      </c>
      <c r="DK44" t="str">
        <f>HYPERLINK("http://exon.niaid.nih.gov/transcriptome/S_calcitrans/S1/links/KOG/XP_013097463.1-KOG.txt","KOG3627")</f>
        <v>KOG3627</v>
      </c>
      <c r="DL44" s="33" t="str">
        <f>HYPERLINK("http://exon.niaid.nih.gov/transcriptome/S_calcitrans/S1/links/PFAM/XP_013097463.1-PFAM.txt","Trypsin")</f>
        <v>Trypsin</v>
      </c>
      <c r="DM44" t="str">
        <f>HYPERLINK("http://pfam.sanger.ac.uk/family?acc=PF00089","2E-045")</f>
        <v>2E-045</v>
      </c>
      <c r="DN44" s="33" t="str">
        <f>HYPERLINK("http://exon.niaid.nih.gov/transcriptome/S_calcitrans/S1/links/SMART/XP_013097463.1-SMART.txt","Tryp_SPc")</f>
        <v>Tryp_SPc</v>
      </c>
      <c r="DO44" t="str">
        <f>HYPERLINK("http://smart.embl-heidelberg.de/smart/do_annotation.pl?DOMAIN=Tryp_SPc&amp;BLAST=DUMMY","6E-062")</f>
        <v>6E-062</v>
      </c>
      <c r="DP44" s="33"/>
      <c r="EB44" s="33">
        <f t="shared" si="58"/>
        <v>1</v>
      </c>
      <c r="EC44">
        <f t="shared" si="59"/>
        <v>5170</v>
      </c>
      <c r="ED44" s="33">
        <f t="shared" si="60"/>
        <v>4</v>
      </c>
      <c r="EE44">
        <f t="shared" si="61"/>
        <v>229</v>
      </c>
      <c r="EF44" s="33">
        <f t="shared" si="62"/>
        <v>4</v>
      </c>
      <c r="EG44">
        <f t="shared" si="63"/>
        <v>227</v>
      </c>
      <c r="EH44" s="33">
        <f t="shared" si="64"/>
        <v>3</v>
      </c>
      <c r="EI44">
        <f t="shared" si="65"/>
        <v>215</v>
      </c>
      <c r="EJ44" s="33">
        <f t="shared" ref="EJ44:EJ50" si="73">HYPERLINK("http://exon.niaid.nih.gov/transcriptome/S_calcitrans/S1/links/cluster-b/Scalc-pep45-50SimCLU3.txt", 3)</f>
        <v>3</v>
      </c>
      <c r="EK44">
        <f t="shared" ref="EK44:EK50" si="74">HYPERLINK("http://exon.niaid.nih.gov/transcriptome/S_calcitrans/S1/links/cluster-b/Scalc-pep45-50SimCLTL3.txt", 168)</f>
        <v>168</v>
      </c>
      <c r="EL44" s="33">
        <f t="shared" ref="EL44:EL49" si="75">HYPERLINK("http://exon.niaid.nih.gov/transcriptome/S_calcitrans/S1/links/cluster-b/Scalc-pep50-50SimCLU1.txt", 1)</f>
        <v>1</v>
      </c>
      <c r="EM44">
        <f t="shared" ref="EM44:EM49" si="76">HYPERLINK("http://exon.niaid.nih.gov/transcriptome/S_calcitrans/S1/links/cluster-b/Scalc-pep50-50SimCLTL1.txt", 124)</f>
        <v>124</v>
      </c>
      <c r="EN44" s="33">
        <f>HYPERLINK("http://exon.niaid.nih.gov/transcriptome/S_calcitrans/S1/links/cluster-b/Scalc-pep55-50SimCLU3.txt", 3)</f>
        <v>3</v>
      </c>
      <c r="EO44">
        <f>HYPERLINK("http://exon.niaid.nih.gov/transcriptome/S_calcitrans/S1/links/cluster-b/Scalc-pep55-50SimCLTL3.txt", 79)</f>
        <v>79</v>
      </c>
      <c r="EP44" s="33">
        <f>HYPERLINK("http://exon.niaid.nih.gov/transcriptome/S_calcitrans/S1/links/cluster-b/Scalc-pep60-50SimCLU321.txt", 321)</f>
        <v>321</v>
      </c>
      <c r="EQ44">
        <f>HYPERLINK("http://exon.niaid.nih.gov/transcriptome/S_calcitrans/S1/links/cluster-b/Scalc-pep60-50SimCLTL321.txt", 7)</f>
        <v>7</v>
      </c>
      <c r="ER44" s="33">
        <f>HYPERLINK("http://exon.niaid.nih.gov/transcriptome/S_calcitrans/S1/links/cluster-b/Scalc-pep65-50SimCLU575.txt", 575)</f>
        <v>575</v>
      </c>
      <c r="ES44">
        <f>HYPERLINK("http://exon.niaid.nih.gov/transcriptome/S_calcitrans/S1/links/cluster-b/Scalc-pep65-50SimCLTL575.txt", 5)</f>
        <v>5</v>
      </c>
      <c r="ET44" s="33">
        <v>5207</v>
      </c>
      <c r="EU44">
        <v>1</v>
      </c>
      <c r="EV44" s="33">
        <v>5229</v>
      </c>
      <c r="EW44">
        <v>1</v>
      </c>
      <c r="EX44" s="33">
        <v>5250</v>
      </c>
      <c r="EY44">
        <v>1</v>
      </c>
      <c r="EZ44" s="33">
        <v>5216</v>
      </c>
      <c r="FA44">
        <v>1</v>
      </c>
      <c r="FB44" s="33">
        <v>5169</v>
      </c>
      <c r="FC44">
        <v>1</v>
      </c>
      <c r="FD44" s="33">
        <v>5109</v>
      </c>
      <c r="FE44">
        <v>1</v>
      </c>
      <c r="FF44" t="s">
        <v>644</v>
      </c>
      <c r="FG44">
        <v>3952</v>
      </c>
      <c r="FH44" s="38" t="str">
        <f>HYPERLINK("http://exon.niaid.nih.gov/transcriptome/S_calcitrans/S1/links/SG_male-stripped_temp-95-h10-1gap/3952-SG_male-stripped_temp-95-h10-1gap.txt","65")</f>
        <v>65</v>
      </c>
      <c r="FI44" s="39">
        <v>90.897908979089806</v>
      </c>
      <c r="FJ44" s="39">
        <v>5.8794587945879497</v>
      </c>
      <c r="FK44" s="39">
        <v>0</v>
      </c>
      <c r="FL44" s="39">
        <v>14</v>
      </c>
      <c r="FM44" s="39">
        <v>73.538461538461505</v>
      </c>
      <c r="FN44" s="38" t="str">
        <f>HYPERLINK("http://exon.niaid.nih.gov/transcriptome/S_calcitrans/S1/links/SG_female-stripped_temp-95-h10-1gap/3952-SG_female-stripped_temp-95-h10-1gap.txt","774")</f>
        <v>774</v>
      </c>
      <c r="FO44" s="39">
        <v>91.020910209102098</v>
      </c>
      <c r="FP44" s="39">
        <v>70.271832718327204</v>
      </c>
      <c r="FQ44" s="39">
        <v>0</v>
      </c>
      <c r="FR44" s="39">
        <v>133</v>
      </c>
      <c r="FS44" s="39">
        <v>73.812661498707996</v>
      </c>
      <c r="FT44" s="38" t="str">
        <f>HYPERLINK("http://exon.niaid.nih.gov/transcriptome/S_calcitrans/S1/links/SRR694289-stripped_temp-95-h10-1gap/3952-SRR694289-stripped_temp-95-h10-1gap.txt","2")</f>
        <v>2</v>
      </c>
      <c r="FU44" s="39">
        <v>12.546125461254601</v>
      </c>
      <c r="FV44" s="39">
        <v>0.25092250922509202</v>
      </c>
      <c r="FW44" s="39">
        <v>0</v>
      </c>
      <c r="FX44" s="39">
        <v>2</v>
      </c>
      <c r="FY44" s="39">
        <v>102</v>
      </c>
      <c r="FZ44" s="38" t="str">
        <f>HYPERLINK("http://exon.niaid.nih.gov/transcriptome/S_calcitrans/S1/links/SRR694925-stripped_temp-95-h10-1gap/3952-SRR694925-stripped_temp-95-h10-1gap.txt","3")</f>
        <v>3</v>
      </c>
      <c r="GA44" s="39">
        <v>24.846248462484599</v>
      </c>
      <c r="GB44" s="39">
        <v>0.36900369003689998</v>
      </c>
      <c r="GC44" s="39">
        <v>0</v>
      </c>
      <c r="GD44" s="39">
        <v>2</v>
      </c>
      <c r="GE44" s="39">
        <v>100</v>
      </c>
      <c r="GF44">
        <f t="shared" si="66"/>
        <v>65</v>
      </c>
      <c r="GG44">
        <f t="shared" si="67"/>
        <v>774</v>
      </c>
      <c r="GH44">
        <f t="shared" si="68"/>
        <v>2</v>
      </c>
      <c r="GI44">
        <f t="shared" si="69"/>
        <v>3</v>
      </c>
      <c r="GJ44">
        <f t="shared" si="70"/>
        <v>839</v>
      </c>
      <c r="GK44" s="34">
        <v>3.2588099051507648E-3</v>
      </c>
      <c r="GL44">
        <v>2.6153197950641864</v>
      </c>
      <c r="GM44">
        <v>14.161969503162238</v>
      </c>
      <c r="GN44">
        <v>1.4140735180656302E-2</v>
      </c>
      <c r="GO44">
        <v>2.1866259733730426E-2</v>
      </c>
      <c r="GP44">
        <f t="shared" si="71"/>
        <v>14.161969503162238</v>
      </c>
      <c r="GQ44" t="s">
        <v>524</v>
      </c>
      <c r="GR44">
        <v>2.0396655613636132</v>
      </c>
      <c r="GS44">
        <v>11.623665806253953</v>
      </c>
      <c r="GT44">
        <v>2.5490907136129382E-2</v>
      </c>
      <c r="GU44">
        <v>4.1398824276424863E-2</v>
      </c>
      <c r="GV44">
        <f t="shared" si="72"/>
        <v>11.623665806253953</v>
      </c>
      <c r="GW44">
        <v>157.24909198698964</v>
      </c>
      <c r="GX44">
        <v>839</v>
      </c>
      <c r="GY44">
        <v>5</v>
      </c>
      <c r="GZ44">
        <v>844</v>
      </c>
      <c r="HA44">
        <v>187.3677413989584</v>
      </c>
      <c r="HB44">
        <v>656.6322586010416</v>
      </c>
      <c r="HC44">
        <v>2266.2631106031749</v>
      </c>
      <c r="HD44">
        <v>646.67033166198632</v>
      </c>
      <c r="HE44">
        <v>2912.9334422651614</v>
      </c>
      <c r="HF44">
        <v>0</v>
      </c>
      <c r="HG44">
        <v>187.3677413989584</v>
      </c>
      <c r="HH44">
        <v>1</v>
      </c>
      <c r="HI44">
        <v>1</v>
      </c>
      <c r="HJ44">
        <v>2</v>
      </c>
      <c r="HK44">
        <v>0</v>
      </c>
      <c r="HL44" s="30" t="s">
        <v>262</v>
      </c>
      <c r="HM44">
        <v>490.04741589359537</v>
      </c>
      <c r="HN44">
        <v>1.6984912946097388E-3</v>
      </c>
      <c r="HO44">
        <v>65</v>
      </c>
      <c r="HP44">
        <v>774</v>
      </c>
      <c r="HQ44">
        <v>839</v>
      </c>
      <c r="HR44">
        <v>262.26799765352985</v>
      </c>
      <c r="HS44">
        <v>576.73200234647015</v>
      </c>
      <c r="HT44">
        <v>148.37747360103546</v>
      </c>
      <c r="HU44">
        <v>67.474429613592321</v>
      </c>
      <c r="HV44">
        <v>215.85190321462778</v>
      </c>
      <c r="HW44">
        <v>7.2648670076929196E-49</v>
      </c>
      <c r="HX44">
        <v>262.26799765352985</v>
      </c>
      <c r="HY44">
        <v>1</v>
      </c>
      <c r="HZ44">
        <v>1</v>
      </c>
      <c r="IA44">
        <v>2</v>
      </c>
      <c r="IB44" s="37">
        <v>6.1778913446969698E-47</v>
      </c>
      <c r="IC44" s="30" t="s">
        <v>262</v>
      </c>
      <c r="ID44">
        <v>0.18443375324977104</v>
      </c>
      <c r="IE44">
        <v>5.3329593703922074</v>
      </c>
      <c r="IF44">
        <v>5.3329593703922074</v>
      </c>
      <c r="IG44">
        <f t="shared" si="1"/>
        <v>1</v>
      </c>
    </row>
    <row r="45" spans="1:241">
      <c r="A45" t="str">
        <f>HYPERLINK("http://exon.niaid.nih.gov/transcriptome/S_calcitrans/S1/links/pep/XP_013097442.1-pep.txt","XP_013097442.1")</f>
        <v>XP_013097442.1</v>
      </c>
      <c r="B45" s="30" t="s">
        <v>232</v>
      </c>
      <c r="C45">
        <v>254</v>
      </c>
      <c r="D45" t="s">
        <v>645</v>
      </c>
      <c r="E45">
        <v>1</v>
      </c>
      <c r="F45" t="s">
        <v>646</v>
      </c>
      <c r="G45" t="str">
        <f>HYPERLINK("http://exon.niaid.nih.gov/transcriptome/S_calcitrans/S1/links/cds/XM_013241988_1-cds.txt","XM_013241988_1")</f>
        <v>XM_013241988_1</v>
      </c>
      <c r="H45">
        <v>765</v>
      </c>
      <c r="I45" t="s">
        <v>647</v>
      </c>
      <c r="J45" s="30" t="s">
        <v>236</v>
      </c>
      <c r="K45" s="30" t="s">
        <v>91</v>
      </c>
      <c r="L45" s="31" t="s">
        <v>297</v>
      </c>
      <c r="M45" s="30">
        <v>1343636</v>
      </c>
      <c r="N45" s="30">
        <v>1344400</v>
      </c>
      <c r="O45" s="30" t="s">
        <v>276</v>
      </c>
      <c r="P45" s="30">
        <v>1</v>
      </c>
      <c r="Q45" s="31" t="s">
        <v>648</v>
      </c>
      <c r="R45" s="32" t="str">
        <f>HYPERLINK("http://exon.niaid.nih.gov/transcriptome/S_calcitrans/S1/links/Sigp/XP_013097442.1-SigP.txt","SIG")</f>
        <v>SIG</v>
      </c>
      <c r="S45" t="s">
        <v>317</v>
      </c>
      <c r="T45">
        <v>27.369</v>
      </c>
      <c r="U45">
        <v>9.75</v>
      </c>
      <c r="V45">
        <v>24.884</v>
      </c>
      <c r="W45">
        <v>9.6</v>
      </c>
      <c r="X45" t="s">
        <v>649</v>
      </c>
      <c r="Y45" s="32">
        <v>0</v>
      </c>
      <c r="Z45" t="s">
        <v>242</v>
      </c>
      <c r="AA45" t="s">
        <v>242</v>
      </c>
      <c r="AB45" t="s">
        <v>242</v>
      </c>
      <c r="AC45" t="s">
        <v>242</v>
      </c>
      <c r="AD45" t="s">
        <v>242</v>
      </c>
      <c r="AE45" s="32" t="str">
        <f>HYPERLINK("http://exon.niaid.nih.gov/transcriptome/S_calcitrans/S1/links/netoglyc/XP_013097442.1-netoglyc.txt","0")</f>
        <v>0</v>
      </c>
      <c r="AF45">
        <v>11.8</v>
      </c>
      <c r="AG45">
        <v>9.8000000000000007</v>
      </c>
      <c r="AH45">
        <v>4.3</v>
      </c>
      <c r="AI45" t="s">
        <v>243</v>
      </c>
      <c r="AJ45" t="s">
        <v>242</v>
      </c>
      <c r="AK45">
        <v>613.28937626731238</v>
      </c>
      <c r="AL45" s="33">
        <v>5110</v>
      </c>
      <c r="AM45">
        <v>1</v>
      </c>
      <c r="AN45" s="30">
        <f t="shared" si="0"/>
        <v>1</v>
      </c>
      <c r="AO45" s="30" t="s">
        <v>244</v>
      </c>
      <c r="AP45">
        <v>175</v>
      </c>
      <c r="AQ45" s="34">
        <v>6.7972793015659571E-4</v>
      </c>
      <c r="AR45" s="35">
        <v>143.127165900546</v>
      </c>
      <c r="AS45" t="s">
        <v>650</v>
      </c>
      <c r="AT45" s="36" t="s">
        <v>637</v>
      </c>
      <c r="AU45" t="s">
        <v>651</v>
      </c>
      <c r="AV45" t="str">
        <f>HYPERLINK("http://exon.niaid.nih.gov/transcriptome/S_calcitrans/S1/links/NR-LIGHT/XP_013097442.1-NR-LIGHT.txt","NR-LIGHT")</f>
        <v>NR-LIGHT</v>
      </c>
      <c r="AW45" s="37">
        <v>6E-68</v>
      </c>
      <c r="AX45">
        <v>101.1</v>
      </c>
      <c r="AY45" s="33" t="str">
        <f>HYPERLINK("http://exon.niaid.nih.gov/transcriptome/S_calcitrans/S1/links/WANG/XP_013097442.1-WANG.txt","SC-4-19-4")</f>
        <v>SC-4-19-4</v>
      </c>
      <c r="AZ45">
        <v>9.9999999999999993E-35</v>
      </c>
      <c r="BA45">
        <v>187</v>
      </c>
      <c r="BB45">
        <v>192</v>
      </c>
      <c r="BC45">
        <v>40</v>
      </c>
      <c r="BD45">
        <v>56</v>
      </c>
      <c r="BE45">
        <v>97</v>
      </c>
      <c r="BF45" t="s">
        <v>248</v>
      </c>
      <c r="BG45" s="31" t="s">
        <v>638</v>
      </c>
      <c r="BH45" t="s">
        <v>639</v>
      </c>
      <c r="BI45">
        <v>6</v>
      </c>
      <c r="BJ45" s="33"/>
      <c r="BK45" s="33"/>
      <c r="BL45" s="33" t="str">
        <f>HYPERLINK("http://exon.niaid.nih.gov/transcriptome/S_calcitrans/S1/links/NR-LIGHT/XP_013097442.1-NR-LIGHT.txt","vitellin-degrading protease-like")</f>
        <v>vitellin-degrading protease-like</v>
      </c>
      <c r="BM45" t="str">
        <f>HYPERLINK("http://www.ncbi.nlm.nih.gov/sutils/blink.cgi?pid=557784684","6E-068")</f>
        <v>6E-068</v>
      </c>
      <c r="BN45" t="str">
        <f>HYPERLINK("http://www.ncbi.nlm.nih.gov/protein/557784684","gi|557784684")</f>
        <v>gi|557784684</v>
      </c>
      <c r="BO45">
        <v>50</v>
      </c>
      <c r="BP45">
        <v>66</v>
      </c>
      <c r="BQ45">
        <v>101</v>
      </c>
      <c r="BR45" t="s">
        <v>251</v>
      </c>
      <c r="BS45" s="33" t="str">
        <f>HYPERLINK("http://exon.niaid.nih.gov/transcriptome/S_calcitrans/S1/links/SWISSP/XP_013097442.1-SWISSP.txt","Vitellin-degrading protease")</f>
        <v>Vitellin-degrading protease</v>
      </c>
      <c r="BT45" t="str">
        <f>HYPERLINK("http://www.uniprot.org/uniprot/Q07943","2E-032")</f>
        <v>2E-032</v>
      </c>
      <c r="BU45" t="str">
        <f>HYPERLINK("http://www.uniprot.org/uniprot/Q07943#expression","Q07943")</f>
        <v>Q07943</v>
      </c>
      <c r="BV45">
        <v>36</v>
      </c>
      <c r="BW45">
        <v>51</v>
      </c>
      <c r="BX45">
        <v>88</v>
      </c>
      <c r="BY45" t="s">
        <v>525</v>
      </c>
      <c r="BZ45" s="33" t="str">
        <f>HYPERLINK("http://exon.niaid.nih.gov/transcriptome/S_calcitrans/S1/links/REFSEQ-INVERTEBRATE/XP_013097442.1-REFSEQ-INVERTEBRATE.txt","trypsin alpha-3-like")</f>
        <v>trypsin alpha-3-like</v>
      </c>
      <c r="CA45" t="str">
        <f>HYPERLINK("http://www.ncbi.nlm.nih.gov/sutils/blink.cgi?pid=907621230","1E-145")</f>
        <v>1E-145</v>
      </c>
      <c r="CB45" t="str">
        <f>HYPERLINK("http://www.ncbi.nlm.nih.gov/protein/907621230","gi|907621230")</f>
        <v>gi|907621230</v>
      </c>
      <c r="CC45">
        <v>100</v>
      </c>
      <c r="CD45">
        <v>100</v>
      </c>
      <c r="CE45">
        <v>100</v>
      </c>
      <c r="CF45" t="s">
        <v>253</v>
      </c>
      <c r="CG45" s="33" t="str">
        <f>HYPERLINK("http://exon.niaid.nih.gov/transcriptome/S_calcitrans/S1/links/DIPTERA/XP_013097442.1-DIPTERA.txt","trypsin alpha-3-like")</f>
        <v>trypsin alpha-3-like</v>
      </c>
      <c r="CH45" t="str">
        <f>HYPERLINK("http://www.ncbi.nlm.nih.gov/sutils/blink.cgi?pid=907621230","1E-145")</f>
        <v>1E-145</v>
      </c>
      <c r="CI45" t="str">
        <f>HYPERLINK("http://www.ncbi.nlm.nih.gov/protein/907621230","gi|907621230")</f>
        <v>gi|907621230</v>
      </c>
      <c r="CJ45">
        <v>100</v>
      </c>
      <c r="CK45">
        <v>100</v>
      </c>
      <c r="CL45">
        <v>100</v>
      </c>
      <c r="CM45" t="s">
        <v>253</v>
      </c>
      <c r="CN45" s="33" t="str">
        <f>HYPERLINK("http://exon.niaid.nih.gov/transcriptome/S_calcitrans/S1/links/VIRUS/XP_013097442.1-VIRUS.txt","trypsin-like protein")</f>
        <v>trypsin-like protein</v>
      </c>
      <c r="CO45" t="str">
        <f>HYPERLINK("http://www.ncbi.nlm.nih.gov/sutils/blink.cgi?pid=48843541","9E-029")</f>
        <v>9E-029</v>
      </c>
      <c r="CP45" t="str">
        <f>HYPERLINK("http://www.ncbi.nlm.nih.gov/protein/48843541","gi|48843541")</f>
        <v>gi|48843541</v>
      </c>
      <c r="CQ45">
        <v>33</v>
      </c>
      <c r="CR45">
        <v>51</v>
      </c>
      <c r="CS45">
        <v>94</v>
      </c>
      <c r="CT45" t="s">
        <v>640</v>
      </c>
      <c r="CU45" s="33" t="s">
        <v>641</v>
      </c>
      <c r="CV45">
        <f>HYPERLINK("http://exon.niaid.nih.gov/transcriptome/S_calcitrans/S1/links/GO/XP_013097442.1-GO.txt",3E-53)</f>
        <v>3.0000000000000002E-53</v>
      </c>
      <c r="CW45" t="str">
        <f t="shared" si="56"/>
        <v>GO:0004252</v>
      </c>
      <c r="CX45" t="s">
        <v>623</v>
      </c>
      <c r="CY45" t="s">
        <v>624</v>
      </c>
      <c r="CZ45" t="s">
        <v>625</v>
      </c>
      <c r="DA45" t="str">
        <f t="shared" si="57"/>
        <v>EC:3.4.21</v>
      </c>
      <c r="DC45" t="s">
        <v>642</v>
      </c>
      <c r="DD45" s="37">
        <v>2E-41</v>
      </c>
      <c r="DE45" s="33" t="str">
        <f>HYPERLINK("http://exon.niaid.nih.gov/transcriptome/S_calcitrans/S1/links/CDD/XP_013097442.1-CDD.txt","Tryp_SPc")</f>
        <v>Tryp_SPc</v>
      </c>
      <c r="DF45" t="str">
        <f>HYPERLINK("http://www.ncbi.nlm.nih.gov/Structure/cdd/cddsrv.cgi?uid=cd00190&amp;version=v4.0","9E-054")</f>
        <v>9E-054</v>
      </c>
      <c r="DG45" t="s">
        <v>652</v>
      </c>
      <c r="DH45" s="33" t="str">
        <f>HYPERLINK("http://exon.niaid.nih.gov/transcriptome/S_calcitrans/S1/links/KOG/XP_013097442.1-KOG.txt","Trypsin")</f>
        <v>Trypsin</v>
      </c>
      <c r="DI45" t="str">
        <f>HYPERLINK("http://www.ncbi.nlm.nih.gov/Structure/cdd/cddsrv.cgi?uid=KOG3627","1E-042")</f>
        <v>1E-042</v>
      </c>
      <c r="DJ45" t="s">
        <v>628</v>
      </c>
      <c r="DK45" t="str">
        <f>HYPERLINK("http://exon.niaid.nih.gov/transcriptome/S_calcitrans/S1/links/KOG/XP_013097442.1-KOG.txt","KOG3627")</f>
        <v>KOG3627</v>
      </c>
      <c r="DL45" s="33" t="str">
        <f>HYPERLINK("http://exon.niaid.nih.gov/transcriptome/S_calcitrans/S1/links/PFAM/XP_013097442.1-PFAM.txt","Trypsin")</f>
        <v>Trypsin</v>
      </c>
      <c r="DM45" t="str">
        <f>HYPERLINK("http://pfam.sanger.ac.uk/family?acc=PF00089","5E-042")</f>
        <v>5E-042</v>
      </c>
      <c r="DN45" s="33" t="str">
        <f>HYPERLINK("http://exon.niaid.nih.gov/transcriptome/S_calcitrans/S1/links/SMART/XP_013097442.1-SMART.txt","Tryp_SPc")</f>
        <v>Tryp_SPc</v>
      </c>
      <c r="DO45" t="str">
        <f>HYPERLINK("http://smart.embl-heidelberg.de/smart/do_annotation.pl?DOMAIN=Tryp_SPc&amp;BLAST=DUMMY","1E-053")</f>
        <v>1E-053</v>
      </c>
      <c r="DP45" s="33"/>
      <c r="EB45" s="33">
        <f t="shared" si="58"/>
        <v>1</v>
      </c>
      <c r="EC45">
        <f t="shared" si="59"/>
        <v>5170</v>
      </c>
      <c r="ED45" s="33">
        <f t="shared" si="60"/>
        <v>4</v>
      </c>
      <c r="EE45">
        <f t="shared" si="61"/>
        <v>229</v>
      </c>
      <c r="EF45" s="33">
        <f t="shared" si="62"/>
        <v>4</v>
      </c>
      <c r="EG45">
        <f t="shared" si="63"/>
        <v>227</v>
      </c>
      <c r="EH45" s="33">
        <f t="shared" si="64"/>
        <v>3</v>
      </c>
      <c r="EI45">
        <f t="shared" si="65"/>
        <v>215</v>
      </c>
      <c r="EJ45" s="33">
        <f t="shared" si="73"/>
        <v>3</v>
      </c>
      <c r="EK45">
        <f t="shared" si="74"/>
        <v>168</v>
      </c>
      <c r="EL45" s="33">
        <f t="shared" si="75"/>
        <v>1</v>
      </c>
      <c r="EM45">
        <f t="shared" si="76"/>
        <v>124</v>
      </c>
      <c r="EN45" s="33">
        <f>HYPERLINK("http://exon.niaid.nih.gov/transcriptome/S_calcitrans/S1/links/cluster-b/Scalc-pep55-50SimCLU3.txt", 3)</f>
        <v>3</v>
      </c>
      <c r="EO45">
        <f>HYPERLINK("http://exon.niaid.nih.gov/transcriptome/S_calcitrans/S1/links/cluster-b/Scalc-pep55-50SimCLTL3.txt", 79)</f>
        <v>79</v>
      </c>
      <c r="EP45" s="33">
        <f>HYPERLINK("http://exon.niaid.nih.gov/transcriptome/S_calcitrans/S1/links/cluster-b/Scalc-pep60-50SimCLU321.txt", 321)</f>
        <v>321</v>
      </c>
      <c r="EQ45">
        <f>HYPERLINK("http://exon.niaid.nih.gov/transcriptome/S_calcitrans/S1/links/cluster-b/Scalc-pep60-50SimCLTL321.txt", 7)</f>
        <v>7</v>
      </c>
      <c r="ER45" s="33">
        <f>HYPERLINK("http://exon.niaid.nih.gov/transcriptome/S_calcitrans/S1/links/cluster-b/Scalc-pep65-50SimCLU575.txt", 575)</f>
        <v>575</v>
      </c>
      <c r="ES45">
        <f>HYPERLINK("http://exon.niaid.nih.gov/transcriptome/S_calcitrans/S1/links/cluster-b/Scalc-pep65-50SimCLTL575.txt", 5)</f>
        <v>5</v>
      </c>
      <c r="ET45" s="33">
        <f>HYPERLINK("http://exon.niaid.nih.gov/transcriptome/S_calcitrans/S1/links/cluster-b/Scalc-pep70-50SimCLU785.txt", 785)</f>
        <v>785</v>
      </c>
      <c r="EU45">
        <f>HYPERLINK("http://exon.niaid.nih.gov/transcriptome/S_calcitrans/S1/links/cluster-b/Scalc-pep70-50SimCLTL785.txt", 4)</f>
        <v>4</v>
      </c>
      <c r="EV45" s="33">
        <f>HYPERLINK("http://exon.niaid.nih.gov/transcriptome/S_calcitrans/S1/links/cluster-b/Scalc-pep75-50SimCLU733.txt", 733)</f>
        <v>733</v>
      </c>
      <c r="EW45">
        <f>HYPERLINK("http://exon.niaid.nih.gov/transcriptome/S_calcitrans/S1/links/cluster-b/Scalc-pep75-50SimCLTL733.txt", 4)</f>
        <v>4</v>
      </c>
      <c r="EX45" s="33">
        <v>5251</v>
      </c>
      <c r="EY45">
        <v>1</v>
      </c>
      <c r="EZ45" s="33">
        <v>5217</v>
      </c>
      <c r="FA45">
        <v>1</v>
      </c>
      <c r="FB45" s="33">
        <v>5170</v>
      </c>
      <c r="FC45">
        <v>1</v>
      </c>
      <c r="FD45" s="33">
        <v>5110</v>
      </c>
      <c r="FE45">
        <v>1</v>
      </c>
      <c r="FF45" t="s">
        <v>653</v>
      </c>
      <c r="FG45">
        <v>3953</v>
      </c>
      <c r="FH45" s="38" t="str">
        <f>HYPERLINK("http://exon.niaid.nih.gov/transcriptome/S_calcitrans/S1/links/SG_male-stripped_temp-95-h10-1gap/3953-SG_male-stripped_temp-95-h10-1gap.txt","4")</f>
        <v>4</v>
      </c>
      <c r="FI45" s="39">
        <v>29.542483660130699</v>
      </c>
      <c r="FJ45" s="39">
        <v>0.39215686274509798</v>
      </c>
      <c r="FK45" s="39">
        <v>0</v>
      </c>
      <c r="FL45" s="39">
        <v>2</v>
      </c>
      <c r="FM45" s="39">
        <v>75</v>
      </c>
      <c r="FN45" s="38" t="str">
        <f>HYPERLINK("http://exon.niaid.nih.gov/transcriptome/S_calcitrans/S1/links/SG_female-stripped_temp-95-h10-1gap/3953-SG_female-stripped_temp-95-h10-1gap.txt","171")</f>
        <v>171</v>
      </c>
      <c r="FO45" s="39">
        <v>93.725490196078397</v>
      </c>
      <c r="FP45" s="39">
        <v>16.394771241830099</v>
      </c>
      <c r="FQ45" s="39">
        <v>0</v>
      </c>
      <c r="FR45" s="39">
        <v>32</v>
      </c>
      <c r="FS45" s="39">
        <v>73.345029239766106</v>
      </c>
      <c r="FT45" s="38">
        <v>0</v>
      </c>
      <c r="FU45" s="39" t="s">
        <v>242</v>
      </c>
      <c r="FV45" s="39" t="s">
        <v>242</v>
      </c>
      <c r="FW45" s="39" t="s">
        <v>242</v>
      </c>
      <c r="FX45" s="39" t="s">
        <v>242</v>
      </c>
      <c r="FY45" s="39" t="s">
        <v>242</v>
      </c>
      <c r="FZ45" s="38">
        <v>0</v>
      </c>
      <c r="GA45" s="39" t="s">
        <v>242</v>
      </c>
      <c r="GB45" s="39" t="s">
        <v>242</v>
      </c>
      <c r="GC45" s="39" t="s">
        <v>242</v>
      </c>
      <c r="GD45" s="39" t="s">
        <v>242</v>
      </c>
      <c r="GE45" s="39" t="s">
        <v>242</v>
      </c>
      <c r="GF45">
        <f t="shared" si="66"/>
        <v>4</v>
      </c>
      <c r="GG45">
        <f t="shared" si="67"/>
        <v>171</v>
      </c>
      <c r="GH45">
        <f t="shared" si="68"/>
        <v>0</v>
      </c>
      <c r="GI45">
        <f t="shared" si="69"/>
        <v>0</v>
      </c>
      <c r="GJ45">
        <f t="shared" si="70"/>
        <v>175</v>
      </c>
      <c r="GK45" s="34">
        <v>6.7972793015659571E-4</v>
      </c>
      <c r="GL45">
        <v>0.17104112566211632</v>
      </c>
      <c r="GM45">
        <v>3.3251245313170252</v>
      </c>
      <c r="GN45">
        <v>0</v>
      </c>
      <c r="GO45">
        <v>0</v>
      </c>
      <c r="GP45">
        <f t="shared" si="71"/>
        <v>3.3251245313170252</v>
      </c>
      <c r="GQ45" t="s">
        <v>651</v>
      </c>
      <c r="GR45">
        <v>0.13339351242945138</v>
      </c>
      <c r="GS45">
        <v>2.7291498055814687</v>
      </c>
      <c r="GT45">
        <v>0</v>
      </c>
      <c r="GU45">
        <v>0</v>
      </c>
      <c r="GV45">
        <f t="shared" si="72"/>
        <v>2.7291498055814687</v>
      </c>
      <c r="GW45">
        <v>143.127165900546</v>
      </c>
      <c r="GX45">
        <v>175</v>
      </c>
      <c r="GY45">
        <v>0</v>
      </c>
      <c r="GZ45">
        <v>175</v>
      </c>
      <c r="HA45">
        <v>38.849946380115782</v>
      </c>
      <c r="HB45">
        <v>136.15005361988423</v>
      </c>
      <c r="HC45">
        <v>477.13932264742806</v>
      </c>
      <c r="HD45">
        <v>136.15005361988423</v>
      </c>
      <c r="HE45">
        <v>613.28937626731226</v>
      </c>
      <c r="HF45">
        <v>2.1542996127130666E-135</v>
      </c>
      <c r="HG45">
        <v>38.849946380115782</v>
      </c>
      <c r="HH45">
        <v>1</v>
      </c>
      <c r="HI45">
        <v>1</v>
      </c>
      <c r="HJ45">
        <v>2</v>
      </c>
      <c r="HK45" s="37">
        <v>5.7796408938814499E-135</v>
      </c>
      <c r="HL45" s="30" t="s">
        <v>262</v>
      </c>
      <c r="HM45">
        <v>613.28937626731238</v>
      </c>
      <c r="HN45">
        <v>0</v>
      </c>
      <c r="HO45">
        <v>4</v>
      </c>
      <c r="HP45">
        <v>171</v>
      </c>
      <c r="HQ45">
        <v>175</v>
      </c>
      <c r="HR45">
        <v>54.704290332977031</v>
      </c>
      <c r="HS45">
        <v>120.29570966702298</v>
      </c>
      <c r="HT45">
        <v>46.996771962893263</v>
      </c>
      <c r="HU45">
        <v>21.371710306935434</v>
      </c>
      <c r="HV45">
        <v>68.368482269828689</v>
      </c>
      <c r="HW45">
        <v>1.3562807779633937E-16</v>
      </c>
      <c r="HX45">
        <v>54.704290332977031</v>
      </c>
      <c r="HY45">
        <v>1</v>
      </c>
      <c r="HZ45">
        <v>1</v>
      </c>
      <c r="IA45">
        <v>2</v>
      </c>
      <c r="IB45" s="37">
        <v>4.22309098474341E-15</v>
      </c>
      <c r="IC45" s="30" t="s">
        <v>262</v>
      </c>
      <c r="ID45">
        <v>5.1139949469972294E-2</v>
      </c>
      <c r="IE45">
        <v>15.552397791794949</v>
      </c>
      <c r="IF45">
        <v>15.552397791794949</v>
      </c>
      <c r="IG45">
        <f t="shared" si="1"/>
        <v>1</v>
      </c>
    </row>
    <row r="46" spans="1:241">
      <c r="A46" t="str">
        <f>HYPERLINK("http://exon.niaid.nih.gov/transcriptome/S_calcitrans/S1/links/pep/XP_013097450.1-pep.txt","XP_013097450.1")</f>
        <v>XP_013097450.1</v>
      </c>
      <c r="B46" s="30" t="s">
        <v>232</v>
      </c>
      <c r="C46">
        <v>255</v>
      </c>
      <c r="D46" t="s">
        <v>645</v>
      </c>
      <c r="E46">
        <v>0</v>
      </c>
      <c r="F46" t="s">
        <v>654</v>
      </c>
      <c r="G46" t="str">
        <f>HYPERLINK("http://exon.niaid.nih.gov/transcriptome/S_calcitrans/S1/links/cds/XM_013241996_1-cds.txt","XM_013241996_1")</f>
        <v>XM_013241996_1</v>
      </c>
      <c r="H46">
        <v>768</v>
      </c>
      <c r="I46" t="s">
        <v>655</v>
      </c>
      <c r="J46" s="30" t="s">
        <v>236</v>
      </c>
      <c r="K46" s="30" t="s">
        <v>91</v>
      </c>
      <c r="L46" s="31" t="s">
        <v>297</v>
      </c>
      <c r="M46" s="30">
        <v>1409616</v>
      </c>
      <c r="N46" s="30">
        <v>1410383</v>
      </c>
      <c r="O46" s="30" t="s">
        <v>276</v>
      </c>
      <c r="P46" s="30">
        <v>1</v>
      </c>
      <c r="Q46" s="31" t="s">
        <v>656</v>
      </c>
      <c r="R46" s="32" t="str">
        <f>HYPERLINK("http://exon.niaid.nih.gov/transcriptome/S_calcitrans/S1/links/Sigp/XP_013097450.1-SigP.txt","SIG")</f>
        <v>SIG</v>
      </c>
      <c r="S46" t="s">
        <v>657</v>
      </c>
      <c r="T46">
        <v>27.103999999999999</v>
      </c>
      <c r="U46">
        <v>10.44</v>
      </c>
      <c r="V46">
        <v>23.978000000000002</v>
      </c>
      <c r="W46">
        <v>10.84</v>
      </c>
      <c r="X46" t="s">
        <v>658</v>
      </c>
      <c r="Y46" s="32">
        <v>0</v>
      </c>
      <c r="Z46" t="s">
        <v>242</v>
      </c>
      <c r="AA46" t="s">
        <v>242</v>
      </c>
      <c r="AB46" t="s">
        <v>242</v>
      </c>
      <c r="AC46" t="s">
        <v>242</v>
      </c>
      <c r="AD46" t="s">
        <v>242</v>
      </c>
      <c r="AE46" s="32" t="str">
        <f>HYPERLINK("http://exon.niaid.nih.gov/transcriptome/S_calcitrans/S1/links/netoglyc/XP_013097450.1-netoglyc.txt","0")</f>
        <v>0</v>
      </c>
      <c r="AF46">
        <v>18.8</v>
      </c>
      <c r="AG46">
        <v>10.199999999999999</v>
      </c>
      <c r="AH46">
        <v>4.3</v>
      </c>
      <c r="AI46" t="s">
        <v>243</v>
      </c>
      <c r="AJ46" t="s">
        <v>242</v>
      </c>
      <c r="AK46">
        <v>252.32477194997998</v>
      </c>
      <c r="AL46" s="33">
        <v>5118</v>
      </c>
      <c r="AM46">
        <v>1</v>
      </c>
      <c r="AN46" s="30">
        <f t="shared" si="0"/>
        <v>1</v>
      </c>
      <c r="AO46" s="30" t="s">
        <v>244</v>
      </c>
      <c r="AP46">
        <v>72</v>
      </c>
      <c r="AQ46" s="34">
        <v>2.7965949126442793E-4</v>
      </c>
      <c r="AR46" s="35">
        <v>92.738402703942029</v>
      </c>
      <c r="AS46" t="s">
        <v>659</v>
      </c>
      <c r="AT46" s="36" t="s">
        <v>660</v>
      </c>
      <c r="AU46" t="s">
        <v>651</v>
      </c>
      <c r="AV46" t="str">
        <f>HYPERLINK("http://exon.niaid.nih.gov/transcriptome/S_calcitrans/S1/links/NR-LIGHT/XP_013097450.1-NR-LIGHT.txt","NR-LIGHT")</f>
        <v>NR-LIGHT</v>
      </c>
      <c r="AW46" s="37">
        <v>4.0000000000000001E-84</v>
      </c>
      <c r="AX46">
        <v>96.8</v>
      </c>
      <c r="AY46" s="33" t="str">
        <f>HYPERLINK("http://exon.niaid.nih.gov/transcriptome/S_calcitrans/S1/links/WANG/XP_013097450.1-WANG.txt","SC-4-19-4")</f>
        <v>SC-4-19-4</v>
      </c>
      <c r="AZ46">
        <v>9.9999999999999996E-39</v>
      </c>
      <c r="BA46">
        <v>187</v>
      </c>
      <c r="BB46">
        <v>192</v>
      </c>
      <c r="BC46">
        <v>42</v>
      </c>
      <c r="BD46">
        <v>60</v>
      </c>
      <c r="BE46">
        <v>97</v>
      </c>
      <c r="BF46" t="s">
        <v>248</v>
      </c>
      <c r="BG46" s="31" t="s">
        <v>638</v>
      </c>
      <c r="BH46" t="s">
        <v>639</v>
      </c>
      <c r="BI46">
        <v>6</v>
      </c>
      <c r="BJ46" s="33"/>
      <c r="BK46" s="33"/>
      <c r="BL46" s="33" t="str">
        <f>HYPERLINK("http://exon.niaid.nih.gov/transcriptome/S_calcitrans/S1/links/NR-LIGHT/XP_013097450.1-NR-LIGHT.txt","trypsin delta/gamma-like")</f>
        <v>trypsin delta/gamma-like</v>
      </c>
      <c r="BM46" t="str">
        <f>HYPERLINK("http://www.ncbi.nlm.nih.gov/sutils/blink.cgi?pid=557780484","4E-084")</f>
        <v>4E-084</v>
      </c>
      <c r="BN46" t="str">
        <f>HYPERLINK("http://www.ncbi.nlm.nih.gov/protein/557780484","gi|557780484")</f>
        <v>gi|557780484</v>
      </c>
      <c r="BO46">
        <v>61</v>
      </c>
      <c r="BP46">
        <v>78</v>
      </c>
      <c r="BQ46">
        <v>97</v>
      </c>
      <c r="BR46" t="s">
        <v>251</v>
      </c>
      <c r="BS46" s="33" t="str">
        <f>HYPERLINK("http://exon.niaid.nih.gov/transcriptome/S_calcitrans/S1/links/SWISSP/XP_013097450.1-SWISSP.txt","Trypsin beta")</f>
        <v>Trypsin beta</v>
      </c>
      <c r="BT46" t="str">
        <f>HYPERLINK("http://www.uniprot.org/uniprot/P35004","6E-042")</f>
        <v>6E-042</v>
      </c>
      <c r="BU46" t="str">
        <f>HYPERLINK("http://www.uniprot.org/uniprot/P35004#expression","P35004")</f>
        <v>P35004</v>
      </c>
      <c r="BV46">
        <v>41</v>
      </c>
      <c r="BW46">
        <v>59</v>
      </c>
      <c r="BX46">
        <v>89</v>
      </c>
      <c r="BY46" t="s">
        <v>304</v>
      </c>
      <c r="BZ46" s="33" t="str">
        <f>HYPERLINK("http://exon.niaid.nih.gov/transcriptome/S_calcitrans/S1/links/REFSEQ-INVERTEBRATE/XP_013097450.1-REFSEQ-INVERTEBRATE.txt","trypsin alpha-3-like")</f>
        <v>trypsin alpha-3-like</v>
      </c>
      <c r="CA46" t="str">
        <f>HYPERLINK("http://www.ncbi.nlm.nih.gov/sutils/blink.cgi?pid=907621292","1E-142")</f>
        <v>1E-142</v>
      </c>
      <c r="CB46" t="str">
        <f>HYPERLINK("http://www.ncbi.nlm.nih.gov/protein/907621292","gi|907621292")</f>
        <v>gi|907621292</v>
      </c>
      <c r="CC46">
        <v>100</v>
      </c>
      <c r="CD46">
        <v>100</v>
      </c>
      <c r="CE46">
        <v>100</v>
      </c>
      <c r="CF46" t="s">
        <v>253</v>
      </c>
      <c r="CG46" s="33" t="str">
        <f>HYPERLINK("http://exon.niaid.nih.gov/transcriptome/S_calcitrans/S1/links/DIPTERA/XP_013097450.1-DIPTERA.txt","trypsin alpha-3-like")</f>
        <v>trypsin alpha-3-like</v>
      </c>
      <c r="CH46" t="str">
        <f>HYPERLINK("http://www.ncbi.nlm.nih.gov/sutils/blink.cgi?pid=907621292","1E-142")</f>
        <v>1E-142</v>
      </c>
      <c r="CI46" t="str">
        <f>HYPERLINK("http://www.ncbi.nlm.nih.gov/protein/907621292","gi|907621292")</f>
        <v>gi|907621292</v>
      </c>
      <c r="CJ46">
        <v>100</v>
      </c>
      <c r="CK46">
        <v>100</v>
      </c>
      <c r="CL46">
        <v>100</v>
      </c>
      <c r="CM46" t="s">
        <v>253</v>
      </c>
      <c r="CN46" s="33" t="str">
        <f>HYPERLINK("http://exon.niaid.nih.gov/transcriptome/S_calcitrans/S1/links/VIRUS/XP_013097450.1-VIRUS.txt","trypsin-like protein")</f>
        <v>trypsin-like protein</v>
      </c>
      <c r="CO46" t="str">
        <f>HYPERLINK("http://www.ncbi.nlm.nih.gov/sutils/blink.cgi?pid=110645235","7E-032")</f>
        <v>7E-032</v>
      </c>
      <c r="CP46" t="str">
        <f>HYPERLINK("http://www.ncbi.nlm.nih.gov/protein/110645235","gi|110645235")</f>
        <v>gi|110645235</v>
      </c>
      <c r="CQ46">
        <v>36</v>
      </c>
      <c r="CR46">
        <v>54</v>
      </c>
      <c r="CS46">
        <v>86</v>
      </c>
      <c r="CT46" t="s">
        <v>661</v>
      </c>
      <c r="CU46" s="33" t="s">
        <v>641</v>
      </c>
      <c r="CV46">
        <f>HYPERLINK("http://exon.niaid.nih.gov/transcriptome/S_calcitrans/S1/links/GO/XP_013097450.1-GO.txt",5E-57)</f>
        <v>5.0000000000000002E-57</v>
      </c>
      <c r="CW46" t="str">
        <f t="shared" si="56"/>
        <v>GO:0004252</v>
      </c>
      <c r="CX46" t="s">
        <v>623</v>
      </c>
      <c r="CY46" t="s">
        <v>624</v>
      </c>
      <c r="CZ46" t="s">
        <v>625</v>
      </c>
      <c r="DA46" t="str">
        <f t="shared" si="57"/>
        <v>EC:3.4.21</v>
      </c>
      <c r="DC46" t="s">
        <v>642</v>
      </c>
      <c r="DD46" s="37">
        <v>1.9999999999999999E-49</v>
      </c>
      <c r="DE46" s="33" t="str">
        <f>HYPERLINK("http://exon.niaid.nih.gov/transcriptome/S_calcitrans/S1/links/CDD/XP_013097450.1-CDD.txt","Tryp_SPc")</f>
        <v>Tryp_SPc</v>
      </c>
      <c r="DF46" t="str">
        <f>HYPERLINK("http://www.ncbi.nlm.nih.gov/Structure/cdd/cddsrv.cgi?uid=smart00020&amp;version=v4.0","9E-057")</f>
        <v>9E-057</v>
      </c>
      <c r="DG46" t="s">
        <v>662</v>
      </c>
      <c r="DH46" s="33" t="str">
        <f>HYPERLINK("http://exon.niaid.nih.gov/transcriptome/S_calcitrans/S1/links/KOG/XP_013097450.1-KOG.txt","Trypsin")</f>
        <v>Trypsin</v>
      </c>
      <c r="DI46" t="str">
        <f>HYPERLINK("http://www.ncbi.nlm.nih.gov/Structure/cdd/cddsrv.cgi?uid=KOG3627","2E-046")</f>
        <v>2E-046</v>
      </c>
      <c r="DJ46" t="s">
        <v>628</v>
      </c>
      <c r="DK46" t="str">
        <f>HYPERLINK("http://exon.niaid.nih.gov/transcriptome/S_calcitrans/S1/links/KOG/XP_013097450.1-KOG.txt","KOG3627")</f>
        <v>KOG3627</v>
      </c>
      <c r="DL46" s="33" t="str">
        <f>HYPERLINK("http://exon.niaid.nih.gov/transcriptome/S_calcitrans/S1/links/PFAM/XP_013097450.1-PFAM.txt","Trypsin")</f>
        <v>Trypsin</v>
      </c>
      <c r="DM46" t="str">
        <f>HYPERLINK("http://pfam.sanger.ac.uk/family?acc=PF00089","8E-044")</f>
        <v>8E-044</v>
      </c>
      <c r="DN46" s="33" t="str">
        <f>HYPERLINK("http://exon.niaid.nih.gov/transcriptome/S_calcitrans/S1/links/SMART/XP_013097450.1-SMART.txt","Tryp_SPc")</f>
        <v>Tryp_SPc</v>
      </c>
      <c r="DO46" t="str">
        <f>HYPERLINK("http://smart.embl-heidelberg.de/smart/do_annotation.pl?DOMAIN=Tryp_SPc&amp;BLAST=DUMMY","1E-058")</f>
        <v>1E-058</v>
      </c>
      <c r="DP46" s="33"/>
      <c r="EB46" s="33">
        <f t="shared" si="58"/>
        <v>1</v>
      </c>
      <c r="EC46">
        <f t="shared" si="59"/>
        <v>5170</v>
      </c>
      <c r="ED46" s="33">
        <f t="shared" si="60"/>
        <v>4</v>
      </c>
      <c r="EE46">
        <f t="shared" si="61"/>
        <v>229</v>
      </c>
      <c r="EF46" s="33">
        <f t="shared" si="62"/>
        <v>4</v>
      </c>
      <c r="EG46">
        <f t="shared" si="63"/>
        <v>227</v>
      </c>
      <c r="EH46" s="33">
        <f t="shared" si="64"/>
        <v>3</v>
      </c>
      <c r="EI46">
        <f t="shared" si="65"/>
        <v>215</v>
      </c>
      <c r="EJ46" s="33">
        <f t="shared" si="73"/>
        <v>3</v>
      </c>
      <c r="EK46">
        <f t="shared" si="74"/>
        <v>168</v>
      </c>
      <c r="EL46" s="33">
        <f t="shared" si="75"/>
        <v>1</v>
      </c>
      <c r="EM46">
        <f t="shared" si="76"/>
        <v>124</v>
      </c>
      <c r="EN46" s="33">
        <f>HYPERLINK("http://exon.niaid.nih.gov/transcriptome/S_calcitrans/S1/links/cluster-b/Scalc-pep55-50SimCLU3.txt", 3)</f>
        <v>3</v>
      </c>
      <c r="EO46">
        <f>HYPERLINK("http://exon.niaid.nih.gov/transcriptome/S_calcitrans/S1/links/cluster-b/Scalc-pep55-50SimCLTL3.txt", 79)</f>
        <v>79</v>
      </c>
      <c r="EP46" s="33">
        <f>HYPERLINK("http://exon.niaid.nih.gov/transcriptome/S_calcitrans/S1/links/cluster-b/Scalc-pep60-50SimCLU321.txt", 321)</f>
        <v>321</v>
      </c>
      <c r="EQ46">
        <f>HYPERLINK("http://exon.niaid.nih.gov/transcriptome/S_calcitrans/S1/links/cluster-b/Scalc-pep60-50SimCLTL321.txt", 7)</f>
        <v>7</v>
      </c>
      <c r="ER46" s="33">
        <f>HYPERLINK("http://exon.niaid.nih.gov/transcriptome/S_calcitrans/S1/links/cluster-b/Scalc-pep65-50SimCLU2315.txt", 2315)</f>
        <v>2315</v>
      </c>
      <c r="ES46">
        <f>HYPERLINK("http://exon.niaid.nih.gov/transcriptome/S_calcitrans/S1/links/cluster-b/Scalc-pep65-50SimCLTL2315.txt", 2)</f>
        <v>2</v>
      </c>
      <c r="ET46" s="33">
        <v>5212</v>
      </c>
      <c r="EU46">
        <v>1</v>
      </c>
      <c r="EV46" s="33">
        <v>5234</v>
      </c>
      <c r="EW46">
        <v>1</v>
      </c>
      <c r="EX46" s="33">
        <v>5256</v>
      </c>
      <c r="EY46">
        <v>1</v>
      </c>
      <c r="EZ46" s="33">
        <v>5225</v>
      </c>
      <c r="FA46">
        <v>1</v>
      </c>
      <c r="FB46" s="33">
        <v>5178</v>
      </c>
      <c r="FC46">
        <v>1</v>
      </c>
      <c r="FD46" s="33">
        <v>5118</v>
      </c>
      <c r="FE46">
        <v>1</v>
      </c>
      <c r="FF46" t="s">
        <v>663</v>
      </c>
      <c r="FG46">
        <v>3961</v>
      </c>
      <c r="FH46" s="38" t="str">
        <f>HYPERLINK("http://exon.niaid.nih.gov/transcriptome/S_calcitrans/S1/links/SG_male-stripped_temp-95-h10-1gap/3961-SG_male-stripped_temp-95-h10-1gap.txt","41")</f>
        <v>41</v>
      </c>
      <c r="FI46" s="39">
        <v>89.1927083333333</v>
      </c>
      <c r="FJ46" s="39">
        <v>3.83984375</v>
      </c>
      <c r="FK46" s="39">
        <v>0</v>
      </c>
      <c r="FL46" s="39">
        <v>9</v>
      </c>
      <c r="FM46" s="39">
        <v>71.926829268292707</v>
      </c>
      <c r="FN46" s="38" t="str">
        <f>HYPERLINK("http://exon.niaid.nih.gov/transcriptome/S_calcitrans/S1/links/SG_female-stripped_temp-95-h10-1gap/3961-SG_female-stripped_temp-95-h10-1gap.txt","31")</f>
        <v>31</v>
      </c>
      <c r="FO46" s="39">
        <v>87.3697916666667</v>
      </c>
      <c r="FP46" s="39">
        <v>2.9127604166666701</v>
      </c>
      <c r="FQ46" s="39">
        <v>0</v>
      </c>
      <c r="FR46" s="39">
        <v>6</v>
      </c>
      <c r="FS46" s="39">
        <v>72.161290322580598</v>
      </c>
      <c r="FT46" s="38">
        <v>0</v>
      </c>
      <c r="FU46" s="39" t="s">
        <v>242</v>
      </c>
      <c r="FV46" s="39" t="s">
        <v>242</v>
      </c>
      <c r="FW46" s="39" t="s">
        <v>242</v>
      </c>
      <c r="FX46" s="39" t="s">
        <v>242</v>
      </c>
      <c r="FY46" s="39" t="s">
        <v>242</v>
      </c>
      <c r="FZ46" s="38">
        <v>0</v>
      </c>
      <c r="GA46" s="39" t="s">
        <v>242</v>
      </c>
      <c r="GB46" s="39" t="s">
        <v>242</v>
      </c>
      <c r="GC46" s="39" t="s">
        <v>242</v>
      </c>
      <c r="GD46" s="39" t="s">
        <v>242</v>
      </c>
      <c r="GE46" s="39" t="s">
        <v>242</v>
      </c>
      <c r="GF46">
        <f t="shared" si="66"/>
        <v>41</v>
      </c>
      <c r="GG46">
        <f t="shared" si="67"/>
        <v>31</v>
      </c>
      <c r="GH46">
        <f t="shared" si="68"/>
        <v>0</v>
      </c>
      <c r="GI46">
        <f t="shared" si="69"/>
        <v>0</v>
      </c>
      <c r="GJ46">
        <f t="shared" si="70"/>
        <v>72</v>
      </c>
      <c r="GK46" s="34">
        <v>2.7965949126442793E-4</v>
      </c>
      <c r="GL46">
        <v>1.7463232117162364</v>
      </c>
      <c r="GM46">
        <v>0.60044566474920236</v>
      </c>
      <c r="GN46">
        <v>0</v>
      </c>
      <c r="GO46">
        <v>0</v>
      </c>
      <c r="GP46">
        <f t="shared" si="71"/>
        <v>1.7463232117162364</v>
      </c>
      <c r="GQ46" t="s">
        <v>651</v>
      </c>
      <c r="GR46">
        <v>1.3619425512206191</v>
      </c>
      <c r="GS46">
        <v>0.49282550285822152</v>
      </c>
      <c r="GT46">
        <v>0</v>
      </c>
      <c r="GU46">
        <v>0</v>
      </c>
      <c r="GV46">
        <f t="shared" si="72"/>
        <v>1.3619425512206191</v>
      </c>
      <c r="GW46">
        <v>92.738402703942029</v>
      </c>
      <c r="GX46">
        <v>72</v>
      </c>
      <c r="GY46">
        <v>0</v>
      </c>
      <c r="GZ46">
        <v>72</v>
      </c>
      <c r="HA46">
        <v>15.983977939247636</v>
      </c>
      <c r="HB46">
        <v>56.016022060752363</v>
      </c>
      <c r="HC46">
        <v>196.30874988922758</v>
      </c>
      <c r="HD46">
        <v>56.016022060752363</v>
      </c>
      <c r="HE46">
        <v>252.32477194997995</v>
      </c>
      <c r="HF46">
        <v>8.0840244871076618E-57</v>
      </c>
      <c r="HG46">
        <v>15.983977939247636</v>
      </c>
      <c r="HH46">
        <v>1</v>
      </c>
      <c r="HI46">
        <v>1</v>
      </c>
      <c r="HJ46">
        <v>2</v>
      </c>
      <c r="HK46" s="37">
        <v>1.59100770579469E-56</v>
      </c>
      <c r="HL46" s="30" t="s">
        <v>262</v>
      </c>
      <c r="HM46">
        <v>252.32477194997998</v>
      </c>
      <c r="HN46">
        <v>0</v>
      </c>
      <c r="HO46">
        <v>41</v>
      </c>
      <c r="HP46">
        <v>31</v>
      </c>
      <c r="HQ46">
        <v>72</v>
      </c>
      <c r="HR46">
        <v>22.506908022710547</v>
      </c>
      <c r="HS46">
        <v>49.493091977289453</v>
      </c>
      <c r="HT46">
        <v>15.195088127405096</v>
      </c>
      <c r="HU46">
        <v>6.9099431297890241</v>
      </c>
      <c r="HV46">
        <v>22.105031257194121</v>
      </c>
      <c r="HW46">
        <v>2.5813231244694178E-6</v>
      </c>
      <c r="HX46">
        <v>22.506908022710547</v>
      </c>
      <c r="HY46">
        <v>1</v>
      </c>
      <c r="HZ46">
        <v>1</v>
      </c>
      <c r="IA46">
        <v>2</v>
      </c>
      <c r="IB46" s="37">
        <v>3.0119872141372099E-5</v>
      </c>
      <c r="IC46" s="30" t="s">
        <v>262</v>
      </c>
      <c r="ID46">
        <v>2.8174915911112861</v>
      </c>
      <c r="IE46">
        <v>0.33564768278031426</v>
      </c>
      <c r="IF46">
        <v>2.8174915911112861</v>
      </c>
      <c r="IG46" t="str">
        <f t="shared" si="1"/>
        <v/>
      </c>
    </row>
    <row r="47" spans="1:241">
      <c r="A47" t="str">
        <f>HYPERLINK("http://exon.niaid.nih.gov/transcriptome/S_calcitrans/S1/links/pep/XP_013097462.1-pep.txt","XP_013097462.1")</f>
        <v>XP_013097462.1</v>
      </c>
      <c r="B47" s="30" t="s">
        <v>232</v>
      </c>
      <c r="C47">
        <v>256</v>
      </c>
      <c r="D47" t="s">
        <v>645</v>
      </c>
      <c r="E47">
        <v>0</v>
      </c>
      <c r="F47" t="s">
        <v>664</v>
      </c>
      <c r="G47" t="str">
        <f>HYPERLINK("http://exon.niaid.nih.gov/transcriptome/S_calcitrans/S1/links/cds/XM_013242008_1-cds.txt","XM_013242008_1")</f>
        <v>XM_013242008_1</v>
      </c>
      <c r="H47">
        <v>771</v>
      </c>
      <c r="I47" t="s">
        <v>665</v>
      </c>
      <c r="J47" s="30" t="s">
        <v>236</v>
      </c>
      <c r="K47" s="30" t="s">
        <v>91</v>
      </c>
      <c r="L47" s="31" t="s">
        <v>297</v>
      </c>
      <c r="M47" s="30">
        <v>1422666</v>
      </c>
      <c r="N47" s="30">
        <v>1423436</v>
      </c>
      <c r="O47" s="30" t="s">
        <v>276</v>
      </c>
      <c r="P47" s="30">
        <v>1</v>
      </c>
      <c r="Q47" s="31" t="s">
        <v>666</v>
      </c>
      <c r="R47" s="32" t="str">
        <f>HYPERLINK("http://exon.niaid.nih.gov/transcriptome/S_calcitrans/S1/links/Sigp/XP_013097462.1-SigP.txt","SIG")</f>
        <v>SIG</v>
      </c>
      <c r="S47" t="s">
        <v>667</v>
      </c>
      <c r="T47">
        <v>26.722000000000001</v>
      </c>
      <c r="U47">
        <v>7.53</v>
      </c>
      <c r="V47">
        <v>24.248000000000001</v>
      </c>
      <c r="W47">
        <v>6.92</v>
      </c>
      <c r="X47" t="s">
        <v>668</v>
      </c>
      <c r="Y47" s="32">
        <v>0</v>
      </c>
      <c r="Z47" t="s">
        <v>242</v>
      </c>
      <c r="AA47" t="s">
        <v>242</v>
      </c>
      <c r="AB47" t="s">
        <v>242</v>
      </c>
      <c r="AC47" t="s">
        <v>242</v>
      </c>
      <c r="AD47" t="s">
        <v>242</v>
      </c>
      <c r="AE47" s="32" t="str">
        <f>HYPERLINK("http://exon.niaid.nih.gov/transcriptome/S_calcitrans/S1/links/netoglyc/XP_013097462.1-netoglyc.txt","0")</f>
        <v>0</v>
      </c>
      <c r="AF47">
        <v>14.5</v>
      </c>
      <c r="AG47">
        <v>10.199999999999999</v>
      </c>
      <c r="AH47">
        <v>5.5</v>
      </c>
      <c r="AI47" t="s">
        <v>243</v>
      </c>
      <c r="AJ47" t="s">
        <v>242</v>
      </c>
      <c r="AK47">
        <v>1655.7277091206374</v>
      </c>
      <c r="AL47" s="33">
        <v>5119</v>
      </c>
      <c r="AM47">
        <v>1</v>
      </c>
      <c r="AN47" s="30">
        <f t="shared" si="0"/>
        <v>1</v>
      </c>
      <c r="AO47" s="30" t="s">
        <v>244</v>
      </c>
      <c r="AP47">
        <v>291033</v>
      </c>
      <c r="AQ47" s="34">
        <v>1.1304186211272258</v>
      </c>
      <c r="AR47" s="35">
        <v>740.06080877125544</v>
      </c>
      <c r="AS47" t="s">
        <v>669</v>
      </c>
      <c r="AT47" s="36" t="s">
        <v>670</v>
      </c>
      <c r="AU47" t="s">
        <v>651</v>
      </c>
      <c r="AV47" t="str">
        <f>HYPERLINK("http://exon.niaid.nih.gov/transcriptome/S_calcitrans/S1/links/NR-LIGHT/XP_013097462.1-NR-LIGHT.txt","NR-LIGHT")</f>
        <v>NR-LIGHT</v>
      </c>
      <c r="AW47" s="37">
        <v>5E-51</v>
      </c>
      <c r="AX47">
        <v>93</v>
      </c>
      <c r="AY47" s="33" t="str">
        <f>HYPERLINK("http://exon.niaid.nih.gov/transcriptome/S_calcitrans/S1/links/WANG/XP_013097462.1-WANG.txt","SC-4-19-4")</f>
        <v>SC-4-19-4</v>
      </c>
      <c r="AZ47">
        <v>9.9999999999999999E-110</v>
      </c>
      <c r="BA47">
        <v>192</v>
      </c>
      <c r="BB47">
        <v>192</v>
      </c>
      <c r="BC47">
        <v>98</v>
      </c>
      <c r="BD47">
        <v>99</v>
      </c>
      <c r="BE47">
        <v>100</v>
      </c>
      <c r="BF47" t="s">
        <v>248</v>
      </c>
      <c r="BG47" s="31" t="s">
        <v>638</v>
      </c>
      <c r="BH47" t="s">
        <v>639</v>
      </c>
      <c r="BI47">
        <v>6</v>
      </c>
      <c r="BJ47" s="33"/>
      <c r="BK47" s="33"/>
      <c r="BL47" s="33" t="str">
        <f>HYPERLINK("http://exon.niaid.nih.gov/transcriptome/S_calcitrans/S1/links/NR-LIGHT/XP_013097462.1-NR-LIGHT.txt","trypsin 3A1-like")</f>
        <v>trypsin 3A1-like</v>
      </c>
      <c r="BM47" t="str">
        <f>HYPERLINK("http://www.ncbi.nlm.nih.gov/sutils/blink.cgi?pid=557784682","5E-051")</f>
        <v>5E-051</v>
      </c>
      <c r="BN47" t="str">
        <f>HYPERLINK("http://www.ncbi.nlm.nih.gov/protein/557784682","gi|557784682")</f>
        <v>gi|557784682</v>
      </c>
      <c r="BO47">
        <v>44</v>
      </c>
      <c r="BP47">
        <v>58</v>
      </c>
      <c r="BQ47">
        <v>93</v>
      </c>
      <c r="BR47" t="s">
        <v>251</v>
      </c>
      <c r="BS47" s="33" t="str">
        <f>HYPERLINK("http://exon.niaid.nih.gov/transcriptome/S_calcitrans/S1/links/SWISSP/XP_013097462.1-SWISSP.txt","Trypsin beta")</f>
        <v>Trypsin beta</v>
      </c>
      <c r="BT47" t="str">
        <f>HYPERLINK("http://www.uniprot.org/uniprot/P35004","7E-028")</f>
        <v>7E-028</v>
      </c>
      <c r="BU47" t="str">
        <f>HYPERLINK("http://www.uniprot.org/uniprot/P35004#expression","P35004")</f>
        <v>P35004</v>
      </c>
      <c r="BV47">
        <v>32</v>
      </c>
      <c r="BW47">
        <v>50</v>
      </c>
      <c r="BX47">
        <v>87</v>
      </c>
      <c r="BY47" t="s">
        <v>304</v>
      </c>
      <c r="BZ47" s="33" t="str">
        <f>HYPERLINK("http://exon.niaid.nih.gov/transcriptome/S_calcitrans/S1/links/REFSEQ-INVERTEBRATE/XP_013097462.1-REFSEQ-INVERTEBRATE.txt","trypsin alpha-3-like")</f>
        <v>trypsin alpha-3-like</v>
      </c>
      <c r="CA47" t="str">
        <f>HYPERLINK("http://www.ncbi.nlm.nih.gov/sutils/blink.cgi?pid=907621464","1E-142")</f>
        <v>1E-142</v>
      </c>
      <c r="CB47" t="str">
        <f>HYPERLINK("http://www.ncbi.nlm.nih.gov/protein/907621464","gi|907621464")</f>
        <v>gi|907621464</v>
      </c>
      <c r="CC47">
        <v>100</v>
      </c>
      <c r="CD47">
        <v>100</v>
      </c>
      <c r="CE47">
        <v>100</v>
      </c>
      <c r="CF47" t="s">
        <v>253</v>
      </c>
      <c r="CG47" s="33" t="str">
        <f>HYPERLINK("http://exon.niaid.nih.gov/transcriptome/S_calcitrans/S1/links/DIPTERA/XP_013097462.1-DIPTERA.txt","trypsin alpha-3-like")</f>
        <v>trypsin alpha-3-like</v>
      </c>
      <c r="CH47" t="str">
        <f>HYPERLINK("http://www.ncbi.nlm.nih.gov/sutils/blink.cgi?pid=907621464","1E-142")</f>
        <v>1E-142</v>
      </c>
      <c r="CI47" t="str">
        <f>HYPERLINK("http://www.ncbi.nlm.nih.gov/protein/907621464","gi|907621464")</f>
        <v>gi|907621464</v>
      </c>
      <c r="CJ47">
        <v>100</v>
      </c>
      <c r="CK47">
        <v>100</v>
      </c>
      <c r="CL47">
        <v>100</v>
      </c>
      <c r="CM47" t="s">
        <v>253</v>
      </c>
      <c r="CN47" s="33" t="str">
        <f>HYPERLINK("http://exon.niaid.nih.gov/transcriptome/S_calcitrans/S1/links/VIRUS/XP_013097462.1-VIRUS.txt","unknown")</f>
        <v>unknown</v>
      </c>
      <c r="CO47" t="str">
        <f>HYPERLINK("http://www.ncbi.nlm.nih.gov/sutils/blink.cgi?pid=48843635","4E-022")</f>
        <v>4E-022</v>
      </c>
      <c r="CP47" t="str">
        <f>HYPERLINK("http://www.ncbi.nlm.nih.gov/protein/48843635","gi|48843635")</f>
        <v>gi|48843635</v>
      </c>
      <c r="CQ47">
        <v>31</v>
      </c>
      <c r="CR47">
        <v>48</v>
      </c>
      <c r="CS47">
        <v>90</v>
      </c>
      <c r="CT47" t="s">
        <v>621</v>
      </c>
      <c r="CU47" s="33" t="s">
        <v>641</v>
      </c>
      <c r="CV47">
        <f>HYPERLINK("http://exon.niaid.nih.gov/transcriptome/S_calcitrans/S1/links/GO/XP_013097462.1-GO.txt",4E-47)</f>
        <v>3.9999999999999999E-47</v>
      </c>
      <c r="CW47" t="str">
        <f t="shared" si="56"/>
        <v>GO:0004252</v>
      </c>
      <c r="CX47" t="s">
        <v>623</v>
      </c>
      <c r="CY47" t="s">
        <v>624</v>
      </c>
      <c r="CZ47" t="s">
        <v>625</v>
      </c>
      <c r="DA47" t="str">
        <f t="shared" si="57"/>
        <v>EC:3.4.21</v>
      </c>
      <c r="DC47" t="s">
        <v>642</v>
      </c>
      <c r="DD47" s="37">
        <v>4.9999999999999996E-35</v>
      </c>
      <c r="DE47" s="33" t="str">
        <f>HYPERLINK("http://exon.niaid.nih.gov/transcriptome/S_calcitrans/S1/links/CDD/XP_013097462.1-CDD.txt","Tryp_SPc")</f>
        <v>Tryp_SPc</v>
      </c>
      <c r="DF47" t="str">
        <f>HYPERLINK("http://www.ncbi.nlm.nih.gov/Structure/cdd/cddsrv.cgi?uid=cd00190&amp;version=v4.0","8E-037")</f>
        <v>8E-037</v>
      </c>
      <c r="DG47" t="s">
        <v>671</v>
      </c>
      <c r="DH47" s="33" t="str">
        <f>HYPERLINK("http://exon.niaid.nih.gov/transcriptome/S_calcitrans/S1/links/KOG/XP_013097462.1-KOG.txt","Trypsin")</f>
        <v>Trypsin</v>
      </c>
      <c r="DI47" t="str">
        <f>HYPERLINK("http://www.ncbi.nlm.nih.gov/Structure/cdd/cddsrv.cgi?uid=KOG3627","9E-035")</f>
        <v>9E-035</v>
      </c>
      <c r="DJ47" t="s">
        <v>628</v>
      </c>
      <c r="DK47" t="str">
        <f>HYPERLINK("http://exon.niaid.nih.gov/transcriptome/S_calcitrans/S1/links/KOG/XP_013097462.1-KOG.txt","KOG3627")</f>
        <v>KOG3627</v>
      </c>
      <c r="DL47" s="33" t="str">
        <f>HYPERLINK("http://exon.niaid.nih.gov/transcriptome/S_calcitrans/S1/links/PFAM/XP_013097462.1-PFAM.txt","Trypsin")</f>
        <v>Trypsin</v>
      </c>
      <c r="DM47" t="str">
        <f>HYPERLINK("http://pfam.sanger.ac.uk/family?acc=PF00089","1E-029")</f>
        <v>1E-029</v>
      </c>
      <c r="DN47" s="33" t="str">
        <f>HYPERLINK("http://exon.niaid.nih.gov/transcriptome/S_calcitrans/S1/links/SMART/XP_013097462.1-SMART.txt","Tryp_SPc")</f>
        <v>Tryp_SPc</v>
      </c>
      <c r="DO47" t="str">
        <f>HYPERLINK("http://smart.embl-heidelberg.de/smart/do_annotation.pl?DOMAIN=Tryp_SPc&amp;BLAST=DUMMY","2E-038")</f>
        <v>2E-038</v>
      </c>
      <c r="DP47" s="33"/>
      <c r="EB47" s="33">
        <f t="shared" si="58"/>
        <v>1</v>
      </c>
      <c r="EC47">
        <f t="shared" si="59"/>
        <v>5170</v>
      </c>
      <c r="ED47" s="33">
        <f t="shared" si="60"/>
        <v>4</v>
      </c>
      <c r="EE47">
        <f t="shared" si="61"/>
        <v>229</v>
      </c>
      <c r="EF47" s="33">
        <f t="shared" si="62"/>
        <v>4</v>
      </c>
      <c r="EG47">
        <f t="shared" si="63"/>
        <v>227</v>
      </c>
      <c r="EH47" s="33">
        <f t="shared" si="64"/>
        <v>3</v>
      </c>
      <c r="EI47">
        <f t="shared" si="65"/>
        <v>215</v>
      </c>
      <c r="EJ47" s="33">
        <f t="shared" si="73"/>
        <v>3</v>
      </c>
      <c r="EK47">
        <f t="shared" si="74"/>
        <v>168</v>
      </c>
      <c r="EL47" s="33">
        <f t="shared" si="75"/>
        <v>1</v>
      </c>
      <c r="EM47">
        <f t="shared" si="76"/>
        <v>124</v>
      </c>
      <c r="EN47" s="33">
        <f>HYPERLINK("http://exon.niaid.nih.gov/transcriptome/S_calcitrans/S1/links/cluster-b/Scalc-pep55-50SimCLU3.txt", 3)</f>
        <v>3</v>
      </c>
      <c r="EO47">
        <f>HYPERLINK("http://exon.niaid.nih.gov/transcriptome/S_calcitrans/S1/links/cluster-b/Scalc-pep55-50SimCLTL3.txt", 79)</f>
        <v>79</v>
      </c>
      <c r="EP47" s="33">
        <v>5029</v>
      </c>
      <c r="EQ47">
        <v>1</v>
      </c>
      <c r="ER47" s="33">
        <v>5145</v>
      </c>
      <c r="ES47">
        <v>1</v>
      </c>
      <c r="ET47" s="33">
        <v>5213</v>
      </c>
      <c r="EU47">
        <v>1</v>
      </c>
      <c r="EV47" s="33">
        <v>5235</v>
      </c>
      <c r="EW47">
        <v>1</v>
      </c>
      <c r="EX47" s="33">
        <v>5257</v>
      </c>
      <c r="EY47">
        <v>1</v>
      </c>
      <c r="EZ47" s="33">
        <v>5226</v>
      </c>
      <c r="FA47">
        <v>1</v>
      </c>
      <c r="FB47" s="33">
        <v>5179</v>
      </c>
      <c r="FC47">
        <v>1</v>
      </c>
      <c r="FD47" s="33">
        <v>5119</v>
      </c>
      <c r="FE47">
        <v>1</v>
      </c>
      <c r="FF47" t="s">
        <v>672</v>
      </c>
      <c r="FG47">
        <v>3962</v>
      </c>
      <c r="FH47" s="38" t="str">
        <f>HYPERLINK("http://exon.niaid.nih.gov/transcriptome/S_calcitrans/S1/links/SG_male-stripped_temp-95-h10-1gap/3962-SG_male-stripped_temp-95-h10-1gap.txt","102865")</f>
        <v>102865</v>
      </c>
      <c r="FI47" s="39">
        <v>100</v>
      </c>
      <c r="FJ47" s="39">
        <v>9840.7276264591401</v>
      </c>
      <c r="FK47" s="39">
        <v>86</v>
      </c>
      <c r="FL47" s="39">
        <v>16540</v>
      </c>
      <c r="FM47" s="39">
        <v>73.759023963447206</v>
      </c>
      <c r="FN47" s="38" t="str">
        <f>HYPERLINK("http://exon.niaid.nih.gov/transcriptome/S_calcitrans/S1/links/SG_female-stripped_temp-95-h10-1gap/3962-SG_female-stripped_temp-95-h10-1gap.txt","188168")</f>
        <v>188168</v>
      </c>
      <c r="FO47" s="39">
        <v>100</v>
      </c>
      <c r="FP47" s="39">
        <v>18040.415045395599</v>
      </c>
      <c r="FQ47" s="39">
        <v>213</v>
      </c>
      <c r="FR47" s="39">
        <v>28682</v>
      </c>
      <c r="FS47" s="39">
        <v>73.919008545555002</v>
      </c>
      <c r="FT47" s="38" t="str">
        <f>HYPERLINK("http://exon.niaid.nih.gov/transcriptome/S_calcitrans/S1/links/SRR694289-stripped_temp-95-h10-1gap/3962-SRR694289-stripped_temp-95-h10-1gap.txt","309")</f>
        <v>309</v>
      </c>
      <c r="FU47" s="39">
        <v>100</v>
      </c>
      <c r="FV47" s="39">
        <v>39.835278858625202</v>
      </c>
      <c r="FW47" s="39">
        <v>3</v>
      </c>
      <c r="FX47" s="39">
        <v>90</v>
      </c>
      <c r="FY47" s="39">
        <v>99.394822006472495</v>
      </c>
      <c r="FZ47" s="38" t="str">
        <f>HYPERLINK("http://exon.niaid.nih.gov/transcriptome/S_calcitrans/S1/links/SRR694925-stripped_temp-95-h10-1gap/3962-SRR694925-stripped_temp-95-h10-1gap.txt","306")</f>
        <v>306</v>
      </c>
      <c r="GA47" s="39">
        <v>100</v>
      </c>
      <c r="GB47" s="39">
        <v>39.691309987029797</v>
      </c>
      <c r="GC47" s="39">
        <v>3</v>
      </c>
      <c r="GD47" s="39">
        <v>74</v>
      </c>
      <c r="GE47" s="39">
        <v>100.006535947712</v>
      </c>
      <c r="GF47">
        <f t="shared" si="66"/>
        <v>102865</v>
      </c>
      <c r="GG47">
        <f t="shared" si="67"/>
        <v>188168</v>
      </c>
      <c r="GH47">
        <f t="shared" si="68"/>
        <v>309</v>
      </c>
      <c r="GI47">
        <f t="shared" si="69"/>
        <v>306</v>
      </c>
      <c r="GJ47">
        <f t="shared" si="70"/>
        <v>291033</v>
      </c>
      <c r="GK47" s="34">
        <v>1.1304186211272258</v>
      </c>
      <c r="GL47">
        <v>4364.3064929616403</v>
      </c>
      <c r="GM47">
        <v>3630.4848650934036</v>
      </c>
      <c r="GN47">
        <v>2.3037568546555995</v>
      </c>
      <c r="GO47">
        <v>2.3518566208551612</v>
      </c>
      <c r="GP47">
        <f t="shared" si="71"/>
        <v>4364.3064929616403</v>
      </c>
      <c r="GQ47" t="s">
        <v>651</v>
      </c>
      <c r="GR47">
        <v>3403.6853426985954</v>
      </c>
      <c r="GS47">
        <v>2979.7792444819152</v>
      </c>
      <c r="GT47">
        <v>4.1528853553936544</v>
      </c>
      <c r="GU47">
        <v>4.452709341046444</v>
      </c>
      <c r="GV47">
        <f t="shared" si="72"/>
        <v>3403.6853426985954</v>
      </c>
      <c r="GW47">
        <v>740.06080877125544</v>
      </c>
      <c r="GX47">
        <v>291033</v>
      </c>
      <c r="GY47">
        <v>615</v>
      </c>
      <c r="GZ47">
        <v>291648</v>
      </c>
      <c r="HA47">
        <v>64745.766639245754</v>
      </c>
      <c r="HB47">
        <v>226902.23336075424</v>
      </c>
      <c r="HC47">
        <v>790876.6030584909</v>
      </c>
      <c r="HD47">
        <v>225673.90026810195</v>
      </c>
      <c r="HE47">
        <v>1016550.5033265929</v>
      </c>
      <c r="HF47">
        <v>0</v>
      </c>
      <c r="HG47">
        <v>64745.766639245754</v>
      </c>
      <c r="HH47">
        <v>1</v>
      </c>
      <c r="HI47">
        <v>1</v>
      </c>
      <c r="HJ47">
        <v>2</v>
      </c>
      <c r="HK47">
        <v>0</v>
      </c>
      <c r="HL47" s="30" t="s">
        <v>262</v>
      </c>
      <c r="HM47">
        <v>1655.7277091206374</v>
      </c>
      <c r="HN47">
        <v>6.0298150923630291E-4</v>
      </c>
      <c r="HO47">
        <v>102865</v>
      </c>
      <c r="HP47">
        <v>188168</v>
      </c>
      <c r="HQ47">
        <v>291033</v>
      </c>
      <c r="HR47">
        <v>90975.735591298871</v>
      </c>
      <c r="HS47">
        <v>200057.26440870113</v>
      </c>
      <c r="HT47">
        <v>1553.761640521727</v>
      </c>
      <c r="HU47">
        <v>706.57073412356146</v>
      </c>
      <c r="HV47">
        <v>2260.3323746452884</v>
      </c>
      <c r="HW47">
        <v>0</v>
      </c>
      <c r="HX47">
        <v>90975.735591298871</v>
      </c>
      <c r="HY47">
        <v>1</v>
      </c>
      <c r="HZ47">
        <v>1</v>
      </c>
      <c r="IA47">
        <v>2</v>
      </c>
      <c r="IB47">
        <v>0</v>
      </c>
      <c r="IC47" s="30" t="s">
        <v>262</v>
      </c>
      <c r="ID47">
        <v>1.2021213313342478</v>
      </c>
      <c r="IE47">
        <v>0.83185027852805038</v>
      </c>
      <c r="IF47">
        <v>1.2021213313342478</v>
      </c>
      <c r="IG47" t="str">
        <f t="shared" si="1"/>
        <v/>
      </c>
    </row>
    <row r="48" spans="1:241">
      <c r="A48" t="str">
        <f>HYPERLINK("http://exon.niaid.nih.gov/transcriptome/S_calcitrans/S1/links/pep/XP_013107474.1-pep.txt","XP_013107474.1")</f>
        <v>XP_013107474.1</v>
      </c>
      <c r="B48" s="30" t="s">
        <v>232</v>
      </c>
      <c r="C48">
        <v>266</v>
      </c>
      <c r="D48" t="s">
        <v>673</v>
      </c>
      <c r="E48">
        <v>1</v>
      </c>
      <c r="F48" t="s">
        <v>674</v>
      </c>
      <c r="G48" t="str">
        <f>HYPERLINK("http://exon.niaid.nih.gov/transcriptome/S_calcitrans/S1/links/cds/XM_013252020_1-cds.txt","XM_013252020_1")</f>
        <v>XM_013252020_1</v>
      </c>
      <c r="H48">
        <v>801</v>
      </c>
      <c r="I48" t="s">
        <v>675</v>
      </c>
      <c r="J48" s="30" t="s">
        <v>236</v>
      </c>
      <c r="K48" s="30" t="s">
        <v>91</v>
      </c>
      <c r="L48" s="31" t="s">
        <v>676</v>
      </c>
      <c r="M48" s="30">
        <v>379766</v>
      </c>
      <c r="N48" s="30">
        <v>380624</v>
      </c>
      <c r="O48" s="30" t="s">
        <v>276</v>
      </c>
      <c r="P48" s="30">
        <v>2</v>
      </c>
      <c r="Q48" s="31" t="s">
        <v>677</v>
      </c>
      <c r="R48" s="32" t="str">
        <f>HYPERLINK("http://exon.niaid.nih.gov/transcriptome/S_calcitrans/S1/links/Sigp/XP_013107474.1-SigP.txt","SIG")</f>
        <v>SIG</v>
      </c>
      <c r="S48" t="s">
        <v>240</v>
      </c>
      <c r="T48">
        <v>28.893000000000001</v>
      </c>
      <c r="U48">
        <v>3.99</v>
      </c>
      <c r="V48">
        <v>26.762</v>
      </c>
      <c r="W48">
        <v>3.93</v>
      </c>
      <c r="X48" t="s">
        <v>678</v>
      </c>
      <c r="Y48" s="32">
        <v>0</v>
      </c>
      <c r="Z48" t="s">
        <v>242</v>
      </c>
      <c r="AA48" t="s">
        <v>242</v>
      </c>
      <c r="AB48" t="s">
        <v>242</v>
      </c>
      <c r="AC48" t="s">
        <v>242</v>
      </c>
      <c r="AD48" t="s">
        <v>242</v>
      </c>
      <c r="AE48" s="32" t="s">
        <v>242</v>
      </c>
      <c r="AF48" t="s">
        <v>242</v>
      </c>
      <c r="AG48" t="s">
        <v>242</v>
      </c>
      <c r="AH48" t="s">
        <v>242</v>
      </c>
      <c r="AI48" t="s">
        <v>242</v>
      </c>
      <c r="AJ48" t="s">
        <v>242</v>
      </c>
      <c r="AK48">
        <v>482.90898637000492</v>
      </c>
      <c r="AL48" s="33">
        <v>9843</v>
      </c>
      <c r="AM48">
        <v>1</v>
      </c>
      <c r="AN48" s="30">
        <f t="shared" si="0"/>
        <v>1</v>
      </c>
      <c r="AO48" s="30" t="s">
        <v>244</v>
      </c>
      <c r="AP48">
        <v>23012</v>
      </c>
      <c r="AQ48" s="34">
        <v>8.9382280735791894E-2</v>
      </c>
      <c r="AR48" s="35">
        <v>189.69149833379683</v>
      </c>
      <c r="AS48" t="s">
        <v>679</v>
      </c>
      <c r="AT48" s="36" t="s">
        <v>680</v>
      </c>
      <c r="AU48" t="s">
        <v>681</v>
      </c>
      <c r="AV48" t="str">
        <f>HYPERLINK("http://exon.niaid.nih.gov/transcriptome/S_calcitrans/S1/links/KOG/XP_013107474.1-KOG.txt","KOG")</f>
        <v>KOG</v>
      </c>
      <c r="AW48" s="37">
        <v>9.9999999999999997E-61</v>
      </c>
      <c r="AX48">
        <v>100.7</v>
      </c>
      <c r="AY48" s="33" t="str">
        <f>HYPERLINK("http://exon.niaid.nih.gov/transcriptome/S_calcitrans/S1/links/WANG/XP_013107474.1-WANG.txt","SC-4-9-2")</f>
        <v>SC-4-9-2</v>
      </c>
      <c r="AZ48">
        <v>9.9999999999999997E-155</v>
      </c>
      <c r="BA48">
        <v>266</v>
      </c>
      <c r="BB48">
        <v>266</v>
      </c>
      <c r="BC48">
        <v>98</v>
      </c>
      <c r="BD48">
        <v>98</v>
      </c>
      <c r="BE48">
        <v>100</v>
      </c>
      <c r="BF48" t="s">
        <v>248</v>
      </c>
      <c r="BG48" s="31" t="s">
        <v>638</v>
      </c>
      <c r="BH48" t="s">
        <v>682</v>
      </c>
      <c r="BI48">
        <v>4</v>
      </c>
      <c r="BJ48" s="33"/>
      <c r="BK48" s="33"/>
      <c r="BL48" s="33" t="str">
        <f>HYPERLINK("http://exon.niaid.nih.gov/transcriptome/S_calcitrans/S1/links/NR-LIGHT/XP_013107474.1-NR-LIGHT.txt","brachyurin")</f>
        <v>brachyurin</v>
      </c>
      <c r="BM48" t="str">
        <f>HYPERLINK("http://www.ncbi.nlm.nih.gov/sutils/blink.cgi?pid=557776697","1E-102")</f>
        <v>1E-102</v>
      </c>
      <c r="BN48" t="str">
        <f>HYPERLINK("http://www.ncbi.nlm.nih.gov/protein/557776697","gi|557776697")</f>
        <v>gi|557776697</v>
      </c>
      <c r="BO48">
        <v>64</v>
      </c>
      <c r="BP48">
        <v>81</v>
      </c>
      <c r="BQ48">
        <v>99</v>
      </c>
      <c r="BR48" t="s">
        <v>251</v>
      </c>
      <c r="BS48" s="33" t="str">
        <f>HYPERLINK("http://exon.niaid.nih.gov/transcriptome/S_calcitrans/S1/links/SWISSP/XP_013107474.1-SWISSP.txt","Collagenase")</f>
        <v>Collagenase</v>
      </c>
      <c r="BT48" t="str">
        <f>HYPERLINK("http://www.uniprot.org/uniprot/P08897","2E-033")</f>
        <v>2E-033</v>
      </c>
      <c r="BU48" t="str">
        <f>HYPERLINK("http://www.uniprot.org/uniprot/P08897#expression","P08897")</f>
        <v>P08897</v>
      </c>
      <c r="BV48">
        <v>35</v>
      </c>
      <c r="BW48">
        <v>56</v>
      </c>
      <c r="BX48">
        <v>93</v>
      </c>
      <c r="BY48" t="s">
        <v>683</v>
      </c>
      <c r="BZ48" s="33" t="str">
        <f>HYPERLINK("http://exon.niaid.nih.gov/transcriptome/S_calcitrans/S1/links/REFSEQ-INVERTEBRATE/XP_013107474.1-REFSEQ-INVERTEBRATE.txt","brachyurin precursor")</f>
        <v>brachyurin precursor</v>
      </c>
      <c r="CA48" t="str">
        <f>HYPERLINK("http://www.ncbi.nlm.nih.gov/sutils/blink.cgi?pid=910242277","1E-149")</f>
        <v>1E-149</v>
      </c>
      <c r="CB48" t="str">
        <f>HYPERLINK("http://www.ncbi.nlm.nih.gov/protein/910242277","gi|910242277")</f>
        <v>gi|910242277</v>
      </c>
      <c r="CC48">
        <v>98</v>
      </c>
      <c r="CD48">
        <v>98</v>
      </c>
      <c r="CE48">
        <v>100</v>
      </c>
      <c r="CF48" t="s">
        <v>253</v>
      </c>
      <c r="CG48" s="33" t="str">
        <f>HYPERLINK("http://exon.niaid.nih.gov/transcriptome/S_calcitrans/S1/links/DIPTERA/XP_013107474.1-DIPTERA.txt","trypsin")</f>
        <v>trypsin</v>
      </c>
      <c r="CH48" t="str">
        <f>HYPERLINK("http://www.ncbi.nlm.nih.gov/sutils/blink.cgi?pid=32395299","1E-150")</f>
        <v>1E-150</v>
      </c>
      <c r="CI48" t="str">
        <f>HYPERLINK("http://www.ncbi.nlm.nih.gov/protein/32395299","gi|32395299")</f>
        <v>gi|32395299</v>
      </c>
      <c r="CJ48">
        <v>98</v>
      </c>
      <c r="CK48">
        <v>98</v>
      </c>
      <c r="CL48">
        <v>100</v>
      </c>
      <c r="CM48" t="s">
        <v>253</v>
      </c>
      <c r="CN48" s="33" t="str">
        <f>HYPERLINK("http://exon.niaid.nih.gov/transcriptome/S_calcitrans/S1/links/VIRUS/XP_013107474.1-VIRUS.txt","unknown")</f>
        <v>unknown</v>
      </c>
      <c r="CO48" t="str">
        <f>HYPERLINK("http://www.ncbi.nlm.nih.gov/sutils/blink.cgi?pid=48843635","2E-019")</f>
        <v>2E-019</v>
      </c>
      <c r="CP48" t="str">
        <f>HYPERLINK("http://www.ncbi.nlm.nih.gov/protein/48843635","gi|48843635")</f>
        <v>gi|48843635</v>
      </c>
      <c r="CQ48">
        <v>28</v>
      </c>
      <c r="CR48">
        <v>46</v>
      </c>
      <c r="CS48">
        <v>96</v>
      </c>
      <c r="CT48" t="s">
        <v>621</v>
      </c>
      <c r="CU48" s="33" t="s">
        <v>641</v>
      </c>
      <c r="CV48">
        <f>HYPERLINK("http://exon.niaid.nih.gov/transcriptome/S_calcitrans/S1/links/GO/XP_013107474.1-GO.txt",1E-76)</f>
        <v>9.9999999999999993E-77</v>
      </c>
      <c r="CW48" t="str">
        <f t="shared" si="56"/>
        <v>GO:0004252</v>
      </c>
      <c r="CX48" t="s">
        <v>623</v>
      </c>
      <c r="CY48" t="s">
        <v>624</v>
      </c>
      <c r="CZ48" t="s">
        <v>625</v>
      </c>
      <c r="DA48" t="str">
        <f t="shared" si="57"/>
        <v>EC:3.4.21</v>
      </c>
      <c r="DC48" t="s">
        <v>684</v>
      </c>
      <c r="DD48" s="37">
        <v>7.0000000000000003E-40</v>
      </c>
      <c r="DE48" s="33" t="str">
        <f>HYPERLINK("http://exon.niaid.nih.gov/transcriptome/S_calcitrans/S1/links/CDD/XP_013107474.1-CDD.txt","Tryp_SPc")</f>
        <v>Tryp_SPc</v>
      </c>
      <c r="DF48" t="str">
        <f>HYPERLINK("http://www.ncbi.nlm.nih.gov/Structure/cdd/cddsrv.cgi?uid=cd00190&amp;version=v4.0","7E-052")</f>
        <v>7E-052</v>
      </c>
      <c r="DG48" t="s">
        <v>685</v>
      </c>
      <c r="DH48" s="33" t="str">
        <f>HYPERLINK("http://exon.niaid.nih.gov/transcriptome/S_calcitrans/S1/links/KOG/XP_013107474.1-KOG.txt","Trypsin")</f>
        <v>Trypsin</v>
      </c>
      <c r="DI48" t="str">
        <f>HYPERLINK("http://www.ncbi.nlm.nih.gov/Structure/cdd/cddsrv.cgi?uid=KOG3627","1E-060")</f>
        <v>1E-060</v>
      </c>
      <c r="DJ48" t="s">
        <v>628</v>
      </c>
      <c r="DK48" t="str">
        <f>HYPERLINK("http://exon.niaid.nih.gov/transcriptome/S_calcitrans/S1/links/KOG/XP_013107474.1-KOG.txt","KOG3627")</f>
        <v>KOG3627</v>
      </c>
      <c r="DL48" s="33" t="str">
        <f>HYPERLINK("http://exon.niaid.nih.gov/transcriptome/S_calcitrans/S1/links/PFAM/XP_013107474.1-PFAM.txt","Trypsin")</f>
        <v>Trypsin</v>
      </c>
      <c r="DM48" t="str">
        <f>HYPERLINK("http://pfam.sanger.ac.uk/family?acc=PF00089","3E-041")</f>
        <v>3E-041</v>
      </c>
      <c r="DN48" s="33" t="str">
        <f>HYPERLINK("http://exon.niaid.nih.gov/transcriptome/S_calcitrans/S1/links/SMART/XP_013107474.1-SMART.txt","Tryp_SPc")</f>
        <v>Tryp_SPc</v>
      </c>
      <c r="DO48" t="str">
        <f>HYPERLINK("http://smart.embl-heidelberg.de/smart/do_annotation.pl?DOMAIN=Tryp_SPc&amp;BLAST=DUMMY","1E-053")</f>
        <v>1E-053</v>
      </c>
      <c r="DP48" s="33"/>
      <c r="EB48" s="33">
        <f t="shared" si="58"/>
        <v>1</v>
      </c>
      <c r="EC48">
        <f t="shared" si="59"/>
        <v>5170</v>
      </c>
      <c r="ED48" s="33">
        <f t="shared" si="60"/>
        <v>4</v>
      </c>
      <c r="EE48">
        <f t="shared" si="61"/>
        <v>229</v>
      </c>
      <c r="EF48" s="33">
        <f t="shared" si="62"/>
        <v>4</v>
      </c>
      <c r="EG48">
        <f t="shared" si="63"/>
        <v>227</v>
      </c>
      <c r="EH48" s="33">
        <f t="shared" si="64"/>
        <v>3</v>
      </c>
      <c r="EI48">
        <f t="shared" si="65"/>
        <v>215</v>
      </c>
      <c r="EJ48" s="33">
        <f t="shared" si="73"/>
        <v>3</v>
      </c>
      <c r="EK48">
        <f t="shared" si="74"/>
        <v>168</v>
      </c>
      <c r="EL48" s="33">
        <f t="shared" si="75"/>
        <v>1</v>
      </c>
      <c r="EM48">
        <f t="shared" si="76"/>
        <v>124</v>
      </c>
      <c r="EN48" s="33">
        <f>HYPERLINK("http://exon.niaid.nih.gov/transcriptome/S_calcitrans/S1/links/cluster-b/Scalc-pep55-50SimCLU3.txt", 3)</f>
        <v>3</v>
      </c>
      <c r="EO48">
        <f>HYPERLINK("http://exon.niaid.nih.gov/transcriptome/S_calcitrans/S1/links/cluster-b/Scalc-pep55-50SimCLTL3.txt", 79)</f>
        <v>79</v>
      </c>
      <c r="EP48" s="33">
        <v>7986</v>
      </c>
      <c r="EQ48">
        <v>1</v>
      </c>
      <c r="ER48" s="33">
        <v>8274</v>
      </c>
      <c r="ES48">
        <v>1</v>
      </c>
      <c r="ET48" s="33">
        <v>8497</v>
      </c>
      <c r="EU48">
        <v>1</v>
      </c>
      <c r="EV48" s="33">
        <v>8727</v>
      </c>
      <c r="EW48">
        <v>1</v>
      </c>
      <c r="EX48" s="33">
        <v>8956</v>
      </c>
      <c r="EY48">
        <v>1</v>
      </c>
      <c r="EZ48" s="33">
        <v>9200</v>
      </c>
      <c r="FA48">
        <v>1</v>
      </c>
      <c r="FB48" s="33">
        <v>9469</v>
      </c>
      <c r="FC48">
        <v>1</v>
      </c>
      <c r="FD48" s="33">
        <v>9843</v>
      </c>
      <c r="FE48">
        <v>1</v>
      </c>
      <c r="FF48" t="s">
        <v>686</v>
      </c>
      <c r="FG48">
        <v>12861</v>
      </c>
      <c r="FH48" s="38" t="str">
        <f>HYPERLINK("http://exon.niaid.nih.gov/transcriptome/S_calcitrans/S1/links/SG_male-stripped_temp-95-h10-1gap/12861-SG_male-stripped_temp-95-h10-1gap.txt","6853")</f>
        <v>6853</v>
      </c>
      <c r="FI48" s="39">
        <v>100</v>
      </c>
      <c r="FJ48" s="39">
        <v>630.48439450686601</v>
      </c>
      <c r="FK48" s="39">
        <v>66</v>
      </c>
      <c r="FL48" s="39">
        <v>1295</v>
      </c>
      <c r="FM48" s="39">
        <v>73.692981176127205</v>
      </c>
      <c r="FN48" s="38" t="str">
        <f>HYPERLINK("http://exon.niaid.nih.gov/transcriptome/S_calcitrans/S1/links/SG_female-stripped_temp-95-h10-1gap/12861-SG_female-stripped_temp-95-h10-1gap.txt","16159")</f>
        <v>16159</v>
      </c>
      <c r="FO48" s="39">
        <v>100</v>
      </c>
      <c r="FP48" s="39">
        <v>1486.9612983770301</v>
      </c>
      <c r="FQ48" s="39">
        <v>197</v>
      </c>
      <c r="FR48" s="39">
        <v>2849</v>
      </c>
      <c r="FS48" s="39">
        <v>73.708583451946296</v>
      </c>
      <c r="FT48" s="38" t="str">
        <f>HYPERLINK("http://exon.niaid.nih.gov/transcriptome/S_calcitrans/S1/links/SRR694289-stripped_temp-95-h10-1gap/12861-SRR694289-stripped_temp-95-h10-1gap.txt","71")</f>
        <v>71</v>
      </c>
      <c r="FU48" s="39">
        <v>100</v>
      </c>
      <c r="FV48" s="39">
        <v>8.7640449438202204</v>
      </c>
      <c r="FW48" s="39">
        <v>1</v>
      </c>
      <c r="FX48" s="39">
        <v>27</v>
      </c>
      <c r="FY48" s="39">
        <v>98.873239436619698</v>
      </c>
      <c r="FZ48" s="38" t="str">
        <f>HYPERLINK("http://exon.niaid.nih.gov/transcriptome/S_calcitrans/S1/links/SRR694925-stripped_temp-95-h10-1gap/12861-SRR694925-stripped_temp-95-h10-1gap.txt","95")</f>
        <v>95</v>
      </c>
      <c r="GA48" s="39">
        <v>95.880149812734103</v>
      </c>
      <c r="GB48" s="39">
        <v>11.528089887640499</v>
      </c>
      <c r="GC48" s="39">
        <v>0</v>
      </c>
      <c r="GD48" s="39">
        <v>35</v>
      </c>
      <c r="GE48" s="39">
        <v>97.2</v>
      </c>
      <c r="GF48">
        <f t="shared" si="66"/>
        <v>6853</v>
      </c>
      <c r="GG48">
        <f t="shared" si="67"/>
        <v>16159</v>
      </c>
      <c r="GH48">
        <f t="shared" si="68"/>
        <v>71</v>
      </c>
      <c r="GI48">
        <f t="shared" si="69"/>
        <v>95</v>
      </c>
      <c r="GJ48">
        <f t="shared" si="70"/>
        <v>23012</v>
      </c>
      <c r="GK48" s="34">
        <v>8.9382280735791894E-2</v>
      </c>
      <c r="GL48">
        <v>279.86604186463779</v>
      </c>
      <c r="GM48">
        <v>300.09254357263313</v>
      </c>
      <c r="GN48">
        <v>0.5095166397209886</v>
      </c>
      <c r="GO48">
        <v>0.70280506472520576</v>
      </c>
      <c r="GP48">
        <f t="shared" si="71"/>
        <v>300.09254357263313</v>
      </c>
      <c r="GQ48" t="s">
        <v>681</v>
      </c>
      <c r="GR48">
        <v>218.26513471268979</v>
      </c>
      <c r="GS48">
        <v>246.30581478502074</v>
      </c>
      <c r="GT48">
        <v>0.91848416518027232</v>
      </c>
      <c r="GU48">
        <v>1.3306026604201724</v>
      </c>
      <c r="GV48">
        <f t="shared" si="72"/>
        <v>246.30581478502074</v>
      </c>
      <c r="GW48">
        <v>189.69149833379683</v>
      </c>
      <c r="GX48">
        <v>23012</v>
      </c>
      <c r="GY48">
        <v>166</v>
      </c>
      <c r="GZ48">
        <v>23178</v>
      </c>
      <c r="HA48">
        <v>5145.5088982761345</v>
      </c>
      <c r="HB48">
        <v>18032.491101723866</v>
      </c>
      <c r="HC48">
        <v>62036.916192083823</v>
      </c>
      <c r="HD48">
        <v>17702.019232243634</v>
      </c>
      <c r="HE48">
        <v>79738.935424327457</v>
      </c>
      <c r="HF48">
        <v>0</v>
      </c>
      <c r="HG48">
        <v>5145.5088982761345</v>
      </c>
      <c r="HH48">
        <v>1</v>
      </c>
      <c r="HI48">
        <v>1</v>
      </c>
      <c r="HJ48">
        <v>2</v>
      </c>
      <c r="HK48">
        <v>0</v>
      </c>
      <c r="HL48" s="30" t="s">
        <v>262</v>
      </c>
      <c r="HM48">
        <v>482.90898637000492</v>
      </c>
      <c r="HN48">
        <v>2.0582942347402073E-3</v>
      </c>
      <c r="HO48">
        <v>6853</v>
      </c>
      <c r="HP48">
        <v>16159</v>
      </c>
      <c r="HQ48">
        <v>23012</v>
      </c>
      <c r="HR48">
        <v>7193.4578808140996</v>
      </c>
      <c r="HS48">
        <v>15818.5421191859</v>
      </c>
      <c r="HT48">
        <v>16.113470118116499</v>
      </c>
      <c r="HU48">
        <v>7.3275759381037702</v>
      </c>
      <c r="HV48">
        <v>23.441046056220269</v>
      </c>
      <c r="HW48">
        <v>1.2880081035718079E-6</v>
      </c>
      <c r="HX48">
        <v>7193.4578808140996</v>
      </c>
      <c r="HY48">
        <v>1</v>
      </c>
      <c r="HZ48">
        <v>1</v>
      </c>
      <c r="IA48">
        <v>2</v>
      </c>
      <c r="IB48" s="37">
        <v>1.6109094428969399E-5</v>
      </c>
      <c r="IC48" s="30" t="s">
        <v>262</v>
      </c>
      <c r="ID48">
        <v>0.9325414090261116</v>
      </c>
      <c r="IE48">
        <v>1.0721156379320675</v>
      </c>
      <c r="IF48">
        <v>1.0721156379320675</v>
      </c>
      <c r="IG48" t="str">
        <f t="shared" si="1"/>
        <v/>
      </c>
    </row>
    <row r="49" spans="1:241">
      <c r="A49" t="str">
        <f>HYPERLINK("http://exon.niaid.nih.gov/transcriptome/S_calcitrans/S1/links/pep/XP_013110306.1-pep.txt","XP_013110306.1")</f>
        <v>XP_013110306.1</v>
      </c>
      <c r="B49" s="30" t="s">
        <v>232</v>
      </c>
      <c r="C49">
        <v>255</v>
      </c>
      <c r="D49" t="s">
        <v>687</v>
      </c>
      <c r="E49">
        <v>0</v>
      </c>
      <c r="F49" t="s">
        <v>688</v>
      </c>
      <c r="G49" t="str">
        <f>HYPERLINK("http://exon.niaid.nih.gov/transcriptome/S_calcitrans/S1/links/cds/XM_013254852_1-cds.txt","XM_013254852_1")</f>
        <v>XM_013254852_1</v>
      </c>
      <c r="H49">
        <v>768</v>
      </c>
      <c r="I49" t="s">
        <v>689</v>
      </c>
      <c r="J49" s="30" t="s">
        <v>236</v>
      </c>
      <c r="K49" s="30" t="s">
        <v>91</v>
      </c>
      <c r="L49" s="31" t="s">
        <v>690</v>
      </c>
      <c r="M49" s="30">
        <v>325718</v>
      </c>
      <c r="N49" s="30">
        <v>326551</v>
      </c>
      <c r="O49" s="30" t="s">
        <v>276</v>
      </c>
      <c r="P49" s="30">
        <v>2</v>
      </c>
      <c r="Q49" s="31" t="s">
        <v>691</v>
      </c>
      <c r="R49" s="32" t="str">
        <f>HYPERLINK("http://exon.niaid.nih.gov/transcriptome/S_calcitrans/S1/links/Sigp/XP_013110306.1-SigP.txt","SIG")</f>
        <v>SIG</v>
      </c>
      <c r="S49" t="s">
        <v>615</v>
      </c>
      <c r="T49">
        <v>27.413</v>
      </c>
      <c r="U49">
        <v>6.99</v>
      </c>
      <c r="V49">
        <v>24.824000000000002</v>
      </c>
      <c r="W49">
        <v>6.65</v>
      </c>
      <c r="X49" t="s">
        <v>692</v>
      </c>
      <c r="Y49" s="32">
        <v>0</v>
      </c>
      <c r="Z49" t="s">
        <v>242</v>
      </c>
      <c r="AA49" t="s">
        <v>242</v>
      </c>
      <c r="AB49" t="s">
        <v>242</v>
      </c>
      <c r="AC49" t="s">
        <v>242</v>
      </c>
      <c r="AD49" t="s">
        <v>242</v>
      </c>
      <c r="AE49" s="32" t="str">
        <f>HYPERLINK("http://exon.niaid.nih.gov/transcriptome/S_calcitrans/S1/links/netoglyc/XP_013110306.1-netoglyc.txt","1")</f>
        <v>1</v>
      </c>
      <c r="AF49">
        <v>12.2</v>
      </c>
      <c r="AG49">
        <v>12.2</v>
      </c>
      <c r="AH49">
        <v>5.9</v>
      </c>
      <c r="AI49" t="s">
        <v>243</v>
      </c>
      <c r="AJ49" t="s">
        <v>242</v>
      </c>
      <c r="AK49">
        <v>269.38037403871476</v>
      </c>
      <c r="AL49" s="33">
        <v>11292</v>
      </c>
      <c r="AM49">
        <v>1</v>
      </c>
      <c r="AN49" s="30">
        <f t="shared" si="0"/>
        <v>1</v>
      </c>
      <c r="AO49" s="30" t="s">
        <v>244</v>
      </c>
      <c r="AP49">
        <v>170183</v>
      </c>
      <c r="AQ49" s="34">
        <v>0.66101793335908532</v>
      </c>
      <c r="AR49" s="35">
        <v>110.25026843825503</v>
      </c>
      <c r="AS49" t="s">
        <v>693</v>
      </c>
      <c r="AT49" s="36" t="s">
        <v>694</v>
      </c>
      <c r="AU49" t="s">
        <v>651</v>
      </c>
      <c r="AV49" t="str">
        <f>HYPERLINK("http://exon.niaid.nih.gov/transcriptome/S_calcitrans/S1/links/NR-LIGHT/XP_013110306.1-NR-LIGHT.txt","NR-LIGHT")</f>
        <v>NR-LIGHT</v>
      </c>
      <c r="AW49" s="37">
        <v>1E-58</v>
      </c>
      <c r="AX49">
        <v>98</v>
      </c>
      <c r="AY49" s="33" t="str">
        <f>HYPERLINK("http://exon.niaid.nih.gov/transcriptome/S_calcitrans/S1/links/WANG/XP_013110306.1-WANG.txt","SC-4-4-4")</f>
        <v>SC-4-4-4</v>
      </c>
      <c r="AZ49">
        <v>1E-146</v>
      </c>
      <c r="BA49">
        <v>248</v>
      </c>
      <c r="BB49">
        <v>257</v>
      </c>
      <c r="BC49">
        <v>99</v>
      </c>
      <c r="BD49">
        <v>99</v>
      </c>
      <c r="BE49">
        <v>96</v>
      </c>
      <c r="BF49" t="s">
        <v>248</v>
      </c>
      <c r="BG49" s="31" t="s">
        <v>638</v>
      </c>
      <c r="BH49" t="s">
        <v>695</v>
      </c>
      <c r="BI49">
        <v>3</v>
      </c>
      <c r="BJ49" s="33"/>
      <c r="BK49" s="33"/>
      <c r="BL49" s="33" t="str">
        <f>HYPERLINK("http://exon.niaid.nih.gov/transcriptome/S_calcitrans/S1/links/NR-LIGHT/XP_013110306.1-NR-LIGHT.txt","serine protease SP24D-like")</f>
        <v>serine protease SP24D-like</v>
      </c>
      <c r="BM49" t="str">
        <f>HYPERLINK("http://www.ncbi.nlm.nih.gov/sutils/blink.cgi?pid=557784361","1E-058")</f>
        <v>1E-058</v>
      </c>
      <c r="BN49" t="str">
        <f>HYPERLINK("http://www.ncbi.nlm.nih.gov/protein/557784361","gi|557784361")</f>
        <v>gi|557784361</v>
      </c>
      <c r="BO49">
        <v>46</v>
      </c>
      <c r="BP49">
        <v>65</v>
      </c>
      <c r="BQ49">
        <v>98</v>
      </c>
      <c r="BR49" t="s">
        <v>251</v>
      </c>
      <c r="BS49" s="33" t="str">
        <f>HYPERLINK("http://exon.niaid.nih.gov/transcriptome/S_calcitrans/S1/links/SWISSP/XP_013110306.1-SWISSP.txt","Serine protease SP24D")</f>
        <v>Serine protease SP24D</v>
      </c>
      <c r="BT49" t="str">
        <f>HYPERLINK("http://www.uniprot.org/uniprot/Q17004","1E-043")</f>
        <v>1E-043</v>
      </c>
      <c r="BU49" t="str">
        <f>HYPERLINK("http://www.uniprot.org/uniprot/Q17004#expression","Q17004")</f>
        <v>Q17004</v>
      </c>
      <c r="BV49">
        <v>42</v>
      </c>
      <c r="BW49">
        <v>59</v>
      </c>
      <c r="BX49">
        <v>85</v>
      </c>
      <c r="BY49" t="s">
        <v>385</v>
      </c>
      <c r="BZ49" s="33" t="str">
        <f>HYPERLINK("http://exon.niaid.nih.gov/transcriptome/S_calcitrans/S1/links/REFSEQ-INVERTEBRATE/XP_013110306.1-REFSEQ-INVERTEBRATE.txt","serine protease SP24D-like precursor")</f>
        <v>serine protease SP24D-like precursor</v>
      </c>
      <c r="CA49" t="str">
        <f>HYPERLINK("http://www.ncbi.nlm.nih.gov/sutils/blink.cgi?pid=910242158","1E-145")</f>
        <v>1E-145</v>
      </c>
      <c r="CB49" t="str">
        <f>HYPERLINK("http://www.ncbi.nlm.nih.gov/protein/910242158","gi|910242158")</f>
        <v>gi|910242158</v>
      </c>
      <c r="CC49">
        <v>99</v>
      </c>
      <c r="CD49">
        <v>99</v>
      </c>
      <c r="CE49">
        <v>100</v>
      </c>
      <c r="CF49" t="s">
        <v>253</v>
      </c>
      <c r="CG49" s="33" t="str">
        <f>HYPERLINK("http://exon.niaid.nih.gov/transcriptome/S_calcitrans/S1/links/DIPTERA/XP_013110306.1-DIPTERA.txt","serine protease Ssp3-2 precursor")</f>
        <v>serine protease Ssp3-2 precursor</v>
      </c>
      <c r="CH49" t="str">
        <f>HYPERLINK("http://www.ncbi.nlm.nih.gov/sutils/blink.cgi?pid=68500400","1E-145")</f>
        <v>1E-145</v>
      </c>
      <c r="CI49" t="str">
        <f>HYPERLINK("http://www.ncbi.nlm.nih.gov/protein/68500400","gi|68500400")</f>
        <v>gi|68500400</v>
      </c>
      <c r="CJ49">
        <v>99</v>
      </c>
      <c r="CK49">
        <v>99</v>
      </c>
      <c r="CL49">
        <v>100</v>
      </c>
      <c r="CM49" t="s">
        <v>253</v>
      </c>
      <c r="CN49" s="33" t="str">
        <f>HYPERLINK("http://exon.niaid.nih.gov/transcriptome/S_calcitrans/S1/links/VIRUS/XP_013110306.1-VIRUS.txt","trypsin-like protein")</f>
        <v>trypsin-like protein</v>
      </c>
      <c r="CO49" t="str">
        <f>HYPERLINK("http://www.ncbi.nlm.nih.gov/sutils/blink.cgi?pid=110645235","5E-032")</f>
        <v>5E-032</v>
      </c>
      <c r="CP49" t="str">
        <f>HYPERLINK("http://www.ncbi.nlm.nih.gov/protein/110645235","gi|110645235")</f>
        <v>gi|110645235</v>
      </c>
      <c r="CQ49">
        <v>36</v>
      </c>
      <c r="CR49">
        <v>50</v>
      </c>
      <c r="CS49">
        <v>100</v>
      </c>
      <c r="CT49" t="s">
        <v>661</v>
      </c>
      <c r="CU49" s="33" t="s">
        <v>622</v>
      </c>
      <c r="CV49">
        <f>HYPERLINK("http://exon.niaid.nih.gov/transcriptome/S_calcitrans/S1/links/GO/XP_013110306.1-GO.txt",1E-53)</f>
        <v>1E-53</v>
      </c>
      <c r="CW49" t="str">
        <f t="shared" si="56"/>
        <v>GO:0004252</v>
      </c>
      <c r="CX49" t="s">
        <v>623</v>
      </c>
      <c r="CY49" t="s">
        <v>624</v>
      </c>
      <c r="CZ49" t="s">
        <v>625</v>
      </c>
      <c r="DA49" t="str">
        <f t="shared" si="57"/>
        <v>EC:3.4.21</v>
      </c>
      <c r="DC49" t="s">
        <v>696</v>
      </c>
      <c r="DD49" s="37">
        <v>7.9999999999999998E-48</v>
      </c>
      <c r="DE49" s="33" t="str">
        <f>HYPERLINK("http://exon.niaid.nih.gov/transcriptome/S_calcitrans/S1/links/CDD/XP_013110306.1-CDD.txt","Tryp_SPc")</f>
        <v>Tryp_SPc</v>
      </c>
      <c r="DF49" t="str">
        <f>HYPERLINK("http://www.ncbi.nlm.nih.gov/Structure/cdd/cddsrv.cgi?uid=cd00190&amp;version=v4.0","3E-051")</f>
        <v>3E-051</v>
      </c>
      <c r="DG49" t="s">
        <v>697</v>
      </c>
      <c r="DH49" s="33" t="str">
        <f>HYPERLINK("http://exon.niaid.nih.gov/transcriptome/S_calcitrans/S1/links/KOG/XP_013110306.1-KOG.txt","Trypsin")</f>
        <v>Trypsin</v>
      </c>
      <c r="DI49" t="str">
        <f>HYPERLINK("http://www.ncbi.nlm.nih.gov/Structure/cdd/cddsrv.cgi?uid=KOG3627","1E-047")</f>
        <v>1E-047</v>
      </c>
      <c r="DJ49" t="s">
        <v>628</v>
      </c>
      <c r="DK49" t="str">
        <f>HYPERLINK("http://exon.niaid.nih.gov/transcriptome/S_calcitrans/S1/links/KOG/XP_013110306.1-KOG.txt","KOG3627")</f>
        <v>KOG3627</v>
      </c>
      <c r="DL49" s="33" t="str">
        <f>HYPERLINK("http://exon.niaid.nih.gov/transcriptome/S_calcitrans/S1/links/PFAM/XP_013110306.1-PFAM.txt","Trypsin")</f>
        <v>Trypsin</v>
      </c>
      <c r="DM49" t="str">
        <f>HYPERLINK("http://pfam.sanger.ac.uk/family?acc=PF00089","3E-043")</f>
        <v>3E-043</v>
      </c>
      <c r="DN49" s="33" t="str">
        <f>HYPERLINK("http://exon.niaid.nih.gov/transcriptome/S_calcitrans/S1/links/SMART/XP_013110306.1-SMART.txt","Tryp_SPc")</f>
        <v>Tryp_SPc</v>
      </c>
      <c r="DO49" t="str">
        <f>HYPERLINK("http://smart.embl-heidelberg.de/smart/do_annotation.pl?DOMAIN=Tryp_SPc&amp;BLAST=DUMMY","1E-051")</f>
        <v>1E-051</v>
      </c>
      <c r="DP49" s="33"/>
      <c r="EB49" s="33">
        <f t="shared" si="58"/>
        <v>1</v>
      </c>
      <c r="EC49">
        <f t="shared" si="59"/>
        <v>5170</v>
      </c>
      <c r="ED49" s="33">
        <f t="shared" si="60"/>
        <v>4</v>
      </c>
      <c r="EE49">
        <f t="shared" si="61"/>
        <v>229</v>
      </c>
      <c r="EF49" s="33">
        <f t="shared" si="62"/>
        <v>4</v>
      </c>
      <c r="EG49">
        <f t="shared" si="63"/>
        <v>227</v>
      </c>
      <c r="EH49" s="33">
        <f t="shared" si="64"/>
        <v>3</v>
      </c>
      <c r="EI49">
        <f t="shared" si="65"/>
        <v>215</v>
      </c>
      <c r="EJ49" s="33">
        <f t="shared" si="73"/>
        <v>3</v>
      </c>
      <c r="EK49">
        <f t="shared" si="74"/>
        <v>168</v>
      </c>
      <c r="EL49" s="33">
        <f t="shared" si="75"/>
        <v>1</v>
      </c>
      <c r="EM49">
        <f t="shared" si="76"/>
        <v>124</v>
      </c>
      <c r="EN49" s="33">
        <f>HYPERLINK("http://exon.niaid.nih.gov/transcriptome/S_calcitrans/S1/links/cluster-b/Scalc-pep55-50SimCLU52.txt", 52)</f>
        <v>52</v>
      </c>
      <c r="EO49">
        <f>HYPERLINK("http://exon.niaid.nih.gov/transcriptome/S_calcitrans/S1/links/cluster-b/Scalc-pep55-50SimCLTL52.txt", 19)</f>
        <v>19</v>
      </c>
      <c r="EP49" s="33">
        <f>HYPERLINK("http://exon.niaid.nih.gov/transcriptome/S_calcitrans/S1/links/cluster-b/Scalc-pep60-50SimCLU162.txt", 162)</f>
        <v>162</v>
      </c>
      <c r="EQ49">
        <f>HYPERLINK("http://exon.niaid.nih.gov/transcriptome/S_calcitrans/S1/links/cluster-b/Scalc-pep60-50SimCLTL162.txt", 10)</f>
        <v>10</v>
      </c>
      <c r="ER49" s="33">
        <f>HYPERLINK("http://exon.niaid.nih.gov/transcriptome/S_calcitrans/S1/links/cluster-b/Scalc-pep65-50SimCLU346.txt", 346)</f>
        <v>346</v>
      </c>
      <c r="ES49">
        <f>HYPERLINK("http://exon.niaid.nih.gov/transcriptome/S_calcitrans/S1/links/cluster-b/Scalc-pep65-50SimCLTL346.txt", 7)</f>
        <v>7</v>
      </c>
      <c r="ET49" s="33">
        <f>HYPERLINK("http://exon.niaid.nih.gov/transcriptome/S_calcitrans/S1/links/cluster-b/Scalc-pep70-50SimCLU3181.txt", 3181)</f>
        <v>3181</v>
      </c>
      <c r="EU49">
        <f>HYPERLINK("http://exon.niaid.nih.gov/transcriptome/S_calcitrans/S1/links/cluster-b/Scalc-pep70-50SimCLTL3181.txt", 2)</f>
        <v>2</v>
      </c>
      <c r="EV49" s="33">
        <v>9831</v>
      </c>
      <c r="EW49">
        <v>1</v>
      </c>
      <c r="EX49" s="33">
        <v>10108</v>
      </c>
      <c r="EY49">
        <v>1</v>
      </c>
      <c r="EZ49" s="33">
        <v>10433</v>
      </c>
      <c r="FA49">
        <v>1</v>
      </c>
      <c r="FB49" s="33">
        <v>10783</v>
      </c>
      <c r="FC49">
        <v>1</v>
      </c>
      <c r="FD49" s="33">
        <v>11292</v>
      </c>
      <c r="FE49">
        <v>1</v>
      </c>
      <c r="FF49" t="s">
        <v>698</v>
      </c>
      <c r="FG49">
        <v>15393</v>
      </c>
      <c r="FH49" s="38" t="str">
        <f>HYPERLINK("http://exon.niaid.nih.gov/transcriptome/S_calcitrans/S1/links/SG_male-stripped_temp-95-h10-1gap/15393-SG_male-stripped_temp-95-h10-1gap.txt","42130")</f>
        <v>42130</v>
      </c>
      <c r="FI49" s="39">
        <v>100</v>
      </c>
      <c r="FJ49" s="39">
        <v>4001.2213541666702</v>
      </c>
      <c r="FK49" s="39">
        <v>2</v>
      </c>
      <c r="FL49" s="39">
        <v>5881</v>
      </c>
      <c r="FM49" s="39">
        <v>72.940564918110596</v>
      </c>
      <c r="FN49" s="38" t="str">
        <f>HYPERLINK("http://exon.niaid.nih.gov/transcriptome/S_calcitrans/S1/links/SG_female-stripped_temp-95-h10-1gap/15393-SG_female-stripped_temp-95-h10-1gap.txt","128053")</f>
        <v>128053</v>
      </c>
      <c r="FO49" s="39">
        <v>100</v>
      </c>
      <c r="FP49" s="39">
        <v>12194.986979166701</v>
      </c>
      <c r="FQ49" s="39">
        <v>4</v>
      </c>
      <c r="FR49" s="39">
        <v>19677</v>
      </c>
      <c r="FS49" s="39">
        <v>73.140785456022101</v>
      </c>
      <c r="FT49" s="38" t="str">
        <f>HYPERLINK("http://exon.niaid.nih.gov/transcriptome/S_calcitrans/S1/links/SRR694289-stripped_temp-95-h10-1gap/15393-SRR694289-stripped_temp-95-h10-1gap.txt","1066")</f>
        <v>1066</v>
      </c>
      <c r="FU49" s="39">
        <v>100</v>
      </c>
      <c r="FV49" s="39">
        <v>137.385416666667</v>
      </c>
      <c r="FW49" s="39">
        <v>4</v>
      </c>
      <c r="FX49" s="39">
        <v>304</v>
      </c>
      <c r="FY49" s="39">
        <v>98.997185741088202</v>
      </c>
      <c r="FZ49" s="38" t="str">
        <f>HYPERLINK("http://exon.niaid.nih.gov/transcriptome/S_calcitrans/S1/links/SRR694925-stripped_temp-95-h10-1gap/15393-SRR694925-stripped_temp-95-h10-1gap.txt","1147")</f>
        <v>1147</v>
      </c>
      <c r="GA49" s="39">
        <v>100</v>
      </c>
      <c r="GB49" s="39">
        <v>148.434895833333</v>
      </c>
      <c r="GC49" s="39">
        <v>3</v>
      </c>
      <c r="GD49" s="39">
        <v>310</v>
      </c>
      <c r="GE49" s="39">
        <v>99.387968613775101</v>
      </c>
      <c r="GF49">
        <f t="shared" si="66"/>
        <v>42130</v>
      </c>
      <c r="GG49">
        <f t="shared" si="67"/>
        <v>128053</v>
      </c>
      <c r="GH49">
        <f t="shared" si="68"/>
        <v>1066</v>
      </c>
      <c r="GI49">
        <f t="shared" si="69"/>
        <v>1147</v>
      </c>
      <c r="GJ49">
        <f t="shared" si="70"/>
        <v>170183</v>
      </c>
      <c r="GK49" s="34">
        <v>0.66101793335908532</v>
      </c>
      <c r="GL49">
        <v>1794.4535831610985</v>
      </c>
      <c r="GM49">
        <v>2480.2860873590198</v>
      </c>
      <c r="GN49">
        <v>7.9786336394513215</v>
      </c>
      <c r="GO49">
        <v>8.8500554386114114</v>
      </c>
      <c r="GP49">
        <f t="shared" si="71"/>
        <v>2480.2860873590198</v>
      </c>
      <c r="GQ49" t="s">
        <v>651</v>
      </c>
      <c r="GR49">
        <v>1399.4790166566997</v>
      </c>
      <c r="GS49">
        <v>2035.7349715323821</v>
      </c>
      <c r="GT49">
        <v>14.382746482281002</v>
      </c>
      <c r="GU49">
        <v>16.75558117397275</v>
      </c>
      <c r="GV49">
        <f t="shared" si="72"/>
        <v>2035.7349715323821</v>
      </c>
      <c r="GW49">
        <v>110.25026843825503</v>
      </c>
      <c r="GX49">
        <v>170183</v>
      </c>
      <c r="GY49">
        <v>2213</v>
      </c>
      <c r="GZ49">
        <v>172396</v>
      </c>
      <c r="HA49">
        <v>38271.859177979655</v>
      </c>
      <c r="HB49">
        <v>134124.14082202033</v>
      </c>
      <c r="HC49">
        <v>454656.48773547373</v>
      </c>
      <c r="HD49">
        <v>129734.65452469894</v>
      </c>
      <c r="HE49">
        <v>584391.14226017264</v>
      </c>
      <c r="HF49">
        <v>0</v>
      </c>
      <c r="HG49">
        <v>38271.859177979655</v>
      </c>
      <c r="HH49">
        <v>1</v>
      </c>
      <c r="HI49">
        <v>1</v>
      </c>
      <c r="HJ49">
        <v>2</v>
      </c>
      <c r="HK49">
        <v>0</v>
      </c>
      <c r="HL49" s="30" t="s">
        <v>262</v>
      </c>
      <c r="HM49">
        <v>269.38037403871476</v>
      </c>
      <c r="HN49">
        <v>3.7105244175432892E-3</v>
      </c>
      <c r="HO49">
        <v>42130</v>
      </c>
      <c r="HP49">
        <v>128053</v>
      </c>
      <c r="HQ49">
        <v>170183</v>
      </c>
      <c r="HR49">
        <v>53198.515667068743</v>
      </c>
      <c r="HS49">
        <v>116984.48433293126</v>
      </c>
      <c r="HT49">
        <v>2302.9221311147285</v>
      </c>
      <c r="HU49">
        <v>1047.2503235855095</v>
      </c>
      <c r="HV49">
        <v>3350.1724547002377</v>
      </c>
      <c r="HW49">
        <v>0</v>
      </c>
      <c r="HX49">
        <v>53198.515667068743</v>
      </c>
      <c r="HY49">
        <v>1</v>
      </c>
      <c r="HZ49">
        <v>1</v>
      </c>
      <c r="IA49">
        <v>2</v>
      </c>
      <c r="IB49">
        <v>0</v>
      </c>
      <c r="IC49" s="30" t="s">
        <v>262</v>
      </c>
      <c r="ID49">
        <v>0.72348088353590745</v>
      </c>
      <c r="IE49">
        <v>1.3821629268225899</v>
      </c>
      <c r="IF49">
        <v>1.3821629268225899</v>
      </c>
      <c r="IG49" t="str">
        <f t="shared" si="1"/>
        <v/>
      </c>
    </row>
    <row r="50" spans="1:241">
      <c r="A50" t="str">
        <f>HYPERLINK("http://exon.niaid.nih.gov/transcriptome/S_calcitrans/S1/links/pep/XP_013112038.1-pep.txt","XP_013112038.1")</f>
        <v>XP_013112038.1</v>
      </c>
      <c r="B50" s="30" t="s">
        <v>232</v>
      </c>
      <c r="C50">
        <v>275</v>
      </c>
      <c r="D50" t="s">
        <v>699</v>
      </c>
      <c r="E50">
        <v>0</v>
      </c>
      <c r="F50" t="s">
        <v>700</v>
      </c>
      <c r="G50" t="str">
        <f>HYPERLINK("http://exon.niaid.nih.gov/transcriptome/S_calcitrans/S1/links/cds/XM_013256584_1-cds.txt","XM_013256584_1")</f>
        <v>XM_013256584_1</v>
      </c>
      <c r="H50">
        <v>828</v>
      </c>
      <c r="I50" t="s">
        <v>701</v>
      </c>
      <c r="J50" s="30" t="s">
        <v>236</v>
      </c>
      <c r="K50" s="30" t="s">
        <v>91</v>
      </c>
      <c r="L50" s="31" t="s">
        <v>702</v>
      </c>
      <c r="M50" s="30">
        <v>44613</v>
      </c>
      <c r="N50" s="30">
        <v>45440</v>
      </c>
      <c r="O50" s="30" t="s">
        <v>238</v>
      </c>
      <c r="P50" s="30">
        <v>1</v>
      </c>
      <c r="Q50" s="31" t="s">
        <v>703</v>
      </c>
      <c r="R50" s="32" t="str">
        <f>HYPERLINK("http://exon.niaid.nih.gov/transcriptome/S_calcitrans/S1/links/Sigp/XP_013112038.1-SigP.txt","SIG")</f>
        <v>SIG</v>
      </c>
      <c r="S50" t="s">
        <v>657</v>
      </c>
      <c r="T50">
        <v>28.533999999999999</v>
      </c>
      <c r="U50">
        <v>8.74</v>
      </c>
      <c r="V50">
        <v>25.744</v>
      </c>
      <c r="W50">
        <v>8.1999999999999993</v>
      </c>
      <c r="X50" t="s">
        <v>704</v>
      </c>
      <c r="Y50" s="32" t="str">
        <f>HYPERLINK("http://exon.niaid.nih.gov/transcriptome/S_calcitrans/S1/links/tmhmm/XP_013112038.1-tmhmm.txt","1")</f>
        <v>1</v>
      </c>
      <c r="Z50">
        <v>8</v>
      </c>
      <c r="AA50">
        <v>89.5</v>
      </c>
      <c r="AB50">
        <v>2.5</v>
      </c>
      <c r="AC50" t="s">
        <v>242</v>
      </c>
      <c r="AD50">
        <v>246</v>
      </c>
      <c r="AE50" s="32" t="str">
        <f>HYPERLINK("http://exon.niaid.nih.gov/transcriptome/S_calcitrans/S1/links/netoglyc/XP_013112038.1-netoglyc.txt","11")</f>
        <v>11</v>
      </c>
      <c r="AF50">
        <v>22.2</v>
      </c>
      <c r="AG50">
        <v>9.8000000000000007</v>
      </c>
      <c r="AH50">
        <v>5.5</v>
      </c>
      <c r="AI50" t="s">
        <v>243</v>
      </c>
      <c r="AJ50" t="s">
        <v>705</v>
      </c>
      <c r="AK50">
        <v>313.61876431310623</v>
      </c>
      <c r="AL50" s="33">
        <v>12226</v>
      </c>
      <c r="AM50">
        <v>1</v>
      </c>
      <c r="AN50" s="30">
        <f t="shared" si="0"/>
        <v>1</v>
      </c>
      <c r="AO50" s="30" t="s">
        <v>244</v>
      </c>
      <c r="AP50">
        <v>31411</v>
      </c>
      <c r="AQ50" s="34">
        <v>0.12200533722370759</v>
      </c>
      <c r="AR50" s="35">
        <v>123.88526132608636</v>
      </c>
      <c r="AS50" t="s">
        <v>706</v>
      </c>
      <c r="AT50" s="36" t="s">
        <v>707</v>
      </c>
      <c r="AU50" t="s">
        <v>708</v>
      </c>
      <c r="AV50" t="str">
        <f>HYPERLINK("http://exon.niaid.nih.gov/transcriptome/S_calcitrans/S1/links/NR-LIGHT/XP_013112038.1-NR-LIGHT.txt","NR-LIGHT")</f>
        <v>NR-LIGHT</v>
      </c>
      <c r="AW50">
        <v>0</v>
      </c>
      <c r="AX50">
        <v>101.8</v>
      </c>
      <c r="AY50" s="33" t="str">
        <f>HYPERLINK("http://exon.niaid.nih.gov/transcriptome/S_calcitrans/S1/links/WANG/XP_013112038.1-WANG.txt","SC-4-11-3")</f>
        <v>SC-4-11-3</v>
      </c>
      <c r="AZ50">
        <v>9.9999999999999999E-160</v>
      </c>
      <c r="BA50">
        <v>275</v>
      </c>
      <c r="BB50">
        <v>275</v>
      </c>
      <c r="BC50">
        <v>98</v>
      </c>
      <c r="BD50">
        <v>99</v>
      </c>
      <c r="BE50">
        <v>100</v>
      </c>
      <c r="BF50" t="s">
        <v>248</v>
      </c>
      <c r="BG50" s="31" t="s">
        <v>638</v>
      </c>
      <c r="BH50" t="s">
        <v>709</v>
      </c>
      <c r="BI50">
        <v>1</v>
      </c>
      <c r="BJ50" s="33"/>
      <c r="BK50" s="33"/>
      <c r="BL50" s="33" t="str">
        <f>HYPERLINK("http://exon.niaid.nih.gov/transcriptome/S_calcitrans/S1/links/NR-LIGHT/XP_013112038.1-NR-LIGHT.txt","trypsin-like")</f>
        <v>trypsin-like</v>
      </c>
      <c r="BM50" t="str">
        <f>HYPERLINK("http://www.ncbi.nlm.nih.gov/sutils/blink.cgi?pid=557758431","1E-109")</f>
        <v>1E-109</v>
      </c>
      <c r="BN50" t="str">
        <f>HYPERLINK("http://www.ncbi.nlm.nih.gov/protein/557758431","gi|557758431")</f>
        <v>gi|557758431</v>
      </c>
      <c r="BO50">
        <v>72</v>
      </c>
      <c r="BP50">
        <v>81</v>
      </c>
      <c r="BQ50">
        <v>102</v>
      </c>
      <c r="BR50" t="s">
        <v>251</v>
      </c>
      <c r="BS50" s="33" t="str">
        <f>HYPERLINK("http://exon.niaid.nih.gov/transcriptome/S_calcitrans/S1/links/SWISSP/XP_013112038.1-SWISSP.txt","Lectizyme")</f>
        <v>Lectizyme</v>
      </c>
      <c r="BT50" t="str">
        <f>HYPERLINK("http://www.uniprot.org/uniprot/Q8MUG0","5E-038")</f>
        <v>5E-038</v>
      </c>
      <c r="BU50" t="str">
        <f>HYPERLINK("http://www.uniprot.org/uniprot/Q8MUG0#expression","Q8MUG0")</f>
        <v>Q8MUG0</v>
      </c>
      <c r="BV50">
        <v>36</v>
      </c>
      <c r="BW50">
        <v>50</v>
      </c>
      <c r="BX50">
        <v>90</v>
      </c>
      <c r="BY50" t="s">
        <v>710</v>
      </c>
      <c r="BZ50" s="33" t="str">
        <f>HYPERLINK("http://exon.niaid.nih.gov/transcriptome/S_calcitrans/S1/links/REFSEQ-INVERTEBRATE/XP_013112038.1-REFSEQ-INVERTEBRATE.txt","lectizyme-like precursor")</f>
        <v>lectizyme-like precursor</v>
      </c>
      <c r="CA50" t="str">
        <f>HYPERLINK("http://www.ncbi.nlm.nih.gov/sutils/blink.cgi?pid=910242152","1E-154")</f>
        <v>1E-154</v>
      </c>
      <c r="CB50" t="str">
        <f>HYPERLINK("http://www.ncbi.nlm.nih.gov/protein/910242152","gi|910242152")</f>
        <v>gi|910242152</v>
      </c>
      <c r="CC50">
        <v>98</v>
      </c>
      <c r="CD50">
        <v>99</v>
      </c>
      <c r="CE50">
        <v>100</v>
      </c>
      <c r="CF50" t="s">
        <v>253</v>
      </c>
      <c r="CG50" s="33" t="str">
        <f>HYPERLINK("http://exon.niaid.nih.gov/transcriptome/S_calcitrans/S1/links/DIPTERA/XP_013112038.1-DIPTERA.txt","chymotrypsin")</f>
        <v>chymotrypsin</v>
      </c>
      <c r="CH50" t="str">
        <f>HYPERLINK("http://www.ncbi.nlm.nih.gov/sutils/blink.cgi?pid=32395297","1E-154")</f>
        <v>1E-154</v>
      </c>
      <c r="CI50" t="str">
        <f>HYPERLINK("http://www.ncbi.nlm.nih.gov/protein/32395297","gi|32395297")</f>
        <v>gi|32395297</v>
      </c>
      <c r="CJ50">
        <v>98</v>
      </c>
      <c r="CK50">
        <v>99</v>
      </c>
      <c r="CL50">
        <v>100</v>
      </c>
      <c r="CM50" t="s">
        <v>253</v>
      </c>
      <c r="CN50" s="33" t="str">
        <f>HYPERLINK("http://exon.niaid.nih.gov/transcriptome/S_calcitrans/S1/links/VIRUS/XP_013112038.1-VIRUS.txt","trypsin-like protein")</f>
        <v>trypsin-like protein</v>
      </c>
      <c r="CO50" t="str">
        <f>HYPERLINK("http://www.ncbi.nlm.nih.gov/sutils/blink.cgi?pid=48843541","1E-023")</f>
        <v>1E-023</v>
      </c>
      <c r="CP50" t="str">
        <f>HYPERLINK("http://www.ncbi.nlm.nih.gov/protein/48843541","gi|48843541")</f>
        <v>gi|48843541</v>
      </c>
      <c r="CQ50">
        <v>30</v>
      </c>
      <c r="CR50">
        <v>45</v>
      </c>
      <c r="CS50">
        <v>91</v>
      </c>
      <c r="CT50" t="s">
        <v>640</v>
      </c>
      <c r="CU50" s="33" t="s">
        <v>711</v>
      </c>
      <c r="CV50">
        <f>HYPERLINK("http://exon.niaid.nih.gov/transcriptome/S_calcitrans/S1/links/GO/XP_013112038.1-GO.txt",0)</f>
        <v>0</v>
      </c>
      <c r="CW50" t="str">
        <f t="shared" si="56"/>
        <v>GO:0004252</v>
      </c>
      <c r="CX50" t="s">
        <v>623</v>
      </c>
      <c r="CY50" t="s">
        <v>624</v>
      </c>
      <c r="CZ50" t="s">
        <v>625</v>
      </c>
      <c r="DA50" t="str">
        <f t="shared" si="57"/>
        <v>EC:3.4.21</v>
      </c>
      <c r="DC50" t="s">
        <v>712</v>
      </c>
      <c r="DD50" s="37">
        <v>3E-65</v>
      </c>
      <c r="DE50" s="33" t="str">
        <f>HYPERLINK("http://exon.niaid.nih.gov/transcriptome/S_calcitrans/S1/links/CDD/XP_013112038.1-CDD.txt","Tryp_SPc")</f>
        <v>Tryp_SPc</v>
      </c>
      <c r="DF50" t="str">
        <f>HYPERLINK("http://www.ncbi.nlm.nih.gov/Structure/cdd/cddsrv.cgi?uid=cd00190&amp;version=v4.0","1E-054")</f>
        <v>1E-054</v>
      </c>
      <c r="DG50" t="s">
        <v>713</v>
      </c>
      <c r="DH50" s="33" t="str">
        <f>HYPERLINK("http://exon.niaid.nih.gov/transcriptome/S_calcitrans/S1/links/KOG/XP_013112038.1-KOG.txt","Trypsin")</f>
        <v>Trypsin</v>
      </c>
      <c r="DI50" t="str">
        <f>HYPERLINK("http://www.ncbi.nlm.nih.gov/Structure/cdd/cddsrv.cgi?uid=KOG3627","6E-057")</f>
        <v>6E-057</v>
      </c>
      <c r="DJ50" t="s">
        <v>628</v>
      </c>
      <c r="DK50" t="str">
        <f>HYPERLINK("http://exon.niaid.nih.gov/transcriptome/S_calcitrans/S1/links/KOG/XP_013112038.1-KOG.txt","KOG3627")</f>
        <v>KOG3627</v>
      </c>
      <c r="DL50" s="33" t="str">
        <f>HYPERLINK("http://exon.niaid.nih.gov/transcriptome/S_calcitrans/S1/links/PFAM/XP_013112038.1-PFAM.txt","Trypsin")</f>
        <v>Trypsin</v>
      </c>
      <c r="DM50" t="str">
        <f>HYPERLINK("http://pfam.sanger.ac.uk/family?acc=PF00089","6E-042")</f>
        <v>6E-042</v>
      </c>
      <c r="DN50" s="33" t="str">
        <f>HYPERLINK("http://exon.niaid.nih.gov/transcriptome/S_calcitrans/S1/links/SMART/XP_013112038.1-SMART.txt","Tryp_SPc")</f>
        <v>Tryp_SPc</v>
      </c>
      <c r="DO50" t="str">
        <f>HYPERLINK("http://smart.embl-heidelberg.de/smart/do_annotation.pl?DOMAIN=Tryp_SPc&amp;BLAST=DUMMY","5E-053")</f>
        <v>5E-053</v>
      </c>
      <c r="DP50" s="33"/>
      <c r="EB50" s="33">
        <f t="shared" si="58"/>
        <v>1</v>
      </c>
      <c r="EC50">
        <f t="shared" si="59"/>
        <v>5170</v>
      </c>
      <c r="ED50" s="33">
        <f t="shared" si="60"/>
        <v>4</v>
      </c>
      <c r="EE50">
        <f t="shared" si="61"/>
        <v>229</v>
      </c>
      <c r="EF50" s="33">
        <f t="shared" si="62"/>
        <v>4</v>
      </c>
      <c r="EG50">
        <f t="shared" si="63"/>
        <v>227</v>
      </c>
      <c r="EH50" s="33">
        <f t="shared" si="64"/>
        <v>3</v>
      </c>
      <c r="EI50">
        <f t="shared" si="65"/>
        <v>215</v>
      </c>
      <c r="EJ50" s="33">
        <f t="shared" si="73"/>
        <v>3</v>
      </c>
      <c r="EK50">
        <f t="shared" si="74"/>
        <v>168</v>
      </c>
      <c r="EL50" s="33">
        <v>8580</v>
      </c>
      <c r="EM50">
        <v>1</v>
      </c>
      <c r="EN50" s="33">
        <v>9081</v>
      </c>
      <c r="EO50">
        <v>1</v>
      </c>
      <c r="EP50" s="33">
        <v>9490</v>
      </c>
      <c r="EQ50">
        <v>1</v>
      </c>
      <c r="ER50" s="33">
        <v>9855</v>
      </c>
      <c r="ES50">
        <v>1</v>
      </c>
      <c r="ET50" s="33">
        <v>10181</v>
      </c>
      <c r="EU50">
        <v>1</v>
      </c>
      <c r="EV50" s="33">
        <v>10535</v>
      </c>
      <c r="EW50">
        <v>1</v>
      </c>
      <c r="EX50" s="33">
        <v>10844</v>
      </c>
      <c r="EY50">
        <v>1</v>
      </c>
      <c r="EZ50" s="33">
        <v>11215</v>
      </c>
      <c r="FA50">
        <v>1</v>
      </c>
      <c r="FB50" s="33">
        <v>11622</v>
      </c>
      <c r="FC50">
        <v>1</v>
      </c>
      <c r="FD50" s="33">
        <v>12226</v>
      </c>
      <c r="FE50">
        <v>1</v>
      </c>
      <c r="FF50" t="s">
        <v>714</v>
      </c>
      <c r="FG50">
        <v>16948</v>
      </c>
      <c r="FH50" s="38" t="str">
        <f>HYPERLINK("http://exon.niaid.nih.gov/transcriptome/S_calcitrans/S1/links/SG_male-stripped_temp-95-h10-1gap/16948-SG_male-stripped_temp-95-h10-1gap.txt","6824")</f>
        <v>6824</v>
      </c>
      <c r="FI50" s="39">
        <v>98.6714975845411</v>
      </c>
      <c r="FJ50" s="39">
        <v>596.51328502415504</v>
      </c>
      <c r="FK50" s="39">
        <v>0</v>
      </c>
      <c r="FL50" s="39">
        <v>1109</v>
      </c>
      <c r="FM50" s="39">
        <v>72.378956623681105</v>
      </c>
      <c r="FN50" s="38" t="str">
        <f>HYPERLINK("http://exon.niaid.nih.gov/transcriptome/S_calcitrans/S1/links/SG_female-stripped_temp-95-h10-1gap/16948-SG_female-stripped_temp-95-h10-1gap.txt","24587")</f>
        <v>24587</v>
      </c>
      <c r="FO50" s="39">
        <v>100</v>
      </c>
      <c r="FP50" s="39">
        <v>2151.0942028985501</v>
      </c>
      <c r="FQ50" s="39">
        <v>3</v>
      </c>
      <c r="FR50" s="39">
        <v>3748</v>
      </c>
      <c r="FS50" s="39">
        <v>72.441249440761396</v>
      </c>
      <c r="FT50" s="38" t="str">
        <f>HYPERLINK("http://exon.niaid.nih.gov/transcriptome/S_calcitrans/S1/links/SRR694289-stripped_temp-95-h10-1gap/16948-SRR694289-stripped_temp-95-h10-1gap.txt","134")</f>
        <v>134</v>
      </c>
      <c r="FU50" s="39">
        <v>95.531400966183597</v>
      </c>
      <c r="FV50" s="39">
        <v>15.5785024154589</v>
      </c>
      <c r="FW50" s="39">
        <v>0</v>
      </c>
      <c r="FX50" s="39">
        <v>37</v>
      </c>
      <c r="FY50" s="39">
        <v>96.261194029850699</v>
      </c>
      <c r="FZ50" s="38" t="str">
        <f>HYPERLINK("http://exon.niaid.nih.gov/transcriptome/S_calcitrans/S1/links/SRR694925-stripped_temp-95-h10-1gap/16948-SRR694925-stripped_temp-95-h10-1gap.txt","216")</f>
        <v>216</v>
      </c>
      <c r="GA50" s="39">
        <v>95.048309178744006</v>
      </c>
      <c r="GB50" s="39">
        <v>25.740338164251199</v>
      </c>
      <c r="GC50" s="39">
        <v>0</v>
      </c>
      <c r="GD50" s="39">
        <v>52</v>
      </c>
      <c r="GE50" s="39">
        <v>98.671296296296305</v>
      </c>
      <c r="GF50">
        <f t="shared" si="66"/>
        <v>6824</v>
      </c>
      <c r="GG50">
        <f t="shared" si="67"/>
        <v>24587</v>
      </c>
      <c r="GH50">
        <f t="shared" si="68"/>
        <v>134</v>
      </c>
      <c r="GI50">
        <f t="shared" si="69"/>
        <v>216</v>
      </c>
      <c r="GJ50">
        <f t="shared" si="70"/>
        <v>31411</v>
      </c>
      <c r="GK50" s="34">
        <v>0.12200533722370759</v>
      </c>
      <c r="GL50">
        <v>269.59427861155962</v>
      </c>
      <c r="GM50">
        <v>441.72140429549927</v>
      </c>
      <c r="GN50">
        <v>0.93026568360571193</v>
      </c>
      <c r="GO50">
        <v>1.5458494924802466</v>
      </c>
      <c r="GP50">
        <f t="shared" si="71"/>
        <v>441.72140429549927</v>
      </c>
      <c r="GQ50" t="s">
        <v>708</v>
      </c>
      <c r="GR50">
        <v>210.25427431950808</v>
      </c>
      <c r="GS50">
        <v>362.54999573707624</v>
      </c>
      <c r="GT50">
        <v>1.6769507277923956</v>
      </c>
      <c r="GU50">
        <v>2.926716881455079</v>
      </c>
      <c r="GV50">
        <f t="shared" si="72"/>
        <v>362.54999573707624</v>
      </c>
      <c r="GW50">
        <v>123.88526132608636</v>
      </c>
      <c r="GX50">
        <v>31411</v>
      </c>
      <c r="GY50">
        <v>350</v>
      </c>
      <c r="GZ50">
        <v>31761</v>
      </c>
      <c r="HA50">
        <v>7050.9322684506133</v>
      </c>
      <c r="HB50">
        <v>24710.067731549385</v>
      </c>
      <c r="HC50">
        <v>84160.91337891572</v>
      </c>
      <c r="HD50">
        <v>24015.025225042762</v>
      </c>
      <c r="HE50">
        <v>108175.93860395848</v>
      </c>
      <c r="HF50">
        <v>0</v>
      </c>
      <c r="HG50">
        <v>7050.9322684506133</v>
      </c>
      <c r="HH50">
        <v>1</v>
      </c>
      <c r="HI50">
        <v>1</v>
      </c>
      <c r="HJ50">
        <v>2</v>
      </c>
      <c r="HK50">
        <v>0</v>
      </c>
      <c r="HL50" s="30" t="s">
        <v>262</v>
      </c>
      <c r="HM50">
        <v>313.61876431310623</v>
      </c>
      <c r="HN50">
        <v>3.1793992144101822E-3</v>
      </c>
      <c r="HO50">
        <v>6824</v>
      </c>
      <c r="HP50">
        <v>24587</v>
      </c>
      <c r="HQ50">
        <v>31411</v>
      </c>
      <c r="HR50">
        <v>9818.9512208522374</v>
      </c>
      <c r="HS50">
        <v>21592.048779147764</v>
      </c>
      <c r="HT50">
        <v>913.51231038153367</v>
      </c>
      <c r="HU50">
        <v>415.41832861857455</v>
      </c>
      <c r="HV50">
        <v>1328.9306390001082</v>
      </c>
      <c r="HW50">
        <v>5.8376901755277471E-291</v>
      </c>
      <c r="HX50">
        <v>9818.9512208522374</v>
      </c>
      <c r="HY50">
        <v>1</v>
      </c>
      <c r="HZ50">
        <v>1</v>
      </c>
      <c r="IA50">
        <v>2</v>
      </c>
      <c r="IB50" s="37">
        <v>1.61797981481482E-288</v>
      </c>
      <c r="IC50" s="30" t="s">
        <v>262</v>
      </c>
      <c r="ID50">
        <v>0.61030167776447486</v>
      </c>
      <c r="IE50">
        <v>1.6382272112197691</v>
      </c>
      <c r="IF50">
        <v>1.6382272112197691</v>
      </c>
      <c r="IG50" t="str">
        <f t="shared" si="1"/>
        <v/>
      </c>
    </row>
    <row r="51" spans="1:241">
      <c r="A51" s="22" t="s">
        <v>54</v>
      </c>
      <c r="B51" s="23"/>
      <c r="C51" s="24"/>
      <c r="D51" s="24"/>
      <c r="E51" s="24"/>
      <c r="F51" s="24"/>
      <c r="G51" s="24"/>
      <c r="H51" s="24"/>
      <c r="I51" s="24"/>
      <c r="J51" s="23"/>
      <c r="K51" s="23"/>
      <c r="L51" s="25"/>
      <c r="M51" s="23"/>
      <c r="N51" s="23"/>
      <c r="O51" s="23"/>
      <c r="P51" s="23"/>
      <c r="Q51" s="25"/>
      <c r="R51" s="23"/>
      <c r="S51" s="24"/>
      <c r="T51" s="24"/>
      <c r="U51" s="24"/>
      <c r="V51" s="24"/>
      <c r="W51" s="24"/>
      <c r="X51" s="24"/>
      <c r="Y51" s="23"/>
      <c r="Z51" s="24"/>
      <c r="AA51" s="24"/>
      <c r="AB51" s="24"/>
      <c r="AC51" s="24"/>
      <c r="AD51" s="24"/>
      <c r="AE51" s="23"/>
      <c r="AF51" s="24"/>
      <c r="AG51" s="24"/>
      <c r="AH51" s="24"/>
      <c r="AI51" s="24"/>
      <c r="AJ51" s="24"/>
      <c r="AK51" s="24"/>
      <c r="AL51" s="24"/>
      <c r="AM51" s="24"/>
      <c r="AN51" s="23" t="str">
        <f t="shared" si="0"/>
        <v/>
      </c>
      <c r="AO51" s="23" t="s">
        <v>244</v>
      </c>
      <c r="AP51" s="24" t="s">
        <v>244</v>
      </c>
      <c r="AQ51" s="26"/>
      <c r="AR51" s="27"/>
      <c r="AS51" s="24"/>
      <c r="AT51" s="24"/>
      <c r="AU51" s="24"/>
      <c r="AV51" s="24"/>
      <c r="AW51" s="24"/>
      <c r="AX51" s="24"/>
      <c r="AY51" s="24"/>
      <c r="AZ51" s="24"/>
      <c r="BA51" s="24"/>
      <c r="BB51" s="24"/>
      <c r="BC51" s="24"/>
      <c r="BD51" s="24"/>
      <c r="BE51" s="24"/>
      <c r="BF51" s="24"/>
      <c r="BG51" s="25"/>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8"/>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9"/>
      <c r="FI51" s="29"/>
      <c r="FJ51" s="29"/>
      <c r="FK51" s="29"/>
      <c r="FL51" s="29"/>
      <c r="FM51" s="29"/>
      <c r="FN51" s="29"/>
      <c r="FO51" s="29"/>
      <c r="FP51" s="29"/>
      <c r="FQ51" s="29"/>
      <c r="FR51" s="29"/>
      <c r="FS51" s="29"/>
      <c r="FT51" s="29"/>
      <c r="FU51" s="29"/>
      <c r="FV51" s="29"/>
      <c r="FW51" s="29"/>
      <c r="FX51" s="29"/>
      <c r="FY51" s="29"/>
      <c r="FZ51" s="29"/>
      <c r="GA51" s="29"/>
      <c r="GB51" s="29"/>
      <c r="GC51" s="29"/>
      <c r="GD51" s="29"/>
      <c r="GE51" s="29"/>
      <c r="GF51" s="24"/>
      <c r="GG51" s="24"/>
      <c r="GH51" s="24"/>
      <c r="GI51" s="24"/>
      <c r="GJ51" s="24" t="str">
        <f t="shared" si="2"/>
        <v/>
      </c>
      <c r="GK51" s="26"/>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3"/>
      <c r="HM51" s="24"/>
      <c r="HN51" s="24"/>
      <c r="HO51" s="24"/>
      <c r="HP51" s="24"/>
      <c r="HQ51" s="24"/>
      <c r="HR51" s="24"/>
      <c r="HS51" s="24"/>
      <c r="HT51" s="24"/>
      <c r="HU51" s="24"/>
      <c r="HV51" s="24"/>
      <c r="HW51" s="24"/>
      <c r="HX51" s="24"/>
      <c r="HY51" s="24"/>
      <c r="HZ51" s="24"/>
      <c r="IA51" s="24"/>
      <c r="IB51" s="24"/>
      <c r="IC51" s="23"/>
      <c r="ID51" s="24"/>
      <c r="IE51" s="24"/>
      <c r="IF51" s="24"/>
      <c r="IG51" s="24" t="str">
        <f t="shared" si="1"/>
        <v/>
      </c>
    </row>
    <row r="52" spans="1:241">
      <c r="A52" t="str">
        <f>HYPERLINK("http://exon.niaid.nih.gov/transcriptome/S_calcitrans/S1/links/pep/XP_013101310.1-pep.txt","XP_013101310.1")</f>
        <v>XP_013101310.1</v>
      </c>
      <c r="B52" s="30" t="s">
        <v>232</v>
      </c>
      <c r="C52">
        <v>79</v>
      </c>
      <c r="D52" t="s">
        <v>715</v>
      </c>
      <c r="E52">
        <v>0</v>
      </c>
      <c r="F52" t="s">
        <v>716</v>
      </c>
      <c r="G52" t="str">
        <f>HYPERLINK("http://exon.niaid.nih.gov/transcriptome/S_calcitrans/S1/links/cds/XM_013245856_1-cds.txt","XM_013245856_1")</f>
        <v>XM_013245856_1</v>
      </c>
      <c r="H52">
        <v>240</v>
      </c>
      <c r="I52" t="s">
        <v>717</v>
      </c>
      <c r="J52" s="30" t="s">
        <v>236</v>
      </c>
      <c r="K52" s="30" t="s">
        <v>91</v>
      </c>
      <c r="L52" s="31" t="s">
        <v>718</v>
      </c>
      <c r="M52" s="30">
        <v>703165</v>
      </c>
      <c r="N52" s="30">
        <v>705787</v>
      </c>
      <c r="O52" s="30" t="s">
        <v>238</v>
      </c>
      <c r="P52" s="30">
        <v>2</v>
      </c>
      <c r="Q52" s="31" t="s">
        <v>719</v>
      </c>
      <c r="R52" s="32" t="str">
        <f>HYPERLINK("http://exon.niaid.nih.gov/transcriptome/S_calcitrans/S1/links/Sigp/XP_013101310.1-SigP.txt","CYT")</f>
        <v>CYT</v>
      </c>
      <c r="S52" t="s">
        <v>242</v>
      </c>
      <c r="T52">
        <v>9.1010000000000009</v>
      </c>
      <c r="U52">
        <v>5.3</v>
      </c>
      <c r="V52" t="s">
        <v>242</v>
      </c>
      <c r="W52" t="s">
        <v>242</v>
      </c>
      <c r="X52" t="s">
        <v>720</v>
      </c>
      <c r="Y52" s="32">
        <v>0</v>
      </c>
      <c r="Z52" t="s">
        <v>242</v>
      </c>
      <c r="AA52" t="s">
        <v>242</v>
      </c>
      <c r="AB52" t="s">
        <v>242</v>
      </c>
      <c r="AC52" t="s">
        <v>242</v>
      </c>
      <c r="AD52" t="s">
        <v>242</v>
      </c>
      <c r="AE52" s="32" t="str">
        <f>HYPERLINK("http://exon.niaid.nih.gov/transcriptome/S_calcitrans/S1/links/netoglyc/XP_013101310.1-netoglyc.txt","0")</f>
        <v>0</v>
      </c>
      <c r="AF52">
        <v>12.7</v>
      </c>
      <c r="AG52">
        <v>6.3</v>
      </c>
      <c r="AH52">
        <v>3.8</v>
      </c>
      <c r="AI52" t="s">
        <v>243</v>
      </c>
      <c r="AJ52" t="s">
        <v>242</v>
      </c>
      <c r="AK52">
        <v>4976.4052245690491</v>
      </c>
      <c r="AL52" s="33">
        <v>6870</v>
      </c>
      <c r="AM52">
        <v>1</v>
      </c>
      <c r="AN52" s="30">
        <f t="shared" si="0"/>
        <v>1</v>
      </c>
      <c r="AO52" s="30" t="s">
        <v>244</v>
      </c>
      <c r="AP52">
        <v>2840</v>
      </c>
      <c r="AQ52" s="34">
        <v>1.1031013266541325E-2</v>
      </c>
      <c r="AR52" s="35">
        <v>3218.3494030340894</v>
      </c>
      <c r="AS52" t="s">
        <v>721</v>
      </c>
      <c r="AT52" s="36" t="s">
        <v>722</v>
      </c>
      <c r="AU52" t="s">
        <v>524</v>
      </c>
      <c r="AV52" t="str">
        <f>HYPERLINK("http://exon.niaid.nih.gov/transcriptome/S_calcitrans/S1/links/DIPTERA/XP_013101310.1-DIPTERA.txt","DIPTERA")</f>
        <v>DIPTERA</v>
      </c>
      <c r="AW52" s="37">
        <v>4.9999999999999996E-41</v>
      </c>
      <c r="AX52">
        <v>100</v>
      </c>
      <c r="AY52" s="33"/>
      <c r="BG52" s="31"/>
      <c r="BJ52" s="33"/>
      <c r="BK52" s="33"/>
      <c r="BL52" s="33" t="str">
        <f>HYPERLINK("http://exon.niaid.nih.gov/transcriptome/S_calcitrans/S1/links/NR-LIGHT/XP_013101310.1-NR-LIGHT.txt","crustapain-like")</f>
        <v>crustapain-like</v>
      </c>
      <c r="BM52" t="str">
        <f>HYPERLINK("http://www.ncbi.nlm.nih.gov/sutils/blink.cgi?pid=557783478","8E-016")</f>
        <v>8E-016</v>
      </c>
      <c r="BN52" t="str">
        <f>HYPERLINK("http://www.ncbi.nlm.nih.gov/protein/557783478","gi|557783478")</f>
        <v>gi|557783478</v>
      </c>
      <c r="BO52">
        <v>55</v>
      </c>
      <c r="BP52">
        <v>68</v>
      </c>
      <c r="BQ52">
        <v>97</v>
      </c>
      <c r="BR52" t="s">
        <v>251</v>
      </c>
      <c r="BS52" s="33" t="str">
        <f>HYPERLINK("http://exon.niaid.nih.gov/transcriptome/S_calcitrans/S1/links/SWISSP/XP_013101310.1-SWISSP.txt","Digestive cysteine proteinase 3")</f>
        <v>Digestive cysteine proteinase 3</v>
      </c>
      <c r="BT52" t="str">
        <f>HYPERLINK("http://www.uniprot.org/uniprot/P25784","4E-009")</f>
        <v>4E-009</v>
      </c>
      <c r="BU52" t="str">
        <f>HYPERLINK("http://www.uniprot.org/uniprot/P25784#expression","P25784")</f>
        <v>P25784</v>
      </c>
      <c r="BV52">
        <v>40</v>
      </c>
      <c r="BW52">
        <v>60</v>
      </c>
      <c r="BX52">
        <v>21</v>
      </c>
      <c r="BY52" t="s">
        <v>723</v>
      </c>
      <c r="BZ52" s="33" t="str">
        <f>HYPERLINK("http://exon.niaid.nih.gov/transcriptome/S_calcitrans/S1/links/REFSEQ-INVERTEBRATE/XP_013101310.1-REFSEQ-INVERTEBRATE.txt","digestive cysteine proteinase 3-like")</f>
        <v>digestive cysteine proteinase 3-like</v>
      </c>
      <c r="CA52" t="str">
        <f>HYPERLINK("http://www.ncbi.nlm.nih.gov/sutils/blink.cgi?pid=907646250","1E-040")</f>
        <v>1E-040</v>
      </c>
      <c r="CB52" t="str">
        <f>HYPERLINK("http://www.ncbi.nlm.nih.gov/protein/907646250","gi|907646250")</f>
        <v>gi|907646250</v>
      </c>
      <c r="CC52">
        <v>100</v>
      </c>
      <c r="CD52">
        <v>100</v>
      </c>
      <c r="CE52">
        <v>100</v>
      </c>
      <c r="CF52" t="s">
        <v>253</v>
      </c>
      <c r="CG52" s="33" t="str">
        <f>HYPERLINK("http://exon.niaid.nih.gov/transcriptome/S_calcitrans/S1/links/DIPTERA/XP_013101310.1-DIPTERA.txt","digestive cysteine proteinase 3-like")</f>
        <v>digestive cysteine proteinase 3-like</v>
      </c>
      <c r="CH52" t="str">
        <f>HYPERLINK("http://www.ncbi.nlm.nih.gov/sutils/blink.cgi?pid=907646250","5E-041")</f>
        <v>5E-041</v>
      </c>
      <c r="CI52" t="str">
        <f>HYPERLINK("http://www.ncbi.nlm.nih.gov/protein/907646250","gi|907646250")</f>
        <v>gi|907646250</v>
      </c>
      <c r="CJ52">
        <v>100</v>
      </c>
      <c r="CK52">
        <v>100</v>
      </c>
      <c r="CL52">
        <v>100</v>
      </c>
      <c r="CM52" t="s">
        <v>253</v>
      </c>
      <c r="CN52" s="33" t="s">
        <v>242</v>
      </c>
      <c r="CO52" t="s">
        <v>242</v>
      </c>
      <c r="CP52" t="s">
        <v>242</v>
      </c>
      <c r="CQ52" t="s">
        <v>242</v>
      </c>
      <c r="CR52" t="s">
        <v>242</v>
      </c>
      <c r="CS52" t="s">
        <v>242</v>
      </c>
      <c r="CT52" t="s">
        <v>242</v>
      </c>
      <c r="CU52" s="33" t="s">
        <v>724</v>
      </c>
      <c r="CV52">
        <f>HYPERLINK("http://exon.niaid.nih.gov/transcriptome/S_calcitrans/S1/links/GO/XP_013101310.1-GO.txt",0.0000000000002)</f>
        <v>2.0000000000000001E-13</v>
      </c>
      <c r="CW52" t="str">
        <f>HYPERLINK("http://amigo.geneontology.org/cgi-bin/amigo/term_details?term=GO:0008234","GO:0008234")</f>
        <v>GO:0008234</v>
      </c>
      <c r="CX52" t="s">
        <v>725</v>
      </c>
      <c r="CY52" t="s">
        <v>726</v>
      </c>
      <c r="CZ52" t="s">
        <v>727</v>
      </c>
      <c r="DA52" t="str">
        <f>HYPERLINK("http://www.genome.jp/dbget-bin/www_bfind_sub?mode=bfind&amp;max_hit=1000&amp;dbkey=kegg&amp;keywords=EC:3.4.-.-","EC:3.4.-.-")</f>
        <v>EC:3.4.-.-</v>
      </c>
      <c r="DC52" t="s">
        <v>728</v>
      </c>
      <c r="DD52">
        <v>2.0000000000000001E-13</v>
      </c>
      <c r="DE52" s="33" t="str">
        <f>HYPERLINK("http://exon.niaid.nih.gov/transcriptome/S_calcitrans/S1/links/CDD/XP_013101310.1-CDD.txt","Inhibitor_I29")</f>
        <v>Inhibitor_I29</v>
      </c>
      <c r="DF52" t="str">
        <f>HYPERLINK("http://www.ncbi.nlm.nih.gov/Structure/cdd/cddsrv.cgi?uid=pfam08246&amp;version=v4.0","3E-007")</f>
        <v>3E-007</v>
      </c>
      <c r="DG52" t="s">
        <v>729</v>
      </c>
      <c r="DH52" s="33" t="str">
        <f>HYPERLINK("http://exon.niaid.nih.gov/transcriptome/S_calcitrans/S1/links/KOG/XP_013101310.1-KOG.txt","Cysteine proteinase Cathepsin L")</f>
        <v>Cysteine proteinase Cathepsin L</v>
      </c>
      <c r="DI52" t="str">
        <f>HYPERLINK("http://www.ncbi.nlm.nih.gov/Structure/cdd/cddsrv.cgi?uid=KOG1543","8E-006")</f>
        <v>8E-006</v>
      </c>
      <c r="DJ52" t="s">
        <v>373</v>
      </c>
      <c r="DK52" t="str">
        <f>HYPERLINK("http://exon.niaid.nih.gov/transcriptome/S_calcitrans/S1/links/KOG/XP_013101310.1-KOG.txt","KOG1543")</f>
        <v>KOG1543</v>
      </c>
      <c r="DL52" s="33" t="str">
        <f>HYPERLINK("http://exon.niaid.nih.gov/transcriptome/S_calcitrans/S1/links/PFAM/XP_013101310.1-PFAM.txt","Inhibitor_I29")</f>
        <v>Inhibitor_I29</v>
      </c>
      <c r="DM52" t="str">
        <f>HYPERLINK("http://pfam.sanger.ac.uk/family?acc=PF08246","6E-008")</f>
        <v>6E-008</v>
      </c>
      <c r="DN52" s="33" t="str">
        <f>HYPERLINK("http://exon.niaid.nih.gov/transcriptome/S_calcitrans/S1/links/SMART/XP_013101310.1-SMART.txt","Inhibitor_I29")</f>
        <v>Inhibitor_I29</v>
      </c>
      <c r="DO52" t="str">
        <f>HYPERLINK("http://smart.embl-heidelberg.de/smart/do_annotation.pl?DOMAIN=Inhibitor_I29&amp;BLAST=DUMMY","4E-009")</f>
        <v>4E-009</v>
      </c>
      <c r="DP52" s="33"/>
      <c r="EB52" s="33">
        <f>HYPERLINK("http://exon.niaid.nih.gov/transcriptome/S_calcitrans/S1/links/cluster-b/Scalc-pep25-50SimCLU597.txt", 597)</f>
        <v>597</v>
      </c>
      <c r="EC52">
        <f>HYPERLINK("http://exon.niaid.nih.gov/transcriptome/S_calcitrans/S1/links/cluster-b/Scalc-pep25-50SimCLTL597.txt", 5)</f>
        <v>5</v>
      </c>
      <c r="ED52" s="33">
        <f>HYPERLINK("http://exon.niaid.nih.gov/transcriptome/S_calcitrans/S1/links/cluster-b/Scalc-pep30-50SimCLU692.txt", 692)</f>
        <v>692</v>
      </c>
      <c r="EE52">
        <f>HYPERLINK("http://exon.niaid.nih.gov/transcriptome/S_calcitrans/S1/links/cluster-b/Scalc-pep30-50SimCLTL692.txt", 5)</f>
        <v>5</v>
      </c>
      <c r="EF52" s="33">
        <f>HYPERLINK("http://exon.niaid.nih.gov/transcriptome/S_calcitrans/S1/links/cluster-b/Scalc-pep35-50SimCLU730.txt", 730)</f>
        <v>730</v>
      </c>
      <c r="EG52">
        <f>HYPERLINK("http://exon.niaid.nih.gov/transcriptome/S_calcitrans/S1/links/cluster-b/Scalc-pep35-50SimCLTL730.txt", 5)</f>
        <v>5</v>
      </c>
      <c r="EH52" s="33">
        <f>HYPERLINK("http://exon.niaid.nih.gov/transcriptome/S_calcitrans/S1/links/cluster-b/Scalc-pep40-50SimCLU719.txt", 719)</f>
        <v>719</v>
      </c>
      <c r="EI52">
        <f>HYPERLINK("http://exon.niaid.nih.gov/transcriptome/S_calcitrans/S1/links/cluster-b/Scalc-pep40-50SimCLTL719.txt", 5)</f>
        <v>5</v>
      </c>
      <c r="EJ52" s="33">
        <f>HYPERLINK("http://exon.niaid.nih.gov/transcriptome/S_calcitrans/S1/links/cluster-b/Scalc-pep45-50SimCLU710.txt", 710)</f>
        <v>710</v>
      </c>
      <c r="EK52">
        <f>HYPERLINK("http://exon.niaid.nih.gov/transcriptome/S_calcitrans/S1/links/cluster-b/Scalc-pep45-50SimCLTL710.txt", 5)</f>
        <v>5</v>
      </c>
      <c r="EL52" s="33">
        <f>HYPERLINK("http://exon.niaid.nih.gov/transcriptome/S_calcitrans/S1/links/cluster-b/Scalc-pep50-50SimCLU706.txt", 706)</f>
        <v>706</v>
      </c>
      <c r="EM52">
        <f>HYPERLINK("http://exon.niaid.nih.gov/transcriptome/S_calcitrans/S1/links/cluster-b/Scalc-pep50-50SimCLTL706.txt", 5)</f>
        <v>5</v>
      </c>
      <c r="EN52" s="33">
        <f>HYPERLINK("http://exon.niaid.nih.gov/transcriptome/S_calcitrans/S1/links/cluster-b/Scalc-pep55-50SimCLU666.txt", 666)</f>
        <v>666</v>
      </c>
      <c r="EO52">
        <f>HYPERLINK("http://exon.niaid.nih.gov/transcriptome/S_calcitrans/S1/links/cluster-b/Scalc-pep55-50SimCLTL666.txt", 5)</f>
        <v>5</v>
      </c>
      <c r="EP52" s="33">
        <f>HYPERLINK("http://exon.niaid.nih.gov/transcriptome/S_calcitrans/S1/links/cluster-b/Scalc-pep60-50SimCLU639.txt", 639)</f>
        <v>639</v>
      </c>
      <c r="EQ52">
        <f>HYPERLINK("http://exon.niaid.nih.gov/transcriptome/S_calcitrans/S1/links/cluster-b/Scalc-pep60-50SimCLTL639.txt", 5)</f>
        <v>5</v>
      </c>
      <c r="ER52" s="33">
        <f>HYPERLINK("http://exon.niaid.nih.gov/transcriptome/S_calcitrans/S1/links/cluster-b/Scalc-pep65-50SimCLU876.txt", 876)</f>
        <v>876</v>
      </c>
      <c r="ES52">
        <f>HYPERLINK("http://exon.niaid.nih.gov/transcriptome/S_calcitrans/S1/links/cluster-b/Scalc-pep65-50SimCLTL876.txt", 4)</f>
        <v>4</v>
      </c>
      <c r="ET52" s="33">
        <f>HYPERLINK("http://exon.niaid.nih.gov/transcriptome/S_calcitrans/S1/links/cluster-b/Scalc-pep70-50SimCLU2547.txt", 2547)</f>
        <v>2547</v>
      </c>
      <c r="EU52">
        <f>HYPERLINK("http://exon.niaid.nih.gov/transcriptome/S_calcitrans/S1/links/cluster-b/Scalc-pep70-50SimCLTL2547.txt", 2)</f>
        <v>2</v>
      </c>
      <c r="EV52" s="33">
        <f>HYPERLINK("http://exon.niaid.nih.gov/transcriptome/S_calcitrans/S1/links/cluster-b/Scalc-pep75-50SimCLU2491.txt", 2491)</f>
        <v>2491</v>
      </c>
      <c r="EW52">
        <f>HYPERLINK("http://exon.niaid.nih.gov/transcriptome/S_calcitrans/S1/links/cluster-b/Scalc-pep75-50SimCLTL2491.txt", 2)</f>
        <v>2</v>
      </c>
      <c r="EX52" s="33">
        <v>6639</v>
      </c>
      <c r="EY52">
        <v>1</v>
      </c>
      <c r="EZ52" s="33">
        <v>6709</v>
      </c>
      <c r="FA52">
        <v>1</v>
      </c>
      <c r="FB52" s="33">
        <v>6770</v>
      </c>
      <c r="FC52">
        <v>1</v>
      </c>
      <c r="FD52" s="33">
        <v>6870</v>
      </c>
      <c r="FE52">
        <v>1</v>
      </c>
      <c r="FF52" t="s">
        <v>730</v>
      </c>
      <c r="FG52">
        <v>7351</v>
      </c>
      <c r="FH52" s="38" t="str">
        <f>HYPERLINK("http://exon.niaid.nih.gov/transcriptome/S_calcitrans/S1/links/SG_male-stripped_temp-95-h10-1gap/7351-SG_male-stripped_temp-95-h10-1gap.txt","1269")</f>
        <v>1269</v>
      </c>
      <c r="FI52" s="39">
        <v>98.75</v>
      </c>
      <c r="FJ52" s="39">
        <v>385.4</v>
      </c>
      <c r="FK52" s="39">
        <v>0</v>
      </c>
      <c r="FL52" s="39">
        <v>885</v>
      </c>
      <c r="FM52" s="39">
        <v>72.8888888888889</v>
      </c>
      <c r="FN52" s="38" t="str">
        <f>HYPERLINK("http://exon.niaid.nih.gov/transcriptome/S_calcitrans/S1/links/SG_female-stripped_temp-95-h10-1gap/7351-SG_female-stripped_temp-95-h10-1gap.txt","1571")</f>
        <v>1571</v>
      </c>
      <c r="FO52" s="39">
        <v>98.75</v>
      </c>
      <c r="FP52" s="39">
        <v>476.47500000000002</v>
      </c>
      <c r="FQ52" s="39">
        <v>0</v>
      </c>
      <c r="FR52" s="39">
        <v>1049</v>
      </c>
      <c r="FS52" s="39">
        <v>72.790579248886104</v>
      </c>
      <c r="FT52" s="38">
        <v>0</v>
      </c>
      <c r="FU52" s="39" t="s">
        <v>242</v>
      </c>
      <c r="FV52" s="39" t="s">
        <v>242</v>
      </c>
      <c r="FW52" s="39" t="s">
        <v>242</v>
      </c>
      <c r="FX52" s="39" t="s">
        <v>242</v>
      </c>
      <c r="FY52" s="39" t="s">
        <v>242</v>
      </c>
      <c r="FZ52" s="38" t="str">
        <f>HYPERLINK("http://exon.niaid.nih.gov/transcriptome/S_calcitrans/S1/links/SRR694925-stripped_temp-95-h10-1gap/7351-SRR694925-stripped_temp-95-h10-1gap.txt","1")</f>
        <v>1</v>
      </c>
      <c r="GA52" s="39">
        <v>39.5833333333333</v>
      </c>
      <c r="GB52" s="39">
        <v>0.39583333333333298</v>
      </c>
      <c r="GC52" s="39">
        <v>0</v>
      </c>
      <c r="GD52" s="39">
        <v>1</v>
      </c>
      <c r="GE52" s="39">
        <v>95</v>
      </c>
      <c r="GF52">
        <f>1*FH52</f>
        <v>1269</v>
      </c>
      <c r="GG52">
        <f>1*FN52</f>
        <v>1571</v>
      </c>
      <c r="GH52">
        <f>1*FT52</f>
        <v>0</v>
      </c>
      <c r="GI52">
        <f>1*FZ52</f>
        <v>1</v>
      </c>
      <c r="GJ52">
        <f t="shared" si="2"/>
        <v>2840</v>
      </c>
      <c r="GK52" s="34">
        <v>1.1031013266541325E-2</v>
      </c>
      <c r="GL52">
        <v>172.96266580822666</v>
      </c>
      <c r="GM52">
        <v>97.372917607328716</v>
      </c>
      <c r="GN52">
        <v>0</v>
      </c>
      <c r="GO52">
        <v>2.469065161600394E-2</v>
      </c>
      <c r="GP52">
        <f>MAX(GL52:GO52)</f>
        <v>172.96266580822666</v>
      </c>
      <c r="GQ52" t="s">
        <v>524</v>
      </c>
      <c r="GR52">
        <v>134.89210517065101</v>
      </c>
      <c r="GS52">
        <v>79.920398966737139</v>
      </c>
      <c r="GT52">
        <v>0</v>
      </c>
      <c r="GU52">
        <v>4.6746172412129736E-2</v>
      </c>
      <c r="GV52">
        <f>MAX(GR52:GU52)</f>
        <v>134.89210517065101</v>
      </c>
      <c r="GW52">
        <v>3218.3494030340894</v>
      </c>
      <c r="GX52">
        <v>2840</v>
      </c>
      <c r="GY52">
        <v>1</v>
      </c>
      <c r="GZ52">
        <v>2841</v>
      </c>
      <c r="HA52">
        <v>630.70112951947965</v>
      </c>
      <c r="HB52">
        <v>2210.2988704805202</v>
      </c>
      <c r="HC52">
        <v>7739.0086534730854</v>
      </c>
      <c r="HD52">
        <v>2208.2993229080234</v>
      </c>
      <c r="HE52">
        <v>9947.3079763811093</v>
      </c>
      <c r="HF52">
        <v>0</v>
      </c>
      <c r="HG52">
        <v>630.70112951947965</v>
      </c>
      <c r="HH52">
        <v>1</v>
      </c>
      <c r="HI52">
        <v>1</v>
      </c>
      <c r="HJ52">
        <v>2</v>
      </c>
      <c r="HK52">
        <v>0</v>
      </c>
      <c r="HL52" s="30" t="s">
        <v>262</v>
      </c>
      <c r="HM52">
        <v>4976.4052245690491</v>
      </c>
      <c r="HN52">
        <v>1.0043876715749247E-4</v>
      </c>
      <c r="HO52">
        <v>1269</v>
      </c>
      <c r="HP52">
        <v>1571</v>
      </c>
      <c r="HQ52">
        <v>2840</v>
      </c>
      <c r="HR52">
        <v>887.77248311802725</v>
      </c>
      <c r="HS52">
        <v>1952.2275168819729</v>
      </c>
      <c r="HT52">
        <v>163.70683073838069</v>
      </c>
      <c r="HU52">
        <v>74.445431370682542</v>
      </c>
      <c r="HV52">
        <v>238.15226210906323</v>
      </c>
      <c r="HW52">
        <v>9.9449183233032441E-54</v>
      </c>
      <c r="HX52">
        <v>887.77248311802725</v>
      </c>
      <c r="HY52">
        <v>1</v>
      </c>
      <c r="HZ52">
        <v>1</v>
      </c>
      <c r="IA52">
        <v>2</v>
      </c>
      <c r="IB52" s="37">
        <v>8.8596608730158695E-52</v>
      </c>
      <c r="IC52" s="30" t="s">
        <v>262</v>
      </c>
      <c r="ID52">
        <v>1.7751613376132174</v>
      </c>
      <c r="IE52">
        <v>0.56252744234723639</v>
      </c>
      <c r="IF52">
        <v>1.7751613376132174</v>
      </c>
      <c r="IG52" t="str">
        <f t="shared" si="1"/>
        <v/>
      </c>
    </row>
    <row r="53" spans="1:241">
      <c r="A53" t="str">
        <f>HYPERLINK("http://exon.niaid.nih.gov/transcriptome/S_calcitrans/S1/links/pep/XP_013101315.1-pep.txt","XP_013101315.1")</f>
        <v>XP_013101315.1</v>
      </c>
      <c r="B53" s="30" t="s">
        <v>232</v>
      </c>
      <c r="C53">
        <v>85</v>
      </c>
      <c r="D53" t="s">
        <v>731</v>
      </c>
      <c r="E53">
        <v>0</v>
      </c>
      <c r="F53" t="s">
        <v>732</v>
      </c>
      <c r="G53" t="str">
        <f>HYPERLINK("http://exon.niaid.nih.gov/transcriptome/S_calcitrans/S1/links/cds/XM_013245861_1-cds.txt","XM_013245861_1")</f>
        <v>XM_013245861_1</v>
      </c>
      <c r="H53">
        <v>258</v>
      </c>
      <c r="I53" t="s">
        <v>733</v>
      </c>
      <c r="J53" s="30" t="s">
        <v>236</v>
      </c>
      <c r="K53" s="30" t="s">
        <v>91</v>
      </c>
      <c r="L53" s="31" t="s">
        <v>718</v>
      </c>
      <c r="M53" s="30">
        <v>721444</v>
      </c>
      <c r="N53" s="30">
        <v>721891</v>
      </c>
      <c r="O53" s="30" t="s">
        <v>238</v>
      </c>
      <c r="P53" s="30">
        <v>2</v>
      </c>
      <c r="Q53" s="31" t="s">
        <v>734</v>
      </c>
      <c r="R53" s="32" t="str">
        <f>HYPERLINK("http://exon.niaid.nih.gov/transcriptome/S_calcitrans/S1/links/Sigp/XP_013101315.1-SigP.txt","CYT")</f>
        <v>CYT</v>
      </c>
      <c r="S53" t="s">
        <v>242</v>
      </c>
      <c r="T53">
        <v>10.041</v>
      </c>
      <c r="U53">
        <v>4.92</v>
      </c>
      <c r="V53" t="s">
        <v>242</v>
      </c>
      <c r="W53" t="s">
        <v>242</v>
      </c>
      <c r="X53" t="s">
        <v>720</v>
      </c>
      <c r="Y53" s="32">
        <v>0</v>
      </c>
      <c r="Z53" t="s">
        <v>242</v>
      </c>
      <c r="AA53" t="s">
        <v>242</v>
      </c>
      <c r="AB53" t="s">
        <v>242</v>
      </c>
      <c r="AC53" t="s">
        <v>242</v>
      </c>
      <c r="AD53" t="s">
        <v>242</v>
      </c>
      <c r="AE53" s="32" t="str">
        <f>HYPERLINK("http://exon.niaid.nih.gov/transcriptome/S_calcitrans/S1/links/netoglyc/XP_013101315.1-netoglyc.txt","0")</f>
        <v>0</v>
      </c>
      <c r="AF53">
        <v>7.1</v>
      </c>
      <c r="AG53">
        <v>3.5</v>
      </c>
      <c r="AH53">
        <v>2.4</v>
      </c>
      <c r="AI53" t="s">
        <v>243</v>
      </c>
      <c r="AJ53" t="s">
        <v>242</v>
      </c>
      <c r="AK53">
        <v>358.62826383631415</v>
      </c>
      <c r="AL53" s="33">
        <v>6872</v>
      </c>
      <c r="AM53">
        <v>1</v>
      </c>
      <c r="AN53" s="30">
        <f t="shared" si="0"/>
        <v>1</v>
      </c>
      <c r="AO53" s="30" t="s">
        <v>244</v>
      </c>
      <c r="AP53">
        <v>307</v>
      </c>
      <c r="AQ53" s="34">
        <v>1.1924369974747136E-3</v>
      </c>
      <c r="AR53" s="35">
        <v>181.60544070749322</v>
      </c>
      <c r="AS53" t="s">
        <v>735</v>
      </c>
      <c r="AT53" s="36" t="s">
        <v>736</v>
      </c>
      <c r="AU53" t="s">
        <v>524</v>
      </c>
      <c r="AV53" t="str">
        <f>HYPERLINK("http://exon.niaid.nih.gov/transcriptome/S_calcitrans/S1/links/DIPTERA/XP_013101315.1-DIPTERA.txt","DIPTERA")</f>
        <v>DIPTERA</v>
      </c>
      <c r="AW53" s="37">
        <v>2.0000000000000002E-43</v>
      </c>
      <c r="AX53">
        <v>100</v>
      </c>
      <c r="AY53" s="33"/>
      <c r="BG53" s="31"/>
      <c r="BJ53" s="33"/>
      <c r="BK53" s="33"/>
      <c r="BL53" s="33" t="str">
        <f>HYPERLINK("http://exon.niaid.nih.gov/transcriptome/S_calcitrans/S1/links/NR-LIGHT/XP_013101315.1-NR-LIGHT.txt","protein CTLA-2-beta")</f>
        <v>protein CTLA-2-beta</v>
      </c>
      <c r="BM53" t="str">
        <f>HYPERLINK("http://www.ncbi.nlm.nih.gov/sutils/blink.cgi?pid=498924065","2E-016")</f>
        <v>2E-016</v>
      </c>
      <c r="BN53" t="str">
        <f>HYPERLINK("http://www.ncbi.nlm.nih.gov/protein/498924065","gi|498924065")</f>
        <v>gi|498924065</v>
      </c>
      <c r="BO53">
        <v>56</v>
      </c>
      <c r="BP53">
        <v>76</v>
      </c>
      <c r="BQ53">
        <v>84</v>
      </c>
      <c r="BR53" t="s">
        <v>737</v>
      </c>
      <c r="BS53" s="33" t="str">
        <f>HYPERLINK("http://exon.niaid.nih.gov/transcriptome/S_calcitrans/S1/links/SWISSP/XP_013101315.1-SWISSP.txt","Digestive cysteine proteinase 2")</f>
        <v>Digestive cysteine proteinase 2</v>
      </c>
      <c r="BT53" t="str">
        <f>HYPERLINK("http://www.uniprot.org/uniprot/P25782","1E-009")</f>
        <v>1E-009</v>
      </c>
      <c r="BU53" t="str">
        <f>HYPERLINK("http://www.uniprot.org/uniprot/P25782#expression","P25782")</f>
        <v>P25782</v>
      </c>
      <c r="BV53">
        <v>38</v>
      </c>
      <c r="BW53">
        <v>66</v>
      </c>
      <c r="BX53">
        <v>19</v>
      </c>
      <c r="BY53" t="s">
        <v>723</v>
      </c>
      <c r="BZ53" s="33" t="str">
        <f>HYPERLINK("http://exon.niaid.nih.gov/transcriptome/S_calcitrans/S1/links/REFSEQ-INVERTEBRATE/XP_013101315.1-REFSEQ-INVERTEBRATE.txt","digestive cysteine proteinase 2-like")</f>
        <v>digestive cysteine proteinase 2-like</v>
      </c>
      <c r="CA53" t="str">
        <f>HYPERLINK("http://www.ncbi.nlm.nih.gov/sutils/blink.cgi?pid=907646271","4E-043")</f>
        <v>4E-043</v>
      </c>
      <c r="CB53" t="str">
        <f>HYPERLINK("http://www.ncbi.nlm.nih.gov/protein/907646271","gi|907646271")</f>
        <v>gi|907646271</v>
      </c>
      <c r="CC53">
        <v>100</v>
      </c>
      <c r="CD53">
        <v>100</v>
      </c>
      <c r="CE53">
        <v>100</v>
      </c>
      <c r="CF53" t="s">
        <v>253</v>
      </c>
      <c r="CG53" s="33" t="str">
        <f>HYPERLINK("http://exon.niaid.nih.gov/transcriptome/S_calcitrans/S1/links/DIPTERA/XP_013101315.1-DIPTERA.txt","digestive cysteine proteinase 2-like")</f>
        <v>digestive cysteine proteinase 2-like</v>
      </c>
      <c r="CH53" t="str">
        <f>HYPERLINK("http://www.ncbi.nlm.nih.gov/sutils/blink.cgi?pid=907646271","2E-043")</f>
        <v>2E-043</v>
      </c>
      <c r="CI53" t="str">
        <f>HYPERLINK("http://www.ncbi.nlm.nih.gov/protein/907646271","gi|907646271")</f>
        <v>gi|907646271</v>
      </c>
      <c r="CJ53">
        <v>100</v>
      </c>
      <c r="CK53">
        <v>100</v>
      </c>
      <c r="CL53">
        <v>100</v>
      </c>
      <c r="CM53" t="s">
        <v>253</v>
      </c>
      <c r="CN53" s="33" t="s">
        <v>242</v>
      </c>
      <c r="CO53" t="s">
        <v>242</v>
      </c>
      <c r="CP53" t="s">
        <v>242</v>
      </c>
      <c r="CQ53" t="s">
        <v>242</v>
      </c>
      <c r="CR53" t="s">
        <v>242</v>
      </c>
      <c r="CS53" t="s">
        <v>242</v>
      </c>
      <c r="CT53" t="s">
        <v>242</v>
      </c>
      <c r="CU53" s="33" t="s">
        <v>724</v>
      </c>
      <c r="CV53">
        <f>HYPERLINK("http://exon.niaid.nih.gov/transcriptome/S_calcitrans/S1/links/GO/XP_013101315.1-GO.txt",0.000000000000004)</f>
        <v>4.0000000000000003E-15</v>
      </c>
      <c r="CW53" t="str">
        <f>HYPERLINK("http://amigo.geneontology.org/cgi-bin/amigo/term_details?term=GO:0008234","GO:0008234")</f>
        <v>GO:0008234</v>
      </c>
      <c r="CX53" t="s">
        <v>725</v>
      </c>
      <c r="CY53" t="s">
        <v>726</v>
      </c>
      <c r="CZ53" t="s">
        <v>727</v>
      </c>
      <c r="DA53" t="str">
        <f>HYPERLINK("http://www.genome.jp/dbget-bin/www_bfind_sub?mode=bfind&amp;max_hit=1000&amp;dbkey=kegg&amp;keywords=EC:3.4.-.-","EC:3.4.-.-")</f>
        <v>EC:3.4.-.-</v>
      </c>
      <c r="DC53" t="s">
        <v>728</v>
      </c>
      <c r="DD53">
        <v>4.0000000000000003E-15</v>
      </c>
      <c r="DE53" s="33" t="str">
        <f>HYPERLINK("http://exon.niaid.nih.gov/transcriptome/S_calcitrans/S1/links/CDD/XP_013101315.1-CDD.txt","Inhibitor_I29")</f>
        <v>Inhibitor_I29</v>
      </c>
      <c r="DF53" t="str">
        <f>HYPERLINK("http://www.ncbi.nlm.nih.gov/Structure/cdd/cddsrv.cgi?uid=pfam08246&amp;version=v4.0","7E-010")</f>
        <v>7E-010</v>
      </c>
      <c r="DG53" t="s">
        <v>738</v>
      </c>
      <c r="DH53" s="33" t="str">
        <f>HYPERLINK("http://exon.niaid.nih.gov/transcriptome/S_calcitrans/S1/links/KOG/XP_013101315.1-KOG.txt","Cysteine proteinase Cathepsin L")</f>
        <v>Cysteine proteinase Cathepsin L</v>
      </c>
      <c r="DI53" t="str">
        <f>HYPERLINK("http://www.ncbi.nlm.nih.gov/Structure/cdd/cddsrv.cgi?uid=KOG1543","2E-005")</f>
        <v>2E-005</v>
      </c>
      <c r="DJ53" t="s">
        <v>373</v>
      </c>
      <c r="DK53" t="str">
        <f>HYPERLINK("http://exon.niaid.nih.gov/transcriptome/S_calcitrans/S1/links/KOG/XP_013101315.1-KOG.txt","KOG1543")</f>
        <v>KOG1543</v>
      </c>
      <c r="DL53" s="33" t="str">
        <f>HYPERLINK("http://exon.niaid.nih.gov/transcriptome/S_calcitrans/S1/links/PFAM/XP_013101315.1-PFAM.txt","Inhibitor_I29")</f>
        <v>Inhibitor_I29</v>
      </c>
      <c r="DM53" t="str">
        <f>HYPERLINK("http://pfam.sanger.ac.uk/family?acc=PF08246","2E-010")</f>
        <v>2E-010</v>
      </c>
      <c r="DN53" s="33" t="str">
        <f>HYPERLINK("http://exon.niaid.nih.gov/transcriptome/S_calcitrans/S1/links/SMART/XP_013101315.1-SMART.txt","Inhibitor_I29")</f>
        <v>Inhibitor_I29</v>
      </c>
      <c r="DO53" t="str">
        <f>HYPERLINK("http://smart.embl-heidelberg.de/smart/do_annotation.pl?DOMAIN=Inhibitor_I29&amp;BLAST=DUMMY","2E-011")</f>
        <v>2E-011</v>
      </c>
      <c r="DP53" s="33"/>
      <c r="EB53" s="33">
        <f>HYPERLINK("http://exon.niaid.nih.gov/transcriptome/S_calcitrans/S1/links/cluster-b/Scalc-pep25-50SimCLU597.txt", 597)</f>
        <v>597</v>
      </c>
      <c r="EC53">
        <f>HYPERLINK("http://exon.niaid.nih.gov/transcriptome/S_calcitrans/S1/links/cluster-b/Scalc-pep25-50SimCLTL597.txt", 5)</f>
        <v>5</v>
      </c>
      <c r="ED53" s="33">
        <f>HYPERLINK("http://exon.niaid.nih.gov/transcriptome/S_calcitrans/S1/links/cluster-b/Scalc-pep30-50SimCLU692.txt", 692)</f>
        <v>692</v>
      </c>
      <c r="EE53">
        <f>HYPERLINK("http://exon.niaid.nih.gov/transcriptome/S_calcitrans/S1/links/cluster-b/Scalc-pep30-50SimCLTL692.txt", 5)</f>
        <v>5</v>
      </c>
      <c r="EF53" s="33">
        <f>HYPERLINK("http://exon.niaid.nih.gov/transcriptome/S_calcitrans/S1/links/cluster-b/Scalc-pep35-50SimCLU730.txt", 730)</f>
        <v>730</v>
      </c>
      <c r="EG53">
        <f>HYPERLINK("http://exon.niaid.nih.gov/transcriptome/S_calcitrans/S1/links/cluster-b/Scalc-pep35-50SimCLTL730.txt", 5)</f>
        <v>5</v>
      </c>
      <c r="EH53" s="33">
        <f>HYPERLINK("http://exon.niaid.nih.gov/transcriptome/S_calcitrans/S1/links/cluster-b/Scalc-pep40-50SimCLU719.txt", 719)</f>
        <v>719</v>
      </c>
      <c r="EI53">
        <f>HYPERLINK("http://exon.niaid.nih.gov/transcriptome/S_calcitrans/S1/links/cluster-b/Scalc-pep40-50SimCLTL719.txt", 5)</f>
        <v>5</v>
      </c>
      <c r="EJ53" s="33">
        <f>HYPERLINK("http://exon.niaid.nih.gov/transcriptome/S_calcitrans/S1/links/cluster-b/Scalc-pep45-50SimCLU710.txt", 710)</f>
        <v>710</v>
      </c>
      <c r="EK53">
        <f>HYPERLINK("http://exon.niaid.nih.gov/transcriptome/S_calcitrans/S1/links/cluster-b/Scalc-pep45-50SimCLTL710.txt", 5)</f>
        <v>5</v>
      </c>
      <c r="EL53" s="33">
        <f>HYPERLINK("http://exon.niaid.nih.gov/transcriptome/S_calcitrans/S1/links/cluster-b/Scalc-pep50-50SimCLU706.txt", 706)</f>
        <v>706</v>
      </c>
      <c r="EM53">
        <f>HYPERLINK("http://exon.niaid.nih.gov/transcriptome/S_calcitrans/S1/links/cluster-b/Scalc-pep50-50SimCLTL706.txt", 5)</f>
        <v>5</v>
      </c>
      <c r="EN53" s="33">
        <f>HYPERLINK("http://exon.niaid.nih.gov/transcriptome/S_calcitrans/S1/links/cluster-b/Scalc-pep55-50SimCLU666.txt", 666)</f>
        <v>666</v>
      </c>
      <c r="EO53">
        <f>HYPERLINK("http://exon.niaid.nih.gov/transcriptome/S_calcitrans/S1/links/cluster-b/Scalc-pep55-50SimCLTL666.txt", 5)</f>
        <v>5</v>
      </c>
      <c r="EP53" s="33">
        <f>HYPERLINK("http://exon.niaid.nih.gov/transcriptome/S_calcitrans/S1/links/cluster-b/Scalc-pep60-50SimCLU639.txt", 639)</f>
        <v>639</v>
      </c>
      <c r="EQ53">
        <f>HYPERLINK("http://exon.niaid.nih.gov/transcriptome/S_calcitrans/S1/links/cluster-b/Scalc-pep60-50SimCLTL639.txt", 5)</f>
        <v>5</v>
      </c>
      <c r="ER53" s="33">
        <f>HYPERLINK("http://exon.niaid.nih.gov/transcriptome/S_calcitrans/S1/links/cluster-b/Scalc-pep65-50SimCLU876.txt", 876)</f>
        <v>876</v>
      </c>
      <c r="ES53">
        <f>HYPERLINK("http://exon.niaid.nih.gov/transcriptome/S_calcitrans/S1/links/cluster-b/Scalc-pep65-50SimCLTL876.txt", 4)</f>
        <v>4</v>
      </c>
      <c r="ET53" s="33">
        <v>6438</v>
      </c>
      <c r="EU53">
        <v>1</v>
      </c>
      <c r="EV53" s="33">
        <v>6548</v>
      </c>
      <c r="EW53">
        <v>1</v>
      </c>
      <c r="EX53" s="33">
        <v>6641</v>
      </c>
      <c r="EY53">
        <v>1</v>
      </c>
      <c r="EZ53" s="33">
        <v>6711</v>
      </c>
      <c r="FA53">
        <v>1</v>
      </c>
      <c r="FB53" s="33">
        <v>6772</v>
      </c>
      <c r="FC53">
        <v>1</v>
      </c>
      <c r="FD53" s="33">
        <v>6872</v>
      </c>
      <c r="FE53">
        <v>1</v>
      </c>
      <c r="FF53" t="s">
        <v>739</v>
      </c>
      <c r="FG53">
        <v>7353</v>
      </c>
      <c r="FH53" s="38" t="str">
        <f>HYPERLINK("http://exon.niaid.nih.gov/transcriptome/S_calcitrans/S1/links/SG_male-stripped_temp-95-h10-1gap/7353-SG_male-stripped_temp-95-h10-1gap.txt","95")</f>
        <v>95</v>
      </c>
      <c r="FI53" s="39">
        <v>90.697674418604606</v>
      </c>
      <c r="FJ53" s="39">
        <v>26.3914728682171</v>
      </c>
      <c r="FK53" s="39">
        <v>0</v>
      </c>
      <c r="FL53" s="39">
        <v>47</v>
      </c>
      <c r="FM53" s="39">
        <v>71.673684210526304</v>
      </c>
      <c r="FN53" s="38" t="str">
        <f>HYPERLINK("http://exon.niaid.nih.gov/transcriptome/S_calcitrans/S1/links/SG_female-stripped_temp-95-h10-1gap/7353-SG_female-stripped_temp-95-h10-1gap.txt","212")</f>
        <v>212</v>
      </c>
      <c r="FO53" s="39">
        <v>99.224806201550393</v>
      </c>
      <c r="FP53" s="39">
        <v>57.089147286821699</v>
      </c>
      <c r="FQ53" s="39">
        <v>0</v>
      </c>
      <c r="FR53" s="39">
        <v>96</v>
      </c>
      <c r="FS53" s="39">
        <v>69.4764150943396</v>
      </c>
      <c r="FT53" s="38">
        <v>0</v>
      </c>
      <c r="FU53" s="39" t="s">
        <v>242</v>
      </c>
      <c r="FV53" s="39" t="s">
        <v>242</v>
      </c>
      <c r="FW53" s="39" t="s">
        <v>242</v>
      </c>
      <c r="FX53" s="39" t="s">
        <v>242</v>
      </c>
      <c r="FY53" s="39" t="s">
        <v>242</v>
      </c>
      <c r="FZ53" s="38" t="str">
        <f>HYPERLINK("http://exon.niaid.nih.gov/transcriptome/S_calcitrans/S1/links/SRR694925-stripped_temp-95-h10-1gap/7353-SRR694925-stripped_temp-95-h10-1gap.txt","2")</f>
        <v>2</v>
      </c>
      <c r="GA53" s="39">
        <v>27.5193798449612</v>
      </c>
      <c r="GB53" s="39">
        <v>0.53875968992248102</v>
      </c>
      <c r="GC53" s="39">
        <v>0</v>
      </c>
      <c r="GD53" s="39">
        <v>2</v>
      </c>
      <c r="GE53" s="39">
        <v>69.5</v>
      </c>
      <c r="GF53">
        <f>1*FH53</f>
        <v>95</v>
      </c>
      <c r="GG53">
        <f>1*FN53</f>
        <v>212</v>
      </c>
      <c r="GH53">
        <f>1*FT53</f>
        <v>0</v>
      </c>
      <c r="GI53">
        <f>1*FZ53</f>
        <v>2</v>
      </c>
      <c r="GJ53">
        <f t="shared" si="2"/>
        <v>307</v>
      </c>
      <c r="GK53" s="34">
        <v>1.1924369974747136E-3</v>
      </c>
      <c r="GL53">
        <v>12.044974619665023</v>
      </c>
      <c r="GM53">
        <v>12.223326000475886</v>
      </c>
      <c r="GN53">
        <v>0</v>
      </c>
      <c r="GO53">
        <v>4.5936096029774769E-2</v>
      </c>
      <c r="GP53">
        <f>MAX(GL53:GO53)</f>
        <v>12.223326000475886</v>
      </c>
      <c r="GQ53" t="s">
        <v>524</v>
      </c>
      <c r="GR53">
        <v>9.3937727866379639</v>
      </c>
      <c r="GS53">
        <v>10.032492757359865</v>
      </c>
      <c r="GT53">
        <v>0</v>
      </c>
      <c r="GU53">
        <v>8.6969623092334386E-2</v>
      </c>
      <c r="GV53">
        <f>MAX(GR53:GU53)</f>
        <v>10.032492757359865</v>
      </c>
      <c r="GW53">
        <v>181.60544070749322</v>
      </c>
      <c r="GX53">
        <v>307</v>
      </c>
      <c r="GY53">
        <v>2</v>
      </c>
      <c r="GZ53">
        <v>309</v>
      </c>
      <c r="HA53">
        <v>68.597905322604433</v>
      </c>
      <c r="HB53">
        <v>240.40209467739555</v>
      </c>
      <c r="HC53">
        <v>828.53198620689329</v>
      </c>
      <c r="HD53">
        <v>236.41873346752493</v>
      </c>
      <c r="HE53">
        <v>1064.9507196744182</v>
      </c>
      <c r="HF53">
        <v>1.3701178515198958E-233</v>
      </c>
      <c r="HG53">
        <v>68.597905322604433</v>
      </c>
      <c r="HH53">
        <v>1</v>
      </c>
      <c r="HI53">
        <v>1</v>
      </c>
      <c r="HJ53">
        <v>2</v>
      </c>
      <c r="HK53" s="37">
        <v>4.7933216456287996E-233</v>
      </c>
      <c r="HL53" s="30" t="s">
        <v>262</v>
      </c>
      <c r="HM53">
        <v>358.62826383631415</v>
      </c>
      <c r="HN53">
        <v>1.8528995941197151E-3</v>
      </c>
      <c r="HO53">
        <v>95</v>
      </c>
      <c r="HP53">
        <v>212</v>
      </c>
      <c r="HQ53">
        <v>307</v>
      </c>
      <c r="HR53">
        <v>95.966955041279704</v>
      </c>
      <c r="HS53">
        <v>211.0330449587203</v>
      </c>
      <c r="HT53">
        <v>9.7429584116120703E-3</v>
      </c>
      <c r="HU53">
        <v>4.4305954645118594E-3</v>
      </c>
      <c r="HV53">
        <v>1.4173553876123929E-2</v>
      </c>
      <c r="HW53">
        <v>0.90523357579123753</v>
      </c>
      <c r="HX53">
        <v>95.966955041279704</v>
      </c>
      <c r="HY53">
        <v>1</v>
      </c>
      <c r="HZ53" t="s">
        <v>244</v>
      </c>
      <c r="IA53">
        <v>1</v>
      </c>
      <c r="IB53">
        <v>1</v>
      </c>
      <c r="IC53" s="30" t="s">
        <v>244</v>
      </c>
      <c r="ID53">
        <v>0.98078259898984421</v>
      </c>
      <c r="IE53">
        <v>1.0042362121894886</v>
      </c>
      <c r="IF53">
        <v>1.0042362121894886</v>
      </c>
      <c r="IG53" t="str">
        <f t="shared" si="1"/>
        <v/>
      </c>
    </row>
    <row r="54" spans="1:241">
      <c r="A54" s="22" t="s">
        <v>55</v>
      </c>
      <c r="B54" s="23"/>
      <c r="C54" s="24"/>
      <c r="D54" s="24"/>
      <c r="E54" s="24"/>
      <c r="F54" s="24"/>
      <c r="G54" s="24"/>
      <c r="H54" s="24"/>
      <c r="I54" s="24"/>
      <c r="J54" s="23"/>
      <c r="K54" s="23"/>
      <c r="L54" s="25"/>
      <c r="M54" s="23"/>
      <c r="N54" s="23"/>
      <c r="O54" s="23"/>
      <c r="P54" s="23"/>
      <c r="Q54" s="25"/>
      <c r="R54" s="23"/>
      <c r="S54" s="24"/>
      <c r="T54" s="24"/>
      <c r="U54" s="24"/>
      <c r="V54" s="24"/>
      <c r="W54" s="24"/>
      <c r="X54" s="24"/>
      <c r="Y54" s="23"/>
      <c r="Z54" s="24"/>
      <c r="AA54" s="24"/>
      <c r="AB54" s="24"/>
      <c r="AC54" s="24"/>
      <c r="AD54" s="24"/>
      <c r="AE54" s="23"/>
      <c r="AF54" s="24"/>
      <c r="AG54" s="24"/>
      <c r="AH54" s="24"/>
      <c r="AI54" s="24"/>
      <c r="AJ54" s="24"/>
      <c r="AK54" s="24"/>
      <c r="AL54" s="24"/>
      <c r="AM54" s="24"/>
      <c r="AN54" s="23" t="str">
        <f t="shared" si="0"/>
        <v/>
      </c>
      <c r="AO54" s="23" t="s">
        <v>244</v>
      </c>
      <c r="AP54" s="24" t="s">
        <v>244</v>
      </c>
      <c r="AQ54" s="26"/>
      <c r="AR54" s="27"/>
      <c r="AS54" s="24"/>
      <c r="AT54" s="24"/>
      <c r="AU54" s="24"/>
      <c r="AV54" s="24"/>
      <c r="AW54" s="28"/>
      <c r="AX54" s="24"/>
      <c r="AY54" s="24"/>
      <c r="AZ54" s="24"/>
      <c r="BA54" s="24"/>
      <c r="BB54" s="24"/>
      <c r="BC54" s="24"/>
      <c r="BD54" s="24"/>
      <c r="BE54" s="24"/>
      <c r="BF54" s="24"/>
      <c r="BG54" s="25"/>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9"/>
      <c r="FI54" s="29"/>
      <c r="FJ54" s="29"/>
      <c r="FK54" s="29"/>
      <c r="FL54" s="29"/>
      <c r="FM54" s="29"/>
      <c r="FN54" s="29"/>
      <c r="FO54" s="29"/>
      <c r="FP54" s="29"/>
      <c r="FQ54" s="29"/>
      <c r="FR54" s="29"/>
      <c r="FS54" s="29"/>
      <c r="FT54" s="29"/>
      <c r="FU54" s="29"/>
      <c r="FV54" s="29"/>
      <c r="FW54" s="29"/>
      <c r="FX54" s="29"/>
      <c r="FY54" s="29"/>
      <c r="FZ54" s="29"/>
      <c r="GA54" s="29"/>
      <c r="GB54" s="29"/>
      <c r="GC54" s="29"/>
      <c r="GD54" s="29"/>
      <c r="GE54" s="29"/>
      <c r="GF54" s="24"/>
      <c r="GG54" s="24"/>
      <c r="GH54" s="24"/>
      <c r="GI54" s="24"/>
      <c r="GJ54" s="24" t="str">
        <f t="shared" si="2"/>
        <v/>
      </c>
      <c r="GK54" s="26"/>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3"/>
      <c r="HM54" s="24"/>
      <c r="HN54" s="24"/>
      <c r="HO54" s="24"/>
      <c r="HP54" s="24"/>
      <c r="HQ54" s="24"/>
      <c r="HR54" s="24"/>
      <c r="HS54" s="24"/>
      <c r="HT54" s="24"/>
      <c r="HU54" s="24"/>
      <c r="HV54" s="24"/>
      <c r="HW54" s="24"/>
      <c r="HX54" s="24"/>
      <c r="HY54" s="24"/>
      <c r="HZ54" s="24"/>
      <c r="IA54" s="24"/>
      <c r="IB54" s="24"/>
      <c r="IC54" s="23"/>
      <c r="ID54" s="24"/>
      <c r="IE54" s="24"/>
      <c r="IF54" s="24"/>
      <c r="IG54" s="24" t="str">
        <f t="shared" si="1"/>
        <v/>
      </c>
    </row>
    <row r="55" spans="1:241">
      <c r="A55" t="str">
        <f>HYPERLINK("http://exon.niaid.nih.gov/transcriptome/S_calcitrans/S1/links/pep/XP_013097487.1-pep.txt","XP_013097487.1")</f>
        <v>XP_013097487.1</v>
      </c>
      <c r="B55" s="30" t="s">
        <v>232</v>
      </c>
      <c r="C55">
        <v>161</v>
      </c>
      <c r="D55" t="s">
        <v>740</v>
      </c>
      <c r="E55">
        <v>0</v>
      </c>
      <c r="F55" t="s">
        <v>741</v>
      </c>
      <c r="G55" t="str">
        <f>HYPERLINK("http://exon.niaid.nih.gov/transcriptome/S_calcitrans/S1/links/cds/XM_013242033_1-cds.txt","XM_013242033_1")</f>
        <v>XM_013242033_1</v>
      </c>
      <c r="H55">
        <v>486</v>
      </c>
      <c r="I55" t="s">
        <v>742</v>
      </c>
      <c r="J55" s="30" t="s">
        <v>236</v>
      </c>
      <c r="K55" s="30" t="s">
        <v>91</v>
      </c>
      <c r="L55" s="31" t="s">
        <v>743</v>
      </c>
      <c r="M55" s="30">
        <v>1204497</v>
      </c>
      <c r="N55" s="30">
        <v>1204982</v>
      </c>
      <c r="O55" s="30" t="s">
        <v>238</v>
      </c>
      <c r="P55" s="30">
        <v>1</v>
      </c>
      <c r="Q55" s="31" t="s">
        <v>744</v>
      </c>
      <c r="R55" s="32" t="str">
        <f>HYPERLINK("http://exon.niaid.nih.gov/transcriptome/S_calcitrans/S1/links/Sigp/XP_013097487.1-SigP.txt","CYT")</f>
        <v>CYT</v>
      </c>
      <c r="S55" t="s">
        <v>242</v>
      </c>
      <c r="T55">
        <v>17.8</v>
      </c>
      <c r="U55">
        <v>5.14</v>
      </c>
      <c r="V55" t="s">
        <v>242</v>
      </c>
      <c r="W55" t="s">
        <v>242</v>
      </c>
      <c r="X55" t="s">
        <v>745</v>
      </c>
      <c r="Y55" s="32">
        <v>0</v>
      </c>
      <c r="Z55" t="s">
        <v>242</v>
      </c>
      <c r="AA55" t="s">
        <v>242</v>
      </c>
      <c r="AB55" t="s">
        <v>242</v>
      </c>
      <c r="AC55" t="s">
        <v>242</v>
      </c>
      <c r="AD55" t="s">
        <v>242</v>
      </c>
      <c r="AE55" s="32" t="str">
        <f>HYPERLINK("http://exon.niaid.nih.gov/transcriptome/S_calcitrans/S1/links/netoglyc/XP_013097487.1-netoglyc.txt","1")</f>
        <v>1</v>
      </c>
      <c r="AF55">
        <v>6.8</v>
      </c>
      <c r="AG55">
        <v>6.8</v>
      </c>
      <c r="AH55">
        <v>3.1</v>
      </c>
      <c r="AI55" t="s">
        <v>243</v>
      </c>
      <c r="AJ55" t="s">
        <v>242</v>
      </c>
      <c r="AK55">
        <v>210.27064329164998</v>
      </c>
      <c r="AL55" s="33">
        <v>3344</v>
      </c>
      <c r="AM55">
        <v>1</v>
      </c>
      <c r="AN55" s="30">
        <f t="shared" si="0"/>
        <v>1</v>
      </c>
      <c r="AO55" s="30" t="s">
        <v>244</v>
      </c>
      <c r="AP55">
        <v>60</v>
      </c>
      <c r="AQ55" s="34">
        <v>2.3304957605368995E-4</v>
      </c>
      <c r="AR55" s="35">
        <v>12.052802201048621</v>
      </c>
      <c r="AS55" t="s">
        <v>746</v>
      </c>
      <c r="AT55" s="36" t="s">
        <v>747</v>
      </c>
      <c r="AU55" t="s">
        <v>748</v>
      </c>
      <c r="AV55" t="str">
        <f>HYPERLINK("http://exon.niaid.nih.gov/transcriptome/S_calcitrans/S1/links/KOG/XP_013097487.1-KOG.txt","KOG")</f>
        <v>KOG</v>
      </c>
      <c r="AW55" s="37">
        <v>6.9999999999999999E-35</v>
      </c>
      <c r="AX55">
        <v>93.4</v>
      </c>
      <c r="AY55" s="33"/>
      <c r="BG55" s="31"/>
      <c r="BJ55" s="33"/>
      <c r="BK55" s="33"/>
      <c r="BL55" s="33" t="str">
        <f>HYPERLINK("http://exon.niaid.nih.gov/transcriptome/S_calcitrans/S1/links/NR-LIGHT/XP_013097487.1-NR-LIGHT.txt","tRNA-specific adenosine deaminase 2")</f>
        <v>tRNA-specific adenosine deaminase 2</v>
      </c>
      <c r="BM55" t="str">
        <f>HYPERLINK("http://www.ncbi.nlm.nih.gov/sutils/blink.cgi?pid=557770396","1E-068")</f>
        <v>1E-068</v>
      </c>
      <c r="BN55" t="str">
        <f>HYPERLINK("http://www.ncbi.nlm.nih.gov/protein/557770396","gi|557770396")</f>
        <v>gi|557770396</v>
      </c>
      <c r="BO55">
        <v>77</v>
      </c>
      <c r="BP55">
        <v>88</v>
      </c>
      <c r="BQ55">
        <v>100</v>
      </c>
      <c r="BR55" t="s">
        <v>251</v>
      </c>
      <c r="BS55" s="33" t="str">
        <f>HYPERLINK("http://exon.niaid.nih.gov/transcriptome/S_calcitrans/S1/links/SWISSP/XP_013097487.1-SWISSP.txt","tRNA-specific adenosine deaminase 2")</f>
        <v>tRNA-specific adenosine deaminase 2</v>
      </c>
      <c r="BT55" t="str">
        <f>HYPERLINK("http://www.uniprot.org/uniprot/Q7Z6V5","3E-041")</f>
        <v>3E-041</v>
      </c>
      <c r="BU55" t="str">
        <f>HYPERLINK("http://www.uniprot.org/uniprot/Q7Z6V5#expression","Q7Z6V5")</f>
        <v>Q7Z6V5</v>
      </c>
      <c r="BV55">
        <v>51</v>
      </c>
      <c r="BW55">
        <v>67</v>
      </c>
      <c r="BX55">
        <v>86</v>
      </c>
      <c r="BY55" t="s">
        <v>353</v>
      </c>
      <c r="BZ55" s="33" t="str">
        <f>HYPERLINK("http://exon.niaid.nih.gov/transcriptome/S_calcitrans/S1/links/REFSEQ-INVERTEBRATE/XP_013097487.1-REFSEQ-INVERTEBRATE.txt","tRNA-specific adenosine deaminase 2")</f>
        <v>tRNA-specific adenosine deaminase 2</v>
      </c>
      <c r="CA55" t="str">
        <f>HYPERLINK("http://www.ncbi.nlm.nih.gov/sutils/blink.cgi?pid=907596792","6E-088")</f>
        <v>6E-088</v>
      </c>
      <c r="CB55" t="str">
        <f>HYPERLINK("http://www.ncbi.nlm.nih.gov/protein/907596792","gi|907596792")</f>
        <v>gi|907596792</v>
      </c>
      <c r="CC55">
        <v>100</v>
      </c>
      <c r="CD55">
        <v>100</v>
      </c>
      <c r="CE55">
        <v>100</v>
      </c>
      <c r="CF55" t="s">
        <v>253</v>
      </c>
      <c r="CG55" s="33" t="str">
        <f>HYPERLINK("http://exon.niaid.nih.gov/transcriptome/S_calcitrans/S1/links/DIPTERA/XP_013097487.1-DIPTERA.txt","tRNA-specific adenosine deaminase 2")</f>
        <v>tRNA-specific adenosine deaminase 2</v>
      </c>
      <c r="CH55" t="str">
        <f>HYPERLINK("http://www.ncbi.nlm.nih.gov/sutils/blink.cgi?pid=907596792","4E-088")</f>
        <v>4E-088</v>
      </c>
      <c r="CI55" t="str">
        <f>HYPERLINK("http://www.ncbi.nlm.nih.gov/protein/907596792","gi|907596792")</f>
        <v>gi|907596792</v>
      </c>
      <c r="CJ55">
        <v>100</v>
      </c>
      <c r="CK55">
        <v>100</v>
      </c>
      <c r="CL55">
        <v>100</v>
      </c>
      <c r="CM55" t="s">
        <v>253</v>
      </c>
      <c r="CN55" s="33" t="s">
        <v>242</v>
      </c>
      <c r="CO55" t="s">
        <v>242</v>
      </c>
      <c r="CP55" t="s">
        <v>242</v>
      </c>
      <c r="CQ55" t="s">
        <v>242</v>
      </c>
      <c r="CR55" t="s">
        <v>242</v>
      </c>
      <c r="CS55" t="s">
        <v>242</v>
      </c>
      <c r="CT55" t="s">
        <v>242</v>
      </c>
      <c r="CU55" s="33" t="s">
        <v>749</v>
      </c>
      <c r="CV55">
        <f>HYPERLINK("http://exon.niaid.nih.gov/transcriptome/S_calcitrans/S1/links/GO/XP_013097487.1-GO.txt",2E-58)</f>
        <v>2.0000000000000001E-58</v>
      </c>
      <c r="CW55" t="str">
        <f>HYPERLINK("http://amigo.geneontology.org/cgi-bin/amigo/term_details?term=GO:0052717","GO:0052717")</f>
        <v>GO:0052717</v>
      </c>
      <c r="CX55" t="s">
        <v>750</v>
      </c>
      <c r="CY55" t="s">
        <v>751</v>
      </c>
      <c r="CZ55" t="s">
        <v>752</v>
      </c>
      <c r="DA55" t="str">
        <f>HYPERLINK("http://www.genome.jp/dbget-bin/www_bfind_sub?mode=bfind&amp;max_hit=1000&amp;dbkey=kegg&amp;keywords=EC:3.5.4.-","EC:3.5.4.-")</f>
        <v>EC:3.5.4.-</v>
      </c>
      <c r="DC55" t="s">
        <v>753</v>
      </c>
      <c r="DD55" s="37">
        <v>2.9999999999999999E-48</v>
      </c>
      <c r="DE55" s="33" t="str">
        <f>HYPERLINK("http://exon.niaid.nih.gov/transcriptome/S_calcitrans/S1/links/CDD/XP_013097487.1-CDD.txt","CumB")</f>
        <v>CumB</v>
      </c>
      <c r="DF55" t="str">
        <f>HYPERLINK("http://www.ncbi.nlm.nih.gov/Structure/cdd/cddsrv.cgi?uid=COG0590&amp;version=v4.0","3E-027")</f>
        <v>3E-027</v>
      </c>
      <c r="DG55" t="s">
        <v>754</v>
      </c>
      <c r="DH55" s="33" t="str">
        <f>HYPERLINK("http://exon.niaid.nih.gov/transcriptome/S_calcitrans/S1/links/KOG/XP_013097487.1-KOG.txt","Cytosine deaminase FCY1 and related enzymes")</f>
        <v>Cytosine deaminase FCY1 and related enzymes</v>
      </c>
      <c r="DI55" t="str">
        <f>HYPERLINK("http://www.ncbi.nlm.nih.gov/Structure/cdd/cddsrv.cgi?uid=KOG1018","7E-035")</f>
        <v>7E-035</v>
      </c>
      <c r="DJ55" t="s">
        <v>755</v>
      </c>
      <c r="DK55" t="str">
        <f>HYPERLINK("http://exon.niaid.nih.gov/transcriptome/S_calcitrans/S1/links/KOG/XP_013097487.1-KOG.txt","KOG1018")</f>
        <v>KOG1018</v>
      </c>
      <c r="DL55" s="33" t="str">
        <f>HYPERLINK("http://exon.niaid.nih.gov/transcriptome/S_calcitrans/S1/links/PFAM/XP_013097487.1-PFAM.txt","dCMP_cyt_deam_1")</f>
        <v>dCMP_cyt_deam_1</v>
      </c>
      <c r="DM55" t="str">
        <f>HYPERLINK("http://pfam.sanger.ac.uk/family?acc=PF00383","6E-016")</f>
        <v>6E-016</v>
      </c>
      <c r="DN55" s="33" t="str">
        <f>HYPERLINK("http://exon.niaid.nih.gov/transcriptome/S_calcitrans/S1/links/SMART/XP_013097487.1-SMART.txt","PASTA")</f>
        <v>PASTA</v>
      </c>
      <c r="DO55" t="str">
        <f>HYPERLINK("http://smart.embl-heidelberg.de/smart/do_annotation.pl?DOMAIN=PASTA&amp;BLAST=DUMMY","1.7")</f>
        <v>1.7</v>
      </c>
      <c r="DP55" s="33"/>
      <c r="EB55" s="33">
        <v>2528</v>
      </c>
      <c r="EC55">
        <v>1</v>
      </c>
      <c r="ED55" s="33">
        <v>3051</v>
      </c>
      <c r="EE55">
        <v>1</v>
      </c>
      <c r="EF55" s="33">
        <v>3296</v>
      </c>
      <c r="EG55">
        <v>1</v>
      </c>
      <c r="EH55" s="33">
        <v>3447</v>
      </c>
      <c r="EI55">
        <v>1</v>
      </c>
      <c r="EJ55" s="33">
        <v>3608</v>
      </c>
      <c r="EK55">
        <v>1</v>
      </c>
      <c r="EL55" s="33">
        <v>3711</v>
      </c>
      <c r="EM55">
        <v>1</v>
      </c>
      <c r="EN55" s="33">
        <v>3834</v>
      </c>
      <c r="EO55">
        <v>1</v>
      </c>
      <c r="EP55" s="33">
        <v>3898</v>
      </c>
      <c r="EQ55">
        <v>1</v>
      </c>
      <c r="ER55" s="33">
        <v>3936</v>
      </c>
      <c r="ES55">
        <v>1</v>
      </c>
      <c r="ET55" s="33">
        <v>3934</v>
      </c>
      <c r="EU55">
        <v>1</v>
      </c>
      <c r="EV55" s="33">
        <v>3893</v>
      </c>
      <c r="EW55">
        <v>1</v>
      </c>
      <c r="EX55" s="33">
        <v>3852</v>
      </c>
      <c r="EY55">
        <v>1</v>
      </c>
      <c r="EZ55" s="33">
        <v>3724</v>
      </c>
      <c r="FA55">
        <v>1</v>
      </c>
      <c r="FB55" s="33">
        <v>3576</v>
      </c>
      <c r="FC55">
        <v>1</v>
      </c>
      <c r="FD55" s="33">
        <v>3344</v>
      </c>
      <c r="FE55">
        <v>1</v>
      </c>
      <c r="FF55" t="s">
        <v>756</v>
      </c>
      <c r="FG55">
        <v>449</v>
      </c>
      <c r="FH55" s="38" t="str">
        <f>HYPERLINK("http://exon.niaid.nih.gov/transcriptome/S_calcitrans/S1/links/SG_male-stripped_temp-95-h10-1gap/449-SG_male-stripped_temp-95-h10-1gap.txt","33")</f>
        <v>33</v>
      </c>
      <c r="FI55" s="39">
        <v>87.860082304526799</v>
      </c>
      <c r="FJ55" s="39">
        <v>4.82098765432099</v>
      </c>
      <c r="FK55" s="39">
        <v>0</v>
      </c>
      <c r="FL55" s="39">
        <v>9</v>
      </c>
      <c r="FM55" s="39">
        <v>71</v>
      </c>
      <c r="FN55" s="38" t="str">
        <f>HYPERLINK("http://exon.niaid.nih.gov/transcriptome/S_calcitrans/S1/links/SG_female-stripped_temp-95-h10-1gap/449-SG_female-stripped_temp-95-h10-1gap.txt","27")</f>
        <v>27</v>
      </c>
      <c r="FO55" s="39">
        <v>83.127572016460903</v>
      </c>
      <c r="FP55" s="39">
        <v>3.8559670781893001</v>
      </c>
      <c r="FQ55" s="39">
        <v>0</v>
      </c>
      <c r="FR55" s="39">
        <v>8</v>
      </c>
      <c r="FS55" s="39">
        <v>69.407407407407405</v>
      </c>
      <c r="FT55" s="38">
        <v>0</v>
      </c>
      <c r="FU55" s="39" t="s">
        <v>242</v>
      </c>
      <c r="FV55" s="39" t="s">
        <v>242</v>
      </c>
      <c r="FW55" s="39" t="s">
        <v>242</v>
      </c>
      <c r="FX55" s="39" t="s">
        <v>242</v>
      </c>
      <c r="FY55" s="39" t="s">
        <v>242</v>
      </c>
      <c r="FZ55" s="38">
        <v>0</v>
      </c>
      <c r="GA55" s="39" t="s">
        <v>242</v>
      </c>
      <c r="GB55" s="39" t="s">
        <v>242</v>
      </c>
      <c r="GC55" s="39" t="s">
        <v>242</v>
      </c>
      <c r="GD55" s="39" t="s">
        <v>242</v>
      </c>
      <c r="GE55" s="39" t="s">
        <v>242</v>
      </c>
      <c r="GF55">
        <f t="shared" ref="GF55" si="77">1*FH55</f>
        <v>33</v>
      </c>
      <c r="GG55">
        <f t="shared" ref="GG55" si="78">1*FN55</f>
        <v>27</v>
      </c>
      <c r="GH55">
        <f t="shared" ref="GH55" si="79">1*FT55</f>
        <v>0</v>
      </c>
      <c r="GI55">
        <f t="shared" ref="GI55" si="80">1*FZ55</f>
        <v>0</v>
      </c>
      <c r="GJ55">
        <f t="shared" si="2"/>
        <v>60</v>
      </c>
      <c r="GK55" s="34">
        <v>2.3304957605368995E-4</v>
      </c>
      <c r="GL55">
        <v>2.2211590624177604</v>
      </c>
      <c r="GM55">
        <v>0.82641983965481625</v>
      </c>
      <c r="GN55">
        <v>0</v>
      </c>
      <c r="GO55">
        <v>0</v>
      </c>
      <c r="GP55">
        <f t="shared" ref="GP55" si="81">MAX(GL55:GO55)</f>
        <v>2.2211590624177604</v>
      </c>
      <c r="GQ55" t="s">
        <v>748</v>
      </c>
      <c r="GR55">
        <v>1.7322629739102366</v>
      </c>
      <c r="GS55">
        <v>0.67829746629948784</v>
      </c>
      <c r="GT55">
        <v>0</v>
      </c>
      <c r="GU55">
        <v>0</v>
      </c>
      <c r="GV55">
        <f t="shared" ref="GV55" si="82">MAX(GR55:GU55)</f>
        <v>1.7322629739102366</v>
      </c>
      <c r="GW55">
        <v>12.052802201048621</v>
      </c>
      <c r="GX55">
        <v>60</v>
      </c>
      <c r="GY55">
        <v>0</v>
      </c>
      <c r="GZ55">
        <v>60</v>
      </c>
      <c r="HA55">
        <v>13.319981616039696</v>
      </c>
      <c r="HB55">
        <v>46.680018383960302</v>
      </c>
      <c r="HC55">
        <v>163.59062490768966</v>
      </c>
      <c r="HD55">
        <v>46.680018383960309</v>
      </c>
      <c r="HE55">
        <v>210.27064329164998</v>
      </c>
      <c r="HF55">
        <v>1.1990002895122612E-47</v>
      </c>
      <c r="HG55">
        <v>13.319981616039696</v>
      </c>
      <c r="HH55">
        <v>1</v>
      </c>
      <c r="HI55">
        <v>1</v>
      </c>
      <c r="HJ55">
        <v>2</v>
      </c>
      <c r="HK55" s="37">
        <v>2.2448127762488498E-47</v>
      </c>
      <c r="HL55" s="30" t="s">
        <v>262</v>
      </c>
      <c r="HM55">
        <v>210.27064329164998</v>
      </c>
      <c r="HN55">
        <v>0</v>
      </c>
      <c r="HO55">
        <v>33</v>
      </c>
      <c r="HP55">
        <v>27</v>
      </c>
      <c r="HQ55">
        <v>60</v>
      </c>
      <c r="HR55">
        <v>18.755756685592125</v>
      </c>
      <c r="HS55">
        <v>41.244243314407875</v>
      </c>
      <c r="HT55">
        <v>10.817930249431996</v>
      </c>
      <c r="HU55">
        <v>4.9194372667560806</v>
      </c>
      <c r="HV55">
        <v>15.737367516188076</v>
      </c>
      <c r="HW55">
        <v>7.2772277300402449E-5</v>
      </c>
      <c r="HX55">
        <v>18.755756685592125</v>
      </c>
      <c r="HY55">
        <v>1</v>
      </c>
      <c r="HZ55">
        <v>1</v>
      </c>
      <c r="IA55">
        <v>2</v>
      </c>
      <c r="IB55">
        <v>6.3992876419898101E-4</v>
      </c>
      <c r="IC55" s="30" t="s">
        <v>262</v>
      </c>
      <c r="ID55">
        <v>2.5916995820675242</v>
      </c>
      <c r="IE55">
        <v>0.36112378773517684</v>
      </c>
      <c r="IF55">
        <v>2.5916995820675242</v>
      </c>
      <c r="IG55" t="str">
        <f t="shared" si="1"/>
        <v/>
      </c>
    </row>
    <row r="56" spans="1:241">
      <c r="A56" s="22" t="s">
        <v>52</v>
      </c>
      <c r="B56" s="23"/>
      <c r="C56" s="24"/>
      <c r="D56" s="24"/>
      <c r="E56" s="24"/>
      <c r="F56" s="24"/>
      <c r="G56" s="24"/>
      <c r="H56" s="24"/>
      <c r="I56" s="24"/>
      <c r="J56" s="23"/>
      <c r="K56" s="23"/>
      <c r="L56" s="25"/>
      <c r="M56" s="23"/>
      <c r="N56" s="23"/>
      <c r="O56" s="23"/>
      <c r="P56" s="23"/>
      <c r="Q56" s="25"/>
      <c r="R56" s="23"/>
      <c r="S56" s="24"/>
      <c r="T56" s="24"/>
      <c r="U56" s="24"/>
      <c r="V56" s="24"/>
      <c r="W56" s="24"/>
      <c r="X56" s="24"/>
      <c r="Y56" s="23"/>
      <c r="Z56" s="24"/>
      <c r="AA56" s="24"/>
      <c r="AB56" s="24"/>
      <c r="AC56" s="24"/>
      <c r="AD56" s="24"/>
      <c r="AE56" s="23"/>
      <c r="AF56" s="24"/>
      <c r="AG56" s="24"/>
      <c r="AH56" s="24"/>
      <c r="AI56" s="24"/>
      <c r="AJ56" s="24"/>
      <c r="AK56" s="24"/>
      <c r="AL56" s="24"/>
      <c r="AM56" s="24"/>
      <c r="AN56" s="23" t="str">
        <f t="shared" si="0"/>
        <v/>
      </c>
      <c r="AO56" s="23" t="s">
        <v>244</v>
      </c>
      <c r="AP56" s="24" t="s">
        <v>244</v>
      </c>
      <c r="AQ56" s="26"/>
      <c r="AR56" s="27"/>
      <c r="AS56" s="24"/>
      <c r="AT56" s="24"/>
      <c r="AU56" s="24"/>
      <c r="AV56" s="24"/>
      <c r="AW56" s="24"/>
      <c r="AX56" s="24"/>
      <c r="AY56" s="24"/>
      <c r="AZ56" s="24"/>
      <c r="BA56" s="24"/>
      <c r="BB56" s="24"/>
      <c r="BC56" s="24"/>
      <c r="BD56" s="24"/>
      <c r="BE56" s="24"/>
      <c r="BF56" s="24"/>
      <c r="BG56" s="25"/>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8"/>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9"/>
      <c r="FI56" s="29"/>
      <c r="FJ56" s="29"/>
      <c r="FK56" s="29"/>
      <c r="FL56" s="29"/>
      <c r="FM56" s="29"/>
      <c r="FN56" s="29"/>
      <c r="FO56" s="29"/>
      <c r="FP56" s="29"/>
      <c r="FQ56" s="29"/>
      <c r="FR56" s="29"/>
      <c r="FS56" s="29"/>
      <c r="FT56" s="29"/>
      <c r="FU56" s="29"/>
      <c r="FV56" s="29"/>
      <c r="FW56" s="29"/>
      <c r="FX56" s="29"/>
      <c r="FY56" s="29"/>
      <c r="FZ56" s="29"/>
      <c r="GA56" s="29"/>
      <c r="GB56" s="29"/>
      <c r="GC56" s="29"/>
      <c r="GD56" s="29"/>
      <c r="GE56" s="29"/>
      <c r="GF56" s="24"/>
      <c r="GG56" s="24"/>
      <c r="GH56" s="24"/>
      <c r="GI56" s="24"/>
      <c r="GJ56" s="24" t="str">
        <f t="shared" si="2"/>
        <v/>
      </c>
      <c r="GK56" s="26"/>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3"/>
      <c r="HM56" s="24"/>
      <c r="HN56" s="24"/>
      <c r="HO56" s="24"/>
      <c r="HP56" s="24"/>
      <c r="HQ56" s="24"/>
      <c r="HR56" s="24"/>
      <c r="HS56" s="24"/>
      <c r="HT56" s="24"/>
      <c r="HU56" s="24"/>
      <c r="HV56" s="24"/>
      <c r="HW56" s="24"/>
      <c r="HX56" s="24"/>
      <c r="HY56" s="24"/>
      <c r="HZ56" s="24"/>
      <c r="IA56" s="24"/>
      <c r="IB56" s="24"/>
      <c r="IC56" s="23"/>
      <c r="ID56" s="24"/>
      <c r="IE56" s="24"/>
      <c r="IF56" s="24"/>
      <c r="IG56" s="24" t="str">
        <f t="shared" si="1"/>
        <v/>
      </c>
    </row>
    <row r="57" spans="1:241">
      <c r="A57" t="str">
        <f>HYPERLINK("http://exon.niaid.nih.gov/transcriptome/S_calcitrans/S1/links/pep/XP_013103365.1-pep.txt","XP_013103365.1")</f>
        <v>XP_013103365.1</v>
      </c>
      <c r="B57" s="30" t="s">
        <v>232</v>
      </c>
      <c r="C57">
        <v>405</v>
      </c>
      <c r="D57" t="s">
        <v>757</v>
      </c>
      <c r="E57">
        <v>1</v>
      </c>
      <c r="F57" t="s">
        <v>758</v>
      </c>
      <c r="G57" t="str">
        <f>HYPERLINK("http://exon.niaid.nih.gov/transcriptome/S_calcitrans/S1/links/cds/XM_013247911_1-cds.txt","XM_013247911_1")</f>
        <v>XM_013247911_1</v>
      </c>
      <c r="H57">
        <v>1218</v>
      </c>
      <c r="I57" t="s">
        <v>759</v>
      </c>
      <c r="J57" s="30" t="s">
        <v>236</v>
      </c>
      <c r="K57" s="30" t="s">
        <v>91</v>
      </c>
      <c r="L57" s="31" t="s">
        <v>760</v>
      </c>
      <c r="M57" s="30">
        <v>463213</v>
      </c>
      <c r="N57" s="30">
        <v>466008</v>
      </c>
      <c r="O57" s="30" t="s">
        <v>238</v>
      </c>
      <c r="P57" s="30">
        <v>3</v>
      </c>
      <c r="Q57" s="31" t="s">
        <v>761</v>
      </c>
      <c r="R57" s="32" t="str">
        <f>HYPERLINK("http://exon.niaid.nih.gov/transcriptome/S_calcitrans/S1/links/Sigp/XP_013103365.1-SigP.txt","SIG")</f>
        <v>SIG</v>
      </c>
      <c r="S57" t="s">
        <v>240</v>
      </c>
      <c r="T57">
        <v>45.545999999999999</v>
      </c>
      <c r="U57">
        <v>9.1300000000000008</v>
      </c>
      <c r="V57">
        <v>43.298999999999999</v>
      </c>
      <c r="W57">
        <v>9.1199999999999992</v>
      </c>
      <c r="X57" t="s">
        <v>762</v>
      </c>
      <c r="Y57" s="32">
        <v>0</v>
      </c>
      <c r="Z57" t="s">
        <v>242</v>
      </c>
      <c r="AA57" t="s">
        <v>242</v>
      </c>
      <c r="AB57" t="s">
        <v>242</v>
      </c>
      <c r="AC57" t="s">
        <v>242</v>
      </c>
      <c r="AD57" t="s">
        <v>242</v>
      </c>
      <c r="AE57" s="32" t="str">
        <f>HYPERLINK("http://exon.niaid.nih.gov/transcriptome/S_calcitrans/S1/links/netoglyc/XP_013103365.1-netoglyc.txt","0")</f>
        <v>0</v>
      </c>
      <c r="AF57">
        <v>13.8</v>
      </c>
      <c r="AG57">
        <v>6.2</v>
      </c>
      <c r="AH57">
        <v>4</v>
      </c>
      <c r="AI57" t="s">
        <v>243</v>
      </c>
      <c r="AJ57" t="s">
        <v>763</v>
      </c>
      <c r="AK57">
        <v>235.99045747785763</v>
      </c>
      <c r="AL57" s="33">
        <v>7838</v>
      </c>
      <c r="AM57">
        <v>1</v>
      </c>
      <c r="AN57" s="30">
        <f t="shared" si="0"/>
        <v>1</v>
      </c>
      <c r="AO57" s="30" t="s">
        <v>244</v>
      </c>
      <c r="AP57">
        <v>979918</v>
      </c>
      <c r="AQ57" s="34">
        <v>3.8061579077896628</v>
      </c>
      <c r="AR57" s="35">
        <v>99.981507954569906</v>
      </c>
      <c r="AS57" t="s">
        <v>764</v>
      </c>
      <c r="AT57" s="36" t="s">
        <v>765</v>
      </c>
      <c r="AU57" t="s">
        <v>766</v>
      </c>
      <c r="AV57" t="str">
        <f>HYPERLINK("http://exon.niaid.nih.gov/transcriptome/S_calcitrans/S1/links/SMART/XP_013103365.1-SMART.txt","SMART")</f>
        <v>SMART</v>
      </c>
      <c r="AW57" s="37">
        <v>2.0000000000000001E-27</v>
      </c>
      <c r="AX57">
        <v>119.1</v>
      </c>
      <c r="AY57" s="33" t="str">
        <f>HYPERLINK("http://exon.niaid.nih.gov/transcriptome/S_calcitrans/S1/links/WANG/XP_013103365.1-WANG.txt","SC-4-42-3")</f>
        <v>SC-4-42-3</v>
      </c>
      <c r="AZ57">
        <v>9.0000000000000006E-81</v>
      </c>
      <c r="BA57">
        <v>147</v>
      </c>
      <c r="BB57">
        <v>147</v>
      </c>
      <c r="BC57">
        <v>96</v>
      </c>
      <c r="BD57">
        <v>97</v>
      </c>
      <c r="BE57">
        <v>100</v>
      </c>
      <c r="BF57" t="s">
        <v>248</v>
      </c>
      <c r="BG57" s="31" t="s">
        <v>767</v>
      </c>
      <c r="BH57" t="s">
        <v>768</v>
      </c>
      <c r="BI57">
        <v>7</v>
      </c>
      <c r="BJ57" s="33"/>
      <c r="BK57" s="33"/>
      <c r="BL57" s="33" t="str">
        <f>HYPERLINK("http://exon.niaid.nih.gov/transcriptome/S_calcitrans/S1/links/NR-LIGHT/XP_013103365.1-NR-LIGHT.txt","uncharacterized protein LOC101891113")</f>
        <v>uncharacterized protein LOC101891113</v>
      </c>
      <c r="BM57" t="str">
        <f>HYPERLINK("http://www.ncbi.nlm.nih.gov/sutils/blink.cgi?pid=557765598","1E-153")</f>
        <v>1E-153</v>
      </c>
      <c r="BN57" t="str">
        <f>HYPERLINK("http://www.ncbi.nlm.nih.gov/protein/557765598","gi|557765598")</f>
        <v>gi|557765598</v>
      </c>
      <c r="BO57">
        <v>64</v>
      </c>
      <c r="BP57">
        <v>79</v>
      </c>
      <c r="BQ57">
        <v>101</v>
      </c>
      <c r="BR57" t="s">
        <v>251</v>
      </c>
      <c r="BS57" s="33" t="str">
        <f>HYPERLINK("http://exon.niaid.nih.gov/transcriptome/S_calcitrans/S1/links/SWISSP/XP_013103365.1-SWISSP.txt","Nuclease EXOG, mitochondrial")</f>
        <v>Nuclease EXOG, mitochondrial</v>
      </c>
      <c r="BT57" t="str">
        <f>HYPERLINK("http://www.uniprot.org/uniprot/Q0IH72","6E-004")</f>
        <v>6E-004</v>
      </c>
      <c r="BU57" t="str">
        <f>HYPERLINK("http://www.uniprot.org/uniprot/Q0IH72#expression","Q0IH72")</f>
        <v>Q0IH72</v>
      </c>
      <c r="BV57">
        <v>26</v>
      </c>
      <c r="BW57">
        <v>43</v>
      </c>
      <c r="BX57">
        <v>41</v>
      </c>
      <c r="BY57" t="s">
        <v>607</v>
      </c>
      <c r="BZ57" s="33" t="str">
        <f>HYPERLINK("http://exon.niaid.nih.gov/transcriptome/S_calcitrans/S1/links/REFSEQ-INVERTEBRATE/XP_013103365.1-REFSEQ-INVERTEBRATE.txt","uncharacterized protein LOC106084323")</f>
        <v>uncharacterized protein LOC106084323</v>
      </c>
      <c r="CA57" t="str">
        <f>HYPERLINK("http://www.ncbi.nlm.nih.gov/sutils/blink.cgi?pid=907664548","0.0")</f>
        <v>0.0</v>
      </c>
      <c r="CB57" t="str">
        <f>HYPERLINK("http://www.ncbi.nlm.nih.gov/protein/907664548","gi|907664548")</f>
        <v>gi|907664548</v>
      </c>
      <c r="CC57">
        <v>100</v>
      </c>
      <c r="CD57">
        <v>100</v>
      </c>
      <c r="CE57">
        <v>100</v>
      </c>
      <c r="CF57" t="s">
        <v>253</v>
      </c>
      <c r="CG57" s="33" t="str">
        <f>HYPERLINK("http://exon.niaid.nih.gov/transcriptome/S_calcitrans/S1/links/DIPTERA/XP_013103365.1-DIPTERA.txt","uncharacterized protein LOC106084323")</f>
        <v>uncharacterized protein LOC106084323</v>
      </c>
      <c r="CH57" t="str">
        <f>HYPERLINK("http://www.ncbi.nlm.nih.gov/sutils/blink.cgi?pid=907664548","0.0")</f>
        <v>0.0</v>
      </c>
      <c r="CI57" t="str">
        <f>HYPERLINK("http://www.ncbi.nlm.nih.gov/protein/907664548","gi|907664548")</f>
        <v>gi|907664548</v>
      </c>
      <c r="CJ57">
        <v>100</v>
      </c>
      <c r="CK57">
        <v>100</v>
      </c>
      <c r="CL57">
        <v>100</v>
      </c>
      <c r="CM57" t="s">
        <v>253</v>
      </c>
      <c r="CN57" s="33" t="s">
        <v>242</v>
      </c>
      <c r="CO57" t="s">
        <v>242</v>
      </c>
      <c r="CP57" t="s">
        <v>242</v>
      </c>
      <c r="CQ57" t="s">
        <v>242</v>
      </c>
      <c r="CR57" t="s">
        <v>242</v>
      </c>
      <c r="CS57" t="s">
        <v>242</v>
      </c>
      <c r="CT57" t="s">
        <v>242</v>
      </c>
      <c r="CU57" s="33" t="s">
        <v>769</v>
      </c>
      <c r="CV57">
        <f>HYPERLINK("http://exon.niaid.nih.gov/transcriptome/S_calcitrans/S1/links/GO/XP_013103365.1-GO.txt",4E-37)</f>
        <v>4.0000000000000003E-37</v>
      </c>
      <c r="CW57" t="str">
        <f>HYPERLINK("http://amigo.geneontology.org/cgi-bin/amigo/term_details?term=GO:0046872","GO:0046872")</f>
        <v>GO:0046872</v>
      </c>
      <c r="CX57" t="s">
        <v>770</v>
      </c>
      <c r="CY57" t="s">
        <v>771</v>
      </c>
      <c r="CZ57" t="s">
        <v>772</v>
      </c>
      <c r="DA57" t="s">
        <v>242</v>
      </c>
      <c r="DC57" t="s">
        <v>773</v>
      </c>
      <c r="DD57" s="37">
        <v>5.0000000000000004E-31</v>
      </c>
      <c r="DE57" s="33" t="str">
        <f>HYPERLINK("http://exon.niaid.nih.gov/transcriptome/S_calcitrans/S1/links/CDD/XP_013103365.1-CDD.txt","Endonuclease_NS")</f>
        <v>Endonuclease_NS</v>
      </c>
      <c r="DF57" t="str">
        <f>HYPERLINK("http://www.ncbi.nlm.nih.gov/Structure/cdd/cddsrv.cgi?uid=smart00892&amp;version=v4.0","2E-025")</f>
        <v>2E-025</v>
      </c>
      <c r="DG57" t="s">
        <v>774</v>
      </c>
      <c r="DH57" s="33" t="str">
        <f>HYPERLINK("http://exon.niaid.nih.gov/transcriptome/S_calcitrans/S1/links/KOG/XP_013103365.1-KOG.txt","Vacuolar assembly/sorting protein VPS8")</f>
        <v>Vacuolar assembly/sorting protein VPS8</v>
      </c>
      <c r="DI57" t="str">
        <f>HYPERLINK("http://www.ncbi.nlm.nih.gov/Structure/cdd/cddsrv.cgi?uid=KOG2079","0.20")</f>
        <v>0.20</v>
      </c>
      <c r="DJ57" t="s">
        <v>310</v>
      </c>
      <c r="DK57" t="str">
        <f>HYPERLINK("http://exon.niaid.nih.gov/transcriptome/S_calcitrans/S1/links/KOG/XP_013103365.1-KOG.txt","KOG2079")</f>
        <v>KOG2079</v>
      </c>
      <c r="DL57" s="33" t="str">
        <f>HYPERLINK("http://exon.niaid.nih.gov/transcriptome/S_calcitrans/S1/links/PFAM/XP_013103365.1-PFAM.txt","Endonuclease_NS")</f>
        <v>Endonuclease_NS</v>
      </c>
      <c r="DM57" t="str">
        <f>HYPERLINK("http://pfam.sanger.ac.uk/family?acc=PF01223","1E-024")</f>
        <v>1E-024</v>
      </c>
      <c r="DN57" s="33" t="str">
        <f>HYPERLINK("http://exon.niaid.nih.gov/transcriptome/S_calcitrans/S1/links/SMART/XP_013103365.1-SMART.txt","Endonuclease_NS")</f>
        <v>Endonuclease_NS</v>
      </c>
      <c r="DO57" t="str">
        <f>HYPERLINK("http://smart.embl-heidelberg.de/smart/do_annotation.pl?DOMAIN=Endonuclease_NS&amp;BLAST=DUMMY","2E-027")</f>
        <v>2E-027</v>
      </c>
      <c r="DP57" s="33"/>
      <c r="EB57" s="33">
        <f>HYPERLINK("http://exon.niaid.nih.gov/transcriptome/S_calcitrans/S1/links/cluster-b/Scalc-pep25-50SimCLU154.txt", 154)</f>
        <v>154</v>
      </c>
      <c r="EC57">
        <f>HYPERLINK("http://exon.niaid.nih.gov/transcriptome/S_calcitrans/S1/links/cluster-b/Scalc-pep25-50SimCLTL154.txt", 12)</f>
        <v>12</v>
      </c>
      <c r="ED57" s="33">
        <f>HYPERLINK("http://exon.niaid.nih.gov/transcriptome/S_calcitrans/S1/links/cluster-b/Scalc-pep30-50SimCLU350.txt", 350)</f>
        <v>350</v>
      </c>
      <c r="EE57">
        <f>HYPERLINK("http://exon.niaid.nih.gov/transcriptome/S_calcitrans/S1/links/cluster-b/Scalc-pep30-50SimCLTL350.txt", 8)</f>
        <v>8</v>
      </c>
      <c r="EF57" s="33">
        <f>HYPERLINK("http://exon.niaid.nih.gov/transcriptome/S_calcitrans/S1/links/cluster-b/Scalc-pep35-50SimCLU348.txt", 348)</f>
        <v>348</v>
      </c>
      <c r="EG57">
        <f>HYPERLINK("http://exon.niaid.nih.gov/transcriptome/S_calcitrans/S1/links/cluster-b/Scalc-pep35-50SimCLTL348.txt", 8)</f>
        <v>8</v>
      </c>
      <c r="EH57" s="33">
        <f>HYPERLINK("http://exon.niaid.nih.gov/transcriptome/S_calcitrans/S1/links/cluster-b/Scalc-pep40-50SimCLU919.txt", 919)</f>
        <v>919</v>
      </c>
      <c r="EI57">
        <f>HYPERLINK("http://exon.niaid.nih.gov/transcriptome/S_calcitrans/S1/links/cluster-b/Scalc-pep40-50SimCLTL919.txt", 4)</f>
        <v>4</v>
      </c>
      <c r="EJ57" s="33">
        <f>HYPERLINK("http://exon.niaid.nih.gov/transcriptome/S_calcitrans/S1/links/cluster-b/Scalc-pep45-50SimCLU2603.txt", 2603)</f>
        <v>2603</v>
      </c>
      <c r="EK57">
        <f>HYPERLINK("http://exon.niaid.nih.gov/transcriptome/S_calcitrans/S1/links/cluster-b/Scalc-pep45-50SimCLTL2603.txt", 2)</f>
        <v>2</v>
      </c>
      <c r="EL57" s="33">
        <f>HYPERLINK("http://exon.niaid.nih.gov/transcriptome/S_calcitrans/S1/links/cluster-b/Scalc-pep50-50SimCLU2664.txt", 2664)</f>
        <v>2664</v>
      </c>
      <c r="EM57">
        <f>HYPERLINK("http://exon.niaid.nih.gov/transcriptome/S_calcitrans/S1/links/cluster-b/Scalc-pep50-50SimCLTL2664.txt", 2)</f>
        <v>2</v>
      </c>
      <c r="EN57" s="33">
        <f>HYPERLINK("http://exon.niaid.nih.gov/transcriptome/S_calcitrans/S1/links/cluster-b/Scalc-pep55-50SimCLU2710.txt", 2710)</f>
        <v>2710</v>
      </c>
      <c r="EO57">
        <f>HYPERLINK("http://exon.niaid.nih.gov/transcriptome/S_calcitrans/S1/links/cluster-b/Scalc-pep55-50SimCLTL2710.txt", 2)</f>
        <v>2</v>
      </c>
      <c r="EP57" s="33">
        <f>HYPERLINK("http://exon.niaid.nih.gov/transcriptome/S_calcitrans/S1/links/cluster-b/Scalc-pep60-50SimCLU2735.txt", 2735)</f>
        <v>2735</v>
      </c>
      <c r="EQ57">
        <f>HYPERLINK("http://exon.niaid.nih.gov/transcriptome/S_calcitrans/S1/links/cluster-b/Scalc-pep60-50SimCLTL2735.txt", 2)</f>
        <v>2</v>
      </c>
      <c r="ER57" s="33">
        <f>HYPERLINK("http://exon.niaid.nih.gov/transcriptome/S_calcitrans/S1/links/cluster-b/Scalc-pep65-50SimCLU2733.txt", 2733)</f>
        <v>2733</v>
      </c>
      <c r="ES57">
        <f>HYPERLINK("http://exon.niaid.nih.gov/transcriptome/S_calcitrans/S1/links/cluster-b/Scalc-pep65-50SimCLTL2733.txt", 2)</f>
        <v>2</v>
      </c>
      <c r="ET57" s="33">
        <v>7104</v>
      </c>
      <c r="EU57">
        <v>1</v>
      </c>
      <c r="EV57" s="33">
        <v>7252</v>
      </c>
      <c r="EW57">
        <v>1</v>
      </c>
      <c r="EX57" s="33">
        <v>7389</v>
      </c>
      <c r="EY57">
        <v>1</v>
      </c>
      <c r="EZ57" s="33">
        <v>7521</v>
      </c>
      <c r="FA57">
        <v>1</v>
      </c>
      <c r="FB57" s="33">
        <v>7648</v>
      </c>
      <c r="FC57">
        <v>1</v>
      </c>
      <c r="FD57" s="33">
        <v>7838</v>
      </c>
      <c r="FE57">
        <v>1</v>
      </c>
      <c r="FF57" t="s">
        <v>775</v>
      </c>
      <c r="FG57">
        <v>9211</v>
      </c>
      <c r="FH57" s="38" t="str">
        <f>HYPERLINK("http://exon.niaid.nih.gov/transcriptome/S_calcitrans/S1/links/SG_male-stripped_temp-95-h10-1gap/9211-SG_male-stripped_temp-95-h10-1gap.txt","291517")</f>
        <v>291517</v>
      </c>
      <c r="FI57" s="39">
        <v>100</v>
      </c>
      <c r="FJ57" s="39">
        <v>15885.793924466299</v>
      </c>
      <c r="FK57" s="39">
        <v>17</v>
      </c>
      <c r="FL57" s="39">
        <v>31999</v>
      </c>
      <c r="FM57" s="39">
        <v>73.256921551744796</v>
      </c>
      <c r="FN57" s="38" t="str">
        <f>HYPERLINK("http://exon.niaid.nih.gov/transcriptome/S_calcitrans/S1/links/SG_female-stripped_temp-95-h10-1gap/9211-SG_female-stripped_temp-95-h10-1gap.txt","688401")</f>
        <v>688401</v>
      </c>
      <c r="FO57" s="39">
        <v>100</v>
      </c>
      <c r="FP57" s="39">
        <v>29456.926108374399</v>
      </c>
      <c r="FQ57" s="39">
        <v>94</v>
      </c>
      <c r="FR57" s="39">
        <v>31999</v>
      </c>
      <c r="FS57" s="39">
        <v>73.601400927656996</v>
      </c>
      <c r="FT57" s="38" t="str">
        <f>HYPERLINK("http://exon.niaid.nih.gov/transcriptome/S_calcitrans/S1/links/SRR694289-stripped_temp-95-h10-1gap/9211-SRR694289-stripped_temp-95-h10-1gap.txt","5629")</f>
        <v>5629</v>
      </c>
      <c r="FU57" s="39">
        <v>100</v>
      </c>
      <c r="FV57" s="39">
        <v>457.29885057471301</v>
      </c>
      <c r="FW57" s="39">
        <v>18</v>
      </c>
      <c r="FX57" s="39">
        <v>1432</v>
      </c>
      <c r="FY57" s="39">
        <v>98.950612897495105</v>
      </c>
      <c r="FZ57" s="38" t="str">
        <f>HYPERLINK("http://exon.niaid.nih.gov/transcriptome/S_calcitrans/S1/links/SRR694925-stripped_temp-95-h10-1gap/9211-SRR694925-stripped_temp-95-h10-1gap.txt","8922")</f>
        <v>8922</v>
      </c>
      <c r="GA57" s="39">
        <v>100</v>
      </c>
      <c r="GB57" s="39">
        <v>727.14614121510704</v>
      </c>
      <c r="GC57" s="39">
        <v>17</v>
      </c>
      <c r="GD57" s="39">
        <v>2430</v>
      </c>
      <c r="GE57" s="39">
        <v>99.270118807442302</v>
      </c>
      <c r="GF57">
        <f>1*FH57</f>
        <v>291517</v>
      </c>
      <c r="GG57">
        <f>1*FN57</f>
        <v>688401</v>
      </c>
      <c r="GH57">
        <f>1*FT57</f>
        <v>5629</v>
      </c>
      <c r="GI57">
        <f>1*FZ57</f>
        <v>8922</v>
      </c>
      <c r="GJ57">
        <f t="shared" si="2"/>
        <v>979918</v>
      </c>
      <c r="GK57" s="34">
        <v>3.8061579077896628</v>
      </c>
      <c r="GL57">
        <v>7829.2216358121959</v>
      </c>
      <c r="GM57">
        <v>8407.5109956386477</v>
      </c>
      <c r="GN57">
        <v>26.565408556587172</v>
      </c>
      <c r="GO57">
        <v>43.406895313889095</v>
      </c>
      <c r="GP57">
        <f>MAX(GL57:GO57)</f>
        <v>8407.5109956386477</v>
      </c>
      <c r="GQ57" t="s">
        <v>766</v>
      </c>
      <c r="GR57">
        <v>6105.9430563661181</v>
      </c>
      <c r="GS57">
        <v>6900.6007994783313</v>
      </c>
      <c r="GT57">
        <v>47.888342006124127</v>
      </c>
      <c r="GU57">
        <v>82.181152760792429</v>
      </c>
      <c r="GV57">
        <f>MAX(GR57:GU57)</f>
        <v>6900.6007994783313</v>
      </c>
      <c r="GW57">
        <v>99.981507954569906</v>
      </c>
      <c r="GX57">
        <v>979918</v>
      </c>
      <c r="GY57">
        <v>14551</v>
      </c>
      <c r="GZ57">
        <v>994469</v>
      </c>
      <c r="HA57">
        <v>220771.81329535635</v>
      </c>
      <c r="HB57">
        <v>773697.18670464365</v>
      </c>
      <c r="HC57">
        <v>2610400.8667863919</v>
      </c>
      <c r="HD57">
        <v>744868.84880997171</v>
      </c>
      <c r="HE57">
        <v>3355269.7155963639</v>
      </c>
      <c r="HF57">
        <v>0</v>
      </c>
      <c r="HG57">
        <v>220771.81329535635</v>
      </c>
      <c r="HH57">
        <v>1</v>
      </c>
      <c r="HI57">
        <v>1</v>
      </c>
      <c r="HJ57">
        <v>2</v>
      </c>
      <c r="HK57">
        <v>0</v>
      </c>
      <c r="HL57" s="30" t="s">
        <v>262</v>
      </c>
      <c r="HM57">
        <v>235.99045747785763</v>
      </c>
      <c r="HN57">
        <v>4.2371639564918531E-3</v>
      </c>
      <c r="HO57">
        <v>291517</v>
      </c>
      <c r="HP57">
        <v>688401</v>
      </c>
      <c r="HQ57">
        <v>979918</v>
      </c>
      <c r="HR57">
        <v>306318.39299720107</v>
      </c>
      <c r="HS57">
        <v>673599.60700279893</v>
      </c>
      <c r="HT57">
        <v>715.2075737730662</v>
      </c>
      <c r="HU57">
        <v>325.23955236910115</v>
      </c>
      <c r="HV57">
        <v>1040.4471261421672</v>
      </c>
      <c r="HW57">
        <v>2.9019561318780524E-228</v>
      </c>
      <c r="HX57">
        <v>306318.39299720107</v>
      </c>
      <c r="HY57">
        <v>1</v>
      </c>
      <c r="HZ57">
        <v>1</v>
      </c>
      <c r="IA57">
        <v>2</v>
      </c>
      <c r="IB57" s="37">
        <v>6.45048514851485E-226</v>
      </c>
      <c r="IC57" s="30" t="s">
        <v>262</v>
      </c>
      <c r="ID57">
        <v>0.93121617882346397</v>
      </c>
      <c r="IE57">
        <v>1.0738592603802419</v>
      </c>
      <c r="IF57">
        <v>1.0738592603802419</v>
      </c>
      <c r="IG57" t="str">
        <f t="shared" si="1"/>
        <v/>
      </c>
    </row>
    <row r="58" spans="1:241">
      <c r="A58" s="22" t="s">
        <v>56</v>
      </c>
      <c r="B58" s="23"/>
      <c r="C58" s="24"/>
      <c r="D58" s="24"/>
      <c r="E58" s="24"/>
      <c r="F58" s="24"/>
      <c r="G58" s="24"/>
      <c r="H58" s="24"/>
      <c r="I58" s="24"/>
      <c r="J58" s="23"/>
      <c r="K58" s="23"/>
      <c r="L58" s="25"/>
      <c r="M58" s="23"/>
      <c r="N58" s="23"/>
      <c r="O58" s="23"/>
      <c r="P58" s="23"/>
      <c r="Q58" s="25"/>
      <c r="R58" s="23"/>
      <c r="S58" s="24"/>
      <c r="T58" s="24"/>
      <c r="U58" s="24"/>
      <c r="V58" s="24"/>
      <c r="W58" s="24"/>
      <c r="X58" s="24"/>
      <c r="Y58" s="23"/>
      <c r="Z58" s="24"/>
      <c r="AA58" s="24"/>
      <c r="AB58" s="24"/>
      <c r="AC58" s="24"/>
      <c r="AD58" s="24"/>
      <c r="AE58" s="23"/>
      <c r="AF58" s="24"/>
      <c r="AG58" s="24"/>
      <c r="AH58" s="24"/>
      <c r="AI58" s="24"/>
      <c r="AJ58" s="24"/>
      <c r="AK58" s="24"/>
      <c r="AL58" s="24"/>
      <c r="AM58" s="24"/>
      <c r="AN58" s="23" t="str">
        <f t="shared" si="0"/>
        <v/>
      </c>
      <c r="AO58" s="23" t="s">
        <v>244</v>
      </c>
      <c r="AP58" s="24" t="s">
        <v>244</v>
      </c>
      <c r="AQ58" s="26"/>
      <c r="AR58" s="27"/>
      <c r="AS58" s="24"/>
      <c r="AT58" s="24"/>
      <c r="AU58" s="24"/>
      <c r="AV58" s="24"/>
      <c r="AW58" s="24"/>
      <c r="AX58" s="24"/>
      <c r="AY58" s="24"/>
      <c r="AZ58" s="24"/>
      <c r="BA58" s="24"/>
      <c r="BB58" s="24"/>
      <c r="BC58" s="24"/>
      <c r="BD58" s="24"/>
      <c r="BE58" s="24"/>
      <c r="BF58" s="24"/>
      <c r="BG58" s="25"/>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8"/>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9"/>
      <c r="FI58" s="29"/>
      <c r="FJ58" s="29"/>
      <c r="FK58" s="29"/>
      <c r="FL58" s="29"/>
      <c r="FM58" s="29"/>
      <c r="FN58" s="29"/>
      <c r="FO58" s="29"/>
      <c r="FP58" s="29"/>
      <c r="FQ58" s="29"/>
      <c r="FR58" s="29"/>
      <c r="FS58" s="29"/>
      <c r="FT58" s="29"/>
      <c r="FU58" s="29"/>
      <c r="FV58" s="29"/>
      <c r="FW58" s="29"/>
      <c r="FX58" s="29"/>
      <c r="FY58" s="29"/>
      <c r="FZ58" s="29"/>
      <c r="GA58" s="29"/>
      <c r="GB58" s="29"/>
      <c r="GC58" s="29"/>
      <c r="GD58" s="29"/>
      <c r="GE58" s="29"/>
      <c r="GF58" s="24"/>
      <c r="GG58" s="24"/>
      <c r="GH58" s="24"/>
      <c r="GI58" s="24"/>
      <c r="GJ58" s="24" t="str">
        <f t="shared" si="2"/>
        <v/>
      </c>
      <c r="GK58" s="26"/>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3"/>
      <c r="HM58" s="24"/>
      <c r="HN58" s="24"/>
      <c r="HO58" s="24"/>
      <c r="HP58" s="24"/>
      <c r="HQ58" s="24"/>
      <c r="HR58" s="24"/>
      <c r="HS58" s="24"/>
      <c r="HT58" s="24"/>
      <c r="HU58" s="24"/>
      <c r="HV58" s="24"/>
      <c r="HW58" s="24"/>
      <c r="HX58" s="24"/>
      <c r="HY58" s="24"/>
      <c r="HZ58" s="24"/>
      <c r="IA58" s="24"/>
      <c r="IB58" s="24"/>
      <c r="IC58" s="23"/>
      <c r="ID58" s="24"/>
      <c r="IE58" s="24"/>
      <c r="IF58" s="24"/>
      <c r="IG58" s="24" t="str">
        <f t="shared" si="1"/>
        <v/>
      </c>
    </row>
    <row r="59" spans="1:241">
      <c r="A59" t="str">
        <f>HYPERLINK("http://exon.niaid.nih.gov/transcriptome/S_calcitrans/S1/links/pep/XP_013119376.1-pep.txt","XP_013119376.1")</f>
        <v>XP_013119376.1</v>
      </c>
      <c r="B59" s="30" t="s">
        <v>232</v>
      </c>
      <c r="C59">
        <v>499</v>
      </c>
      <c r="D59" t="s">
        <v>776</v>
      </c>
      <c r="E59">
        <v>1</v>
      </c>
      <c r="F59" t="s">
        <v>777</v>
      </c>
      <c r="G59" t="str">
        <f>HYPERLINK("http://exon.niaid.nih.gov/transcriptome/S_calcitrans/S1/links/cds/XM_013263922_1-cds.txt","XM_013263922_1")</f>
        <v>XM_013263922_1</v>
      </c>
      <c r="H59">
        <v>1500</v>
      </c>
      <c r="I59" t="s">
        <v>778</v>
      </c>
      <c r="J59" s="30" t="s">
        <v>236</v>
      </c>
      <c r="K59" s="30" t="s">
        <v>91</v>
      </c>
      <c r="L59" s="31" t="s">
        <v>779</v>
      </c>
      <c r="M59" s="30">
        <v>64773</v>
      </c>
      <c r="N59" s="30">
        <v>66397</v>
      </c>
      <c r="O59" s="30" t="s">
        <v>238</v>
      </c>
      <c r="P59" s="30">
        <v>3</v>
      </c>
      <c r="Q59" s="31" t="s">
        <v>780</v>
      </c>
      <c r="R59" s="32" t="str">
        <f>HYPERLINK("http://exon.niaid.nih.gov/transcriptome/S_calcitrans/S1/links/Sigp/XP_013119376.1-SigP.txt","SIG")</f>
        <v>SIG</v>
      </c>
      <c r="S59" t="s">
        <v>781</v>
      </c>
      <c r="T59">
        <v>55.502000000000002</v>
      </c>
      <c r="U59">
        <v>6.76</v>
      </c>
      <c r="V59">
        <v>53.597999999999999</v>
      </c>
      <c r="W59">
        <v>6.77</v>
      </c>
      <c r="X59" t="s">
        <v>782</v>
      </c>
      <c r="Y59" s="32">
        <v>0</v>
      </c>
      <c r="Z59" t="s">
        <v>242</v>
      </c>
      <c r="AA59" t="s">
        <v>242</v>
      </c>
      <c r="AB59" t="s">
        <v>242</v>
      </c>
      <c r="AC59" t="s">
        <v>242</v>
      </c>
      <c r="AD59" t="s">
        <v>242</v>
      </c>
      <c r="AE59" s="32" t="str">
        <f>HYPERLINK("http://exon.niaid.nih.gov/transcriptome/S_calcitrans/S1/links/netoglyc/XP_013119376.1-netoglyc.txt","0")</f>
        <v>0</v>
      </c>
      <c r="AF59">
        <v>9.8000000000000007</v>
      </c>
      <c r="AG59">
        <v>8.6</v>
      </c>
      <c r="AH59">
        <v>5.2</v>
      </c>
      <c r="AI59" t="s">
        <v>243</v>
      </c>
      <c r="AJ59" t="s">
        <v>242</v>
      </c>
      <c r="AK59">
        <v>185.66015098534342</v>
      </c>
      <c r="AL59" s="33">
        <v>4836</v>
      </c>
      <c r="AM59">
        <v>1</v>
      </c>
      <c r="AN59" s="30">
        <f t="shared" si="0"/>
        <v>1</v>
      </c>
      <c r="AO59" s="30" t="s">
        <v>244</v>
      </c>
      <c r="AP59">
        <v>127040</v>
      </c>
      <c r="AQ59" s="34">
        <v>0.49344363569767957</v>
      </c>
      <c r="AR59" s="35">
        <v>74.249633308942421</v>
      </c>
      <c r="AS59" t="s">
        <v>783</v>
      </c>
      <c r="AT59" s="36" t="s">
        <v>784</v>
      </c>
      <c r="AU59" t="s">
        <v>785</v>
      </c>
      <c r="AV59" t="str">
        <f>HYPERLINK("http://exon.niaid.nih.gov/transcriptome/S_calcitrans/S1/links/KOG/XP_013119376.1-KOG.txt","KOG")</f>
        <v>KOG</v>
      </c>
      <c r="AW59">
        <v>0</v>
      </c>
      <c r="AX59">
        <v>98.6</v>
      </c>
      <c r="AY59" s="33"/>
      <c r="BG59" s="31"/>
      <c r="BJ59" s="33"/>
      <c r="BK59" s="33"/>
      <c r="BL59" s="33" t="str">
        <f>HYPERLINK("http://exon.niaid.nih.gov/transcriptome/S_calcitrans/S1/links/NR-LIGHT/XP_013119376.1-NR-LIGHT.txt","alpha-amylase")</f>
        <v>alpha-amylase</v>
      </c>
      <c r="BM59" t="str">
        <f>HYPERLINK("http://www.ncbi.nlm.nih.gov/sutils/blink.cgi?pid=139478979","0.0")</f>
        <v>0.0</v>
      </c>
      <c r="BN59" t="str">
        <f>HYPERLINK("http://www.ncbi.nlm.nih.gov/protein/139478979","gi|139478979")</f>
        <v>gi|139478979</v>
      </c>
      <c r="BO59">
        <v>73</v>
      </c>
      <c r="BP59">
        <v>83</v>
      </c>
      <c r="BQ59">
        <v>99</v>
      </c>
      <c r="BR59" t="s">
        <v>251</v>
      </c>
      <c r="BS59" s="33" t="str">
        <f>HYPERLINK("http://exon.niaid.nih.gov/transcriptome/S_calcitrans/S1/links/SWISSP/XP_013119376.1-SWISSP.txt","Alpha-amylase B")</f>
        <v>Alpha-amylase B</v>
      </c>
      <c r="BT59" t="str">
        <f>HYPERLINK("http://www.uniprot.org/uniprot/Q9BN01","1E-165")</f>
        <v>1E-165</v>
      </c>
      <c r="BU59" t="str">
        <f>HYPERLINK("http://www.uniprot.org/uniprot/Q9BN01#expression","Q9BN01")</f>
        <v>Q9BN01</v>
      </c>
      <c r="BV59">
        <v>58</v>
      </c>
      <c r="BW59">
        <v>71</v>
      </c>
      <c r="BX59">
        <v>100</v>
      </c>
      <c r="BY59" t="s">
        <v>786</v>
      </c>
      <c r="BZ59" s="33" t="str">
        <f>HYPERLINK("http://exon.niaid.nih.gov/transcriptome/S_calcitrans/S1/links/REFSEQ-INVERTEBRATE/XP_013119376.1-REFSEQ-INVERTEBRATE.txt","alpha-amylase B-like")</f>
        <v>alpha-amylase B-like</v>
      </c>
      <c r="CA59" t="str">
        <f>HYPERLINK("http://www.ncbi.nlm.nih.gov/sutils/blink.cgi?pid=907618669","0.0")</f>
        <v>0.0</v>
      </c>
      <c r="CB59" t="str">
        <f>HYPERLINK("http://www.ncbi.nlm.nih.gov/protein/907618669","gi|907618669")</f>
        <v>gi|907618669</v>
      </c>
      <c r="CC59">
        <v>100</v>
      </c>
      <c r="CD59">
        <v>100</v>
      </c>
      <c r="CE59">
        <v>100</v>
      </c>
      <c r="CF59" t="s">
        <v>253</v>
      </c>
      <c r="CG59" s="33" t="str">
        <f>HYPERLINK("http://exon.niaid.nih.gov/transcriptome/S_calcitrans/S1/links/DIPTERA/XP_013119376.1-DIPTERA.txt","alpha-amylase B-like")</f>
        <v>alpha-amylase B-like</v>
      </c>
      <c r="CH59" t="str">
        <f>HYPERLINK("http://www.ncbi.nlm.nih.gov/sutils/blink.cgi?pid=907618669","0.0")</f>
        <v>0.0</v>
      </c>
      <c r="CI59" t="str">
        <f>HYPERLINK("http://www.ncbi.nlm.nih.gov/protein/907618669","gi|907618669")</f>
        <v>gi|907618669</v>
      </c>
      <c r="CJ59">
        <v>100</v>
      </c>
      <c r="CK59">
        <v>100</v>
      </c>
      <c r="CL59">
        <v>100</v>
      </c>
      <c r="CM59" t="s">
        <v>253</v>
      </c>
      <c r="CN59" s="33" t="s">
        <v>242</v>
      </c>
      <c r="CO59" t="s">
        <v>242</v>
      </c>
      <c r="CP59" t="s">
        <v>242</v>
      </c>
      <c r="CQ59" t="s">
        <v>242</v>
      </c>
      <c r="CR59" t="s">
        <v>242</v>
      </c>
      <c r="CS59" t="s">
        <v>242</v>
      </c>
      <c r="CT59" t="s">
        <v>242</v>
      </c>
      <c r="CU59" s="33" t="s">
        <v>787</v>
      </c>
      <c r="CV59">
        <f>HYPERLINK("http://exon.niaid.nih.gov/transcriptome/S_calcitrans/S1/links/GO/XP_013119376.1-GO.txt",0)</f>
        <v>0</v>
      </c>
      <c r="CW59" t="str">
        <f>HYPERLINK("http://amigo.geneontology.org/cgi-bin/amigo/term_details?term=GO:0004556","GO:0004556")</f>
        <v>GO:0004556</v>
      </c>
      <c r="CX59" t="s">
        <v>788</v>
      </c>
      <c r="CY59" t="s">
        <v>789</v>
      </c>
      <c r="CZ59" t="s">
        <v>790</v>
      </c>
      <c r="DA59" t="str">
        <f>HYPERLINK("http://www.genome.jp/dbget-bin/www_bfind_sub?mode=bfind&amp;max_hit=1000&amp;dbkey=kegg&amp;keywords=EC:3.2.1.1","EC:3.2.1.1")</f>
        <v>EC:3.2.1.1</v>
      </c>
      <c r="DC59" t="s">
        <v>791</v>
      </c>
      <c r="DD59" s="37">
        <v>9.9999999999999996E-165</v>
      </c>
      <c r="DE59" s="33" t="str">
        <f>HYPERLINK("http://exon.niaid.nih.gov/transcriptome/S_calcitrans/S1/links/CDD/XP_013119376.1-CDD.txt","AmyAc_bac_euk_A")</f>
        <v>AmyAc_bac_euk_A</v>
      </c>
      <c r="DF59" t="str">
        <f>HYPERLINK("http://www.ncbi.nlm.nih.gov/Structure/cdd/cddsrv.cgi?uid=cd11317&amp;version=v4.0","0.0")</f>
        <v>0.0</v>
      </c>
      <c r="DG59" t="s">
        <v>792</v>
      </c>
      <c r="DH59" s="33" t="str">
        <f>HYPERLINK("http://exon.niaid.nih.gov/transcriptome/S_calcitrans/S1/links/KOG/XP_013119376.1-KOG.txt","Alpha-amylase")</f>
        <v>Alpha-amylase</v>
      </c>
      <c r="DI59" t="str">
        <f>HYPERLINK("http://www.ncbi.nlm.nih.gov/Structure/cdd/cddsrv.cgi?uid=KOG2212","0.0")</f>
        <v>0.0</v>
      </c>
      <c r="DJ59" t="s">
        <v>444</v>
      </c>
      <c r="DK59" t="str">
        <f>HYPERLINK("http://exon.niaid.nih.gov/transcriptome/S_calcitrans/S1/links/KOG/XP_013119376.1-KOG.txt","KOG2212")</f>
        <v>KOG2212</v>
      </c>
      <c r="DL59" s="33" t="str">
        <f>HYPERLINK("http://exon.niaid.nih.gov/transcriptome/S_calcitrans/S1/links/PFAM/XP_013119376.1-PFAM.txt","Alpha-amylase")</f>
        <v>Alpha-amylase</v>
      </c>
      <c r="DM59" t="str">
        <f>HYPERLINK("http://pfam.sanger.ac.uk/family?acc=PF00128","3E-020")</f>
        <v>3E-020</v>
      </c>
      <c r="DN59" s="33" t="str">
        <f>HYPERLINK("http://exon.niaid.nih.gov/transcriptome/S_calcitrans/S1/links/SMART/XP_013119376.1-SMART.txt","Aamy")</f>
        <v>Aamy</v>
      </c>
      <c r="DO59" t="str">
        <f>HYPERLINK("http://smart.embl-heidelberg.de/smart/do_annotation.pl?DOMAIN=Aamy&amp;BLAST=DUMMY","4E-027")</f>
        <v>4E-027</v>
      </c>
      <c r="DP59" s="33"/>
      <c r="EB59" s="33">
        <f>HYPERLINK("http://exon.niaid.nih.gov/transcriptome/S_calcitrans/S1/links/cluster-b/Scalc-pep25-50SimCLU1067.txt", 1067)</f>
        <v>1067</v>
      </c>
      <c r="EC59">
        <f>HYPERLINK("http://exon.niaid.nih.gov/transcriptome/S_calcitrans/S1/links/cluster-b/Scalc-pep25-50SimCLTL1067.txt", 3)</f>
        <v>3</v>
      </c>
      <c r="ED59" s="33">
        <f>HYPERLINK("http://exon.niaid.nih.gov/transcriptome/S_calcitrans/S1/links/cluster-b/Scalc-pep30-50SimCLU1261.txt", 1261)</f>
        <v>1261</v>
      </c>
      <c r="EE59">
        <f>HYPERLINK("http://exon.niaid.nih.gov/transcriptome/S_calcitrans/S1/links/cluster-b/Scalc-pep30-50SimCLTL1261.txt", 3)</f>
        <v>3</v>
      </c>
      <c r="EF59" s="33">
        <f>HYPERLINK("http://exon.niaid.nih.gov/transcriptome/S_calcitrans/S1/links/cluster-b/Scalc-pep35-50SimCLU1317.txt", 1317)</f>
        <v>1317</v>
      </c>
      <c r="EG59">
        <f>HYPERLINK("http://exon.niaid.nih.gov/transcriptome/S_calcitrans/S1/links/cluster-b/Scalc-pep35-50SimCLTL1317.txt", 3)</f>
        <v>3</v>
      </c>
      <c r="EH59" s="33">
        <f>HYPERLINK("http://exon.niaid.nih.gov/transcriptome/S_calcitrans/S1/links/cluster-b/Scalc-pep40-50SimCLU1321.txt", 1321)</f>
        <v>1321</v>
      </c>
      <c r="EI59">
        <f>HYPERLINK("http://exon.niaid.nih.gov/transcriptome/S_calcitrans/S1/links/cluster-b/Scalc-pep40-50SimCLTL1321.txt", 3)</f>
        <v>3</v>
      </c>
      <c r="EJ59" s="33">
        <f>HYPERLINK("http://exon.niaid.nih.gov/transcriptome/S_calcitrans/S1/links/cluster-b/Scalc-pep45-50SimCLU1352.txt", 1352)</f>
        <v>1352</v>
      </c>
      <c r="EK59">
        <f>HYPERLINK("http://exon.niaid.nih.gov/transcriptome/S_calcitrans/S1/links/cluster-b/Scalc-pep45-50SimCLTL1352.txt", 3)</f>
        <v>3</v>
      </c>
      <c r="EL59" s="33">
        <f>HYPERLINK("http://exon.niaid.nih.gov/transcriptome/S_calcitrans/S1/links/cluster-b/Scalc-pep50-50SimCLU1361.txt", 1361)</f>
        <v>1361</v>
      </c>
      <c r="EM59">
        <f>HYPERLINK("http://exon.niaid.nih.gov/transcriptome/S_calcitrans/S1/links/cluster-b/Scalc-pep50-50SimCLTL1361.txt", 3)</f>
        <v>3</v>
      </c>
      <c r="EN59" s="33">
        <f>HYPERLINK("http://exon.niaid.nih.gov/transcriptome/S_calcitrans/S1/links/cluster-b/Scalc-pep55-50SimCLU1345.txt", 1345)</f>
        <v>1345</v>
      </c>
      <c r="EO59">
        <f>HYPERLINK("http://exon.niaid.nih.gov/transcriptome/S_calcitrans/S1/links/cluster-b/Scalc-pep55-50SimCLTL1345.txt", 3)</f>
        <v>3</v>
      </c>
      <c r="EP59" s="33">
        <f>HYPERLINK("http://exon.niaid.nih.gov/transcriptome/S_calcitrans/S1/links/cluster-b/Scalc-pep60-50SimCLU1340.txt", 1340)</f>
        <v>1340</v>
      </c>
      <c r="EQ59">
        <f>HYPERLINK("http://exon.niaid.nih.gov/transcriptome/S_calcitrans/S1/links/cluster-b/Scalc-pep60-50SimCLTL1340.txt", 3)</f>
        <v>3</v>
      </c>
      <c r="ER59" s="33">
        <f>HYPERLINK("http://exon.niaid.nih.gov/transcriptome/S_calcitrans/S1/links/cluster-b/Scalc-pep65-50SimCLU1294.txt", 1294)</f>
        <v>1294</v>
      </c>
      <c r="ES59">
        <f>HYPERLINK("http://exon.niaid.nih.gov/transcriptome/S_calcitrans/S1/links/cluster-b/Scalc-pep65-50SimCLTL1294.txt", 3)</f>
        <v>3</v>
      </c>
      <c r="ET59" s="33">
        <v>5007</v>
      </c>
      <c r="EU59">
        <v>1</v>
      </c>
      <c r="EV59" s="33">
        <v>5025</v>
      </c>
      <c r="EW59">
        <v>1</v>
      </c>
      <c r="EX59" s="33">
        <v>5033</v>
      </c>
      <c r="EY59">
        <v>1</v>
      </c>
      <c r="EZ59" s="33">
        <v>4985</v>
      </c>
      <c r="FA59">
        <v>1</v>
      </c>
      <c r="FB59" s="33">
        <v>4922</v>
      </c>
      <c r="FC59">
        <v>1</v>
      </c>
      <c r="FD59" s="33">
        <v>4836</v>
      </c>
      <c r="FE59">
        <v>1</v>
      </c>
      <c r="FF59" t="s">
        <v>793</v>
      </c>
      <c r="FG59">
        <v>3417</v>
      </c>
      <c r="FH59" s="38" t="str">
        <f>HYPERLINK("http://exon.niaid.nih.gov/transcriptome/S_calcitrans/S1/links/SG_male-stripped_temp-95-h10-1gap/3417-SG_male-stripped_temp-95-h10-1gap.txt","29824")</f>
        <v>29824</v>
      </c>
      <c r="FI59" s="39">
        <v>100</v>
      </c>
      <c r="FJ59" s="39">
        <v>1470.86466666667</v>
      </c>
      <c r="FK59" s="39">
        <v>79</v>
      </c>
      <c r="FL59" s="39">
        <v>5127</v>
      </c>
      <c r="FM59" s="39">
        <v>73.977400751073006</v>
      </c>
      <c r="FN59" s="38" t="str">
        <f>HYPERLINK("http://exon.niaid.nih.gov/transcriptome/S_calcitrans/S1/links/SG_female-stripped_temp-95-h10-1gap/3417-SG_female-stripped_temp-95-h10-1gap.txt","97216")</f>
        <v>97216</v>
      </c>
      <c r="FO59" s="39">
        <v>100</v>
      </c>
      <c r="FP59" s="39">
        <v>4798.2753333333303</v>
      </c>
      <c r="FQ59" s="39">
        <v>274</v>
      </c>
      <c r="FR59" s="39">
        <v>9396</v>
      </c>
      <c r="FS59" s="39">
        <v>74.035374835417997</v>
      </c>
      <c r="FT59" s="38" t="str">
        <f>HYPERLINK("http://exon.niaid.nih.gov/transcriptome/S_calcitrans/S1/links/SRR694289-stripped_temp-95-h10-1gap/3417-SRR694289-stripped_temp-95-h10-1gap.txt","1119")</f>
        <v>1119</v>
      </c>
      <c r="FU59" s="39">
        <v>100</v>
      </c>
      <c r="FV59" s="39">
        <v>74.174000000000007</v>
      </c>
      <c r="FW59" s="39">
        <v>4</v>
      </c>
      <c r="FX59" s="39">
        <v>159</v>
      </c>
      <c r="FY59" s="39">
        <v>99.4334226988382</v>
      </c>
      <c r="FZ59" s="38" t="str">
        <f>HYPERLINK("http://exon.niaid.nih.gov/transcriptome/S_calcitrans/S1/links/SRR694925-stripped_temp-95-h10-1gap/3417-SRR694925-stripped_temp-95-h10-1gap.txt","1278")</f>
        <v>1278</v>
      </c>
      <c r="GA59" s="39">
        <v>100</v>
      </c>
      <c r="GB59" s="39">
        <v>84.932000000000002</v>
      </c>
      <c r="GC59" s="39">
        <v>3</v>
      </c>
      <c r="GD59" s="39">
        <v>176</v>
      </c>
      <c r="GE59" s="39">
        <v>99.690923317683897</v>
      </c>
      <c r="GF59">
        <f>1*FH59</f>
        <v>29824</v>
      </c>
      <c r="GG59">
        <f>1*FN59</f>
        <v>97216</v>
      </c>
      <c r="GH59">
        <f>1*FT59</f>
        <v>1119</v>
      </c>
      <c r="GI59">
        <f>1*FZ59</f>
        <v>1278</v>
      </c>
      <c r="GJ59">
        <f t="shared" si="2"/>
        <v>127040</v>
      </c>
      <c r="GK59" s="34">
        <v>0.49344363569767957</v>
      </c>
      <c r="GL59">
        <v>650.394142797737</v>
      </c>
      <c r="GM59">
        <v>964.0947735825913</v>
      </c>
      <c r="GN59">
        <v>4.2881638027988433</v>
      </c>
      <c r="GO59">
        <v>5.0487444424404853</v>
      </c>
      <c r="GP59">
        <f>MAX(GL59:GO59)</f>
        <v>964.0947735825913</v>
      </c>
      <c r="GQ59" t="s">
        <v>785</v>
      </c>
      <c r="GR59">
        <v>507.23683462373464</v>
      </c>
      <c r="GS59">
        <v>791.29639780525201</v>
      </c>
      <c r="GT59">
        <v>7.730092098124099</v>
      </c>
      <c r="GU59">
        <v>9.5586573348322901</v>
      </c>
      <c r="GV59">
        <f>MAX(GR59:GU59)</f>
        <v>791.29639780525201</v>
      </c>
      <c r="GW59">
        <v>74.249633308942421</v>
      </c>
      <c r="GX59">
        <v>127040</v>
      </c>
      <c r="GY59">
        <v>2397</v>
      </c>
      <c r="GZ59">
        <v>129437</v>
      </c>
      <c r="HA59">
        <v>28734.974340588837</v>
      </c>
      <c r="HB59">
        <v>100702.02565941117</v>
      </c>
      <c r="HC59">
        <v>336310.65597462625</v>
      </c>
      <c r="HD59">
        <v>95965.081204842136</v>
      </c>
      <c r="HE59">
        <v>432275.73717946839</v>
      </c>
      <c r="HF59">
        <v>0</v>
      </c>
      <c r="HG59">
        <v>28734.974340588837</v>
      </c>
      <c r="HH59">
        <v>1</v>
      </c>
      <c r="HI59">
        <v>1</v>
      </c>
      <c r="HJ59">
        <v>2</v>
      </c>
      <c r="HK59">
        <v>0</v>
      </c>
      <c r="HL59" s="30" t="s">
        <v>262</v>
      </c>
      <c r="HM59">
        <v>185.66015098534342</v>
      </c>
      <c r="HN59">
        <v>5.3838969338572849E-3</v>
      </c>
      <c r="HO59">
        <v>29824</v>
      </c>
      <c r="HP59">
        <v>97216</v>
      </c>
      <c r="HQ59">
        <v>127040</v>
      </c>
      <c r="HR59">
        <v>39712.188822293727</v>
      </c>
      <c r="HS59">
        <v>87327.811177706273</v>
      </c>
      <c r="HT59">
        <v>2462.1226148694359</v>
      </c>
      <c r="HU59">
        <v>1119.6465005445561</v>
      </c>
      <c r="HV59">
        <v>3581.769115413992</v>
      </c>
      <c r="HW59">
        <v>0</v>
      </c>
      <c r="HX59">
        <v>39712.188822293727</v>
      </c>
      <c r="HY59">
        <v>1</v>
      </c>
      <c r="HZ59">
        <v>1</v>
      </c>
      <c r="IA59">
        <v>2</v>
      </c>
      <c r="IB59">
        <v>0</v>
      </c>
      <c r="IC59" s="30" t="s">
        <v>262</v>
      </c>
      <c r="ID59">
        <v>0.674609458002978</v>
      </c>
      <c r="IE59">
        <v>1.4822741858964208</v>
      </c>
      <c r="IF59">
        <v>1.4822741858964208</v>
      </c>
      <c r="IG59" t="str">
        <f t="shared" si="1"/>
        <v/>
      </c>
    </row>
    <row r="60" spans="1:241">
      <c r="A60" s="22" t="s">
        <v>57</v>
      </c>
      <c r="B60" s="23"/>
      <c r="C60" s="24"/>
      <c r="D60" s="24"/>
      <c r="E60" s="24"/>
      <c r="F60" s="24"/>
      <c r="G60" s="24"/>
      <c r="H60" s="24"/>
      <c r="I60" s="24"/>
      <c r="J60" s="23"/>
      <c r="K60" s="23"/>
      <c r="L60" s="25"/>
      <c r="M60" s="23"/>
      <c r="N60" s="23"/>
      <c r="O60" s="23"/>
      <c r="P60" s="23"/>
      <c r="Q60" s="25"/>
      <c r="R60" s="23"/>
      <c r="S60" s="24"/>
      <c r="T60" s="24"/>
      <c r="U60" s="24"/>
      <c r="V60" s="24"/>
      <c r="W60" s="24"/>
      <c r="X60" s="24"/>
      <c r="Y60" s="23"/>
      <c r="Z60" s="24"/>
      <c r="AA60" s="24"/>
      <c r="AB60" s="24"/>
      <c r="AC60" s="24"/>
      <c r="AD60" s="24"/>
      <c r="AE60" s="23"/>
      <c r="AF60" s="24"/>
      <c r="AG60" s="24"/>
      <c r="AH60" s="24"/>
      <c r="AI60" s="24"/>
      <c r="AJ60" s="24"/>
      <c r="AK60" s="24"/>
      <c r="AL60" s="24"/>
      <c r="AM60" s="24"/>
      <c r="AN60" s="23" t="str">
        <f t="shared" si="0"/>
        <v/>
      </c>
      <c r="AO60" s="23" t="s">
        <v>244</v>
      </c>
      <c r="AP60" s="24" t="s">
        <v>244</v>
      </c>
      <c r="AQ60" s="26"/>
      <c r="AR60" s="27"/>
      <c r="AS60" s="24"/>
      <c r="AT60" s="24"/>
      <c r="AU60" s="24"/>
      <c r="AV60" s="24"/>
      <c r="AW60" s="28"/>
      <c r="AX60" s="24"/>
      <c r="AY60" s="24"/>
      <c r="AZ60" s="24"/>
      <c r="BA60" s="24"/>
      <c r="BB60" s="24"/>
      <c r="BC60" s="24"/>
      <c r="BD60" s="24"/>
      <c r="BE60" s="24"/>
      <c r="BF60" s="24"/>
      <c r="BG60" s="25"/>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8"/>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4"/>
      <c r="GG60" s="24"/>
      <c r="GH60" s="24"/>
      <c r="GI60" s="24"/>
      <c r="GJ60" s="24" t="str">
        <f t="shared" si="2"/>
        <v/>
      </c>
      <c r="GK60" s="26"/>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3"/>
      <c r="HM60" s="24"/>
      <c r="HN60" s="24"/>
      <c r="HO60" s="24"/>
      <c r="HP60" s="24"/>
      <c r="HQ60" s="24"/>
      <c r="HR60" s="24"/>
      <c r="HS60" s="24"/>
      <c r="HT60" s="24"/>
      <c r="HU60" s="24"/>
      <c r="HV60" s="24"/>
      <c r="HW60" s="24"/>
      <c r="HX60" s="24"/>
      <c r="HY60" s="24"/>
      <c r="HZ60" s="24"/>
      <c r="IA60" s="24"/>
      <c r="IB60" s="28"/>
      <c r="IC60" s="23"/>
      <c r="ID60" s="24"/>
      <c r="IE60" s="24"/>
      <c r="IF60" s="24"/>
      <c r="IG60" s="24" t="str">
        <f t="shared" si="1"/>
        <v/>
      </c>
    </row>
    <row r="61" spans="1:241">
      <c r="A61" t="str">
        <f>HYPERLINK("http://exon.niaid.nih.gov/transcriptome/S_calcitrans/S1/links/pep/XP_013101785.1-pep.txt","XP_013101785.1")</f>
        <v>XP_013101785.1</v>
      </c>
      <c r="B61" s="30" t="s">
        <v>232</v>
      </c>
      <c r="C61">
        <v>392</v>
      </c>
      <c r="D61" t="s">
        <v>794</v>
      </c>
      <c r="E61">
        <v>3</v>
      </c>
      <c r="F61" t="s">
        <v>795</v>
      </c>
      <c r="G61" t="str">
        <f>HYPERLINK("http://exon.niaid.nih.gov/transcriptome/S_calcitrans/S1/links/cds/XM_013246331_1-cds.txt","XM_013246331_1")</f>
        <v>XM_013246331_1</v>
      </c>
      <c r="H61">
        <v>1179</v>
      </c>
      <c r="I61" t="s">
        <v>796</v>
      </c>
      <c r="J61" s="30" t="s">
        <v>236</v>
      </c>
      <c r="K61" s="30" t="s">
        <v>91</v>
      </c>
      <c r="L61" s="31" t="s">
        <v>797</v>
      </c>
      <c r="M61" s="30">
        <v>771396</v>
      </c>
      <c r="N61" s="30">
        <v>776413</v>
      </c>
      <c r="O61" s="30" t="s">
        <v>238</v>
      </c>
      <c r="P61" s="30">
        <v>3</v>
      </c>
      <c r="Q61" s="31" t="s">
        <v>798</v>
      </c>
      <c r="R61" s="32" t="str">
        <f>HYPERLINK("http://exon.niaid.nih.gov/transcriptome/S_calcitrans/S1/links/Sigp/XP_013101785.1-SigP.txt","CYT")</f>
        <v>CYT</v>
      </c>
      <c r="S61" t="s">
        <v>242</v>
      </c>
      <c r="T61">
        <v>46.045999999999999</v>
      </c>
      <c r="U61">
        <v>8.89</v>
      </c>
      <c r="V61" t="s">
        <v>242</v>
      </c>
      <c r="W61" t="s">
        <v>242</v>
      </c>
      <c r="X61" t="s">
        <v>799</v>
      </c>
      <c r="Y61" s="32">
        <v>0</v>
      </c>
      <c r="Z61" t="s">
        <v>242</v>
      </c>
      <c r="AA61" t="s">
        <v>242</v>
      </c>
      <c r="AB61" t="s">
        <v>242</v>
      </c>
      <c r="AC61" t="s">
        <v>242</v>
      </c>
      <c r="AD61" t="s">
        <v>242</v>
      </c>
      <c r="AE61" s="32" t="str">
        <f>HYPERLINK("http://exon.niaid.nih.gov/transcriptome/S_calcitrans/S1/links/netoglyc/XP_013101785.1-netoglyc.txt","1")</f>
        <v>1</v>
      </c>
      <c r="AF61">
        <v>10.199999999999999</v>
      </c>
      <c r="AG61">
        <v>5.0999999999999996</v>
      </c>
      <c r="AH61">
        <v>5.4</v>
      </c>
      <c r="AI61" t="s">
        <v>243</v>
      </c>
      <c r="AJ61" t="s">
        <v>242</v>
      </c>
      <c r="AK61">
        <v>110.39208772811624</v>
      </c>
      <c r="AL61" s="33">
        <v>7113</v>
      </c>
      <c r="AM61">
        <v>1</v>
      </c>
      <c r="AN61" s="30">
        <f t="shared" si="0"/>
        <v>1</v>
      </c>
      <c r="AO61" s="30" t="s">
        <v>244</v>
      </c>
      <c r="AP61">
        <v>567</v>
      </c>
      <c r="AQ61" s="34">
        <v>2.2023184937073701E-3</v>
      </c>
      <c r="AR61" s="35">
        <v>22.65686773640746</v>
      </c>
      <c r="AS61" t="s">
        <v>800</v>
      </c>
      <c r="AT61" s="36" t="s">
        <v>801</v>
      </c>
      <c r="AU61" t="s">
        <v>802</v>
      </c>
      <c r="AV61" t="str">
        <f>HYPERLINK("http://exon.niaid.nih.gov/transcriptome/S_calcitrans/S1/links/CDD/XP_013101785.1-CDD.txt","CDD")</f>
        <v>CDD</v>
      </c>
      <c r="AW61" s="37">
        <v>4.0000000000000003E-30</v>
      </c>
      <c r="AX61">
        <v>91</v>
      </c>
      <c r="AY61" s="33"/>
      <c r="BG61" s="31"/>
      <c r="BJ61" s="33"/>
      <c r="BK61" s="33"/>
      <c r="BL61" s="33" t="str">
        <f>HYPERLINK("http://exon.niaid.nih.gov/transcriptome/S_calcitrans/S1/links/NR-LIGHT/XP_013101785.1-NR-LIGHT.txt","uncharacterized protein LOC101897692")</f>
        <v>uncharacterized protein LOC101897692</v>
      </c>
      <c r="BM61" t="str">
        <f>HYPERLINK("http://www.ncbi.nlm.nih.gov/sutils/blink.cgi?pid=755882489","1E-153")</f>
        <v>1E-153</v>
      </c>
      <c r="BN61" t="str">
        <f>HYPERLINK("http://www.ncbi.nlm.nih.gov/protein/755882489","gi|755882489")</f>
        <v>gi|755882489</v>
      </c>
      <c r="BO61">
        <v>65</v>
      </c>
      <c r="BP61">
        <v>80</v>
      </c>
      <c r="BQ61">
        <v>98</v>
      </c>
      <c r="BR61" t="s">
        <v>251</v>
      </c>
      <c r="BS61" s="33" t="str">
        <f>HYPERLINK("http://exon.niaid.nih.gov/transcriptome/S_calcitrans/S1/links/SWISSP/XP_013101785.1-SWISSP.txt","Acidic phospholipase A2 KBf-grIB (Fragment)")</f>
        <v>Acidic phospholipase A2 KBf-grIB (Fragment)</v>
      </c>
      <c r="BT61" t="str">
        <f>HYPERLINK("http://www.uniprot.org/uniprot/P0C551","2E-016")</f>
        <v>2E-016</v>
      </c>
      <c r="BU61" t="str">
        <f>HYPERLINK("http://www.uniprot.org/uniprot/P0C551#expression","P0C551")</f>
        <v>P0C551</v>
      </c>
      <c r="BV61">
        <v>39</v>
      </c>
      <c r="BW61">
        <v>48</v>
      </c>
      <c r="BX61">
        <v>94</v>
      </c>
      <c r="BY61" t="s">
        <v>803</v>
      </c>
      <c r="BZ61" s="33" t="str">
        <f>HYPERLINK("http://exon.niaid.nih.gov/transcriptome/S_calcitrans/S1/links/REFSEQ-INVERTEBRATE/XP_013101785.1-REFSEQ-INVERTEBRATE.txt","uncharacterized protein LOC106083384")</f>
        <v>uncharacterized protein LOC106083384</v>
      </c>
      <c r="CA61" t="str">
        <f>HYPERLINK("http://www.ncbi.nlm.nih.gov/sutils/blink.cgi?pid=907648473","0.0")</f>
        <v>0.0</v>
      </c>
      <c r="CB61" t="str">
        <f>HYPERLINK("http://www.ncbi.nlm.nih.gov/protein/907648473","gi|907648473")</f>
        <v>gi|907648473</v>
      </c>
      <c r="CC61">
        <v>100</v>
      </c>
      <c r="CD61">
        <v>100</v>
      </c>
      <c r="CE61">
        <v>100</v>
      </c>
      <c r="CF61" t="s">
        <v>253</v>
      </c>
      <c r="CG61" s="33" t="str">
        <f>HYPERLINK("http://exon.niaid.nih.gov/transcriptome/S_calcitrans/S1/links/DIPTERA/XP_013101785.1-DIPTERA.txt","uncharacterized protein LOC106083384")</f>
        <v>uncharacterized protein LOC106083384</v>
      </c>
      <c r="CH61" t="str">
        <f>HYPERLINK("http://www.ncbi.nlm.nih.gov/sutils/blink.cgi?pid=907648473","0.0")</f>
        <v>0.0</v>
      </c>
      <c r="CI61" t="str">
        <f>HYPERLINK("http://www.ncbi.nlm.nih.gov/protein/907648473","gi|907648473")</f>
        <v>gi|907648473</v>
      </c>
      <c r="CJ61">
        <v>100</v>
      </c>
      <c r="CK61">
        <v>100</v>
      </c>
      <c r="CL61">
        <v>100</v>
      </c>
      <c r="CM61" t="s">
        <v>253</v>
      </c>
      <c r="CN61" s="33" t="s">
        <v>242</v>
      </c>
      <c r="CO61" t="s">
        <v>242</v>
      </c>
      <c r="CP61" t="s">
        <v>242</v>
      </c>
      <c r="CQ61" t="s">
        <v>242</v>
      </c>
      <c r="CR61" t="s">
        <v>242</v>
      </c>
      <c r="CS61" t="s">
        <v>242</v>
      </c>
      <c r="CT61" t="s">
        <v>242</v>
      </c>
      <c r="CU61" s="33" t="s">
        <v>804</v>
      </c>
      <c r="CV61">
        <f>HYPERLINK("http://exon.niaid.nih.gov/transcriptome/S_calcitrans/S1/links/GO/XP_013101785.1-GO.txt",6E-87)</f>
        <v>6.0000000000000003E-87</v>
      </c>
      <c r="CW61" t="str">
        <f>HYPERLINK("http://amigo.geneontology.org/cgi-bin/amigo/term_details?term=GO:0004623","GO:0004623")</f>
        <v>GO:0004623</v>
      </c>
      <c r="CX61" t="s">
        <v>805</v>
      </c>
      <c r="CY61" t="s">
        <v>806</v>
      </c>
      <c r="CZ61" t="s">
        <v>807</v>
      </c>
      <c r="DA61" t="str">
        <f>HYPERLINK("http://www.genome.jp/dbget-bin/www_bfind_sub?mode=bfind&amp;max_hit=1000&amp;dbkey=kegg&amp;keywords=EC:3.1.1.4","EC:3.1.1.4")</f>
        <v>EC:3.1.1.4</v>
      </c>
      <c r="DC61" t="s">
        <v>808</v>
      </c>
      <c r="DD61">
        <v>1E-14</v>
      </c>
      <c r="DE61" s="33" t="str">
        <f>HYPERLINK("http://exon.niaid.nih.gov/transcriptome/S_calcitrans/S1/links/CDD/XP_013101785.1-CDD.txt","PLA2c")</f>
        <v>PLA2c</v>
      </c>
      <c r="DF61" t="str">
        <f>HYPERLINK("http://www.ncbi.nlm.nih.gov/Structure/cdd/cddsrv.cgi?uid=cd00125&amp;version=v4.0","4E-030")</f>
        <v>4E-030</v>
      </c>
      <c r="DG61" t="s">
        <v>809</v>
      </c>
      <c r="DH61" s="33" t="str">
        <f>HYPERLINK("http://exon.niaid.nih.gov/transcriptome/S_calcitrans/S1/links/KOG/XP_013101785.1-KOG.txt","Phospholipase A2")</f>
        <v>Phospholipase A2</v>
      </c>
      <c r="DI61" t="str">
        <f>HYPERLINK("http://www.ncbi.nlm.nih.gov/Structure/cdd/cddsrv.cgi?uid=KOG4087","8E-018")</f>
        <v>8E-018</v>
      </c>
      <c r="DJ61" t="s">
        <v>810</v>
      </c>
      <c r="DK61" t="str">
        <f>HYPERLINK("http://exon.niaid.nih.gov/transcriptome/S_calcitrans/S1/links/KOG/XP_013101785.1-KOG.txt","KOG4087")</f>
        <v>KOG4087</v>
      </c>
      <c r="DL61" s="33" t="str">
        <f>HYPERLINK("http://exon.niaid.nih.gov/transcriptome/S_calcitrans/S1/links/PFAM/XP_013101785.1-PFAM.txt","Phospholip_A2_1")</f>
        <v>Phospholip_A2_1</v>
      </c>
      <c r="DM61" t="str">
        <f>HYPERLINK("http://pfam.sanger.ac.uk/family?acc=PF00068","3E-020")</f>
        <v>3E-020</v>
      </c>
      <c r="DN61" s="33" t="str">
        <f>HYPERLINK("http://exon.niaid.nih.gov/transcriptome/S_calcitrans/S1/links/SMART/XP_013101785.1-SMART.txt","PA2c")</f>
        <v>PA2c</v>
      </c>
      <c r="DO61" t="str">
        <f>HYPERLINK("http://smart.embl-heidelberg.de/smart/do_annotation.pl?DOMAIN=PA2c&amp;BLAST=DUMMY","9E-019")</f>
        <v>9E-019</v>
      </c>
      <c r="DP61" s="33"/>
      <c r="EB61" s="33">
        <v>3661</v>
      </c>
      <c r="EC61">
        <v>1</v>
      </c>
      <c r="ED61" s="33">
        <v>4430</v>
      </c>
      <c r="EE61">
        <v>1</v>
      </c>
      <c r="EF61" s="33">
        <v>4860</v>
      </c>
      <c r="EG61">
        <v>1</v>
      </c>
      <c r="EH61" s="33">
        <v>5201</v>
      </c>
      <c r="EI61">
        <v>1</v>
      </c>
      <c r="EJ61" s="33">
        <v>5537</v>
      </c>
      <c r="EK61">
        <v>1</v>
      </c>
      <c r="EL61" s="33">
        <v>5793</v>
      </c>
      <c r="EM61">
        <v>1</v>
      </c>
      <c r="EN61" s="33">
        <v>6098</v>
      </c>
      <c r="EO61">
        <v>1</v>
      </c>
      <c r="EP61" s="33">
        <v>6312</v>
      </c>
      <c r="EQ61">
        <v>1</v>
      </c>
      <c r="ER61" s="33">
        <v>6484</v>
      </c>
      <c r="ES61">
        <v>1</v>
      </c>
      <c r="ET61" s="33">
        <v>6615</v>
      </c>
      <c r="EU61">
        <v>1</v>
      </c>
      <c r="EV61" s="33">
        <v>6730</v>
      </c>
      <c r="EW61">
        <v>1</v>
      </c>
      <c r="EX61" s="33">
        <v>6830</v>
      </c>
      <c r="EY61">
        <v>1</v>
      </c>
      <c r="EZ61" s="33">
        <v>6917</v>
      </c>
      <c r="FA61">
        <v>1</v>
      </c>
      <c r="FB61" s="33">
        <v>6990</v>
      </c>
      <c r="FC61">
        <v>1</v>
      </c>
      <c r="FD61" s="33">
        <v>7113</v>
      </c>
      <c r="FE61">
        <v>1</v>
      </c>
      <c r="FF61" t="s">
        <v>811</v>
      </c>
      <c r="FG61">
        <v>7787</v>
      </c>
      <c r="FH61" s="38" t="str">
        <f>HYPERLINK("http://exon.niaid.nih.gov/transcriptome/S_calcitrans/S1/links/SG_male-stripped_temp-95-h10-1gap/7787-SG_male-stripped_temp-95-h10-1gap.txt","190")</f>
        <v>190</v>
      </c>
      <c r="FI61" s="39">
        <v>95.674300254452902</v>
      </c>
      <c r="FJ61" s="39">
        <v>11.7871077184054</v>
      </c>
      <c r="FK61" s="39">
        <v>0</v>
      </c>
      <c r="FL61" s="39">
        <v>38</v>
      </c>
      <c r="FM61" s="39">
        <v>73.147368421052605</v>
      </c>
      <c r="FN61" s="38" t="str">
        <f>HYPERLINK("http://exon.niaid.nih.gov/transcriptome/S_calcitrans/S1/links/SG_female-stripped_temp-95-h10-1gap/7787-SG_female-stripped_temp-95-h10-1gap.txt","377")</f>
        <v>377</v>
      </c>
      <c r="FO61" s="39">
        <v>99.067005937234896</v>
      </c>
      <c r="FP61" s="39">
        <v>23.6200169635284</v>
      </c>
      <c r="FQ61" s="39">
        <v>0</v>
      </c>
      <c r="FR61" s="39">
        <v>57</v>
      </c>
      <c r="FS61" s="39">
        <v>73.870026525198895</v>
      </c>
      <c r="FT61" s="38" t="str">
        <f>HYPERLINK("http://exon.niaid.nih.gov/transcriptome/S_calcitrans/S1/links/SRR694289-stripped_temp-95-h10-1gap/7787-SRR694289-stripped_temp-95-h10-1gap.txt","11")</f>
        <v>11</v>
      </c>
      <c r="FU61" s="39">
        <v>43.087362171331598</v>
      </c>
      <c r="FV61" s="39">
        <v>0.79643765903307895</v>
      </c>
      <c r="FW61" s="39">
        <v>0</v>
      </c>
      <c r="FX61" s="39">
        <v>4</v>
      </c>
      <c r="FY61" s="39">
        <v>85.363636363636402</v>
      </c>
      <c r="FZ61" s="38" t="str">
        <f>HYPERLINK("http://exon.niaid.nih.gov/transcriptome/S_calcitrans/S1/links/SRR694925-stripped_temp-95-h10-1gap/7787-SRR694925-stripped_temp-95-h10-1gap.txt","6")</f>
        <v>6</v>
      </c>
      <c r="GA61" s="39">
        <v>29.770992366412202</v>
      </c>
      <c r="GB61" s="39">
        <v>0.44529262086513999</v>
      </c>
      <c r="GC61" s="39">
        <v>0</v>
      </c>
      <c r="GD61" s="39">
        <v>3</v>
      </c>
      <c r="GE61" s="39">
        <v>87.5</v>
      </c>
      <c r="GF61">
        <f>1*FH61</f>
        <v>190</v>
      </c>
      <c r="GG61">
        <f>1*FN61</f>
        <v>377</v>
      </c>
      <c r="GH61">
        <f>1*FT61</f>
        <v>11</v>
      </c>
      <c r="GI61">
        <f>1*FZ61</f>
        <v>6</v>
      </c>
      <c r="GJ61">
        <f t="shared" si="2"/>
        <v>567</v>
      </c>
      <c r="GK61" s="34">
        <v>2.2023184937073701E-3</v>
      </c>
      <c r="GL61">
        <v>5.2715919455022489</v>
      </c>
      <c r="GM61">
        <v>4.7566454893109267</v>
      </c>
      <c r="GN61">
        <v>5.3630447294575619E-2</v>
      </c>
      <c r="GO61">
        <v>3.0156521057714734E-2</v>
      </c>
      <c r="GP61">
        <f>MAX(GL61:GO61)</f>
        <v>5.2715919455022489</v>
      </c>
      <c r="GQ61" t="s">
        <v>802</v>
      </c>
      <c r="GR61">
        <v>4.1112695147626708</v>
      </c>
      <c r="GS61">
        <v>3.9040938136627008</v>
      </c>
      <c r="GT61">
        <v>9.6677346275829121E-2</v>
      </c>
      <c r="GU61">
        <v>5.7094561724738611E-2</v>
      </c>
      <c r="GV61">
        <f>MAX(GR61:GU61)</f>
        <v>4.1112695147626708</v>
      </c>
      <c r="GW61">
        <v>22.65686773640746</v>
      </c>
      <c r="GX61">
        <v>567</v>
      </c>
      <c r="GY61">
        <v>17</v>
      </c>
      <c r="GZ61">
        <v>584</v>
      </c>
      <c r="HA61">
        <v>129.64782106278639</v>
      </c>
      <c r="HB61">
        <v>454.35217893721364</v>
      </c>
      <c r="HC61">
        <v>1475.3578336538035</v>
      </c>
      <c r="HD61">
        <v>420.98824939840523</v>
      </c>
      <c r="HE61">
        <v>1896.3460830522088</v>
      </c>
      <c r="HF61">
        <v>0</v>
      </c>
      <c r="HG61">
        <v>129.64782106278639</v>
      </c>
      <c r="HH61">
        <v>1</v>
      </c>
      <c r="HI61">
        <v>1</v>
      </c>
      <c r="HJ61">
        <v>2</v>
      </c>
      <c r="HK61">
        <v>0</v>
      </c>
      <c r="HL61" s="30" t="s">
        <v>262</v>
      </c>
      <c r="HM61">
        <v>110.39208772811624</v>
      </c>
      <c r="HN61">
        <v>8.5403012982489691E-3</v>
      </c>
      <c r="HO61">
        <v>190</v>
      </c>
      <c r="HP61">
        <v>377</v>
      </c>
      <c r="HQ61">
        <v>567</v>
      </c>
      <c r="HR61">
        <v>177.24190067884558</v>
      </c>
      <c r="HS61">
        <v>389.75809932115442</v>
      </c>
      <c r="HT61">
        <v>0.91834435122297164</v>
      </c>
      <c r="HU61">
        <v>0.41761569181483948</v>
      </c>
      <c r="HV61">
        <v>1.3359600430378111</v>
      </c>
      <c r="HW61">
        <v>0.24774768124731214</v>
      </c>
      <c r="HX61">
        <v>177.24190067884558</v>
      </c>
      <c r="HY61">
        <v>1</v>
      </c>
      <c r="HZ61" t="s">
        <v>244</v>
      </c>
      <c r="IA61">
        <v>1</v>
      </c>
      <c r="IB61">
        <v>0.53430418162569604</v>
      </c>
      <c r="IC61" s="30" t="s">
        <v>244</v>
      </c>
      <c r="ID61">
        <v>1.1053264210837928</v>
      </c>
      <c r="IE61">
        <v>0.89759253658900462</v>
      </c>
      <c r="IF61">
        <v>1.1053264210837928</v>
      </c>
      <c r="IG61" t="str">
        <f t="shared" si="1"/>
        <v/>
      </c>
    </row>
    <row r="62" spans="1:241">
      <c r="A62" s="22" t="s">
        <v>58</v>
      </c>
      <c r="B62" s="23"/>
      <c r="C62" s="24"/>
      <c r="D62" s="24"/>
      <c r="E62" s="24"/>
      <c r="F62" s="24"/>
      <c r="G62" s="24"/>
      <c r="H62" s="24"/>
      <c r="I62" s="24"/>
      <c r="J62" s="23"/>
      <c r="K62" s="23"/>
      <c r="L62" s="25"/>
      <c r="M62" s="23"/>
      <c r="N62" s="23"/>
      <c r="O62" s="23"/>
      <c r="P62" s="23"/>
      <c r="Q62" s="25"/>
      <c r="R62" s="23"/>
      <c r="S62" s="24"/>
      <c r="T62" s="24"/>
      <c r="U62" s="24"/>
      <c r="V62" s="24"/>
      <c r="W62" s="24"/>
      <c r="X62" s="24"/>
      <c r="Y62" s="23"/>
      <c r="Z62" s="24"/>
      <c r="AA62" s="24"/>
      <c r="AB62" s="24"/>
      <c r="AC62" s="24"/>
      <c r="AD62" s="24"/>
      <c r="AE62" s="23"/>
      <c r="AF62" s="24"/>
      <c r="AG62" s="24"/>
      <c r="AH62" s="24"/>
      <c r="AI62" s="24"/>
      <c r="AJ62" s="24"/>
      <c r="AK62" s="24"/>
      <c r="AL62" s="24"/>
      <c r="AM62" s="24"/>
      <c r="AN62" s="23" t="str">
        <f t="shared" si="0"/>
        <v/>
      </c>
      <c r="AO62" s="23" t="s">
        <v>244</v>
      </c>
      <c r="AP62" s="24" t="s">
        <v>244</v>
      </c>
      <c r="AQ62" s="26"/>
      <c r="AR62" s="27"/>
      <c r="AS62" s="24"/>
      <c r="AT62" s="24"/>
      <c r="AU62" s="24"/>
      <c r="AV62" s="24"/>
      <c r="AW62" s="28"/>
      <c r="AX62" s="24"/>
      <c r="AY62" s="24"/>
      <c r="AZ62" s="24"/>
      <c r="BA62" s="24"/>
      <c r="BB62" s="24"/>
      <c r="BC62" s="24"/>
      <c r="BD62" s="24"/>
      <c r="BE62" s="24"/>
      <c r="BF62" s="24"/>
      <c r="BG62" s="25"/>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9"/>
      <c r="FI62" s="29"/>
      <c r="FJ62" s="29"/>
      <c r="FK62" s="29"/>
      <c r="FL62" s="29"/>
      <c r="FM62" s="29"/>
      <c r="FN62" s="29"/>
      <c r="FO62" s="29"/>
      <c r="FP62" s="29"/>
      <c r="FQ62" s="29"/>
      <c r="FR62" s="29"/>
      <c r="FS62" s="29"/>
      <c r="FT62" s="29"/>
      <c r="FU62" s="29"/>
      <c r="FV62" s="29"/>
      <c r="FW62" s="29"/>
      <c r="FX62" s="29"/>
      <c r="FY62" s="29"/>
      <c r="FZ62" s="29"/>
      <c r="GA62" s="29"/>
      <c r="GB62" s="29"/>
      <c r="GC62" s="29"/>
      <c r="GD62" s="29"/>
      <c r="GE62" s="29"/>
      <c r="GF62" s="24"/>
      <c r="GG62" s="24"/>
      <c r="GH62" s="24"/>
      <c r="GI62" s="24"/>
      <c r="GJ62" s="24" t="str">
        <f t="shared" si="2"/>
        <v/>
      </c>
      <c r="GK62" s="26"/>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8"/>
      <c r="HL62" s="23"/>
      <c r="HM62" s="24"/>
      <c r="HN62" s="24"/>
      <c r="HO62" s="24"/>
      <c r="HP62" s="24"/>
      <c r="HQ62" s="24"/>
      <c r="HR62" s="24"/>
      <c r="HS62" s="24"/>
      <c r="HT62" s="24"/>
      <c r="HU62" s="24"/>
      <c r="HV62" s="24"/>
      <c r="HW62" s="24"/>
      <c r="HX62" s="24"/>
      <c r="HY62" s="24"/>
      <c r="HZ62" s="24"/>
      <c r="IA62" s="24"/>
      <c r="IB62" s="28"/>
      <c r="IC62" s="23"/>
      <c r="ID62" s="24"/>
      <c r="IE62" s="24"/>
      <c r="IF62" s="24"/>
      <c r="IG62" s="24" t="str">
        <f t="shared" si="1"/>
        <v/>
      </c>
    </row>
    <row r="63" spans="1:241">
      <c r="A63" t="str">
        <f>HYPERLINK("http://exon.niaid.nih.gov/transcriptome/S_calcitrans/S1/links/pep/XP_013113983.1-pep.txt","XP_013113983.1")</f>
        <v>XP_013113983.1</v>
      </c>
      <c r="B63" s="30" t="s">
        <v>232</v>
      </c>
      <c r="C63">
        <v>391</v>
      </c>
      <c r="D63" t="s">
        <v>812</v>
      </c>
      <c r="E63">
        <v>1</v>
      </c>
      <c r="F63" t="s">
        <v>813</v>
      </c>
      <c r="G63" t="str">
        <f>HYPERLINK("http://exon.niaid.nih.gov/transcriptome/S_calcitrans/S1/links/cds/XM_013258529_1-cds.txt","XM_013258529_1")</f>
        <v>XM_013258529_1</v>
      </c>
      <c r="H63">
        <v>1176</v>
      </c>
      <c r="I63" t="s">
        <v>814</v>
      </c>
      <c r="J63" s="30" t="s">
        <v>236</v>
      </c>
      <c r="K63" s="30" t="s">
        <v>91</v>
      </c>
      <c r="L63" s="31" t="s">
        <v>815</v>
      </c>
      <c r="M63" s="30">
        <v>158225</v>
      </c>
      <c r="N63" s="30">
        <v>172957</v>
      </c>
      <c r="O63" s="30" t="s">
        <v>238</v>
      </c>
      <c r="P63" s="30">
        <v>3</v>
      </c>
      <c r="Q63" s="31" t="s">
        <v>816</v>
      </c>
      <c r="R63" s="32" t="str">
        <f>HYPERLINK("http://exon.niaid.nih.gov/transcriptome/S_calcitrans/S1/links/Sigp/XP_013113983.1-SigP.txt","SIG")</f>
        <v>SIG</v>
      </c>
      <c r="S63" t="s">
        <v>615</v>
      </c>
      <c r="T63">
        <v>42.972999999999999</v>
      </c>
      <c r="U63">
        <v>7.98</v>
      </c>
      <c r="V63">
        <v>40.442</v>
      </c>
      <c r="W63">
        <v>8.0299999999999994</v>
      </c>
      <c r="X63" t="s">
        <v>817</v>
      </c>
      <c r="Y63" s="32">
        <v>0</v>
      </c>
      <c r="Z63" t="s">
        <v>242</v>
      </c>
      <c r="AA63" t="s">
        <v>242</v>
      </c>
      <c r="AB63" t="s">
        <v>242</v>
      </c>
      <c r="AC63" t="s">
        <v>242</v>
      </c>
      <c r="AD63" t="s">
        <v>242</v>
      </c>
      <c r="AE63" s="32" t="s">
        <v>242</v>
      </c>
      <c r="AF63" t="s">
        <v>242</v>
      </c>
      <c r="AG63" t="s">
        <v>242</v>
      </c>
      <c r="AH63" t="s">
        <v>242</v>
      </c>
      <c r="AI63" t="s">
        <v>242</v>
      </c>
      <c r="AJ63" t="s">
        <v>242</v>
      </c>
      <c r="AK63">
        <v>573.61451891121874</v>
      </c>
      <c r="AL63" s="33">
        <v>13281</v>
      </c>
      <c r="AM63">
        <v>1</v>
      </c>
      <c r="AN63" s="30">
        <f t="shared" si="0"/>
        <v>1</v>
      </c>
      <c r="AO63" s="30" t="s">
        <v>244</v>
      </c>
      <c r="AP63">
        <v>84622</v>
      </c>
      <c r="AQ63" s="34">
        <v>0.32868535374692254</v>
      </c>
      <c r="AR63" s="35">
        <v>260.00343903945083</v>
      </c>
      <c r="AS63" t="s">
        <v>818</v>
      </c>
      <c r="AT63" s="36" t="s">
        <v>819</v>
      </c>
      <c r="AU63" t="s">
        <v>802</v>
      </c>
      <c r="AV63" t="str">
        <f>HYPERLINK("http://exon.niaid.nih.gov/transcriptome/S_calcitrans/S1/links/REFSEQ-INVERTEBRATE/XP_013113983.1-REFSEQ-INVERTEBRATE.txt","REFSEQ-INVERTEBRATE")</f>
        <v>REFSEQ-INVERTEBRATE</v>
      </c>
      <c r="AW63">
        <v>0</v>
      </c>
      <c r="AX63">
        <v>100</v>
      </c>
      <c r="AY63" s="33"/>
      <c r="BG63" s="31"/>
      <c r="BJ63" s="33"/>
      <c r="BK63" s="33"/>
      <c r="BL63" s="33" t="str">
        <f>HYPERLINK("http://exon.niaid.nih.gov/transcriptome/S_calcitrans/S1/links/NR-LIGHT/XP_013113983.1-NR-LIGHT.txt","vitellogenin-1-like")</f>
        <v>vitellogenin-1-like</v>
      </c>
      <c r="BM63" t="str">
        <f>HYPERLINK("http://www.ncbi.nlm.nih.gov/sutils/blink.cgi?pid=557764122","1E-164")</f>
        <v>1E-164</v>
      </c>
      <c r="BN63" t="str">
        <f>HYPERLINK("http://www.ncbi.nlm.nih.gov/protein/557764122","gi|557764122")</f>
        <v>gi|557764122</v>
      </c>
      <c r="BO63">
        <v>72</v>
      </c>
      <c r="BP63">
        <v>84</v>
      </c>
      <c r="BQ63">
        <v>97</v>
      </c>
      <c r="BR63" t="s">
        <v>251</v>
      </c>
      <c r="BS63" s="33" t="str">
        <f>HYPERLINK("http://exon.niaid.nih.gov/transcriptome/S_calcitrans/S1/links/SWISSP/XP_013113983.1-SWISSP.txt","Vitellogenin-1")</f>
        <v>Vitellogenin-1</v>
      </c>
      <c r="BT63" t="str">
        <f>HYPERLINK("http://www.uniprot.org/uniprot/P27878","2E-034")</f>
        <v>2E-034</v>
      </c>
      <c r="BU63" t="str">
        <f>HYPERLINK("http://www.uniprot.org/uniprot/P27878#expression","P27878")</f>
        <v>P27878</v>
      </c>
      <c r="BV63">
        <v>36</v>
      </c>
      <c r="BW63">
        <v>56</v>
      </c>
      <c r="BX63">
        <v>49</v>
      </c>
      <c r="BY63" t="s">
        <v>737</v>
      </c>
      <c r="BZ63" s="33" t="str">
        <f>HYPERLINK("http://exon.niaid.nih.gov/transcriptome/S_calcitrans/S1/links/REFSEQ-INVERTEBRATE/XP_013113983.1-REFSEQ-INVERTEBRATE.txt","vitellogenin-1-like")</f>
        <v>vitellogenin-1-like</v>
      </c>
      <c r="CA63" t="str">
        <f>HYPERLINK("http://www.ncbi.nlm.nih.gov/sutils/blink.cgi?pid=907727347","0.0")</f>
        <v>0.0</v>
      </c>
      <c r="CB63" t="str">
        <f>HYPERLINK("http://www.ncbi.nlm.nih.gov/protein/907727347","gi|907727347")</f>
        <v>gi|907727347</v>
      </c>
      <c r="CC63">
        <v>100</v>
      </c>
      <c r="CD63">
        <v>100</v>
      </c>
      <c r="CE63">
        <v>100</v>
      </c>
      <c r="CF63" t="s">
        <v>253</v>
      </c>
      <c r="CG63" s="33" t="str">
        <f>HYPERLINK("http://exon.niaid.nih.gov/transcriptome/S_calcitrans/S1/links/DIPTERA/XP_013113983.1-DIPTERA.txt","vitellogenin-1-like")</f>
        <v>vitellogenin-1-like</v>
      </c>
      <c r="CH63" t="str">
        <f>HYPERLINK("http://www.ncbi.nlm.nih.gov/sutils/blink.cgi?pid=907727347","0.0")</f>
        <v>0.0</v>
      </c>
      <c r="CI63" t="str">
        <f>HYPERLINK("http://www.ncbi.nlm.nih.gov/protein/907727347","gi|907727347")</f>
        <v>gi|907727347</v>
      </c>
      <c r="CJ63">
        <v>100</v>
      </c>
      <c r="CK63">
        <v>100</v>
      </c>
      <c r="CL63">
        <v>100</v>
      </c>
      <c r="CM63" t="s">
        <v>253</v>
      </c>
      <c r="CN63" s="33" t="str">
        <f>HYPERLINK("http://exon.niaid.nih.gov/transcriptome/S_calcitrans/S1/links/VIRUS/XP_013113983.1-VIRUS.txt","hypothetical protein TNAV2c_gp132")</f>
        <v>hypothetical protein TNAV2c_gp132</v>
      </c>
      <c r="CO63" t="str">
        <f>HYPERLINK("http://www.ncbi.nlm.nih.gov/sutils/blink.cgi?pid=116326818","2E-031")</f>
        <v>2E-031</v>
      </c>
      <c r="CP63" t="str">
        <f>HYPERLINK("http://www.ncbi.nlm.nih.gov/protein/116326818","gi|116326818")</f>
        <v>gi|116326818</v>
      </c>
      <c r="CQ63">
        <v>30</v>
      </c>
      <c r="CR63">
        <v>50</v>
      </c>
      <c r="CS63">
        <v>84</v>
      </c>
      <c r="CT63" t="s">
        <v>820</v>
      </c>
      <c r="CU63" s="33" t="s">
        <v>821</v>
      </c>
      <c r="CV63">
        <f>HYPERLINK("http://exon.niaid.nih.gov/transcriptome/S_calcitrans/S1/links/GO/XP_013113983.1-GO.txt",0)</f>
        <v>0</v>
      </c>
      <c r="CW63" t="str">
        <f>HYPERLINK("http://amigo.geneontology.org/cgi-bin/amigo/term_details?term=GO:0052689","GO:0052689")</f>
        <v>GO:0052689</v>
      </c>
      <c r="CX63" t="s">
        <v>822</v>
      </c>
      <c r="CY63" t="s">
        <v>823</v>
      </c>
      <c r="CZ63" t="s">
        <v>824</v>
      </c>
      <c r="DA63" t="str">
        <f>HYPERLINK("http://www.genome.jp/dbget-bin/www_bfind_sub?mode=bfind&amp;max_hit=1000&amp;dbkey=kegg&amp;keywords=EC:3.1.1","EC:3.1.1")</f>
        <v>EC:3.1.1</v>
      </c>
      <c r="DB63" t="str">
        <f>HYPERLINK("http://www.genome.jp/dbget-bin/www_bget?rn:R00630","KEGG:R00630")</f>
        <v>KEGG:R00630</v>
      </c>
      <c r="DC63" t="s">
        <v>825</v>
      </c>
      <c r="DD63" s="37">
        <v>9.9999999999999994E-107</v>
      </c>
      <c r="DE63" s="33" t="str">
        <f>HYPERLINK("http://exon.niaid.nih.gov/transcriptome/S_calcitrans/S1/links/CDD/XP_013113983.1-CDD.txt","Pancreat_lipase")</f>
        <v>Pancreat_lipase</v>
      </c>
      <c r="DF63" t="str">
        <f>HYPERLINK("http://www.ncbi.nlm.nih.gov/Structure/cdd/cddsrv.cgi?uid=cd00707&amp;version=v4.0","7E-066")</f>
        <v>7E-066</v>
      </c>
      <c r="DG63" t="s">
        <v>826</v>
      </c>
      <c r="DH63" s="33" t="str">
        <f>HYPERLINK("http://exon.niaid.nih.gov/transcriptome/S_calcitrans/S1/links/KOG/XP_013113983.1-KOG.txt","Nuclear protein, contains WD40 repeats")</f>
        <v>Nuclear protein, contains WD40 repeats</v>
      </c>
      <c r="DI63" t="str">
        <f>HYPERLINK("http://www.ncbi.nlm.nih.gov/Structure/cdd/cddsrv.cgi?uid=KOG1916","0.54")</f>
        <v>0.54</v>
      </c>
      <c r="DJ63" t="s">
        <v>342</v>
      </c>
      <c r="DK63" t="str">
        <f>HYPERLINK("http://exon.niaid.nih.gov/transcriptome/S_calcitrans/S1/links/KOG/XP_013113983.1-KOG.txt","KOG1916")</f>
        <v>KOG1916</v>
      </c>
      <c r="DL63" s="33" t="str">
        <f>HYPERLINK("http://exon.niaid.nih.gov/transcriptome/S_calcitrans/S1/links/PFAM/XP_013113983.1-PFAM.txt","Lipase")</f>
        <v>Lipase</v>
      </c>
      <c r="DM63" t="str">
        <f>HYPERLINK("http://pfam.sanger.ac.uk/family?acc=PF00151","1E-042")</f>
        <v>1E-042</v>
      </c>
      <c r="DN63" s="33" t="str">
        <f>HYPERLINK("http://exon.niaid.nih.gov/transcriptome/S_calcitrans/S1/links/SMART/XP_013113983.1-SMART.txt","HDAC_interact")</f>
        <v>HDAC_interact</v>
      </c>
      <c r="DO63" t="str">
        <f>HYPERLINK("http://smart.embl-heidelberg.de/smart/do_annotation.pl?DOMAIN=HDAC_interact&amp;BLAST=DUMMY","0.098")</f>
        <v>0.098</v>
      </c>
      <c r="DP63" s="33"/>
      <c r="EB63" s="33">
        <f>HYPERLINK("http://exon.niaid.nih.gov/transcriptome/S_calcitrans/S1/links/cluster-b/Scalc-pep25-50SimCLU18.txt", 18)</f>
        <v>18</v>
      </c>
      <c r="EC63">
        <f>HYPERLINK("http://exon.niaid.nih.gov/transcriptome/S_calcitrans/S1/links/cluster-b/Scalc-pep25-50SimCLTL18.txt", 57)</f>
        <v>57</v>
      </c>
      <c r="ED63" s="33">
        <f>HYPERLINK("http://exon.niaid.nih.gov/transcriptome/S_calcitrans/S1/links/cluster-b/Scalc-pep30-50SimCLU27.txt", 27)</f>
        <v>27</v>
      </c>
      <c r="EE63">
        <f>HYPERLINK("http://exon.niaid.nih.gov/transcriptome/S_calcitrans/S1/links/cluster-b/Scalc-pep30-50SimCLTL27.txt", 55)</f>
        <v>55</v>
      </c>
      <c r="EF63" s="33">
        <f>HYPERLINK("http://exon.niaid.nih.gov/transcriptome/S_calcitrans/S1/links/cluster-b/Scalc-pep35-50SimCLU23.txt", 23)</f>
        <v>23</v>
      </c>
      <c r="EG63">
        <f>HYPERLINK("http://exon.niaid.nih.gov/transcriptome/S_calcitrans/S1/links/cluster-b/Scalc-pep35-50SimCLTL23.txt", 55)</f>
        <v>55</v>
      </c>
      <c r="EH63" s="33">
        <f>HYPERLINK("http://exon.niaid.nih.gov/transcriptome/S_calcitrans/S1/links/cluster-b/Scalc-pep40-50SimCLU29.txt", 29)</f>
        <v>29</v>
      </c>
      <c r="EI63">
        <f>HYPERLINK("http://exon.niaid.nih.gov/transcriptome/S_calcitrans/S1/links/cluster-b/Scalc-pep40-50SimCLTL29.txt", 41)</f>
        <v>41</v>
      </c>
      <c r="EJ63" s="33">
        <f>HYPERLINK("http://exon.niaid.nih.gov/transcriptome/S_calcitrans/S1/links/cluster-b/Scalc-pep45-50SimCLU47.txt", 47)</f>
        <v>47</v>
      </c>
      <c r="EK63">
        <f>HYPERLINK("http://exon.niaid.nih.gov/transcriptome/S_calcitrans/S1/links/cluster-b/Scalc-pep45-50SimCLTL47.txt", 26)</f>
        <v>26</v>
      </c>
      <c r="EL63" s="33">
        <f>HYPERLINK("http://exon.niaid.nih.gov/transcriptome/S_calcitrans/S1/links/cluster-b/Scalc-pep50-50SimCLU448.txt", 448)</f>
        <v>448</v>
      </c>
      <c r="EM63">
        <f>HYPERLINK("http://exon.niaid.nih.gov/transcriptome/S_calcitrans/S1/links/cluster-b/Scalc-pep50-50SimCLTL448.txt", 7)</f>
        <v>7</v>
      </c>
      <c r="EN63" s="33">
        <f>HYPERLINK("http://exon.niaid.nih.gov/transcriptome/S_calcitrans/S1/links/cluster-b/Scalc-pep55-50SimCLU1120.txt", 1120)</f>
        <v>1120</v>
      </c>
      <c r="EO63">
        <f>HYPERLINK("http://exon.niaid.nih.gov/transcriptome/S_calcitrans/S1/links/cluster-b/Scalc-pep55-50SimCLTL1120.txt", 4)</f>
        <v>4</v>
      </c>
      <c r="EP63" s="33">
        <f>HYPERLINK("http://exon.niaid.nih.gov/transcriptome/S_calcitrans/S1/links/cluster-b/Scalc-pep60-50SimCLU3501.txt", 3501)</f>
        <v>3501</v>
      </c>
      <c r="EQ63">
        <f>HYPERLINK("http://exon.niaid.nih.gov/transcriptome/S_calcitrans/S1/links/cluster-b/Scalc-pep60-50SimCLTL3501.txt", 2)</f>
        <v>2</v>
      </c>
      <c r="ER63" s="33">
        <v>10593</v>
      </c>
      <c r="ES63">
        <v>1</v>
      </c>
      <c r="ET63" s="33">
        <v>10947</v>
      </c>
      <c r="EU63">
        <v>1</v>
      </c>
      <c r="EV63" s="33">
        <v>11329</v>
      </c>
      <c r="EW63">
        <v>1</v>
      </c>
      <c r="EX63" s="33">
        <v>11671</v>
      </c>
      <c r="EY63">
        <v>1</v>
      </c>
      <c r="EZ63" s="33">
        <v>12111</v>
      </c>
      <c r="FA63">
        <v>1</v>
      </c>
      <c r="FB63" s="33">
        <v>12590</v>
      </c>
      <c r="FC63">
        <v>1</v>
      </c>
      <c r="FD63" s="33">
        <v>13281</v>
      </c>
      <c r="FE63">
        <v>1</v>
      </c>
      <c r="FF63" t="s">
        <v>827</v>
      </c>
      <c r="FG63">
        <v>18677</v>
      </c>
      <c r="FH63" s="38" t="str">
        <f>HYPERLINK("http://exon.niaid.nih.gov/transcriptome/S_calcitrans/S1/links/SG_male-stripped_temp-95-h10-1gap/18677-SG_male-stripped_temp-95-h10-1gap.txt","32039")</f>
        <v>32039</v>
      </c>
      <c r="FI63" s="39">
        <v>100</v>
      </c>
      <c r="FJ63" s="39">
        <v>2010.11649659864</v>
      </c>
      <c r="FK63" s="39">
        <v>254</v>
      </c>
      <c r="FL63" s="39">
        <v>5327</v>
      </c>
      <c r="FM63" s="39">
        <v>73.782140516245803</v>
      </c>
      <c r="FN63" s="38" t="str">
        <f>HYPERLINK("http://exon.niaid.nih.gov/transcriptome/S_calcitrans/S1/links/SG_female-stripped_temp-95-h10-1gap/18677-SG_female-stripped_temp-95-h10-1gap.txt","52583")</f>
        <v>52583</v>
      </c>
      <c r="FO63" s="39">
        <v>100</v>
      </c>
      <c r="FP63" s="39">
        <v>3298.24489795918</v>
      </c>
      <c r="FQ63" s="39">
        <v>232</v>
      </c>
      <c r="FR63" s="39">
        <v>6783</v>
      </c>
      <c r="FS63" s="39">
        <v>73.764239392959695</v>
      </c>
      <c r="FT63" s="38" t="str">
        <f>HYPERLINK("http://exon.niaid.nih.gov/transcriptome/S_calcitrans/S1/links/SRR694289-stripped_temp-95-h10-1gap/18677-SRR694289-stripped_temp-95-h10-1gap.txt","233")</f>
        <v>233</v>
      </c>
      <c r="FU63" s="39">
        <v>99.404761904761898</v>
      </c>
      <c r="FV63" s="39">
        <v>19.253401360544199</v>
      </c>
      <c r="FW63" s="39">
        <v>0</v>
      </c>
      <c r="FX63" s="39">
        <v>45</v>
      </c>
      <c r="FY63" s="39">
        <v>97.175965665236006</v>
      </c>
      <c r="FZ63" s="38" t="str">
        <f>HYPERLINK("http://exon.niaid.nih.gov/transcriptome/S_calcitrans/S1/links/SRR694925-stripped_temp-95-h10-1gap/18677-SRR694925-stripped_temp-95-h10-1gap.txt","283")</f>
        <v>283</v>
      </c>
      <c r="GA63" s="39">
        <v>96.173469387755105</v>
      </c>
      <c r="GB63" s="39">
        <v>23.229591836734699</v>
      </c>
      <c r="GC63" s="39">
        <v>0</v>
      </c>
      <c r="GD63" s="39">
        <v>40</v>
      </c>
      <c r="GE63" s="39">
        <v>96.530035335689107</v>
      </c>
      <c r="GF63">
        <f>1*FH63</f>
        <v>32039</v>
      </c>
      <c r="GG63">
        <f>1*FN63</f>
        <v>52583</v>
      </c>
      <c r="GH63">
        <f>1*FT63</f>
        <v>233</v>
      </c>
      <c r="GI63">
        <f>1*FZ63</f>
        <v>283</v>
      </c>
      <c r="GJ63">
        <f t="shared" si="2"/>
        <v>84622</v>
      </c>
      <c r="GK63" s="34">
        <v>0.32868535374692254</v>
      </c>
      <c r="GL63">
        <v>891.19680446274162</v>
      </c>
      <c r="GM63">
        <v>665.13726166177344</v>
      </c>
      <c r="GN63">
        <v>1.1388883182553329</v>
      </c>
      <c r="GO63">
        <v>1.4260111035365539</v>
      </c>
      <c r="GP63">
        <f>MAX(GL63:GO63)</f>
        <v>891.19680446274162</v>
      </c>
      <c r="GQ63" t="s">
        <v>828</v>
      </c>
      <c r="GR63">
        <v>695.03677289887378</v>
      </c>
      <c r="GS63">
        <v>545.92217862896882</v>
      </c>
      <c r="GT63">
        <v>2.0530259557354817</v>
      </c>
      <c r="GU63">
        <v>2.6998299576801461</v>
      </c>
      <c r="GV63">
        <f>MAX(GR63:GU63)</f>
        <v>695.03677289887378</v>
      </c>
      <c r="GW63">
        <v>260.00343903945083</v>
      </c>
      <c r="GX63">
        <v>84622</v>
      </c>
      <c r="GY63">
        <v>516</v>
      </c>
      <c r="GZ63">
        <v>85138</v>
      </c>
      <c r="HA63">
        <v>18900.609913773129</v>
      </c>
      <c r="HB63">
        <v>66237.390086226878</v>
      </c>
      <c r="HC63">
        <v>228527.07582301169</v>
      </c>
      <c r="HD63">
        <v>65209.40980982488</v>
      </c>
      <c r="HE63">
        <v>293736.48563283659</v>
      </c>
      <c r="HF63">
        <v>0</v>
      </c>
      <c r="HG63">
        <v>18900.609913773129</v>
      </c>
      <c r="HH63">
        <v>1</v>
      </c>
      <c r="HI63">
        <v>1</v>
      </c>
      <c r="HJ63">
        <v>2</v>
      </c>
      <c r="HK63">
        <v>0</v>
      </c>
      <c r="HL63" s="30" t="s">
        <v>262</v>
      </c>
      <c r="HM63">
        <v>573.61451891121874</v>
      </c>
      <c r="HN63">
        <v>1.7399384723671937E-3</v>
      </c>
      <c r="HO63">
        <v>32039</v>
      </c>
      <c r="HP63">
        <v>52583</v>
      </c>
      <c r="HQ63">
        <v>84622</v>
      </c>
      <c r="HR63">
        <v>26452.494037469613</v>
      </c>
      <c r="HS63">
        <v>58169.505962530391</v>
      </c>
      <c r="HT63">
        <v>1179.8149855049721</v>
      </c>
      <c r="HU63">
        <v>536.51906360509179</v>
      </c>
      <c r="HV63">
        <v>1716.3340491100639</v>
      </c>
      <c r="HW63">
        <v>0</v>
      </c>
      <c r="HX63">
        <v>26452.494037469613</v>
      </c>
      <c r="HY63">
        <v>1</v>
      </c>
      <c r="HZ63">
        <v>1</v>
      </c>
      <c r="IA63">
        <v>2</v>
      </c>
      <c r="IB63">
        <v>0</v>
      </c>
      <c r="IC63" s="30" t="s">
        <v>262</v>
      </c>
      <c r="ID63">
        <v>1.3398435297037694</v>
      </c>
      <c r="IE63">
        <v>0.74631832019729882</v>
      </c>
      <c r="IF63">
        <v>1.3398435297037694</v>
      </c>
      <c r="IG63" t="str">
        <f t="shared" si="1"/>
        <v/>
      </c>
    </row>
    <row r="64" spans="1:241">
      <c r="A64" s="22" t="s">
        <v>829</v>
      </c>
      <c r="B64" s="23"/>
      <c r="C64" s="24"/>
      <c r="D64" s="24"/>
      <c r="E64" s="24"/>
      <c r="F64" s="24"/>
      <c r="G64" s="24"/>
      <c r="H64" s="24"/>
      <c r="I64" s="24"/>
      <c r="J64" s="23"/>
      <c r="K64" s="23"/>
      <c r="L64" s="25"/>
      <c r="M64" s="23"/>
      <c r="N64" s="23"/>
      <c r="O64" s="23"/>
      <c r="P64" s="23"/>
      <c r="Q64" s="25"/>
      <c r="R64" s="23"/>
      <c r="S64" s="24"/>
      <c r="T64" s="24"/>
      <c r="U64" s="24"/>
      <c r="V64" s="24"/>
      <c r="W64" s="24"/>
      <c r="X64" s="24"/>
      <c r="Y64" s="23"/>
      <c r="Z64" s="24"/>
      <c r="AA64" s="24"/>
      <c r="AB64" s="24"/>
      <c r="AC64" s="24"/>
      <c r="AD64" s="24"/>
      <c r="AE64" s="23"/>
      <c r="AF64" s="24"/>
      <c r="AG64" s="24"/>
      <c r="AH64" s="24"/>
      <c r="AI64" s="24"/>
      <c r="AJ64" s="24"/>
      <c r="AK64" s="24"/>
      <c r="AL64" s="24"/>
      <c r="AM64" s="24"/>
      <c r="AN64" s="23" t="str">
        <f t="shared" si="0"/>
        <v/>
      </c>
      <c r="AO64" s="23" t="s">
        <v>244</v>
      </c>
      <c r="AP64" s="24" t="s">
        <v>244</v>
      </c>
      <c r="AQ64" s="26"/>
      <c r="AR64" s="27"/>
      <c r="AS64" s="24"/>
      <c r="AT64" s="24"/>
      <c r="AU64" s="24"/>
      <c r="AV64" s="24"/>
      <c r="AW64" s="28"/>
      <c r="AX64" s="24"/>
      <c r="AY64" s="24"/>
      <c r="AZ64" s="24"/>
      <c r="BA64" s="24"/>
      <c r="BB64" s="24"/>
      <c r="BC64" s="24"/>
      <c r="BD64" s="24"/>
      <c r="BE64" s="24"/>
      <c r="BF64" s="24"/>
      <c r="BG64" s="25"/>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8"/>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9"/>
      <c r="FI64" s="29"/>
      <c r="FJ64" s="29"/>
      <c r="FK64" s="29"/>
      <c r="FL64" s="29"/>
      <c r="FM64" s="29"/>
      <c r="FN64" s="29"/>
      <c r="FO64" s="29"/>
      <c r="FP64" s="29"/>
      <c r="FQ64" s="29"/>
      <c r="FR64" s="29"/>
      <c r="FS64" s="29"/>
      <c r="FT64" s="29"/>
      <c r="FU64" s="29"/>
      <c r="FV64" s="29"/>
      <c r="FW64" s="29"/>
      <c r="FX64" s="29"/>
      <c r="FY64" s="29"/>
      <c r="FZ64" s="29"/>
      <c r="GA64" s="29"/>
      <c r="GB64" s="29"/>
      <c r="GC64" s="29"/>
      <c r="GD64" s="29"/>
      <c r="GE64" s="29"/>
      <c r="GF64" s="24"/>
      <c r="GG64" s="24"/>
      <c r="GH64" s="24"/>
      <c r="GI64" s="24"/>
      <c r="GJ64" s="24" t="str">
        <f t="shared" si="2"/>
        <v/>
      </c>
      <c r="GK64" s="26"/>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3"/>
      <c r="HM64" s="24"/>
      <c r="HN64" s="24"/>
      <c r="HO64" s="24"/>
      <c r="HP64" s="24"/>
      <c r="HQ64" s="24"/>
      <c r="HR64" s="24"/>
      <c r="HS64" s="24"/>
      <c r="HT64" s="24"/>
      <c r="HU64" s="24"/>
      <c r="HV64" s="24"/>
      <c r="HW64" s="24"/>
      <c r="HX64" s="24"/>
      <c r="HY64" s="24"/>
      <c r="HZ64" s="24"/>
      <c r="IA64" s="24"/>
      <c r="IB64" s="24"/>
      <c r="IC64" s="23"/>
      <c r="ID64" s="24"/>
      <c r="IE64" s="24"/>
      <c r="IF64" s="24"/>
      <c r="IG64" s="24" t="str">
        <f t="shared" si="1"/>
        <v/>
      </c>
    </row>
    <row r="65" spans="1:241">
      <c r="A65" s="22" t="s">
        <v>60</v>
      </c>
      <c r="B65" s="23"/>
      <c r="C65" s="24"/>
      <c r="D65" s="24">
        <v>0</v>
      </c>
      <c r="E65" s="24"/>
      <c r="F65" s="24"/>
      <c r="G65" s="24"/>
      <c r="H65" s="24"/>
      <c r="I65" s="24"/>
      <c r="J65" s="23"/>
      <c r="K65" s="23"/>
      <c r="L65" s="25"/>
      <c r="M65" s="23"/>
      <c r="N65" s="23"/>
      <c r="O65" s="23"/>
      <c r="P65" s="23"/>
      <c r="Q65" s="25"/>
      <c r="R65" s="23"/>
      <c r="S65" s="24" t="s">
        <v>242</v>
      </c>
      <c r="T65" s="24" t="s">
        <v>242</v>
      </c>
      <c r="U65" s="24" t="s">
        <v>242</v>
      </c>
      <c r="V65" s="24" t="s">
        <v>242</v>
      </c>
      <c r="W65" s="24" t="s">
        <v>242</v>
      </c>
      <c r="X65" s="24" t="s">
        <v>242</v>
      </c>
      <c r="Y65" s="23"/>
      <c r="Z65" s="24"/>
      <c r="AA65" s="24"/>
      <c r="AB65" s="24"/>
      <c r="AC65" s="24"/>
      <c r="AD65" s="24"/>
      <c r="AE65" s="23" t="s">
        <v>242</v>
      </c>
      <c r="AF65" s="24" t="s">
        <v>242</v>
      </c>
      <c r="AG65" s="24" t="s">
        <v>242</v>
      </c>
      <c r="AH65" s="24" t="s">
        <v>242</v>
      </c>
      <c r="AI65" s="24" t="s">
        <v>242</v>
      </c>
      <c r="AJ65" s="24" t="s">
        <v>242</v>
      </c>
      <c r="AK65" s="24" t="s">
        <v>242</v>
      </c>
      <c r="AL65" s="24"/>
      <c r="AM65" s="24"/>
      <c r="AN65" s="23" t="str">
        <f t="shared" si="0"/>
        <v/>
      </c>
      <c r="AO65" s="23" t="s">
        <v>244</v>
      </c>
      <c r="AP65" s="24" t="s">
        <v>244</v>
      </c>
      <c r="AQ65" s="26"/>
      <c r="AR65" s="27" t="s">
        <v>242</v>
      </c>
      <c r="AS65" s="24" t="s">
        <v>242</v>
      </c>
      <c r="AT65" s="24"/>
      <c r="AU65" s="24"/>
      <c r="AV65" s="24"/>
      <c r="AW65" s="28"/>
      <c r="AX65" s="24"/>
      <c r="AY65" s="24"/>
      <c r="AZ65" s="24"/>
      <c r="BA65" s="24"/>
      <c r="BB65" s="24"/>
      <c r="BC65" s="24"/>
      <c r="BD65" s="24"/>
      <c r="BE65" s="24"/>
      <c r="BF65" s="24"/>
      <c r="BG65" s="25"/>
      <c r="BH65" s="24"/>
      <c r="BI65" s="24"/>
      <c r="BJ65" s="24" t="s">
        <v>242</v>
      </c>
      <c r="BK65" s="24" t="s">
        <v>242</v>
      </c>
      <c r="BL65" s="24"/>
      <c r="BM65" s="24" t="s">
        <v>242</v>
      </c>
      <c r="BN65" s="24" t="s">
        <v>242</v>
      </c>
      <c r="BO65" s="24" t="s">
        <v>242</v>
      </c>
      <c r="BP65" s="24" t="s">
        <v>242</v>
      </c>
      <c r="BQ65" s="24" t="s">
        <v>242</v>
      </c>
      <c r="BR65" s="24" t="s">
        <v>242</v>
      </c>
      <c r="BS65" s="24" t="s">
        <v>242</v>
      </c>
      <c r="BT65" s="24" t="s">
        <v>242</v>
      </c>
      <c r="BU65" s="24" t="s">
        <v>242</v>
      </c>
      <c r="BV65" s="24" t="s">
        <v>242</v>
      </c>
      <c r="BW65" s="24"/>
      <c r="BX65" s="24"/>
      <c r="BY65" s="24" t="s">
        <v>242</v>
      </c>
      <c r="BZ65" s="24" t="s">
        <v>242</v>
      </c>
      <c r="CA65" s="24" t="s">
        <v>242</v>
      </c>
      <c r="CB65" s="24" t="s">
        <v>242</v>
      </c>
      <c r="CC65" s="24" t="s">
        <v>242</v>
      </c>
      <c r="CD65" s="24" t="s">
        <v>242</v>
      </c>
      <c r="CE65" s="24" t="s">
        <v>242</v>
      </c>
      <c r="CF65" s="24" t="s">
        <v>242</v>
      </c>
      <c r="CG65" s="24" t="s">
        <v>242</v>
      </c>
      <c r="CH65" s="24" t="s">
        <v>242</v>
      </c>
      <c r="CI65" s="24" t="s">
        <v>242</v>
      </c>
      <c r="CJ65" s="24" t="s">
        <v>242</v>
      </c>
      <c r="CK65" s="24" t="s">
        <v>242</v>
      </c>
      <c r="CL65" s="24" t="s">
        <v>242</v>
      </c>
      <c r="CM65" s="24" t="s">
        <v>242</v>
      </c>
      <c r="CN65" s="24" t="s">
        <v>242</v>
      </c>
      <c r="CO65" s="24" t="s">
        <v>242</v>
      </c>
      <c r="CP65" s="24" t="s">
        <v>242</v>
      </c>
      <c r="CQ65" s="24" t="s">
        <v>242</v>
      </c>
      <c r="CR65" s="24" t="s">
        <v>242</v>
      </c>
      <c r="CS65" s="24" t="s">
        <v>242</v>
      </c>
      <c r="CT65" s="24" t="s">
        <v>242</v>
      </c>
      <c r="CU65" s="24" t="s">
        <v>242</v>
      </c>
      <c r="CV65" s="24" t="s">
        <v>242</v>
      </c>
      <c r="CW65" s="24" t="s">
        <v>242</v>
      </c>
      <c r="CX65" s="24" t="s">
        <v>242</v>
      </c>
      <c r="CY65" s="24" t="s">
        <v>242</v>
      </c>
      <c r="CZ65" s="24" t="s">
        <v>242</v>
      </c>
      <c r="DA65" s="24" t="s">
        <v>242</v>
      </c>
      <c r="DB65" s="24" t="s">
        <v>242</v>
      </c>
      <c r="DC65" s="24" t="s">
        <v>242</v>
      </c>
      <c r="DD65" s="24" t="s">
        <v>242</v>
      </c>
      <c r="DE65" s="24" t="s">
        <v>242</v>
      </c>
      <c r="DF65" s="24" t="s">
        <v>242</v>
      </c>
      <c r="DG65" s="24" t="s">
        <v>242</v>
      </c>
      <c r="DH65" s="24" t="s">
        <v>242</v>
      </c>
      <c r="DI65" s="24" t="s">
        <v>242</v>
      </c>
      <c r="DJ65" s="24" t="s">
        <v>242</v>
      </c>
      <c r="DK65" s="24" t="s">
        <v>242</v>
      </c>
      <c r="DL65" s="24" t="s">
        <v>242</v>
      </c>
      <c r="DM65" s="24" t="s">
        <v>242</v>
      </c>
      <c r="DN65" s="24" t="s">
        <v>242</v>
      </c>
      <c r="DO65" s="24" t="s">
        <v>242</v>
      </c>
      <c r="DP65" s="24" t="s">
        <v>242</v>
      </c>
      <c r="DQ65" s="24" t="s">
        <v>242</v>
      </c>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9"/>
      <c r="FI65" s="29"/>
      <c r="FJ65" s="29"/>
      <c r="FK65" s="29"/>
      <c r="FL65" s="29"/>
      <c r="FM65" s="29"/>
      <c r="FN65" s="29"/>
      <c r="FO65" s="29"/>
      <c r="FP65" s="29"/>
      <c r="FQ65" s="29"/>
      <c r="FR65" s="29"/>
      <c r="FS65" s="29"/>
      <c r="FT65" s="29"/>
      <c r="FU65" s="29"/>
      <c r="FV65" s="29"/>
      <c r="FW65" s="29"/>
      <c r="FX65" s="29"/>
      <c r="FY65" s="29"/>
      <c r="FZ65" s="29"/>
      <c r="GA65" s="29"/>
      <c r="GB65" s="29"/>
      <c r="GC65" s="29"/>
      <c r="GD65" s="29"/>
      <c r="GE65" s="29"/>
      <c r="GF65" s="24"/>
      <c r="GG65" s="24"/>
      <c r="GH65" s="24"/>
      <c r="GI65" s="24"/>
      <c r="GJ65" s="24" t="str">
        <f t="shared" si="2"/>
        <v/>
      </c>
      <c r="GK65" s="26"/>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8"/>
      <c r="HL65" s="23"/>
      <c r="HM65" s="24"/>
      <c r="HN65" s="24"/>
      <c r="HO65" s="24"/>
      <c r="HP65" s="24"/>
      <c r="HQ65" s="24"/>
      <c r="HR65" s="24"/>
      <c r="HS65" s="24"/>
      <c r="HT65" s="24"/>
      <c r="HU65" s="24"/>
      <c r="HV65" s="24"/>
      <c r="HW65" s="24"/>
      <c r="HX65" s="24"/>
      <c r="HY65" s="24"/>
      <c r="HZ65" s="24"/>
      <c r="IA65" s="24"/>
      <c r="IB65" s="28"/>
      <c r="IC65" s="23"/>
      <c r="ID65" s="24"/>
      <c r="IE65" s="24"/>
      <c r="IF65" s="24"/>
      <c r="IG65" s="24" t="str">
        <f t="shared" si="1"/>
        <v/>
      </c>
    </row>
    <row r="66" spans="1:241">
      <c r="A66" t="str">
        <f>HYPERLINK("http://exon.niaid.nih.gov/transcriptome/S_calcitrans/S1/links/pep/XP_013102088.1-pep.txt","XP_013102088.1")</f>
        <v>XP_013102088.1</v>
      </c>
      <c r="B66" s="30" t="s">
        <v>232</v>
      </c>
      <c r="C66">
        <v>139</v>
      </c>
      <c r="D66" t="s">
        <v>830</v>
      </c>
      <c r="E66">
        <v>1</v>
      </c>
      <c r="F66" t="s">
        <v>831</v>
      </c>
      <c r="G66" t="str">
        <f>HYPERLINK("http://exon.niaid.nih.gov/transcriptome/S_calcitrans/S1/links/cds/XM_013246634_1-cds.txt","XM_013246634_1")</f>
        <v>XM_013246634_1</v>
      </c>
      <c r="H66">
        <v>420</v>
      </c>
      <c r="I66" t="s">
        <v>832</v>
      </c>
      <c r="J66" s="30" t="s">
        <v>236</v>
      </c>
      <c r="K66" s="30" t="s">
        <v>91</v>
      </c>
      <c r="L66" s="31" t="s">
        <v>833</v>
      </c>
      <c r="M66" s="30">
        <v>951722</v>
      </c>
      <c r="N66" s="30">
        <v>952205</v>
      </c>
      <c r="O66" s="30" t="s">
        <v>238</v>
      </c>
      <c r="P66" s="30">
        <v>2</v>
      </c>
      <c r="Q66" s="31" t="s">
        <v>834</v>
      </c>
      <c r="R66" s="32" t="str">
        <f>HYPERLINK("http://exon.niaid.nih.gov/transcriptome/S_calcitrans/S1/links/Sigp/XP_013102088.1-SigP.txt","SIG")</f>
        <v>SIG</v>
      </c>
      <c r="S66" t="s">
        <v>240</v>
      </c>
      <c r="T66">
        <v>15.904</v>
      </c>
      <c r="U66">
        <v>4.93</v>
      </c>
      <c r="V66">
        <v>13.692</v>
      </c>
      <c r="W66">
        <v>4.82</v>
      </c>
      <c r="X66" t="s">
        <v>835</v>
      </c>
      <c r="Y66" s="32" t="str">
        <f>HYPERLINK("http://exon.niaid.nih.gov/transcriptome/S_calcitrans/S1/links/tmhmm/XP_013102088.1-tmhmm.txt","1")</f>
        <v>1</v>
      </c>
      <c r="Z66">
        <v>15.8</v>
      </c>
      <c r="AA66">
        <v>79.099999999999994</v>
      </c>
      <c r="AB66">
        <v>5</v>
      </c>
      <c r="AC66" t="s">
        <v>242</v>
      </c>
      <c r="AD66">
        <v>110</v>
      </c>
      <c r="AE66" s="32" t="str">
        <f>HYPERLINK("http://exon.niaid.nih.gov/transcriptome/S_calcitrans/S1/links/netoglyc/XP_013102088.1-netoglyc.txt","0")</f>
        <v>0</v>
      </c>
      <c r="AF66">
        <v>11.5</v>
      </c>
      <c r="AG66">
        <v>4.3</v>
      </c>
      <c r="AH66">
        <v>3.6</v>
      </c>
      <c r="AI66" t="s">
        <v>243</v>
      </c>
      <c r="AJ66" t="s">
        <v>242</v>
      </c>
      <c r="AK66">
        <v>3265.35674811337</v>
      </c>
      <c r="AL66" s="33">
        <v>7235</v>
      </c>
      <c r="AM66">
        <v>1</v>
      </c>
      <c r="AN66" s="30">
        <f t="shared" si="0"/>
        <v>1</v>
      </c>
      <c r="AO66" s="30" t="s">
        <v>244</v>
      </c>
      <c r="AP66">
        <v>1780590</v>
      </c>
      <c r="AQ66" s="34">
        <v>6.9160957437573298</v>
      </c>
      <c r="AR66" s="35">
        <v>1436.4421028217721</v>
      </c>
      <c r="AS66" t="s">
        <v>836</v>
      </c>
      <c r="AT66" s="36" t="s">
        <v>837</v>
      </c>
      <c r="AU66" t="s">
        <v>574</v>
      </c>
      <c r="AV66" t="str">
        <f>HYPERLINK("http://exon.niaid.nih.gov/transcriptome/S_calcitrans/S1/links/SWISSP/XP_013102088.1-SWISSP.txt","SWISSP")</f>
        <v>SWISSP</v>
      </c>
      <c r="AW66">
        <v>1000</v>
      </c>
      <c r="AX66">
        <v>34.700000000000003</v>
      </c>
      <c r="AY66" s="33" t="str">
        <f>HYPERLINK("http://exon.niaid.nih.gov/transcriptome/S_calcitrans/S1/links/WANG/XP_013102088.1-WANG.txt","SC-4-26-4")</f>
        <v>SC-4-26-4</v>
      </c>
      <c r="AZ66">
        <v>7.9999999999999997E-81</v>
      </c>
      <c r="BA66">
        <v>139</v>
      </c>
      <c r="BB66">
        <v>139</v>
      </c>
      <c r="BC66">
        <v>100</v>
      </c>
      <c r="BD66">
        <v>100</v>
      </c>
      <c r="BE66">
        <v>100</v>
      </c>
      <c r="BF66" t="s">
        <v>248</v>
      </c>
      <c r="BG66" s="31" t="s">
        <v>838</v>
      </c>
      <c r="BH66" t="s">
        <v>837</v>
      </c>
      <c r="BI66">
        <v>19</v>
      </c>
      <c r="BJ66" s="33"/>
      <c r="BK66" s="33"/>
      <c r="BL66" s="33" t="str">
        <f>HYPERLINK("http://exon.niaid.nih.gov/transcriptome/S_calcitrans/S1/links/NR-LIGHT/XP_013102088.1-NR-LIGHT.txt","uncharacterized protein LOC101894797")</f>
        <v>uncharacterized protein LOC101894797</v>
      </c>
      <c r="BM66" t="str">
        <f>HYPERLINK("http://www.ncbi.nlm.nih.gov/sutils/blink.cgi?pid=755856558","2E-017")</f>
        <v>2E-017</v>
      </c>
      <c r="BN66" t="str">
        <f>HYPERLINK("http://www.ncbi.nlm.nih.gov/protein/755856558","gi|755856558")</f>
        <v>gi|755856558</v>
      </c>
      <c r="BO66">
        <v>33</v>
      </c>
      <c r="BP66">
        <v>55</v>
      </c>
      <c r="BQ66">
        <v>44</v>
      </c>
      <c r="BR66" t="s">
        <v>251</v>
      </c>
      <c r="BS66" s="33" t="str">
        <f>HYPERLINK("http://exon.niaid.nih.gov/transcriptome/S_calcitrans/S1/links/SWISSP/XP_013102088.1-SWISSP.txt","B3 domain-containing protein At5g60140")</f>
        <v>B3 domain-containing protein At5g60140</v>
      </c>
      <c r="BT66" t="str">
        <f>HYPERLINK("http://www.uniprot.org/uniprot/Q9FHB0","0.24")</f>
        <v>0.24</v>
      </c>
      <c r="BU66" t="str">
        <f>HYPERLINK("http://www.uniprot.org/uniprot/Q9FHB0#expression","Q9FHB0")</f>
        <v>Q9FHB0</v>
      </c>
      <c r="BV66">
        <v>21</v>
      </c>
      <c r="BW66">
        <v>40</v>
      </c>
      <c r="BX66">
        <v>35</v>
      </c>
      <c r="BY66" t="s">
        <v>468</v>
      </c>
      <c r="BZ66" s="33" t="str">
        <f>HYPERLINK("http://exon.niaid.nih.gov/transcriptome/S_calcitrans/S1/links/REFSEQ-INVERTEBRATE/XP_013102088.1-REFSEQ-INVERTEBRATE.txt","uncharacterized LOC106083544 precursor")</f>
        <v>uncharacterized LOC106083544 precursor</v>
      </c>
      <c r="CA66" t="str">
        <f>HYPERLINK("http://www.ncbi.nlm.nih.gov/sutils/blink.cgi?pid=910242304","3E-076")</f>
        <v>3E-076</v>
      </c>
      <c r="CB66" t="str">
        <f>HYPERLINK("http://www.ncbi.nlm.nih.gov/protein/910242304","gi|910242304")</f>
        <v>gi|910242304</v>
      </c>
      <c r="CC66">
        <v>100</v>
      </c>
      <c r="CD66">
        <v>100</v>
      </c>
      <c r="CE66">
        <v>100</v>
      </c>
      <c r="CF66" t="s">
        <v>253</v>
      </c>
      <c r="CG66" s="33" t="str">
        <f>HYPERLINK("http://exon.niaid.nih.gov/transcriptome/S_calcitrans/S1/links/DIPTERA/XP_013102088.1-DIPTERA.txt","putative 13.7 kDa secreted salivary gland protein")</f>
        <v>putative 13.7 kDa secreted salivary gland protein</v>
      </c>
      <c r="CH66" t="str">
        <f>HYPERLINK("http://www.ncbi.nlm.nih.gov/sutils/blink.cgi?pid=63148846","1E-076")</f>
        <v>1E-076</v>
      </c>
      <c r="CI66" t="str">
        <f>HYPERLINK("http://www.ncbi.nlm.nih.gov/protein/63148846","gi|63148846")</f>
        <v>gi|63148846</v>
      </c>
      <c r="CJ66">
        <v>100</v>
      </c>
      <c r="CK66">
        <v>100</v>
      </c>
      <c r="CL66">
        <v>100</v>
      </c>
      <c r="CM66" t="s">
        <v>253</v>
      </c>
      <c r="CN66" s="33" t="s">
        <v>242</v>
      </c>
      <c r="CO66" t="s">
        <v>242</v>
      </c>
      <c r="CP66" t="s">
        <v>242</v>
      </c>
      <c r="CQ66" t="s">
        <v>242</v>
      </c>
      <c r="CR66" t="s">
        <v>242</v>
      </c>
      <c r="CS66" t="s">
        <v>242</v>
      </c>
      <c r="CT66" t="s">
        <v>242</v>
      </c>
      <c r="CU66" s="33" t="s">
        <v>242</v>
      </c>
      <c r="CV66" t="s">
        <v>242</v>
      </c>
      <c r="CW66" t="s">
        <v>242</v>
      </c>
      <c r="CX66" t="s">
        <v>242</v>
      </c>
      <c r="CY66" t="s">
        <v>242</v>
      </c>
      <c r="CZ66" t="s">
        <v>242</v>
      </c>
      <c r="DA66" t="s">
        <v>242</v>
      </c>
      <c r="DB66" t="s">
        <v>242</v>
      </c>
      <c r="DC66" t="s">
        <v>242</v>
      </c>
      <c r="DD66" t="s">
        <v>242</v>
      </c>
      <c r="DE66" s="33" t="str">
        <f>HYPERLINK("http://exon.niaid.nih.gov/transcriptome/S_calcitrans/S1/links/CDD/XP_013102088.1-CDD.txt","ManY")</f>
        <v>ManY</v>
      </c>
      <c r="DF66" t="str">
        <f>HYPERLINK("http://www.ncbi.nlm.nih.gov/Structure/cdd/cddsrv.cgi?uid=COG3715&amp;version=v4.0","0.11")</f>
        <v>0.11</v>
      </c>
      <c r="DG66" t="s">
        <v>839</v>
      </c>
      <c r="DH66" s="33" t="str">
        <f>HYPERLINK("http://exon.niaid.nih.gov/transcriptome/S_calcitrans/S1/links/KOG/XP_013102088.1-KOG.txt","Fry-like conserved proteins")</f>
        <v>Fry-like conserved proteins</v>
      </c>
      <c r="DI66" t="str">
        <f>HYPERLINK("http://www.ncbi.nlm.nih.gov/Structure/cdd/cddsrv.cgi?uid=KOG1825","0.14")</f>
        <v>0.14</v>
      </c>
      <c r="DJ66" t="s">
        <v>342</v>
      </c>
      <c r="DK66" t="str">
        <f>HYPERLINK("http://exon.niaid.nih.gov/transcriptome/S_calcitrans/S1/links/KOG/XP_013102088.1-KOG.txt","KOG1825")</f>
        <v>KOG1825</v>
      </c>
      <c r="DL66" s="33" t="str">
        <f>HYPERLINK("http://exon.niaid.nih.gov/transcriptome/S_calcitrans/S1/links/PFAM/XP_013102088.1-PFAM.txt","EII-Sor")</f>
        <v>EII-Sor</v>
      </c>
      <c r="DM66" t="str">
        <f>HYPERLINK("http://pfam.sanger.ac.uk/family?acc=PF03609","0.053")</f>
        <v>0.053</v>
      </c>
      <c r="DN66" s="33" t="str">
        <f>HYPERLINK("http://exon.niaid.nih.gov/transcriptome/S_calcitrans/S1/links/SMART/XP_013102088.1-SMART.txt","LU")</f>
        <v>LU</v>
      </c>
      <c r="DO66" t="str">
        <f>HYPERLINK("http://smart.embl-heidelberg.de/smart/do_annotation.pl?DOMAIN=LU&amp;BLAST=DUMMY","0.34")</f>
        <v>0.34</v>
      </c>
      <c r="DP66" s="33"/>
      <c r="EB66" s="33">
        <f>HYPERLINK("http://exon.niaid.nih.gov/transcriptome/S_calcitrans/S1/links/cluster-b/Scalc-pep25-50SimCLU1.txt", 1)</f>
        <v>1</v>
      </c>
      <c r="EC66">
        <f>HYPERLINK("http://exon.niaid.nih.gov/transcriptome/S_calcitrans/S1/links/cluster-b/Scalc-pep25-50SimCLTL1.txt", 5170)</f>
        <v>5170</v>
      </c>
      <c r="ED66" s="33">
        <f>HYPERLINK("http://exon.niaid.nih.gov/transcriptome/S_calcitrans/S1/links/cluster-b/Scalc-pep30-50SimCLU428.txt", 428)</f>
        <v>428</v>
      </c>
      <c r="EE66">
        <f>HYPERLINK("http://exon.niaid.nih.gov/transcriptome/S_calcitrans/S1/links/cluster-b/Scalc-pep30-50SimCLTL428.txt", 7)</f>
        <v>7</v>
      </c>
      <c r="EF66" s="33">
        <f>HYPERLINK("http://exon.niaid.nih.gov/transcriptome/S_calcitrans/S1/links/cluster-b/Scalc-pep35-50SimCLU431.txt", 431)</f>
        <v>431</v>
      </c>
      <c r="EG66">
        <f>HYPERLINK("http://exon.niaid.nih.gov/transcriptome/S_calcitrans/S1/links/cluster-b/Scalc-pep35-50SimCLTL431.txt", 7)</f>
        <v>7</v>
      </c>
      <c r="EH66" s="33">
        <f>HYPERLINK("http://exon.niaid.nih.gov/transcriptome/S_calcitrans/S1/links/cluster-b/Scalc-pep40-50SimCLU523.txt", 523)</f>
        <v>523</v>
      </c>
      <c r="EI66">
        <f>HYPERLINK("http://exon.niaid.nih.gov/transcriptome/S_calcitrans/S1/links/cluster-b/Scalc-pep40-50SimCLTL523.txt", 6)</f>
        <v>6</v>
      </c>
      <c r="EJ66" s="33">
        <f>HYPERLINK("http://exon.niaid.nih.gov/transcriptome/S_calcitrans/S1/links/cluster-b/Scalc-pep45-50SimCLU502.txt", 502)</f>
        <v>502</v>
      </c>
      <c r="EK66">
        <f>HYPERLINK("http://exon.niaid.nih.gov/transcriptome/S_calcitrans/S1/links/cluster-b/Scalc-pep45-50SimCLTL502.txt", 6)</f>
        <v>6</v>
      </c>
      <c r="EL66" s="33">
        <f>HYPERLINK("http://exon.niaid.nih.gov/transcriptome/S_calcitrans/S1/links/cluster-b/Scalc-pep50-50SimCLU494.txt", 494)</f>
        <v>494</v>
      </c>
      <c r="EM66">
        <f>HYPERLINK("http://exon.niaid.nih.gov/transcriptome/S_calcitrans/S1/links/cluster-b/Scalc-pep50-50SimCLTL494.txt", 6)</f>
        <v>6</v>
      </c>
      <c r="EN66" s="33">
        <f>HYPERLINK("http://exon.niaid.nih.gov/transcriptome/S_calcitrans/S1/links/cluster-b/Scalc-pep55-50SimCLU2628.txt", 2628)</f>
        <v>2628</v>
      </c>
      <c r="EO66">
        <f>HYPERLINK("http://exon.niaid.nih.gov/transcriptome/S_calcitrans/S1/links/cluster-b/Scalc-pep55-50SimCLTL2628.txt", 2)</f>
        <v>2</v>
      </c>
      <c r="EP66" s="33">
        <v>6375</v>
      </c>
      <c r="EQ66">
        <v>1</v>
      </c>
      <c r="ER66" s="33">
        <v>6552</v>
      </c>
      <c r="ES66">
        <v>1</v>
      </c>
      <c r="ET66" s="33">
        <v>6685</v>
      </c>
      <c r="EU66">
        <v>1</v>
      </c>
      <c r="EV66" s="33">
        <v>6803</v>
      </c>
      <c r="EW66">
        <v>1</v>
      </c>
      <c r="EX66" s="33">
        <v>6908</v>
      </c>
      <c r="EY66">
        <v>1</v>
      </c>
      <c r="EZ66" s="33">
        <v>7007</v>
      </c>
      <c r="FA66">
        <v>1</v>
      </c>
      <c r="FB66" s="33">
        <v>7094</v>
      </c>
      <c r="FC66">
        <v>1</v>
      </c>
      <c r="FD66" s="33">
        <v>7235</v>
      </c>
      <c r="FE66">
        <v>1</v>
      </c>
      <c r="FF66" t="s">
        <v>840</v>
      </c>
      <c r="FG66">
        <v>8040</v>
      </c>
      <c r="FH66" s="38" t="str">
        <f>HYPERLINK("http://exon.niaid.nih.gov/transcriptome/S_calcitrans/S1/links/SG_male-stripped_temp-95-h10-1gap/8040-SG_male-stripped_temp-95-h10-1gap.txt","604488")</f>
        <v>604488</v>
      </c>
      <c r="FI66" s="39">
        <v>100</v>
      </c>
      <c r="FJ66" s="39">
        <v>31030.564285714299</v>
      </c>
      <c r="FK66" s="39">
        <v>5200</v>
      </c>
      <c r="FL66" s="39">
        <v>31999</v>
      </c>
      <c r="FM66" s="39">
        <v>73.602979711756106</v>
      </c>
      <c r="FN66" s="38" t="str">
        <f>HYPERLINK("http://exon.niaid.nih.gov/transcriptome/S_calcitrans/S1/links/SG_female-stripped_temp-95-h10-1gap/8040-SG_female-stripped_temp-95-h10-1gap.txt","1176102")</f>
        <v>1176102</v>
      </c>
      <c r="FO66" s="39">
        <v>100</v>
      </c>
      <c r="FP66" s="39">
        <v>31576.3547619048</v>
      </c>
      <c r="FQ66" s="39">
        <v>11180</v>
      </c>
      <c r="FR66" s="39">
        <v>31999</v>
      </c>
      <c r="FS66" s="39">
        <v>73.642049754187994</v>
      </c>
      <c r="FT66" s="38" t="str">
        <f>HYPERLINK("http://exon.niaid.nih.gov/transcriptome/S_calcitrans/S1/links/SRR694289-stripped_temp-95-h10-1gap/8040-SRR694289-stripped_temp-95-h10-1gap.txt","822")</f>
        <v>822</v>
      </c>
      <c r="FU66" s="39">
        <v>100</v>
      </c>
      <c r="FV66" s="39">
        <v>191.74523809523799</v>
      </c>
      <c r="FW66" s="39">
        <v>12</v>
      </c>
      <c r="FX66" s="39">
        <v>362</v>
      </c>
      <c r="FY66" s="39">
        <v>97.976885644768899</v>
      </c>
      <c r="FZ66" s="38" t="str">
        <f>HYPERLINK("http://exon.niaid.nih.gov/transcriptome/S_calcitrans/S1/links/SRR694925-stripped_temp-95-h10-1gap/8040-SRR694925-stripped_temp-95-h10-1gap.txt","1088")</f>
        <v>1088</v>
      </c>
      <c r="GA66" s="39">
        <v>100</v>
      </c>
      <c r="GB66" s="39">
        <v>255.27380952381</v>
      </c>
      <c r="GC66" s="39">
        <v>1</v>
      </c>
      <c r="GD66" s="39">
        <v>499</v>
      </c>
      <c r="GE66" s="39">
        <v>98.543198529411796</v>
      </c>
      <c r="GF66">
        <f>1*FH66</f>
        <v>604488</v>
      </c>
      <c r="GG66">
        <f>1*FN66</f>
        <v>1176102</v>
      </c>
      <c r="GH66">
        <f>1*FT66</f>
        <v>822</v>
      </c>
      <c r="GI66">
        <f>1*FZ66</f>
        <v>1088</v>
      </c>
      <c r="GJ66">
        <f>IF(FZ66&lt;&gt;"",SUM(GF66:GG66),"")</f>
        <v>1780590</v>
      </c>
      <c r="GK66" s="34">
        <v>6.9160957437573298</v>
      </c>
      <c r="GL66">
        <v>47080.425950279554</v>
      </c>
      <c r="GM66">
        <v>41655.172553901801</v>
      </c>
      <c r="GN66">
        <v>11.250065893976283</v>
      </c>
      <c r="GO66">
        <v>15.350530833264163</v>
      </c>
      <c r="GP66">
        <f>MAX(GL66:GO66)</f>
        <v>47080.425950279554</v>
      </c>
      <c r="GQ66" t="s">
        <v>574</v>
      </c>
      <c r="GR66">
        <v>36717.621916197902</v>
      </c>
      <c r="GS66">
        <v>34189.157430418294</v>
      </c>
      <c r="GT66">
        <v>20.28001948378019</v>
      </c>
      <c r="GU66">
        <v>29.062763191084088</v>
      </c>
      <c r="GV66">
        <f>MAX(GR66:GU66)</f>
        <v>36717.621916197902</v>
      </c>
      <c r="GW66">
        <v>1436.4421028217721</v>
      </c>
      <c r="GX66">
        <v>1780590</v>
      </c>
      <c r="GY66">
        <v>1910</v>
      </c>
      <c r="GZ66">
        <v>1782500</v>
      </c>
      <c r="HA66">
        <v>395714.45384317933</v>
      </c>
      <c r="HB66">
        <v>1386785.5461568206</v>
      </c>
      <c r="HC66">
        <v>4846626.8030310646</v>
      </c>
      <c r="HD66">
        <v>1382968.1767726429</v>
      </c>
      <c r="HE66">
        <v>6229594.9798037075</v>
      </c>
      <c r="HF66">
        <v>0</v>
      </c>
      <c r="HG66">
        <v>395714.45384317933</v>
      </c>
      <c r="HH66">
        <v>1</v>
      </c>
      <c r="HI66">
        <v>1</v>
      </c>
      <c r="HJ66">
        <v>2</v>
      </c>
      <c r="HK66">
        <v>0</v>
      </c>
      <c r="HL66" s="30" t="s">
        <v>262</v>
      </c>
      <c r="HM66">
        <v>3265.35674811337</v>
      </c>
      <c r="HN66">
        <v>3.0608482611356171E-4</v>
      </c>
      <c r="HO66">
        <v>604488</v>
      </c>
      <c r="HP66">
        <v>1176102</v>
      </c>
      <c r="HQ66">
        <v>1780590</v>
      </c>
      <c r="HR66">
        <v>556605.21327997465</v>
      </c>
      <c r="HS66">
        <v>1223984.7867200254</v>
      </c>
      <c r="HT66">
        <v>4119.1875486839326</v>
      </c>
      <c r="HU66">
        <v>1873.1942495947731</v>
      </c>
      <c r="HV66">
        <v>5992.3817982787059</v>
      </c>
      <c r="HW66">
        <v>0</v>
      </c>
      <c r="HX66">
        <v>556605.21327997465</v>
      </c>
      <c r="HY66">
        <v>1</v>
      </c>
      <c r="HZ66">
        <v>1</v>
      </c>
      <c r="IA66">
        <v>2</v>
      </c>
      <c r="IB66">
        <v>0</v>
      </c>
      <c r="IC66" s="30" t="s">
        <v>262</v>
      </c>
      <c r="ID66">
        <v>1.1302410488994572</v>
      </c>
      <c r="IE66">
        <v>0.8847647998802034</v>
      </c>
      <c r="IF66">
        <v>1.1302410488994572</v>
      </c>
      <c r="IG66" t="str">
        <f t="shared" si="1"/>
        <v/>
      </c>
    </row>
    <row r="67" spans="1:241">
      <c r="A67" t="str">
        <f>HYPERLINK("http://exon.niaid.nih.gov/transcriptome/S_calcitrans/S1/links/pep/XP_013102089.1-pep.txt","XP_013102089.1")</f>
        <v>XP_013102089.1</v>
      </c>
      <c r="B67" s="30" t="s">
        <v>232</v>
      </c>
      <c r="C67">
        <v>158</v>
      </c>
      <c r="D67" t="s">
        <v>841</v>
      </c>
      <c r="E67">
        <v>1</v>
      </c>
      <c r="F67" t="s">
        <v>842</v>
      </c>
      <c r="G67" t="str">
        <f>HYPERLINK("http://exon.niaid.nih.gov/transcriptome/S_calcitrans/S1/links/cds/XM_013246635_1-cds.txt","XM_013246635_1")</f>
        <v>XM_013246635_1</v>
      </c>
      <c r="H67">
        <v>477</v>
      </c>
      <c r="I67" t="s">
        <v>843</v>
      </c>
      <c r="J67" s="30" t="s">
        <v>236</v>
      </c>
      <c r="K67" s="30" t="s">
        <v>91</v>
      </c>
      <c r="L67" s="31" t="s">
        <v>833</v>
      </c>
      <c r="M67" s="30">
        <v>954481</v>
      </c>
      <c r="N67" s="30">
        <v>955012</v>
      </c>
      <c r="O67" s="30" t="s">
        <v>276</v>
      </c>
      <c r="P67" s="30">
        <v>2</v>
      </c>
      <c r="Q67" s="31" t="s">
        <v>844</v>
      </c>
      <c r="R67" s="32" t="str">
        <f>HYPERLINK("http://exon.niaid.nih.gov/transcriptome/S_calcitrans/S1/links/Sigp/XP_013102089.1-SigP.txt","SIG")</f>
        <v>SIG</v>
      </c>
      <c r="S67" t="s">
        <v>336</v>
      </c>
      <c r="T67">
        <v>17.553999999999998</v>
      </c>
      <c r="U67">
        <v>9.16</v>
      </c>
      <c r="V67">
        <v>15.629</v>
      </c>
      <c r="W67">
        <v>9.06</v>
      </c>
      <c r="X67" t="s">
        <v>845</v>
      </c>
      <c r="Y67" s="32">
        <v>0</v>
      </c>
      <c r="Z67" t="s">
        <v>242</v>
      </c>
      <c r="AA67" t="s">
        <v>242</v>
      </c>
      <c r="AB67" t="s">
        <v>242</v>
      </c>
      <c r="AC67" t="s">
        <v>242</v>
      </c>
      <c r="AD67" t="s">
        <v>242</v>
      </c>
      <c r="AE67" s="32" t="str">
        <f>HYPERLINK("http://exon.niaid.nih.gov/transcriptome/S_calcitrans/S1/links/netoglyc/XP_013102089.1-netoglyc.txt","1")</f>
        <v>1</v>
      </c>
      <c r="AF67">
        <v>12.7</v>
      </c>
      <c r="AG67">
        <v>5.0999999999999996</v>
      </c>
      <c r="AH67">
        <v>7.6</v>
      </c>
      <c r="AI67" t="s">
        <v>243</v>
      </c>
      <c r="AJ67" t="s">
        <v>242</v>
      </c>
      <c r="AK67">
        <v>1957.7399418641371</v>
      </c>
      <c r="AL67" s="33">
        <v>7236</v>
      </c>
      <c r="AM67">
        <v>1</v>
      </c>
      <c r="AN67" s="30">
        <f t="shared" si="0"/>
        <v>1</v>
      </c>
      <c r="AO67" s="30" t="s">
        <v>244</v>
      </c>
      <c r="AP67">
        <v>2279228</v>
      </c>
      <c r="AQ67" s="34">
        <v>8.8528853188283279</v>
      </c>
      <c r="AR67" s="35">
        <v>836.44972955632466</v>
      </c>
      <c r="AS67" t="s">
        <v>846</v>
      </c>
      <c r="AT67" s="36" t="s">
        <v>847</v>
      </c>
      <c r="AU67" t="s">
        <v>574</v>
      </c>
      <c r="AV67" t="str">
        <f>HYPERLINK("http://exon.niaid.nih.gov/transcriptome/S_calcitrans/S1/links/SWISSP/XP_013102089.1-SWISSP.txt","SWISSP")</f>
        <v>SWISSP</v>
      </c>
      <c r="AW67">
        <v>1000</v>
      </c>
      <c r="AX67">
        <v>1.8</v>
      </c>
      <c r="AY67" s="33" t="str">
        <f>HYPERLINK("http://exon.niaid.nih.gov/transcriptome/S_calcitrans/S1/links/WANG/XP_013102089.1-WANG.txt","SC-4-44-3")</f>
        <v>SC-4-44-3</v>
      </c>
      <c r="AZ67">
        <v>7E-94</v>
      </c>
      <c r="BA67">
        <v>158</v>
      </c>
      <c r="BB67">
        <v>158</v>
      </c>
      <c r="BC67">
        <v>100</v>
      </c>
      <c r="BD67">
        <v>100</v>
      </c>
      <c r="BE67">
        <v>100</v>
      </c>
      <c r="BF67" t="s">
        <v>248</v>
      </c>
      <c r="BG67" s="31" t="s">
        <v>848</v>
      </c>
      <c r="BH67" t="s">
        <v>847</v>
      </c>
      <c r="BI67">
        <v>20</v>
      </c>
      <c r="BJ67" s="33"/>
      <c r="BK67" s="33"/>
      <c r="BL67" s="33" t="str">
        <f>HYPERLINK("http://exon.niaid.nih.gov/transcriptome/S_calcitrans/S1/links/NR-LIGHT/XP_013102089.1-NR-LIGHT.txt","uncharacterized protein LOC101894797")</f>
        <v>uncharacterized protein LOC101894797</v>
      </c>
      <c r="BM67" t="str">
        <f>HYPERLINK("http://www.ncbi.nlm.nih.gov/sutils/blink.cgi?pid=755856558","6E-019")</f>
        <v>6E-019</v>
      </c>
      <c r="BN67" t="str">
        <f>HYPERLINK("http://www.ncbi.nlm.nih.gov/protein/755856558","gi|755856558")</f>
        <v>gi|755856558</v>
      </c>
      <c r="BO67">
        <v>34</v>
      </c>
      <c r="BP67">
        <v>52</v>
      </c>
      <c r="BQ67">
        <v>48</v>
      </c>
      <c r="BR67" t="s">
        <v>251</v>
      </c>
      <c r="BS67" s="33" t="str">
        <f>HYPERLINK("http://exon.niaid.nih.gov/transcriptome/S_calcitrans/S1/links/SWISSP/XP_013102089.1-SWISSP.txt","Accumulation-associated protein")</f>
        <v>Accumulation-associated protein</v>
      </c>
      <c r="BT67" t="str">
        <f>HYPERLINK("http://www.uniprot.org/uniprot/Q8CQD9","1.3")</f>
        <v>1.3</v>
      </c>
      <c r="BU67" t="str">
        <f>HYPERLINK("http://www.uniprot.org/uniprot/Q8CQD9#expression","Q8CQD9")</f>
        <v>Q8CQD9</v>
      </c>
      <c r="BV67">
        <v>55</v>
      </c>
      <c r="BW67">
        <v>70</v>
      </c>
      <c r="BX67">
        <v>2</v>
      </c>
      <c r="BY67" t="s">
        <v>584</v>
      </c>
      <c r="BZ67" s="33" t="str">
        <f>HYPERLINK("http://exon.niaid.nih.gov/transcriptome/S_calcitrans/S1/links/REFSEQ-INVERTEBRATE/XP_013102089.1-REFSEQ-INVERTEBRATE.txt","uncharacterized LOC106083545 precursor")</f>
        <v>uncharacterized LOC106083545 precursor</v>
      </c>
      <c r="CA67" t="str">
        <f>HYPERLINK("http://www.ncbi.nlm.nih.gov/sutils/blink.cgi?pid=910242137","2E-089")</f>
        <v>2E-089</v>
      </c>
      <c r="CB67" t="str">
        <f>HYPERLINK("http://www.ncbi.nlm.nih.gov/protein/910242137","gi|910242137")</f>
        <v>gi|910242137</v>
      </c>
      <c r="CC67">
        <v>100</v>
      </c>
      <c r="CD67">
        <v>100</v>
      </c>
      <c r="CE67">
        <v>100</v>
      </c>
      <c r="CF67" t="s">
        <v>253</v>
      </c>
      <c r="CG67" s="33" t="str">
        <f>HYPERLINK("http://exon.niaid.nih.gov/transcriptome/S_calcitrans/S1/links/DIPTERA/XP_013102089.1-DIPTERA.txt","putative 15.6 kDa secreted salivary gland protein")</f>
        <v>putative 15.6 kDa secreted salivary gland protein</v>
      </c>
      <c r="CH67" t="str">
        <f>HYPERLINK("http://www.ncbi.nlm.nih.gov/sutils/blink.cgi?pid=63148848","1E-089")</f>
        <v>1E-089</v>
      </c>
      <c r="CI67" t="str">
        <f>HYPERLINK("http://www.ncbi.nlm.nih.gov/protein/63148848","gi|63148848")</f>
        <v>gi|63148848</v>
      </c>
      <c r="CJ67">
        <v>100</v>
      </c>
      <c r="CK67">
        <v>100</v>
      </c>
      <c r="CL67">
        <v>100</v>
      </c>
      <c r="CM67" t="s">
        <v>253</v>
      </c>
      <c r="CN67" s="33" t="s">
        <v>242</v>
      </c>
      <c r="CO67" t="s">
        <v>242</v>
      </c>
      <c r="CP67" t="s">
        <v>242</v>
      </c>
      <c r="CQ67" t="s">
        <v>242</v>
      </c>
      <c r="CR67" t="s">
        <v>242</v>
      </c>
      <c r="CS67" t="s">
        <v>242</v>
      </c>
      <c r="CT67" t="s">
        <v>242</v>
      </c>
      <c r="CU67" s="33" t="s">
        <v>242</v>
      </c>
      <c r="CV67" t="s">
        <v>242</v>
      </c>
      <c r="CW67" t="s">
        <v>242</v>
      </c>
      <c r="CX67" t="s">
        <v>242</v>
      </c>
      <c r="CY67" t="s">
        <v>242</v>
      </c>
      <c r="CZ67" t="s">
        <v>242</v>
      </c>
      <c r="DA67" t="s">
        <v>242</v>
      </c>
      <c r="DB67" t="s">
        <v>242</v>
      </c>
      <c r="DC67" t="s">
        <v>242</v>
      </c>
      <c r="DD67" t="s">
        <v>242</v>
      </c>
      <c r="DE67" s="33" t="str">
        <f>HYPERLINK("http://exon.niaid.nih.gov/transcriptome/S_calcitrans/S1/links/CDD/XP_013102089.1-CDD.txt","flgE")</f>
        <v>flgE</v>
      </c>
      <c r="DF67" t="str">
        <f>HYPERLINK("http://www.ncbi.nlm.nih.gov/Structure/cdd/cddsrv.cgi?uid=PRK12637&amp;version=v4.0","0.30")</f>
        <v>0.30</v>
      </c>
      <c r="DG67" t="s">
        <v>849</v>
      </c>
      <c r="DH67" s="33" t="str">
        <f>HYPERLINK("http://exon.niaid.nih.gov/transcriptome/S_calcitrans/S1/links/KOG/XP_013102089.1-KOG.txt","Predicted metal-binding protein")</f>
        <v>Predicted metal-binding protein</v>
      </c>
      <c r="DI67" t="str">
        <f>HYPERLINK("http://www.ncbi.nlm.nih.gov/Structure/cdd/cddsrv.cgi?uid=KOG2948","0.051")</f>
        <v>0.051</v>
      </c>
      <c r="DJ67" t="s">
        <v>342</v>
      </c>
      <c r="DK67" t="str">
        <f>HYPERLINK("http://exon.niaid.nih.gov/transcriptome/S_calcitrans/S1/links/KOG/XP_013102089.1-KOG.txt","KOG2948")</f>
        <v>KOG2948</v>
      </c>
      <c r="DL67" s="33" t="str">
        <f>HYPERLINK("http://exon.niaid.nih.gov/transcriptome/S_calcitrans/S1/links/PFAM/XP_013102089.1-PFAM.txt","PAT1")</f>
        <v>PAT1</v>
      </c>
      <c r="DM67" t="str">
        <f>HYPERLINK("http://pfam.sanger.ac.uk/family?acc=PF09770","0.24")</f>
        <v>0.24</v>
      </c>
      <c r="DN67" s="33" t="str">
        <f>HYPERLINK("http://exon.niaid.nih.gov/transcriptome/S_calcitrans/S1/links/SMART/XP_013102089.1-SMART.txt","BHL")</f>
        <v>BHL</v>
      </c>
      <c r="DO67" t="str">
        <f>HYPERLINK("http://smart.embl-heidelberg.de/smart/do_annotation.pl?DOMAIN=BHL&amp;BLAST=DUMMY","0.79")</f>
        <v>0.79</v>
      </c>
      <c r="DP67" s="33"/>
      <c r="EB67" s="33">
        <f>HYPERLINK("http://exon.niaid.nih.gov/transcriptome/S_calcitrans/S1/links/cluster-b/Scalc-pep25-50SimCLU1.txt", 1)</f>
        <v>1</v>
      </c>
      <c r="EC67">
        <f>HYPERLINK("http://exon.niaid.nih.gov/transcriptome/S_calcitrans/S1/links/cluster-b/Scalc-pep25-50SimCLTL1.txt", 5170)</f>
        <v>5170</v>
      </c>
      <c r="ED67" s="33">
        <f>HYPERLINK("http://exon.niaid.nih.gov/transcriptome/S_calcitrans/S1/links/cluster-b/Scalc-pep30-50SimCLU428.txt", 428)</f>
        <v>428</v>
      </c>
      <c r="EE67">
        <f>HYPERLINK("http://exon.niaid.nih.gov/transcriptome/S_calcitrans/S1/links/cluster-b/Scalc-pep30-50SimCLTL428.txt", 7)</f>
        <v>7</v>
      </c>
      <c r="EF67" s="33">
        <f>HYPERLINK("http://exon.niaid.nih.gov/transcriptome/S_calcitrans/S1/links/cluster-b/Scalc-pep35-50SimCLU431.txt", 431)</f>
        <v>431</v>
      </c>
      <c r="EG67">
        <f>HYPERLINK("http://exon.niaid.nih.gov/transcriptome/S_calcitrans/S1/links/cluster-b/Scalc-pep35-50SimCLTL431.txt", 7)</f>
        <v>7</v>
      </c>
      <c r="EH67" s="33">
        <f>HYPERLINK("http://exon.niaid.nih.gov/transcriptome/S_calcitrans/S1/links/cluster-b/Scalc-pep40-50SimCLU523.txt", 523)</f>
        <v>523</v>
      </c>
      <c r="EI67">
        <f>HYPERLINK("http://exon.niaid.nih.gov/transcriptome/S_calcitrans/S1/links/cluster-b/Scalc-pep40-50SimCLTL523.txt", 6)</f>
        <v>6</v>
      </c>
      <c r="EJ67" s="33">
        <f>HYPERLINK("http://exon.niaid.nih.gov/transcriptome/S_calcitrans/S1/links/cluster-b/Scalc-pep45-50SimCLU502.txt", 502)</f>
        <v>502</v>
      </c>
      <c r="EK67">
        <f>HYPERLINK("http://exon.niaid.nih.gov/transcriptome/S_calcitrans/S1/links/cluster-b/Scalc-pep45-50SimCLTL502.txt", 6)</f>
        <v>6</v>
      </c>
      <c r="EL67" s="33">
        <f>HYPERLINK("http://exon.niaid.nih.gov/transcriptome/S_calcitrans/S1/links/cluster-b/Scalc-pep50-50SimCLU494.txt", 494)</f>
        <v>494</v>
      </c>
      <c r="EM67">
        <f>HYPERLINK("http://exon.niaid.nih.gov/transcriptome/S_calcitrans/S1/links/cluster-b/Scalc-pep50-50SimCLTL494.txt", 6)</f>
        <v>6</v>
      </c>
      <c r="EN67" s="33">
        <f>HYPERLINK("http://exon.niaid.nih.gov/transcriptome/S_calcitrans/S1/links/cluster-b/Scalc-pep55-50SimCLU2628.txt", 2628)</f>
        <v>2628</v>
      </c>
      <c r="EO67">
        <f>HYPERLINK("http://exon.niaid.nih.gov/transcriptome/S_calcitrans/S1/links/cluster-b/Scalc-pep55-50SimCLTL2628.txt", 2)</f>
        <v>2</v>
      </c>
      <c r="EP67" s="33">
        <v>6376</v>
      </c>
      <c r="EQ67">
        <v>1</v>
      </c>
      <c r="ER67" s="33">
        <v>6553</v>
      </c>
      <c r="ES67">
        <v>1</v>
      </c>
      <c r="ET67" s="33">
        <v>6686</v>
      </c>
      <c r="EU67">
        <v>1</v>
      </c>
      <c r="EV67" s="33">
        <v>6804</v>
      </c>
      <c r="EW67">
        <v>1</v>
      </c>
      <c r="EX67" s="33">
        <v>6909</v>
      </c>
      <c r="EY67">
        <v>1</v>
      </c>
      <c r="EZ67" s="33">
        <v>7008</v>
      </c>
      <c r="FA67">
        <v>1</v>
      </c>
      <c r="FB67" s="33">
        <v>7095</v>
      </c>
      <c r="FC67">
        <v>1</v>
      </c>
      <c r="FD67" s="33">
        <v>7236</v>
      </c>
      <c r="FE67">
        <v>1</v>
      </c>
      <c r="FF67" t="s">
        <v>850</v>
      </c>
      <c r="FG67">
        <v>8041</v>
      </c>
      <c r="FH67" s="38" t="str">
        <f>HYPERLINK("http://exon.niaid.nih.gov/transcriptome/S_calcitrans/S1/links/SG_male-stripped_temp-95-h10-1gap/8041-SG_male-stripped_temp-95-h10-1gap.txt","692597")</f>
        <v>692597</v>
      </c>
      <c r="FI67" s="39">
        <v>100</v>
      </c>
      <c r="FJ67" s="39">
        <v>30999.698113207502</v>
      </c>
      <c r="FK67" s="39">
        <v>14288</v>
      </c>
      <c r="FL67" s="39">
        <v>31999</v>
      </c>
      <c r="FM67" s="39">
        <v>72.242152362773695</v>
      </c>
      <c r="FN67" s="38" t="str">
        <f>HYPERLINK("http://exon.niaid.nih.gov/transcriptome/S_calcitrans/S1/links/SG_female-stripped_temp-95-h10-1gap/8041-SG_female-stripped_temp-95-h10-1gap.txt","1586631")</f>
        <v>1586631</v>
      </c>
      <c r="FO67" s="39">
        <v>100</v>
      </c>
      <c r="FP67" s="39">
        <v>31973.874213836501</v>
      </c>
      <c r="FQ67" s="39">
        <v>29616</v>
      </c>
      <c r="FR67" s="39">
        <v>31999</v>
      </c>
      <c r="FS67" s="39">
        <v>72.472283095439295</v>
      </c>
      <c r="FT67" s="38" t="str">
        <f>HYPERLINK("http://exon.niaid.nih.gov/transcriptome/S_calcitrans/S1/links/SRR694289-stripped_temp-95-h10-1gap/8041-SRR694289-stripped_temp-95-h10-1gap.txt","1737")</f>
        <v>1737</v>
      </c>
      <c r="FU67" s="39">
        <v>100</v>
      </c>
      <c r="FV67" s="39">
        <v>355.21174004192898</v>
      </c>
      <c r="FW67" s="39">
        <v>4</v>
      </c>
      <c r="FX67" s="39">
        <v>794</v>
      </c>
      <c r="FY67" s="39">
        <v>97.551525618883105</v>
      </c>
      <c r="FZ67" s="38" t="str">
        <f>HYPERLINK("http://exon.niaid.nih.gov/transcriptome/S_calcitrans/S1/links/SRR694925-stripped_temp-95-h10-1gap/8041-SRR694925-stripped_temp-95-h10-1gap.txt","2342")</f>
        <v>2342</v>
      </c>
      <c r="GA67" s="39">
        <v>100</v>
      </c>
      <c r="GB67" s="39">
        <v>479.82599580712798</v>
      </c>
      <c r="GC67" s="39">
        <v>6</v>
      </c>
      <c r="GD67" s="39">
        <v>1115</v>
      </c>
      <c r="GE67" s="39">
        <v>97.730999146029006</v>
      </c>
      <c r="GF67">
        <f>1*FH67</f>
        <v>692597</v>
      </c>
      <c r="GG67">
        <f>1*FN67</f>
        <v>1586631</v>
      </c>
      <c r="GH67">
        <f>1*FT67</f>
        <v>1737</v>
      </c>
      <c r="GI67">
        <f>1*FZ67</f>
        <v>2342</v>
      </c>
      <c r="GJ67">
        <f>IF(FZ67&lt;&gt;"",SUM(GF67:GG67),"")</f>
        <v>2279228</v>
      </c>
      <c r="GK67" s="34">
        <v>8.8528853188283279</v>
      </c>
      <c r="GL67">
        <v>47496.785346072669</v>
      </c>
      <c r="GM67">
        <v>49480.125909862669</v>
      </c>
      <c r="GN67">
        <v>20.932156759071695</v>
      </c>
      <c r="GO67">
        <v>29.094594256443383</v>
      </c>
      <c r="GP67">
        <f>MAX(GL67:GO67)</f>
        <v>49480.125909862669</v>
      </c>
      <c r="GQ67" t="s">
        <v>574</v>
      </c>
      <c r="GR67">
        <v>37042.337051361144</v>
      </c>
      <c r="GS67">
        <v>40611.614613291422</v>
      </c>
      <c r="GT67">
        <v>37.733516488895525</v>
      </c>
      <c r="GU67">
        <v>55.084043164381306</v>
      </c>
      <c r="GV67">
        <f>MAX(GR67:GU67)</f>
        <v>40611.614613291422</v>
      </c>
      <c r="GW67">
        <v>836.44972955632466</v>
      </c>
      <c r="GX67">
        <v>2279228</v>
      </c>
      <c r="GY67">
        <v>4079</v>
      </c>
      <c r="GZ67">
        <v>2283307</v>
      </c>
      <c r="HA67">
        <v>506893.45439624583</v>
      </c>
      <c r="HB67">
        <v>1776413.5456037542</v>
      </c>
      <c r="HC67">
        <v>6196903.3419101303</v>
      </c>
      <c r="HD67">
        <v>1768264.9118017552</v>
      </c>
      <c r="HE67">
        <v>7965168.2537118858</v>
      </c>
      <c r="HF67">
        <v>0</v>
      </c>
      <c r="HG67">
        <v>506893.45439624583</v>
      </c>
      <c r="HH67">
        <v>1</v>
      </c>
      <c r="HI67">
        <v>1</v>
      </c>
      <c r="HJ67">
        <v>2</v>
      </c>
      <c r="HK67">
        <v>0</v>
      </c>
      <c r="HL67" s="30" t="s">
        <v>262</v>
      </c>
      <c r="HM67">
        <v>1957.7399418641371</v>
      </c>
      <c r="HN67">
        <v>5.1066765403555545E-4</v>
      </c>
      <c r="HO67">
        <v>692597</v>
      </c>
      <c r="HP67">
        <v>1586631</v>
      </c>
      <c r="HQ67">
        <v>2279228</v>
      </c>
      <c r="HR67">
        <v>712477.42998314614</v>
      </c>
      <c r="HS67">
        <v>1566750.570016854</v>
      </c>
      <c r="HT67">
        <v>554.72844427384223</v>
      </c>
      <c r="HU67">
        <v>252.26191320965643</v>
      </c>
      <c r="HV67">
        <v>806.99035748349866</v>
      </c>
      <c r="HW67">
        <v>1.6301958307687243E-177</v>
      </c>
      <c r="HX67">
        <v>712477.42998314614</v>
      </c>
      <c r="HY67">
        <v>1</v>
      </c>
      <c r="HZ67">
        <v>1</v>
      </c>
      <c r="IA67">
        <v>2</v>
      </c>
      <c r="IB67" s="37">
        <v>3.1549991379310302E-175</v>
      </c>
      <c r="IC67" s="30" t="s">
        <v>262</v>
      </c>
      <c r="ID67">
        <v>0.9599158154325258</v>
      </c>
      <c r="IE67">
        <v>1.0417558600651433</v>
      </c>
      <c r="IF67">
        <v>1.0417558600651433</v>
      </c>
      <c r="IG67" t="str">
        <f t="shared" si="1"/>
        <v/>
      </c>
    </row>
    <row r="68" spans="1:241">
      <c r="A68" s="22" t="s">
        <v>61</v>
      </c>
      <c r="B68" s="23"/>
      <c r="C68" s="24"/>
      <c r="D68" s="24"/>
      <c r="E68" s="24"/>
      <c r="F68" s="24"/>
      <c r="G68" s="24"/>
      <c r="H68" s="24"/>
      <c r="I68" s="24"/>
      <c r="J68" s="23"/>
      <c r="K68" s="23"/>
      <c r="L68" s="25"/>
      <c r="M68" s="23"/>
      <c r="N68" s="23"/>
      <c r="O68" s="23"/>
      <c r="P68" s="23"/>
      <c r="Q68" s="25"/>
      <c r="R68" s="23"/>
      <c r="S68" s="24"/>
      <c r="T68" s="24"/>
      <c r="U68" s="24"/>
      <c r="V68" s="24"/>
      <c r="W68" s="24"/>
      <c r="X68" s="24"/>
      <c r="Y68" s="23"/>
      <c r="Z68" s="24"/>
      <c r="AA68" s="24"/>
      <c r="AB68" s="24"/>
      <c r="AC68" s="24"/>
      <c r="AD68" s="24"/>
      <c r="AE68" s="23"/>
      <c r="AF68" s="24"/>
      <c r="AG68" s="24"/>
      <c r="AH68" s="24"/>
      <c r="AI68" s="24"/>
      <c r="AJ68" s="24"/>
      <c r="AK68" s="24"/>
      <c r="AL68" s="24"/>
      <c r="AM68" s="24"/>
      <c r="AN68" s="23" t="str">
        <f t="shared" si="0"/>
        <v/>
      </c>
      <c r="AO68" s="23" t="s">
        <v>244</v>
      </c>
      <c r="AP68" s="24" t="s">
        <v>244</v>
      </c>
      <c r="AQ68" s="26"/>
      <c r="AR68" s="27"/>
      <c r="AS68" s="24"/>
      <c r="AT68" s="24"/>
      <c r="AU68" s="24"/>
      <c r="AV68" s="24"/>
      <c r="AW68" s="28"/>
      <c r="AX68" s="24"/>
      <c r="AY68" s="24"/>
      <c r="AZ68" s="24"/>
      <c r="BA68" s="24"/>
      <c r="BB68" s="24"/>
      <c r="BC68" s="24"/>
      <c r="BD68" s="24"/>
      <c r="BE68" s="24"/>
      <c r="BF68" s="24"/>
      <c r="BG68" s="25"/>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8"/>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9"/>
      <c r="FI68" s="29"/>
      <c r="FJ68" s="29"/>
      <c r="FK68" s="29"/>
      <c r="FL68" s="29"/>
      <c r="FM68" s="29"/>
      <c r="FN68" s="29"/>
      <c r="FO68" s="29"/>
      <c r="FP68" s="29"/>
      <c r="FQ68" s="29"/>
      <c r="FR68" s="29"/>
      <c r="FS68" s="29"/>
      <c r="FT68" s="29"/>
      <c r="FU68" s="29"/>
      <c r="FV68" s="29"/>
      <c r="FW68" s="29"/>
      <c r="FX68" s="29"/>
      <c r="FY68" s="29"/>
      <c r="FZ68" s="29"/>
      <c r="GA68" s="29"/>
      <c r="GB68" s="29"/>
      <c r="GC68" s="29"/>
      <c r="GD68" s="29"/>
      <c r="GE68" s="29"/>
      <c r="GF68" s="24"/>
      <c r="GG68" s="24"/>
      <c r="GH68" s="24"/>
      <c r="GI68" s="24"/>
      <c r="GJ68" s="24" t="str">
        <f t="shared" si="2"/>
        <v/>
      </c>
      <c r="GK68" s="26"/>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3"/>
      <c r="HM68" s="24"/>
      <c r="HN68" s="24"/>
      <c r="HO68" s="24"/>
      <c r="HP68" s="24"/>
      <c r="HQ68" s="24"/>
      <c r="HR68" s="24"/>
      <c r="HS68" s="24"/>
      <c r="HT68" s="24"/>
      <c r="HU68" s="24"/>
      <c r="HV68" s="24"/>
      <c r="HW68" s="24"/>
      <c r="HX68" s="24"/>
      <c r="HY68" s="24"/>
      <c r="HZ68" s="24"/>
      <c r="IA68" s="24"/>
      <c r="IB68" s="24"/>
      <c r="IC68" s="23"/>
      <c r="ID68" s="24"/>
      <c r="IE68" s="24"/>
      <c r="IF68" s="24"/>
      <c r="IG68" s="24" t="str">
        <f t="shared" si="1"/>
        <v/>
      </c>
    </row>
    <row r="69" spans="1:241">
      <c r="A69" t="str">
        <f>HYPERLINK("http://exon.niaid.nih.gov/transcriptome/S_calcitrans/S1/links/pep/XP_013110317.1-pep.txt","XP_013110317.1")</f>
        <v>XP_013110317.1</v>
      </c>
      <c r="B69" s="30" t="s">
        <v>232</v>
      </c>
      <c r="C69">
        <v>116</v>
      </c>
      <c r="D69" t="s">
        <v>851</v>
      </c>
      <c r="E69">
        <v>0</v>
      </c>
      <c r="F69" t="s">
        <v>852</v>
      </c>
      <c r="G69" t="str">
        <f>HYPERLINK("http://exon.niaid.nih.gov/transcriptome/S_calcitrans/S1/links/cds/XM_013254863_1-cds.txt","XM_013254863_1")</f>
        <v>XM_013254863_1</v>
      </c>
      <c r="H69">
        <v>351</v>
      </c>
      <c r="I69" t="s">
        <v>853</v>
      </c>
      <c r="J69" s="30" t="s">
        <v>236</v>
      </c>
      <c r="K69" s="30" t="s">
        <v>91</v>
      </c>
      <c r="L69" s="31" t="s">
        <v>854</v>
      </c>
      <c r="M69" s="30">
        <v>162678</v>
      </c>
      <c r="N69" s="30">
        <v>167498</v>
      </c>
      <c r="O69" s="30" t="s">
        <v>238</v>
      </c>
      <c r="P69" s="30">
        <v>2</v>
      </c>
      <c r="Q69" s="31" t="s">
        <v>855</v>
      </c>
      <c r="R69" s="32" t="str">
        <f>HYPERLINK("http://exon.niaid.nih.gov/transcriptome/S_calcitrans/S1/links/Sigp/XP_013110317.1-SigP.txt","SIG")</f>
        <v>SIG</v>
      </c>
      <c r="S69" t="s">
        <v>278</v>
      </c>
      <c r="T69">
        <v>13.089</v>
      </c>
      <c r="U69">
        <v>11.16</v>
      </c>
      <c r="V69">
        <v>11.007</v>
      </c>
      <c r="W69">
        <v>11.4</v>
      </c>
      <c r="X69" t="s">
        <v>856</v>
      </c>
      <c r="Y69" s="32">
        <v>0</v>
      </c>
      <c r="Z69" t="s">
        <v>242</v>
      </c>
      <c r="AA69" t="s">
        <v>242</v>
      </c>
      <c r="AB69" t="s">
        <v>242</v>
      </c>
      <c r="AC69" t="s">
        <v>242</v>
      </c>
      <c r="AD69" t="s">
        <v>242</v>
      </c>
      <c r="AE69" s="32" t="str">
        <f>HYPERLINK("http://exon.niaid.nih.gov/transcriptome/S_calcitrans/S1/links/netoglyc/XP_013110317.1-netoglyc.txt","0")</f>
        <v>0</v>
      </c>
      <c r="AF69">
        <v>19.8</v>
      </c>
      <c r="AG69">
        <v>6</v>
      </c>
      <c r="AH69">
        <v>4.3</v>
      </c>
      <c r="AI69" t="s">
        <v>243</v>
      </c>
      <c r="AJ69" t="s">
        <v>242</v>
      </c>
      <c r="AK69">
        <v>391.26631324019161</v>
      </c>
      <c r="AL69" s="33">
        <v>11299</v>
      </c>
      <c r="AM69">
        <v>1</v>
      </c>
      <c r="AN69" s="30">
        <f t="shared" ref="AN69:AN132" si="83">IF(C69*1&gt;0,1,"")</f>
        <v>1</v>
      </c>
      <c r="AO69" s="30" t="s">
        <v>244</v>
      </c>
      <c r="AP69">
        <v>195493</v>
      </c>
      <c r="AQ69" s="34">
        <v>0.75932601285773349</v>
      </c>
      <c r="AR69" s="35">
        <v>180.60023463157287</v>
      </c>
      <c r="AS69" t="s">
        <v>857</v>
      </c>
      <c r="AT69" s="36" t="s">
        <v>858</v>
      </c>
      <c r="AU69" t="s">
        <v>418</v>
      </c>
      <c r="AV69" t="str">
        <f>HYPERLINK("http://exon.niaid.nih.gov/transcriptome/S_calcitrans/S1/links/REFSEQ-INVERTEBRATE/XP_013110317.1-REFSEQ-INVERTEBRATE.txt","REFSEQ-INVERTEBRATE")</f>
        <v>REFSEQ-INVERTEBRATE</v>
      </c>
      <c r="AW69" s="37">
        <v>4.9999999999999997E-37</v>
      </c>
      <c r="AX69">
        <v>90.7</v>
      </c>
      <c r="AY69" s="33" t="str">
        <f>HYPERLINK("http://exon.niaid.nih.gov/transcriptome/S_calcitrans/S1/links/WANG/XP_013110317.1-WANG.txt","SC-4-9-5")</f>
        <v>SC-4-9-5</v>
      </c>
      <c r="AZ69">
        <v>9.9999999999999992E-66</v>
      </c>
      <c r="BA69">
        <v>116</v>
      </c>
      <c r="BB69">
        <v>116</v>
      </c>
      <c r="BC69">
        <v>99</v>
      </c>
      <c r="BD69">
        <v>99</v>
      </c>
      <c r="BE69">
        <v>100</v>
      </c>
      <c r="BF69" t="s">
        <v>248</v>
      </c>
      <c r="BG69" s="31" t="s">
        <v>859</v>
      </c>
      <c r="BH69" t="s">
        <v>860</v>
      </c>
      <c r="BI69">
        <v>22</v>
      </c>
      <c r="BJ69" s="33" t="str">
        <f>HYPERLINK("http://exon.niaid.nih.gov/transcriptome/S_calcitrans/S1/links/TICK-BLOCKS/XP_013110317.1-TICK-BLOCKS.txt","Conserved_secreted_triatoma_peptide |")</f>
        <v>Conserved_secreted_triatoma_peptide |</v>
      </c>
      <c r="BK69" s="33" t="s">
        <v>861</v>
      </c>
      <c r="BL69" s="33" t="str">
        <f>HYPERLINK("http://exon.niaid.nih.gov/transcriptome/S_calcitrans/S1/links/NR-LIGHT/XP_013110317.1-NR-LIGHT.txt","uncharacterized protein LOC101891403")</f>
        <v>uncharacterized protein LOC101891403</v>
      </c>
      <c r="BM69" t="str">
        <f>HYPERLINK("http://www.ncbi.nlm.nih.gov/sutils/blink.cgi?pid=557768220","2E-049")</f>
        <v>2E-049</v>
      </c>
      <c r="BN69" t="str">
        <f>HYPERLINK("http://www.ncbi.nlm.nih.gov/protein/557768220","gi|557768220")</f>
        <v>gi|557768220</v>
      </c>
      <c r="BO69">
        <v>79</v>
      </c>
      <c r="BP69">
        <v>90</v>
      </c>
      <c r="BQ69">
        <v>98</v>
      </c>
      <c r="BR69" t="s">
        <v>251</v>
      </c>
      <c r="BS69" s="33" t="str">
        <f>HYPERLINK("http://exon.niaid.nih.gov/transcriptome/S_calcitrans/S1/links/SWISSP/XP_013110317.1-SWISSP.txt","Probable salivary secreted peptide")</f>
        <v>Probable salivary secreted peptide</v>
      </c>
      <c r="BT69" t="str">
        <f>HYPERLINK("http://www.uniprot.org/uniprot/D8KY57","9E-006")</f>
        <v>9E-006</v>
      </c>
      <c r="BU69" t="str">
        <f>HYPERLINK("http://www.uniprot.org/uniprot/D8KY57#expression","D8KY57")</f>
        <v>D8KY57</v>
      </c>
      <c r="BV69">
        <v>35</v>
      </c>
      <c r="BW69">
        <v>51</v>
      </c>
      <c r="BX69">
        <v>68</v>
      </c>
      <c r="BY69" t="s">
        <v>862</v>
      </c>
      <c r="BZ69" s="33" t="str">
        <f>HYPERLINK("http://exon.niaid.nih.gov/transcriptome/S_calcitrans/S1/links/REFSEQ-INVERTEBRATE/XP_013110317.1-REFSEQ-INVERTEBRATE.txt","uncharacterized protein LOC106089098")</f>
        <v>uncharacterized protein LOC106089098</v>
      </c>
      <c r="CA69" t="str">
        <f>HYPERLINK("http://www.ncbi.nlm.nih.gov/sutils/blink.cgi?pid=907704349","6E-062")</f>
        <v>6E-062</v>
      </c>
      <c r="CB69" t="str">
        <f>HYPERLINK("http://www.ncbi.nlm.nih.gov/protein/907704349","gi|907704349")</f>
        <v>gi|907704349</v>
      </c>
      <c r="CC69">
        <v>100</v>
      </c>
      <c r="CD69">
        <v>100</v>
      </c>
      <c r="CE69">
        <v>100</v>
      </c>
      <c r="CF69" t="s">
        <v>253</v>
      </c>
      <c r="CG69" s="33" t="str">
        <f>HYPERLINK("http://exon.niaid.nih.gov/transcriptome/S_calcitrans/S1/links/DIPTERA/XP_013110317.1-DIPTERA.txt","uncharacterized protein LOC106089098")</f>
        <v>uncharacterized protein LOC106089098</v>
      </c>
      <c r="CH69" t="str">
        <f>HYPERLINK("http://www.ncbi.nlm.nih.gov/sutils/blink.cgi?pid=907704349","3E-062")</f>
        <v>3E-062</v>
      </c>
      <c r="CI69" t="str">
        <f>HYPERLINK("http://www.ncbi.nlm.nih.gov/protein/907704349","gi|907704349")</f>
        <v>gi|907704349</v>
      </c>
      <c r="CJ69">
        <v>100</v>
      </c>
      <c r="CK69">
        <v>100</v>
      </c>
      <c r="CL69">
        <v>100</v>
      </c>
      <c r="CM69" t="s">
        <v>253</v>
      </c>
      <c r="CN69" s="33" t="s">
        <v>242</v>
      </c>
      <c r="CO69" t="s">
        <v>242</v>
      </c>
      <c r="CP69" t="s">
        <v>242</v>
      </c>
      <c r="CQ69" t="s">
        <v>242</v>
      </c>
      <c r="CR69" t="s">
        <v>242</v>
      </c>
      <c r="CS69" t="s">
        <v>242</v>
      </c>
      <c r="CT69" t="s">
        <v>242</v>
      </c>
      <c r="CU69" s="33" t="s">
        <v>863</v>
      </c>
      <c r="CV69">
        <f>HYPERLINK("http://exon.niaid.nih.gov/transcriptome/S_calcitrans/S1/links/GO/XP_013110317.1-GO.txt",0.00000000000000004)</f>
        <v>4.0000000000000003E-17</v>
      </c>
      <c r="CW69" t="str">
        <f>HYPERLINK("http://amigo.geneontology.org/cgi-bin/amigo/term_details?term=GO:0003674","GO:0003674")</f>
        <v>GO:0003674</v>
      </c>
      <c r="CX69" t="s">
        <v>255</v>
      </c>
      <c r="CY69" t="s">
        <v>256</v>
      </c>
      <c r="CZ69" t="s">
        <v>257</v>
      </c>
      <c r="DA69" t="s">
        <v>242</v>
      </c>
      <c r="DC69" t="s">
        <v>258</v>
      </c>
      <c r="DD69" s="37">
        <v>4.0000000000000003E-17</v>
      </c>
      <c r="DE69" s="33" t="str">
        <f>HYPERLINK("http://exon.niaid.nih.gov/transcriptome/S_calcitrans/S1/links/CDD/XP_013110317.1-CDD.txt","aroD")</f>
        <v>aroD</v>
      </c>
      <c r="DF69" t="str">
        <f>HYPERLINK("http://www.ncbi.nlm.nih.gov/Structure/cdd/cddsrv.cgi?uid=PRK01261&amp;version=v4.0","3.0")</f>
        <v>3.0</v>
      </c>
      <c r="DG69" t="s">
        <v>864</v>
      </c>
      <c r="DH69" s="33" t="str">
        <f>HYPERLINK("http://exon.niaid.nih.gov/transcriptome/S_calcitrans/S1/links/KOG/XP_013110317.1-KOG.txt","Ferredoxin")</f>
        <v>Ferredoxin</v>
      </c>
      <c r="DI69" t="str">
        <f>HYPERLINK("http://www.ncbi.nlm.nih.gov/Structure/cdd/cddsrv.cgi?uid=KOG3309","3.2")</f>
        <v>3.2</v>
      </c>
      <c r="DJ69" t="s">
        <v>865</v>
      </c>
      <c r="DK69" t="str">
        <f>HYPERLINK("http://exon.niaid.nih.gov/transcriptome/S_calcitrans/S1/links/KOG/XP_013110317.1-KOG.txt","KOG3309")</f>
        <v>KOG3309</v>
      </c>
      <c r="DL69" s="33" t="str">
        <f>HYPERLINK("http://exon.niaid.nih.gov/transcriptome/S_calcitrans/S1/links/PFAM/XP_013110317.1-PFAM.txt","HRXXH")</f>
        <v>HRXXH</v>
      </c>
      <c r="DM69" t="str">
        <f>HYPERLINK("http://pfam.sanger.ac.uk/family?acc=PF13933","3.9")</f>
        <v>3.9</v>
      </c>
      <c r="DN69" s="33" t="str">
        <f>HYPERLINK("http://exon.niaid.nih.gov/transcriptome/S_calcitrans/S1/links/SMART/XP_013110317.1-SMART.txt","Kelch")</f>
        <v>Kelch</v>
      </c>
      <c r="DO69" t="str">
        <f>HYPERLINK("http://smart.embl-heidelberg.de/smart/do_annotation.pl?DOMAIN=Kelch&amp;BLAST=DUMMY","5.9")</f>
        <v>5.9</v>
      </c>
      <c r="DP69" s="33"/>
      <c r="EB69" s="33">
        <f>HYPERLINK("http://exon.niaid.nih.gov/transcriptome/S_calcitrans/S1/links/cluster-b/Scalc-pep25-50SimCLU1.txt", 1)</f>
        <v>1</v>
      </c>
      <c r="EC69">
        <f>HYPERLINK("http://exon.niaid.nih.gov/transcriptome/S_calcitrans/S1/links/cluster-b/Scalc-pep25-50SimCLTL1.txt", 5170)</f>
        <v>5170</v>
      </c>
      <c r="ED69" s="33">
        <f>HYPERLINK("http://exon.niaid.nih.gov/transcriptome/S_calcitrans/S1/links/cluster-b/Scalc-pep30-50SimCLU90.txt", 90)</f>
        <v>90</v>
      </c>
      <c r="EE69">
        <f>HYPERLINK("http://exon.niaid.nih.gov/transcriptome/S_calcitrans/S1/links/cluster-b/Scalc-pep30-50SimCLTL90.txt", 19)</f>
        <v>19</v>
      </c>
      <c r="EF69" s="33">
        <f>HYPERLINK("http://exon.niaid.nih.gov/transcriptome/S_calcitrans/S1/links/cluster-b/Scalc-pep35-50SimCLU136.txt", 136)</f>
        <v>136</v>
      </c>
      <c r="EG69">
        <f>HYPERLINK("http://exon.niaid.nih.gov/transcriptome/S_calcitrans/S1/links/cluster-b/Scalc-pep35-50SimCLTL136.txt", 15)</f>
        <v>15</v>
      </c>
      <c r="EH69" s="33">
        <f>HYPERLINK("http://exon.niaid.nih.gov/transcriptome/S_calcitrans/S1/links/cluster-b/Scalc-pep40-50SimCLU131.txt", 131)</f>
        <v>131</v>
      </c>
      <c r="EI69">
        <f>HYPERLINK("http://exon.niaid.nih.gov/transcriptome/S_calcitrans/S1/links/cluster-b/Scalc-pep40-50SimCLTL131.txt", 14)</f>
        <v>14</v>
      </c>
      <c r="EJ69" s="33">
        <f>HYPERLINK("http://exon.niaid.nih.gov/transcriptome/S_calcitrans/S1/links/cluster-b/Scalc-pep45-50SimCLU156.txt", 156)</f>
        <v>156</v>
      </c>
      <c r="EK69">
        <f>HYPERLINK("http://exon.niaid.nih.gov/transcriptome/S_calcitrans/S1/links/cluster-b/Scalc-pep45-50SimCLTL156.txt", 12)</f>
        <v>12</v>
      </c>
      <c r="EL69" s="33">
        <f>HYPERLINK("http://exon.niaid.nih.gov/transcriptome/S_calcitrans/S1/links/cluster-b/Scalc-pep50-50SimCLU450.txt", 450)</f>
        <v>450</v>
      </c>
      <c r="EM69">
        <f>HYPERLINK("http://exon.niaid.nih.gov/transcriptome/S_calcitrans/S1/links/cluster-b/Scalc-pep50-50SimCLTL450.txt", 7)</f>
        <v>7</v>
      </c>
      <c r="EN69" s="33">
        <f>HYPERLINK("http://exon.niaid.nih.gov/transcriptome/S_calcitrans/S1/links/cluster-b/Scalc-pep55-50SimCLU408.txt", 408)</f>
        <v>408</v>
      </c>
      <c r="EO69">
        <f>HYPERLINK("http://exon.niaid.nih.gov/transcriptome/S_calcitrans/S1/links/cluster-b/Scalc-pep55-50SimCLTL408.txt", 7)</f>
        <v>7</v>
      </c>
      <c r="EP69" s="33">
        <f>HYPERLINK("http://exon.niaid.nih.gov/transcriptome/S_calcitrans/S1/links/cluster-b/Scalc-pep60-50SimCLU3204.txt", 3204)</f>
        <v>3204</v>
      </c>
      <c r="EQ69">
        <f>HYPERLINK("http://exon.niaid.nih.gov/transcriptome/S_calcitrans/S1/links/cluster-b/Scalc-pep60-50SimCLTL3204.txt", 2)</f>
        <v>2</v>
      </c>
      <c r="ER69" s="33">
        <f>HYPERLINK("http://exon.niaid.nih.gov/transcriptome/S_calcitrans/S1/links/cluster-b/Scalc-pep65-50SimCLU3211.txt", 3211)</f>
        <v>3211</v>
      </c>
      <c r="ES69">
        <f>HYPERLINK("http://exon.niaid.nih.gov/transcriptome/S_calcitrans/S1/links/cluster-b/Scalc-pep65-50SimCLTL3211.txt", 2)</f>
        <v>2</v>
      </c>
      <c r="ET69" s="33">
        <f>HYPERLINK("http://exon.niaid.nih.gov/transcriptome/S_calcitrans/S1/links/cluster-b/Scalc-pep70-50SimCLU3183.txt", 3183)</f>
        <v>3183</v>
      </c>
      <c r="EU69">
        <f>HYPERLINK("http://exon.niaid.nih.gov/transcriptome/S_calcitrans/S1/links/cluster-b/Scalc-pep70-50SimCLTL3183.txt", 2)</f>
        <v>2</v>
      </c>
      <c r="EV69" s="33">
        <v>9838</v>
      </c>
      <c r="EW69">
        <v>1</v>
      </c>
      <c r="EX69" s="33">
        <v>10115</v>
      </c>
      <c r="EY69">
        <v>1</v>
      </c>
      <c r="EZ69" s="33">
        <v>10440</v>
      </c>
      <c r="FA69">
        <v>1</v>
      </c>
      <c r="FB69" s="33">
        <v>10790</v>
      </c>
      <c r="FC69">
        <v>1</v>
      </c>
      <c r="FD69" s="33">
        <v>11299</v>
      </c>
      <c r="FE69">
        <v>1</v>
      </c>
      <c r="FF69" t="s">
        <v>866</v>
      </c>
      <c r="FG69">
        <v>15400</v>
      </c>
      <c r="FH69" s="38" t="str">
        <f>HYPERLINK("http://exon.niaid.nih.gov/transcriptome/S_calcitrans/S1/links/SG_male-stripped_temp-95-h10-1gap/15400-SG_male-stripped_temp-95-h10-1gap.txt","76376")</f>
        <v>76376</v>
      </c>
      <c r="FI69" s="39">
        <v>100</v>
      </c>
      <c r="FJ69" s="39">
        <v>15677.507122507101</v>
      </c>
      <c r="FK69" s="39">
        <v>6199</v>
      </c>
      <c r="FL69" s="39">
        <v>26891</v>
      </c>
      <c r="FM69" s="39">
        <v>72.049059914109193</v>
      </c>
      <c r="FN69" s="38" t="str">
        <f>HYPERLINK("http://exon.niaid.nih.gov/transcriptome/S_calcitrans/S1/links/SG_female-stripped_temp-95-h10-1gap/15400-SG_female-stripped_temp-95-h10-1gap.txt","119117")</f>
        <v>119117</v>
      </c>
      <c r="FO69" s="39">
        <v>100</v>
      </c>
      <c r="FP69" s="39">
        <v>24045.592592592599</v>
      </c>
      <c r="FQ69" s="39">
        <v>9131</v>
      </c>
      <c r="FR69" s="39">
        <v>31999</v>
      </c>
      <c r="FS69" s="39">
        <v>71.922160564822804</v>
      </c>
      <c r="FT69" s="38" t="str">
        <f>HYPERLINK("http://exon.niaid.nih.gov/transcriptome/S_calcitrans/S1/links/SRR694289-stripped_temp-95-h10-1gap/15400-SRR694289-stripped_temp-95-h10-1gap.txt","932")</f>
        <v>932</v>
      </c>
      <c r="FU69" s="39">
        <v>100</v>
      </c>
      <c r="FV69" s="39">
        <v>236.85470085470101</v>
      </c>
      <c r="FW69" s="39">
        <v>15</v>
      </c>
      <c r="FX69" s="39">
        <v>419</v>
      </c>
      <c r="FY69" s="39">
        <v>89.201716738197405</v>
      </c>
      <c r="FZ69" s="38" t="str">
        <f>HYPERLINK("http://exon.niaid.nih.gov/transcriptome/S_calcitrans/S1/links/SRR694925-stripped_temp-95-h10-1gap/15400-SRR694925-stripped_temp-95-h10-1gap.txt","818")</f>
        <v>818</v>
      </c>
      <c r="GA69" s="39">
        <v>100</v>
      </c>
      <c r="GB69" s="39">
        <v>205.698005698006</v>
      </c>
      <c r="GC69" s="39">
        <v>16</v>
      </c>
      <c r="GD69" s="39">
        <v>368</v>
      </c>
      <c r="GE69" s="39">
        <v>88.264058679706594</v>
      </c>
      <c r="GF69">
        <f>1*FH69</f>
        <v>76376</v>
      </c>
      <c r="GG69">
        <f>1*FN69</f>
        <v>119117</v>
      </c>
      <c r="GH69">
        <f>1*FT69</f>
        <v>932</v>
      </c>
      <c r="GI69">
        <f>1*FZ69</f>
        <v>818</v>
      </c>
      <c r="GJ69">
        <f>IF(FZ69&lt;&gt;"",SUM(GF69:GG69),"")</f>
        <v>195493</v>
      </c>
      <c r="GK69" s="34">
        <v>0.75932601285773349</v>
      </c>
      <c r="GL69">
        <v>7117.8983727784143</v>
      </c>
      <c r="GM69">
        <v>5048.238566162192</v>
      </c>
      <c r="GN69">
        <v>15.263050282259503</v>
      </c>
      <c r="GO69">
        <v>13.809882408130751</v>
      </c>
      <c r="GP69">
        <f>MAX(GL69:GO69)</f>
        <v>7117.8983727784143</v>
      </c>
      <c r="GQ69" t="s">
        <v>418</v>
      </c>
      <c r="GR69">
        <v>5551.1881214839823</v>
      </c>
      <c r="GS69">
        <v>4143.4235534972358</v>
      </c>
      <c r="GT69">
        <v>27.514057252933636</v>
      </c>
      <c r="GU69">
        <v>26.145893355980942</v>
      </c>
      <c r="GV69">
        <f>MAX(GR69:GU69)</f>
        <v>5551.1881214839823</v>
      </c>
      <c r="GW69">
        <v>180.60023463157287</v>
      </c>
      <c r="GX69">
        <v>195493</v>
      </c>
      <c r="GY69">
        <v>1750</v>
      </c>
      <c r="GZ69">
        <v>197243</v>
      </c>
      <c r="HA69">
        <v>43787.885564875294</v>
      </c>
      <c r="HB69">
        <v>153455.11443512471</v>
      </c>
      <c r="HC69">
        <v>525589.24572131992</v>
      </c>
      <c r="HD69">
        <v>149975.07141089102</v>
      </c>
      <c r="HE69">
        <v>675564.31713221094</v>
      </c>
      <c r="HF69">
        <v>0</v>
      </c>
      <c r="HG69">
        <v>43787.885564875294</v>
      </c>
      <c r="HH69">
        <v>1</v>
      </c>
      <c r="HI69">
        <v>1</v>
      </c>
      <c r="HJ69">
        <v>2</v>
      </c>
      <c r="HK69">
        <v>0</v>
      </c>
      <c r="HL69" s="30" t="s">
        <v>262</v>
      </c>
      <c r="HM69">
        <v>391.26631324019161</v>
      </c>
      <c r="HN69">
        <v>2.5543312869717905E-3</v>
      </c>
      <c r="HO69">
        <v>76376</v>
      </c>
      <c r="HP69">
        <v>119117</v>
      </c>
      <c r="HQ69">
        <v>195493</v>
      </c>
      <c r="HR69">
        <v>61110.319028941019</v>
      </c>
      <c r="HS69">
        <v>134382.68097105899</v>
      </c>
      <c r="HT69">
        <v>3813.4478630325457</v>
      </c>
      <c r="HU69">
        <v>1734.1595942734675</v>
      </c>
      <c r="HV69">
        <v>5547.6074573060132</v>
      </c>
      <c r="HW69">
        <v>0</v>
      </c>
      <c r="HX69">
        <v>61110.319028941019</v>
      </c>
      <c r="HY69">
        <v>1</v>
      </c>
      <c r="HZ69">
        <v>1</v>
      </c>
      <c r="IA69">
        <v>2</v>
      </c>
      <c r="IB69">
        <v>0</v>
      </c>
      <c r="IC69" s="30" t="s">
        <v>262</v>
      </c>
      <c r="ID69">
        <v>1.4099647876131227</v>
      </c>
      <c r="IE69">
        <v>0.70922233016830061</v>
      </c>
      <c r="IF69">
        <v>1.4099647876131227</v>
      </c>
      <c r="IG69" t="str">
        <f t="shared" si="1"/>
        <v/>
      </c>
    </row>
    <row r="70" spans="1:241">
      <c r="A70" t="str">
        <f>HYPERLINK("http://exon.niaid.nih.gov/transcriptome/S_calcitrans/S1/links/pep/XP_013110312.1-pep.txt","XP_013110312.1")</f>
        <v>XP_013110312.1</v>
      </c>
      <c r="B70" s="30" t="s">
        <v>232</v>
      </c>
      <c r="C70">
        <v>123</v>
      </c>
      <c r="D70" t="s">
        <v>867</v>
      </c>
      <c r="E70">
        <v>0</v>
      </c>
      <c r="F70" t="s">
        <v>868</v>
      </c>
      <c r="G70" t="str">
        <f>HYPERLINK("http://exon.niaid.nih.gov/transcriptome/S_calcitrans/S1/links/cds/XM_013254858_1-cds.txt","XM_013254858_1")</f>
        <v>XM_013254858_1</v>
      </c>
      <c r="H70">
        <v>372</v>
      </c>
      <c r="I70" t="s">
        <v>869</v>
      </c>
      <c r="J70" s="30" t="s">
        <v>236</v>
      </c>
      <c r="K70" s="30" t="s">
        <v>91</v>
      </c>
      <c r="L70" s="31" t="s">
        <v>854</v>
      </c>
      <c r="M70" s="30">
        <v>246673</v>
      </c>
      <c r="N70" s="30">
        <v>247121</v>
      </c>
      <c r="O70" s="30" t="s">
        <v>238</v>
      </c>
      <c r="P70" s="30">
        <v>2</v>
      </c>
      <c r="Q70" s="31" t="s">
        <v>870</v>
      </c>
      <c r="R70" s="32" t="str">
        <f>HYPERLINK("http://exon.niaid.nih.gov/transcriptome/S_calcitrans/S1/links/Sigp/XP_013110312.1-SigP.txt","SIG")</f>
        <v>SIG</v>
      </c>
      <c r="S70" t="s">
        <v>615</v>
      </c>
      <c r="T70">
        <v>13.936</v>
      </c>
      <c r="U70">
        <v>10.08</v>
      </c>
      <c r="V70">
        <v>11.41</v>
      </c>
      <c r="W70">
        <v>9.77</v>
      </c>
      <c r="X70" t="s">
        <v>871</v>
      </c>
      <c r="Y70" s="32" t="str">
        <f>HYPERLINK("http://exon.niaid.nih.gov/transcriptome/S_calcitrans/S1/links/tmhmm/XP_013110312.1-tmhmm.txt","1")</f>
        <v>1</v>
      </c>
      <c r="Z70">
        <v>17.899999999999999</v>
      </c>
      <c r="AA70">
        <v>76.400000000000006</v>
      </c>
      <c r="AB70">
        <v>5.7</v>
      </c>
      <c r="AC70" t="s">
        <v>242</v>
      </c>
      <c r="AD70">
        <v>94</v>
      </c>
      <c r="AE70" s="32" t="str">
        <f>HYPERLINK("http://exon.niaid.nih.gov/transcriptome/S_calcitrans/S1/links/netoglyc/XP_013110312.1-netoglyc.txt","0")</f>
        <v>0</v>
      </c>
      <c r="AF70">
        <v>10.6</v>
      </c>
      <c r="AG70">
        <v>9.8000000000000007</v>
      </c>
      <c r="AH70">
        <v>4.9000000000000004</v>
      </c>
      <c r="AI70" t="s">
        <v>243</v>
      </c>
      <c r="AJ70" t="s">
        <v>242</v>
      </c>
      <c r="AK70">
        <v>940.29622680078717</v>
      </c>
      <c r="AL70" s="33">
        <v>11308</v>
      </c>
      <c r="AM70">
        <v>1</v>
      </c>
      <c r="AN70" s="30">
        <f t="shared" si="83"/>
        <v>1</v>
      </c>
      <c r="AO70" s="30" t="s">
        <v>244</v>
      </c>
      <c r="AP70">
        <v>127984</v>
      </c>
      <c r="AQ70" s="34">
        <v>0.49711028236092425</v>
      </c>
      <c r="AR70" s="35">
        <v>453.07917525997624</v>
      </c>
      <c r="AS70" t="s">
        <v>872</v>
      </c>
      <c r="AT70" s="36" t="s">
        <v>858</v>
      </c>
      <c r="AU70" t="s">
        <v>418</v>
      </c>
      <c r="AV70" t="str">
        <f>HYPERLINK("http://exon.niaid.nih.gov/transcriptome/S_calcitrans/S1/links/DIPTERA/XP_013110312.1-DIPTERA.txt","DIPTERA")</f>
        <v>DIPTERA</v>
      </c>
      <c r="AW70" s="37">
        <v>7.9999999999999994E-40</v>
      </c>
      <c r="AX70">
        <v>99.1</v>
      </c>
      <c r="AY70" s="33" t="str">
        <f>HYPERLINK("http://exon.niaid.nih.gov/transcriptome/S_calcitrans/S1/links/WANG/XP_013110312.1-WANG.txt","SC-4-11-7")</f>
        <v>SC-4-11-7</v>
      </c>
      <c r="AZ70">
        <v>3.0000000000000001E-71</v>
      </c>
      <c r="BA70">
        <v>123</v>
      </c>
      <c r="BB70">
        <v>123</v>
      </c>
      <c r="BC70">
        <v>100</v>
      </c>
      <c r="BD70">
        <v>100</v>
      </c>
      <c r="BE70">
        <v>100</v>
      </c>
      <c r="BF70" t="s">
        <v>248</v>
      </c>
      <c r="BG70" s="31" t="s">
        <v>859</v>
      </c>
      <c r="BH70" t="s">
        <v>873</v>
      </c>
      <c r="BI70">
        <v>21</v>
      </c>
      <c r="BJ70" s="33"/>
      <c r="BK70" s="33"/>
      <c r="BL70" s="33" t="str">
        <f>HYPERLINK("http://exon.niaid.nih.gov/transcriptome/S_calcitrans/S1/links/NR-LIGHT/XP_013110312.1-NR-LIGHT.txt","probable salivary secreted peptide")</f>
        <v>probable salivary secreted peptide</v>
      </c>
      <c r="BM70" t="str">
        <f>HYPERLINK("http://www.ncbi.nlm.nih.gov/sutils/blink.cgi?pid=557768214","2E-039")</f>
        <v>2E-039</v>
      </c>
      <c r="BN70" t="str">
        <f>HYPERLINK("http://www.ncbi.nlm.nih.gov/protein/557768214","gi|557768214")</f>
        <v>gi|557768214</v>
      </c>
      <c r="BO70">
        <v>65</v>
      </c>
      <c r="BP70">
        <v>80</v>
      </c>
      <c r="BQ70">
        <v>99</v>
      </c>
      <c r="BR70" t="s">
        <v>251</v>
      </c>
      <c r="BS70" s="33" t="str">
        <f>HYPERLINK("http://exon.niaid.nih.gov/transcriptome/S_calcitrans/S1/links/SWISSP/XP_013110312.1-SWISSP.txt","Probable salivary secreted peptide")</f>
        <v>Probable salivary secreted peptide</v>
      </c>
      <c r="BT70" t="str">
        <f>HYPERLINK("http://www.uniprot.org/uniprot/D8KY57","0.002")</f>
        <v>0.002</v>
      </c>
      <c r="BU70" t="str">
        <f>HYPERLINK("http://www.uniprot.org/uniprot/D8KY57#expression","D8KY57")</f>
        <v>D8KY57</v>
      </c>
      <c r="BV70">
        <v>29</v>
      </c>
      <c r="BW70">
        <v>44</v>
      </c>
      <c r="BX70">
        <v>94</v>
      </c>
      <c r="BY70" t="s">
        <v>862</v>
      </c>
      <c r="BZ70" s="33" t="str">
        <f>HYPERLINK("http://exon.niaid.nih.gov/transcriptome/S_calcitrans/S1/links/REFSEQ-INVERTEBRATE/XP_013110312.1-REFSEQ-INVERTEBRATE.txt","uncharacterized LOC106089093 precursor")</f>
        <v>uncharacterized LOC106089093 precursor</v>
      </c>
      <c r="CA70" t="str">
        <f>HYPERLINK("http://www.ncbi.nlm.nih.gov/sutils/blink.cgi?pid=910242201","1E-066")</f>
        <v>1E-066</v>
      </c>
      <c r="CB70" t="str">
        <f>HYPERLINK("http://www.ncbi.nlm.nih.gov/protein/910242201","gi|910242201")</f>
        <v>gi|910242201</v>
      </c>
      <c r="CC70">
        <v>100</v>
      </c>
      <c r="CD70">
        <v>100</v>
      </c>
      <c r="CE70">
        <v>100</v>
      </c>
      <c r="CF70" t="s">
        <v>253</v>
      </c>
      <c r="CG70" s="33" t="str">
        <f>HYPERLINK("http://exon.niaid.nih.gov/transcriptome/S_calcitrans/S1/links/DIPTERA/XP_013110312.1-DIPTERA.txt","putative 11.4 kDa secreted salivary gland protein")</f>
        <v>putative 11.4 kDa secreted salivary gland protein</v>
      </c>
      <c r="CH70" t="str">
        <f>HYPERLINK("http://www.ncbi.nlm.nih.gov/sutils/blink.cgi?pid=63148852","6E-067")</f>
        <v>6E-067</v>
      </c>
      <c r="CI70" t="str">
        <f>HYPERLINK("http://www.ncbi.nlm.nih.gov/protein/63148852","gi|63148852")</f>
        <v>gi|63148852</v>
      </c>
      <c r="CJ70">
        <v>100</v>
      </c>
      <c r="CK70">
        <v>100</v>
      </c>
      <c r="CL70">
        <v>100</v>
      </c>
      <c r="CM70" t="s">
        <v>253</v>
      </c>
      <c r="CN70" s="33" t="s">
        <v>242</v>
      </c>
      <c r="CO70" t="s">
        <v>242</v>
      </c>
      <c r="CP70" t="s">
        <v>242</v>
      </c>
      <c r="CQ70" t="s">
        <v>242</v>
      </c>
      <c r="CR70" t="s">
        <v>242</v>
      </c>
      <c r="CS70" t="s">
        <v>242</v>
      </c>
      <c r="CT70" t="s">
        <v>242</v>
      </c>
      <c r="CU70" s="33" t="s">
        <v>874</v>
      </c>
      <c r="CV70">
        <f>HYPERLINK("http://exon.niaid.nih.gov/transcriptome/S_calcitrans/S1/links/GO/XP_013110312.1-GO.txt",0.00006)</f>
        <v>6.0000000000000002E-5</v>
      </c>
      <c r="CW70" t="str">
        <f>HYPERLINK("http://amigo.geneontology.org/cgi-bin/amigo/term_details?term=GO:0003674","GO:0003674")</f>
        <v>GO:0003674</v>
      </c>
      <c r="CX70" t="s">
        <v>255</v>
      </c>
      <c r="CY70" t="s">
        <v>256</v>
      </c>
      <c r="CZ70" t="s">
        <v>257</v>
      </c>
      <c r="DA70" t="s">
        <v>242</v>
      </c>
      <c r="DC70" t="s">
        <v>258</v>
      </c>
      <c r="DD70">
        <v>6.0000000000000002E-5</v>
      </c>
      <c r="DE70" s="33" t="str">
        <f>HYPERLINK("http://exon.niaid.nih.gov/transcriptome/S_calcitrans/S1/links/CDD/XP_013110312.1-CDD.txt","PRK15248")</f>
        <v>PRK15248</v>
      </c>
      <c r="DF70" t="str">
        <f>HYPERLINK("http://www.ncbi.nlm.nih.gov/Structure/cdd/cddsrv.cgi?uid=PRK15248&amp;version=v4.0","0.76")</f>
        <v>0.76</v>
      </c>
      <c r="DG70" t="s">
        <v>875</v>
      </c>
      <c r="DH70" s="33" t="str">
        <f>HYPERLINK("http://exon.niaid.nih.gov/transcriptome/S_calcitrans/S1/links/KOG/XP_013110312.1-KOG.txt","Myosin class I heavy chain")</f>
        <v>Myosin class I heavy chain</v>
      </c>
      <c r="DI70" t="str">
        <f>HYPERLINK("http://www.ncbi.nlm.nih.gov/Structure/cdd/cddsrv.cgi?uid=KOG0164","0.86")</f>
        <v>0.86</v>
      </c>
      <c r="DJ70" t="s">
        <v>422</v>
      </c>
      <c r="DK70" t="str">
        <f>HYPERLINK("http://exon.niaid.nih.gov/transcriptome/S_calcitrans/S1/links/KOG/XP_013110312.1-KOG.txt","KOG0164")</f>
        <v>KOG0164</v>
      </c>
      <c r="DL70" s="33" t="str">
        <f>HYPERLINK("http://exon.niaid.nih.gov/transcriptome/S_calcitrans/S1/links/PFAM/XP_013110312.1-PFAM.txt","HHV6-IE")</f>
        <v>HHV6-IE</v>
      </c>
      <c r="DM70" t="str">
        <f>HYPERLINK("http://pfam.sanger.ac.uk/family?acc=PF03753","1.3")</f>
        <v>1.3</v>
      </c>
      <c r="DN70" s="33" t="str">
        <f>HYPERLINK("http://exon.niaid.nih.gov/transcriptome/S_calcitrans/S1/links/SMART/XP_013110312.1-SMART.txt","Dabb")</f>
        <v>Dabb</v>
      </c>
      <c r="DO70" t="str">
        <f>HYPERLINK("http://smart.embl-heidelberg.de/smart/do_annotation.pl?DOMAIN=Dabb&amp;BLAST=DUMMY","1.0")</f>
        <v>1.0</v>
      </c>
      <c r="DP70" s="33"/>
      <c r="EB70" s="33">
        <f>HYPERLINK("http://exon.niaid.nih.gov/transcriptome/S_calcitrans/S1/links/cluster-b/Scalc-pep25-50SimCLU1.txt", 1)</f>
        <v>1</v>
      </c>
      <c r="EC70">
        <f>HYPERLINK("http://exon.niaid.nih.gov/transcriptome/S_calcitrans/S1/links/cluster-b/Scalc-pep25-50SimCLTL1.txt", 5170)</f>
        <v>5170</v>
      </c>
      <c r="ED70" s="33">
        <f>HYPERLINK("http://exon.niaid.nih.gov/transcriptome/S_calcitrans/S1/links/cluster-b/Scalc-pep30-50SimCLU90.txt", 90)</f>
        <v>90</v>
      </c>
      <c r="EE70">
        <f>HYPERLINK("http://exon.niaid.nih.gov/transcriptome/S_calcitrans/S1/links/cluster-b/Scalc-pep30-50SimCLTL90.txt", 19)</f>
        <v>19</v>
      </c>
      <c r="EF70" s="33">
        <f>HYPERLINK("http://exon.niaid.nih.gov/transcriptome/S_calcitrans/S1/links/cluster-b/Scalc-pep35-50SimCLU136.txt", 136)</f>
        <v>136</v>
      </c>
      <c r="EG70">
        <f>HYPERLINK("http://exon.niaid.nih.gov/transcriptome/S_calcitrans/S1/links/cluster-b/Scalc-pep35-50SimCLTL136.txt", 15)</f>
        <v>15</v>
      </c>
      <c r="EH70" s="33">
        <f>HYPERLINK("http://exon.niaid.nih.gov/transcriptome/S_calcitrans/S1/links/cluster-b/Scalc-pep40-50SimCLU131.txt", 131)</f>
        <v>131</v>
      </c>
      <c r="EI70">
        <f>HYPERLINK("http://exon.niaid.nih.gov/transcriptome/S_calcitrans/S1/links/cluster-b/Scalc-pep40-50SimCLTL131.txt", 14)</f>
        <v>14</v>
      </c>
      <c r="EJ70" s="33">
        <f>HYPERLINK("http://exon.niaid.nih.gov/transcriptome/S_calcitrans/S1/links/cluster-b/Scalc-pep45-50SimCLU156.txt", 156)</f>
        <v>156</v>
      </c>
      <c r="EK70">
        <f>HYPERLINK("http://exon.niaid.nih.gov/transcriptome/S_calcitrans/S1/links/cluster-b/Scalc-pep45-50SimCLTL156.txt", 12)</f>
        <v>12</v>
      </c>
      <c r="EL70" s="33">
        <f>HYPERLINK("http://exon.niaid.nih.gov/transcriptome/S_calcitrans/S1/links/cluster-b/Scalc-pep50-50SimCLU805.txt", 805)</f>
        <v>805</v>
      </c>
      <c r="EM70">
        <f>HYPERLINK("http://exon.niaid.nih.gov/transcriptome/S_calcitrans/S1/links/cluster-b/Scalc-pep50-50SimCLTL805.txt", 5)</f>
        <v>5</v>
      </c>
      <c r="EN70" s="33">
        <f>HYPERLINK("http://exon.niaid.nih.gov/transcriptome/S_calcitrans/S1/links/cluster-b/Scalc-pep55-50SimCLU3171.txt", 3171)</f>
        <v>3171</v>
      </c>
      <c r="EO70">
        <f>HYPERLINK("http://exon.niaid.nih.gov/transcriptome/S_calcitrans/S1/links/cluster-b/Scalc-pep55-50SimCLTL3171.txt", 2)</f>
        <v>2</v>
      </c>
      <c r="EP70" s="33">
        <v>8903</v>
      </c>
      <c r="EQ70">
        <v>1</v>
      </c>
      <c r="ER70" s="33">
        <v>9241</v>
      </c>
      <c r="ES70">
        <v>1</v>
      </c>
      <c r="ET70" s="33">
        <v>9535</v>
      </c>
      <c r="EU70">
        <v>1</v>
      </c>
      <c r="EV70" s="33">
        <v>9845</v>
      </c>
      <c r="EW70">
        <v>1</v>
      </c>
      <c r="EX70" s="33">
        <v>10122</v>
      </c>
      <c r="EY70">
        <v>1</v>
      </c>
      <c r="EZ70" s="33">
        <v>10447</v>
      </c>
      <c r="FA70">
        <v>1</v>
      </c>
      <c r="FB70" s="33">
        <v>10797</v>
      </c>
      <c r="FC70">
        <v>1</v>
      </c>
      <c r="FD70" s="33">
        <v>11308</v>
      </c>
      <c r="FE70">
        <v>1</v>
      </c>
      <c r="FF70" t="s">
        <v>876</v>
      </c>
      <c r="FG70">
        <v>15409</v>
      </c>
      <c r="FH70" s="38" t="str">
        <f>HYPERLINK("http://exon.niaid.nih.gov/transcriptome/S_calcitrans/S1/links/SG_male-stripped_temp-95-h10-1gap/15409-SG_male-stripped_temp-95-h10-1gap.txt","56766")</f>
        <v>56766</v>
      </c>
      <c r="FI70" s="39">
        <v>100</v>
      </c>
      <c r="FJ70" s="39">
        <v>10856.2231182796</v>
      </c>
      <c r="FK70" s="39">
        <v>1346</v>
      </c>
      <c r="FL70" s="39">
        <v>18017</v>
      </c>
      <c r="FM70" s="39">
        <v>71.1435013916781</v>
      </c>
      <c r="FN70" s="38" t="str">
        <f>HYPERLINK("http://exon.niaid.nih.gov/transcriptome/S_calcitrans/S1/links/SG_female-stripped_temp-95-h10-1gap/15409-SG_female-stripped_temp-95-h10-1gap.txt","71218")</f>
        <v>71218</v>
      </c>
      <c r="FO70" s="39">
        <v>100</v>
      </c>
      <c r="FP70" s="39">
        <v>13675.553763440899</v>
      </c>
      <c r="FQ70" s="39">
        <v>1511</v>
      </c>
      <c r="FR70" s="39">
        <v>21786</v>
      </c>
      <c r="FS70" s="39">
        <v>71.433205088601198</v>
      </c>
      <c r="FT70" s="38" t="str">
        <f>HYPERLINK("http://exon.niaid.nih.gov/transcriptome/S_calcitrans/S1/links/SRR694289-stripped_temp-95-h10-1gap/15409-SRR694289-stripped_temp-95-h10-1gap.txt","271")</f>
        <v>271</v>
      </c>
      <c r="FU70" s="39">
        <v>99.193548387096797</v>
      </c>
      <c r="FV70" s="39">
        <v>67.061827956989205</v>
      </c>
      <c r="FW70" s="39">
        <v>0</v>
      </c>
      <c r="FX70" s="39">
        <v>125</v>
      </c>
      <c r="FY70" s="39">
        <v>92.055350553505505</v>
      </c>
      <c r="FZ70" s="38" t="str">
        <f>HYPERLINK("http://exon.niaid.nih.gov/transcriptome/S_calcitrans/S1/links/SRR694925-stripped_temp-95-h10-1gap/15409-SRR694925-stripped_temp-95-h10-1gap.txt","205")</f>
        <v>205</v>
      </c>
      <c r="GA70" s="39">
        <v>100</v>
      </c>
      <c r="GB70" s="39">
        <v>51.526881720430097</v>
      </c>
      <c r="GC70" s="39">
        <v>1</v>
      </c>
      <c r="GD70" s="39">
        <v>110</v>
      </c>
      <c r="GE70" s="39">
        <v>93.502439024390199</v>
      </c>
      <c r="GF70">
        <f>1*FH70</f>
        <v>56766</v>
      </c>
      <c r="GG70">
        <f>1*FN70</f>
        <v>71218</v>
      </c>
      <c r="GH70">
        <f>1*FT70</f>
        <v>271</v>
      </c>
      <c r="GI70">
        <f>1*FZ70</f>
        <v>205</v>
      </c>
      <c r="GJ70">
        <f>IF(FZ70&lt;&gt;"",SUM(GF70:GG70),"")</f>
        <v>127984</v>
      </c>
      <c r="GK70" s="34">
        <v>0.49711028236092425</v>
      </c>
      <c r="GL70">
        <v>4991.6869708278273</v>
      </c>
      <c r="GM70">
        <v>2847.8694261550017</v>
      </c>
      <c r="GN70">
        <v>4.1875392435587884</v>
      </c>
      <c r="GO70">
        <v>3.2655377943747146</v>
      </c>
      <c r="GP70">
        <f>MAX(GL70:GO70)</f>
        <v>4991.6869708278273</v>
      </c>
      <c r="GQ70" t="s">
        <v>418</v>
      </c>
      <c r="GR70">
        <v>3892.9740166842957</v>
      </c>
      <c r="GS70">
        <v>2337.4349494314638</v>
      </c>
      <c r="GT70">
        <v>7.5487004475180557</v>
      </c>
      <c r="GU70">
        <v>6.1825582867655466</v>
      </c>
      <c r="GV70">
        <f>MAX(GR70:GU70)</f>
        <v>3892.9740166842957</v>
      </c>
      <c r="GW70">
        <v>453.07917525997624</v>
      </c>
      <c r="GX70">
        <v>127984</v>
      </c>
      <c r="GY70">
        <v>476</v>
      </c>
      <c r="GZ70">
        <v>128460</v>
      </c>
      <c r="HA70">
        <v>28518.080639940988</v>
      </c>
      <c r="HB70">
        <v>99941.919360059008</v>
      </c>
      <c r="HC70">
        <v>346919.17871518555</v>
      </c>
      <c r="HD70">
        <v>98992.186436791686</v>
      </c>
      <c r="HE70">
        <v>445911.36515197722</v>
      </c>
      <c r="HF70">
        <v>0</v>
      </c>
      <c r="HG70">
        <v>28518.080639940988</v>
      </c>
      <c r="HH70">
        <v>1</v>
      </c>
      <c r="HI70">
        <v>1</v>
      </c>
      <c r="HJ70">
        <v>2</v>
      </c>
      <c r="HK70">
        <v>0</v>
      </c>
      <c r="HL70" s="30" t="s">
        <v>262</v>
      </c>
      <c r="HM70">
        <v>940.29622680078717</v>
      </c>
      <c r="HN70">
        <v>1.0612568023389585E-3</v>
      </c>
      <c r="HO70">
        <v>56766</v>
      </c>
      <c r="HP70">
        <v>71218</v>
      </c>
      <c r="HQ70">
        <v>127984</v>
      </c>
      <c r="HR70">
        <v>40007.279394147037</v>
      </c>
      <c r="HS70">
        <v>87976.720605852955</v>
      </c>
      <c r="HT70">
        <v>7020.090358509332</v>
      </c>
      <c r="HU70">
        <v>3192.3753739731419</v>
      </c>
      <c r="HV70">
        <v>10212.465732482473</v>
      </c>
      <c r="HW70">
        <v>0</v>
      </c>
      <c r="HX70">
        <v>40007.279394147037</v>
      </c>
      <c r="HY70">
        <v>1</v>
      </c>
      <c r="HZ70">
        <v>1</v>
      </c>
      <c r="IA70">
        <v>2</v>
      </c>
      <c r="IB70">
        <v>0</v>
      </c>
      <c r="IC70" s="30" t="s">
        <v>262</v>
      </c>
      <c r="ID70">
        <v>1.7527548263712665</v>
      </c>
      <c r="IE70">
        <v>0.57051238891884237</v>
      </c>
      <c r="IF70">
        <v>1.7527548263712665</v>
      </c>
      <c r="IG70" t="str">
        <f t="shared" ref="IG70:IG133" si="84">IF(IF70*1&gt;5,1,"")</f>
        <v/>
      </c>
    </row>
    <row r="71" spans="1:241">
      <c r="A71" s="22" t="s">
        <v>877</v>
      </c>
      <c r="B71" s="23"/>
      <c r="C71" s="24"/>
      <c r="D71" s="24"/>
      <c r="E71" s="24"/>
      <c r="F71" s="24"/>
      <c r="G71" s="24"/>
      <c r="H71" s="24"/>
      <c r="I71" s="24"/>
      <c r="J71" s="23"/>
      <c r="K71" s="23"/>
      <c r="L71" s="25"/>
      <c r="M71" s="23"/>
      <c r="N71" s="23"/>
      <c r="O71" s="23"/>
      <c r="P71" s="23"/>
      <c r="Q71" s="25"/>
      <c r="R71" s="23"/>
      <c r="S71" s="24"/>
      <c r="T71" s="24"/>
      <c r="U71" s="24"/>
      <c r="V71" s="24"/>
      <c r="W71" s="24"/>
      <c r="X71" s="24"/>
      <c r="Y71" s="23"/>
      <c r="Z71" s="24"/>
      <c r="AA71" s="24"/>
      <c r="AB71" s="24"/>
      <c r="AC71" s="24"/>
      <c r="AD71" s="24"/>
      <c r="AE71" s="23"/>
      <c r="AF71" s="24"/>
      <c r="AG71" s="24"/>
      <c r="AH71" s="24"/>
      <c r="AI71" s="24"/>
      <c r="AJ71" s="24"/>
      <c r="AK71" s="24"/>
      <c r="AL71" s="24"/>
      <c r="AM71" s="24"/>
      <c r="AN71" s="23" t="str">
        <f t="shared" si="83"/>
        <v/>
      </c>
      <c r="AO71" s="23" t="s">
        <v>244</v>
      </c>
      <c r="AP71" s="24" t="s">
        <v>244</v>
      </c>
      <c r="AQ71" s="26"/>
      <c r="AR71" s="27"/>
      <c r="AS71" s="24"/>
      <c r="AT71" s="24"/>
      <c r="AU71" s="24"/>
      <c r="AV71" s="24"/>
      <c r="AW71" s="28"/>
      <c r="AX71" s="24"/>
      <c r="AY71" s="24"/>
      <c r="AZ71" s="24"/>
      <c r="BA71" s="24"/>
      <c r="BB71" s="24"/>
      <c r="BC71" s="24"/>
      <c r="BD71" s="24"/>
      <c r="BE71" s="24"/>
      <c r="BF71" s="24"/>
      <c r="BG71" s="25"/>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8"/>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9"/>
      <c r="FI71" s="29"/>
      <c r="FJ71" s="29"/>
      <c r="FK71" s="29"/>
      <c r="FL71" s="29"/>
      <c r="FM71" s="29"/>
      <c r="FN71" s="29"/>
      <c r="FO71" s="29"/>
      <c r="FP71" s="29"/>
      <c r="FQ71" s="29"/>
      <c r="FR71" s="29"/>
      <c r="FS71" s="29"/>
      <c r="FT71" s="29"/>
      <c r="FU71" s="29"/>
      <c r="FV71" s="29"/>
      <c r="FW71" s="29"/>
      <c r="FX71" s="29"/>
      <c r="FY71" s="29"/>
      <c r="FZ71" s="29"/>
      <c r="GA71" s="29"/>
      <c r="GB71" s="29"/>
      <c r="GC71" s="29"/>
      <c r="GD71" s="29"/>
      <c r="GE71" s="29"/>
      <c r="GF71" s="24"/>
      <c r="GG71" s="24"/>
      <c r="GH71" s="24"/>
      <c r="GI71" s="24"/>
      <c r="GJ71" s="24" t="str">
        <f t="shared" ref="GJ71" si="85">IF(FZ71&lt;&gt;"",SUM(GF71:GG71),"")</f>
        <v/>
      </c>
      <c r="GK71" s="26"/>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3"/>
      <c r="HM71" s="24"/>
      <c r="HN71" s="24"/>
      <c r="HO71" s="24"/>
      <c r="HP71" s="24"/>
      <c r="HQ71" s="24"/>
      <c r="HR71" s="24"/>
      <c r="HS71" s="24"/>
      <c r="HT71" s="24"/>
      <c r="HU71" s="24"/>
      <c r="HV71" s="24"/>
      <c r="HW71" s="24"/>
      <c r="HX71" s="24"/>
      <c r="HY71" s="24"/>
      <c r="HZ71" s="24"/>
      <c r="IA71" s="24"/>
      <c r="IB71" s="24"/>
      <c r="IC71" s="23"/>
      <c r="ID71" s="24"/>
      <c r="IE71" s="24"/>
      <c r="IF71" s="24"/>
      <c r="IG71" s="24" t="str">
        <f t="shared" si="84"/>
        <v/>
      </c>
    </row>
    <row r="72" spans="1:241">
      <c r="A72" t="str">
        <f>HYPERLINK("http://exon.niaid.nih.gov/transcriptome/S_calcitrans/S1/links/pep/XP_013100129.1-pep.txt","XP_013100129.1")</f>
        <v>XP_013100129.1</v>
      </c>
      <c r="B72" s="30" t="s">
        <v>232</v>
      </c>
      <c r="C72">
        <v>119</v>
      </c>
      <c r="D72" t="s">
        <v>878</v>
      </c>
      <c r="E72">
        <v>0</v>
      </c>
      <c r="F72" t="s">
        <v>879</v>
      </c>
      <c r="G72" t="str">
        <f>HYPERLINK("http://exon.niaid.nih.gov/transcriptome/S_calcitrans/S1/links/cds/XM_013244675_1-cds.txt","XM_013244675_1")</f>
        <v>XM_013244675_1</v>
      </c>
      <c r="H72">
        <v>360</v>
      </c>
      <c r="I72" t="s">
        <v>880</v>
      </c>
      <c r="J72" s="30" t="s">
        <v>236</v>
      </c>
      <c r="K72" s="30" t="s">
        <v>91</v>
      </c>
      <c r="L72" s="31" t="s">
        <v>881</v>
      </c>
      <c r="M72" s="30">
        <v>1050417</v>
      </c>
      <c r="N72" s="30">
        <v>1074619</v>
      </c>
      <c r="O72" s="30" t="s">
        <v>276</v>
      </c>
      <c r="P72" s="30">
        <v>3</v>
      </c>
      <c r="Q72" s="31" t="s">
        <v>882</v>
      </c>
      <c r="R72" s="32" t="str">
        <f>HYPERLINK("http://exon.niaid.nih.gov/transcriptome/S_calcitrans/S1/links/Sigp/XP_013100129.1-SigP.txt","SIG")</f>
        <v>SIG</v>
      </c>
      <c r="S72" t="s">
        <v>781</v>
      </c>
      <c r="T72">
        <v>12.125999999999999</v>
      </c>
      <c r="U72">
        <v>9.8699999999999992</v>
      </c>
      <c r="V72">
        <v>10.385999999999999</v>
      </c>
      <c r="W72">
        <v>9.6999999999999993</v>
      </c>
      <c r="X72" t="s">
        <v>883</v>
      </c>
      <c r="Y72" s="32">
        <v>0</v>
      </c>
      <c r="Z72" t="s">
        <v>242</v>
      </c>
      <c r="AA72" t="s">
        <v>242</v>
      </c>
      <c r="AB72" t="s">
        <v>242</v>
      </c>
      <c r="AC72" t="s">
        <v>242</v>
      </c>
      <c r="AD72" t="s">
        <v>242</v>
      </c>
      <c r="AE72" s="32" t="str">
        <f>HYPERLINK("http://exon.niaid.nih.gov/transcriptome/S_calcitrans/S1/links/netoglyc/XP_013100129.1-netoglyc.txt","2")</f>
        <v>2</v>
      </c>
      <c r="AF72">
        <v>13.4</v>
      </c>
      <c r="AG72">
        <v>16</v>
      </c>
      <c r="AH72">
        <v>5.9</v>
      </c>
      <c r="AI72" t="s">
        <v>243</v>
      </c>
      <c r="AJ72" t="s">
        <v>242</v>
      </c>
      <c r="AK72">
        <v>105.13532164582499</v>
      </c>
      <c r="AL72" s="33">
        <f>HYPERLINK("http://exon.niaid.nih.gov/transcriptome/S_calcitrans/S1/links/cluster-b/Scalc-pep95-50SimCLU312.txt", 312)</f>
        <v>312</v>
      </c>
      <c r="AM72">
        <f>HYPERLINK("http://exon.niaid.nih.gov/transcriptome/S_calcitrans/S1/links/cluster-b/Scalc-pep95-50SimCLTL312.txt", 5)</f>
        <v>5</v>
      </c>
      <c r="AN72" s="30">
        <f t="shared" si="83"/>
        <v>1</v>
      </c>
      <c r="AO72" s="30" t="s">
        <v>244</v>
      </c>
      <c r="AP72">
        <v>30</v>
      </c>
      <c r="AQ72" s="34">
        <v>1.1652478802684497E-4</v>
      </c>
      <c r="AR72" s="35">
        <v>85.975218627474661</v>
      </c>
      <c r="AS72" t="s">
        <v>884</v>
      </c>
      <c r="AT72" s="36" t="s">
        <v>885</v>
      </c>
      <c r="AU72" t="s">
        <v>574</v>
      </c>
      <c r="AV72" t="str">
        <f>HYPERLINK("http://exon.niaid.nih.gov/transcriptome/S_calcitrans/S1/links/SWISSP/XP_013100129.1-SWISSP.txt","SWISSP")</f>
        <v>SWISSP</v>
      </c>
      <c r="AW72">
        <v>1000</v>
      </c>
      <c r="AX72">
        <v>42.6</v>
      </c>
      <c r="AY72" s="33"/>
      <c r="BG72" s="31"/>
      <c r="BJ72" s="33"/>
      <c r="BK72" s="33"/>
      <c r="BL72" s="33" t="str">
        <f>HYPERLINK("http://exon.niaid.nih.gov/transcriptome/S_calcitrans/S1/links/NR-LIGHT/XP_013100129.1-NR-LIGHT.txt","hypothetical protein DAPPUDRAFT_310409")</f>
        <v>hypothetical protein DAPPUDRAFT_310409</v>
      </c>
      <c r="BM72" t="str">
        <f>HYPERLINK("http://www.ncbi.nlm.nih.gov/sutils/blink.cgi?pid=321478667","1E-004")</f>
        <v>1E-004</v>
      </c>
      <c r="BN72" t="str">
        <f>HYPERLINK("http://www.ncbi.nlm.nih.gov/protein/321478667","gi|321478667")</f>
        <v>gi|321478667</v>
      </c>
      <c r="BO72">
        <v>62</v>
      </c>
      <c r="BP72">
        <v>74</v>
      </c>
      <c r="BQ72">
        <v>26</v>
      </c>
      <c r="BR72" t="s">
        <v>886</v>
      </c>
      <c r="BS72" s="33" t="str">
        <f>HYPERLINK("http://exon.niaid.nih.gov/transcriptome/S_calcitrans/S1/links/SWISSP/XP_013100129.1-SWISSP.txt","WW domain-containing protein WWM1")</f>
        <v>WW domain-containing protein WWM1</v>
      </c>
      <c r="BT72" t="str">
        <f>HYPERLINK("http://www.uniprot.org/uniprot/P43582","0.007")</f>
        <v>0.007</v>
      </c>
      <c r="BU72" t="str">
        <f>HYPERLINK("http://www.uniprot.org/uniprot/P43582#expression","P43582")</f>
        <v>P43582</v>
      </c>
      <c r="BV72">
        <v>35</v>
      </c>
      <c r="BW72">
        <v>43</v>
      </c>
      <c r="BX72">
        <v>43</v>
      </c>
      <c r="BY72" t="s">
        <v>887</v>
      </c>
      <c r="BZ72" s="33" t="str">
        <f>HYPERLINK("http://exon.niaid.nih.gov/transcriptome/S_calcitrans/S1/links/REFSEQ-INVERTEBRATE/XP_013100129.1-REFSEQ-INVERTEBRATE.txt","uncharacterized protein LOC106082280 isoform X2")</f>
        <v>uncharacterized protein LOC106082280 isoform X2</v>
      </c>
      <c r="CA72" t="str">
        <f>HYPERLINK("http://www.ncbi.nlm.nih.gov/sutils/blink.cgi?pid=907638817","1E-061")</f>
        <v>1E-061</v>
      </c>
      <c r="CB72" t="str">
        <f>HYPERLINK("http://www.ncbi.nlm.nih.gov/protein/907638817","gi|907638817")</f>
        <v>gi|907638817</v>
      </c>
      <c r="CC72">
        <v>100</v>
      </c>
      <c r="CD72">
        <v>100</v>
      </c>
      <c r="CE72">
        <v>100</v>
      </c>
      <c r="CF72" t="s">
        <v>253</v>
      </c>
      <c r="CG72" s="33" t="str">
        <f>HYPERLINK("http://exon.niaid.nih.gov/transcriptome/S_calcitrans/S1/links/DIPTERA/XP_013100129.1-DIPTERA.txt","uncharacterized protein LOC106082280 isoform X2")</f>
        <v>uncharacterized protein LOC106082280 isoform X2</v>
      </c>
      <c r="CH72" t="str">
        <f>HYPERLINK("http://www.ncbi.nlm.nih.gov/sutils/blink.cgi?pid=907638817","7E-062")</f>
        <v>7E-062</v>
      </c>
      <c r="CI72" t="str">
        <f>HYPERLINK("http://www.ncbi.nlm.nih.gov/protein/907638817","gi|907638817")</f>
        <v>gi|907638817</v>
      </c>
      <c r="CJ72">
        <v>100</v>
      </c>
      <c r="CK72">
        <v>100</v>
      </c>
      <c r="CL72">
        <v>100</v>
      </c>
      <c r="CM72" t="s">
        <v>253</v>
      </c>
      <c r="CN72" s="33" t="s">
        <v>242</v>
      </c>
      <c r="CO72" t="s">
        <v>242</v>
      </c>
      <c r="CP72" t="s">
        <v>242</v>
      </c>
      <c r="CQ72" t="s">
        <v>242</v>
      </c>
      <c r="CR72" t="s">
        <v>242</v>
      </c>
      <c r="CS72" t="s">
        <v>242</v>
      </c>
      <c r="CT72" t="s">
        <v>242</v>
      </c>
      <c r="CU72" s="33" t="s">
        <v>242</v>
      </c>
      <c r="CV72" t="s">
        <v>242</v>
      </c>
      <c r="CW72" t="s">
        <v>242</v>
      </c>
      <c r="CX72" t="s">
        <v>242</v>
      </c>
      <c r="CY72" t="s">
        <v>242</v>
      </c>
      <c r="CZ72" t="s">
        <v>242</v>
      </c>
      <c r="DA72" t="s">
        <v>242</v>
      </c>
      <c r="DB72" t="s">
        <v>242</v>
      </c>
      <c r="DC72" t="s">
        <v>242</v>
      </c>
      <c r="DD72" t="s">
        <v>242</v>
      </c>
      <c r="DE72" s="33" t="str">
        <f>HYPERLINK("http://exon.niaid.nih.gov/transcriptome/S_calcitrans/S1/links/CDD/XP_013100129.1-CDD.txt","PRK10263")</f>
        <v>PRK10263</v>
      </c>
      <c r="DF72" t="str">
        <f>HYPERLINK("http://www.ncbi.nlm.nih.gov/Structure/cdd/cddsrv.cgi?uid=PRK10263&amp;version=v4.0","0.14")</f>
        <v>0.14</v>
      </c>
      <c r="DG72" t="s">
        <v>888</v>
      </c>
      <c r="DH72" s="33" t="str">
        <f>HYPERLINK("http://exon.niaid.nih.gov/transcriptome/S_calcitrans/S1/links/KOG/XP_013100129.1-KOG.txt","Predicted DNA-binding protein, contains SAP domain")</f>
        <v>Predicted DNA-binding protein, contains SAP domain</v>
      </c>
      <c r="DI72" t="str">
        <f>HYPERLINK("http://www.ncbi.nlm.nih.gov/Structure/cdd/cddsrv.cgi?uid=KOG4246","0.42")</f>
        <v>0.42</v>
      </c>
      <c r="DJ72" t="s">
        <v>342</v>
      </c>
      <c r="DK72" t="str">
        <f>HYPERLINK("http://exon.niaid.nih.gov/transcriptome/S_calcitrans/S1/links/KOG/XP_013100129.1-KOG.txt","KOG4246")</f>
        <v>KOG4246</v>
      </c>
      <c r="DL72" s="33" t="str">
        <f>HYPERLINK("http://exon.niaid.nih.gov/transcriptome/S_calcitrans/S1/links/PFAM/XP_013100129.1-PFAM.txt","DUF2076")</f>
        <v>DUF2076</v>
      </c>
      <c r="DM72" t="str">
        <f>HYPERLINK("http://pfam.sanger.ac.uk/family?acc=PF09849","0.16")</f>
        <v>0.16</v>
      </c>
      <c r="DN72" s="33" t="str">
        <f>HYPERLINK("http://exon.niaid.nih.gov/transcriptome/S_calcitrans/S1/links/SMART/XP_013100129.1-SMART.txt","PKS_KR")</f>
        <v>PKS_KR</v>
      </c>
      <c r="DO72" t="str">
        <f>HYPERLINK("http://smart.embl-heidelberg.de/smart/do_annotation.pl?DOMAIN=PKS_KR&amp;BLAST=DUMMY","0.034")</f>
        <v>0.034</v>
      </c>
      <c r="DP72" s="33"/>
      <c r="EB72" s="33">
        <f>HYPERLINK("http://exon.niaid.nih.gov/transcriptome/S_calcitrans/S1/links/cluster-b/Scalc-pep25-50SimCLU1.txt", 1)</f>
        <v>1</v>
      </c>
      <c r="EC72">
        <f>HYPERLINK("http://exon.niaid.nih.gov/transcriptome/S_calcitrans/S1/links/cluster-b/Scalc-pep25-50SimCLTL1.txt", 5170)</f>
        <v>5170</v>
      </c>
      <c r="ED72" s="33">
        <f>HYPERLINK("http://exon.niaid.nih.gov/transcriptome/S_calcitrans/S1/links/cluster-b/Scalc-pep30-50SimCLU546.txt", 546)</f>
        <v>546</v>
      </c>
      <c r="EE72">
        <f>HYPERLINK("http://exon.niaid.nih.gov/transcriptome/S_calcitrans/S1/links/cluster-b/Scalc-pep30-50SimCLTL546.txt", 6)</f>
        <v>6</v>
      </c>
      <c r="EF72" s="33">
        <f>HYPERLINK("http://exon.niaid.nih.gov/transcriptome/S_calcitrans/S1/links/cluster-b/Scalc-pep35-50SimCLU562.txt", 562)</f>
        <v>562</v>
      </c>
      <c r="EG72">
        <f>HYPERLINK("http://exon.niaid.nih.gov/transcriptome/S_calcitrans/S1/links/cluster-b/Scalc-pep35-50SimCLTL562.txt", 6)</f>
        <v>6</v>
      </c>
      <c r="EH72" s="33">
        <f>HYPERLINK("http://exon.niaid.nih.gov/transcriptome/S_calcitrans/S1/links/cluster-b/Scalc-pep40-50SimCLU542.txt", 542)</f>
        <v>542</v>
      </c>
      <c r="EI72">
        <f>HYPERLINK("http://exon.niaid.nih.gov/transcriptome/S_calcitrans/S1/links/cluster-b/Scalc-pep40-50SimCLTL542.txt", 6)</f>
        <v>6</v>
      </c>
      <c r="EJ72" s="33">
        <f>HYPERLINK("http://exon.niaid.nih.gov/transcriptome/S_calcitrans/S1/links/cluster-b/Scalc-pep45-50SimCLU525.txt", 525)</f>
        <v>525</v>
      </c>
      <c r="EK72">
        <f>HYPERLINK("http://exon.niaid.nih.gov/transcriptome/S_calcitrans/S1/links/cluster-b/Scalc-pep45-50SimCLTL525.txt", 6)</f>
        <v>6</v>
      </c>
      <c r="EL72" s="33">
        <f>HYPERLINK("http://exon.niaid.nih.gov/transcriptome/S_calcitrans/S1/links/cluster-b/Scalc-pep50-50SimCLU519.txt", 519)</f>
        <v>519</v>
      </c>
      <c r="EM72">
        <f>HYPERLINK("http://exon.niaid.nih.gov/transcriptome/S_calcitrans/S1/links/cluster-b/Scalc-pep50-50SimCLTL519.txt", 6)</f>
        <v>6</v>
      </c>
      <c r="EN72" s="33">
        <f>HYPERLINK("http://exon.niaid.nih.gov/transcriptome/S_calcitrans/S1/links/cluster-b/Scalc-pep55-50SimCLU472.txt", 472)</f>
        <v>472</v>
      </c>
      <c r="EO72">
        <f>HYPERLINK("http://exon.niaid.nih.gov/transcriptome/S_calcitrans/S1/links/cluster-b/Scalc-pep55-50SimCLTL472.txt", 6)</f>
        <v>6</v>
      </c>
      <c r="EP72" s="33">
        <f>HYPERLINK("http://exon.niaid.nih.gov/transcriptome/S_calcitrans/S1/links/cluster-b/Scalc-pep60-50SimCLU445.txt", 445)</f>
        <v>445</v>
      </c>
      <c r="EQ72">
        <f>HYPERLINK("http://exon.niaid.nih.gov/transcriptome/S_calcitrans/S1/links/cluster-b/Scalc-pep60-50SimCLTL445.txt", 6)</f>
        <v>6</v>
      </c>
      <c r="ER72" s="33">
        <f>HYPERLINK("http://exon.niaid.nih.gov/transcriptome/S_calcitrans/S1/links/cluster-b/Scalc-pep65-50SimCLU405.txt", 405)</f>
        <v>405</v>
      </c>
      <c r="ES72">
        <f>HYPERLINK("http://exon.niaid.nih.gov/transcriptome/S_calcitrans/S1/links/cluster-b/Scalc-pep65-50SimCLTL405.txt", 6)</f>
        <v>6</v>
      </c>
      <c r="ET72" s="33">
        <f>HYPERLINK("http://exon.niaid.nih.gov/transcriptome/S_calcitrans/S1/links/cluster-b/Scalc-pep70-50SimCLU363.txt", 363)</f>
        <v>363</v>
      </c>
      <c r="EU72">
        <f>HYPERLINK("http://exon.niaid.nih.gov/transcriptome/S_calcitrans/S1/links/cluster-b/Scalc-pep70-50SimCLTL363.txt", 6)</f>
        <v>6</v>
      </c>
      <c r="EV72" s="33">
        <f>HYPERLINK("http://exon.niaid.nih.gov/transcriptome/S_calcitrans/S1/links/cluster-b/Scalc-pep75-50SimCLU331.txt", 331)</f>
        <v>331</v>
      </c>
      <c r="EW72">
        <f>HYPERLINK("http://exon.niaid.nih.gov/transcriptome/S_calcitrans/S1/links/cluster-b/Scalc-pep75-50SimCLTL331.txt", 6)</f>
        <v>6</v>
      </c>
      <c r="EX72" s="33">
        <f>HYPERLINK("http://exon.niaid.nih.gov/transcriptome/S_calcitrans/S1/links/cluster-b/Scalc-pep80-50SimCLU301.txt", 301)</f>
        <v>301</v>
      </c>
      <c r="EY72">
        <f>HYPERLINK("http://exon.niaid.nih.gov/transcriptome/S_calcitrans/S1/links/cluster-b/Scalc-pep80-50SimCLTL301.txt", 6)</f>
        <v>6</v>
      </c>
      <c r="EZ72" s="33">
        <f>HYPERLINK("http://exon.niaid.nih.gov/transcriptome/S_calcitrans/S1/links/cluster-b/Scalc-pep85-50SimCLU270.txt", 270)</f>
        <v>270</v>
      </c>
      <c r="FA72">
        <f>HYPERLINK("http://exon.niaid.nih.gov/transcriptome/S_calcitrans/S1/links/cluster-b/Scalc-pep85-50SimCLTL270.txt", 6)</f>
        <v>6</v>
      </c>
      <c r="FB72" s="33">
        <f>HYPERLINK("http://exon.niaid.nih.gov/transcriptome/S_calcitrans/S1/links/cluster-b/Scalc-pep90-50SimCLU242.txt", 242)</f>
        <v>242</v>
      </c>
      <c r="FC72">
        <f>HYPERLINK("http://exon.niaid.nih.gov/transcriptome/S_calcitrans/S1/links/cluster-b/Scalc-pep90-50SimCLTL242.txt", 6)</f>
        <v>6</v>
      </c>
      <c r="FD72" s="33">
        <f>HYPERLINK("http://exon.niaid.nih.gov/transcriptome/S_calcitrans/S1/links/cluster-b/Scalc-pep95-50SimCLU312.txt", 312)</f>
        <v>312</v>
      </c>
      <c r="FE72">
        <f>HYPERLINK("http://exon.niaid.nih.gov/transcriptome/S_calcitrans/S1/links/cluster-b/Scalc-pep95-50SimCLTL312.txt", 5)</f>
        <v>5</v>
      </c>
      <c r="FF72" t="s">
        <v>889</v>
      </c>
      <c r="FG72">
        <v>6291</v>
      </c>
      <c r="FH72" s="38" t="str">
        <f>HYPERLINK("http://exon.niaid.nih.gov/transcriptome/S_calcitrans/S1/links/SG_male-stripped_temp-95-h10-1gap/6291-SG_male-stripped_temp-95-h10-1gap.txt","19")</f>
        <v>19</v>
      </c>
      <c r="FI72" s="39">
        <v>91.1111111111111</v>
      </c>
      <c r="FJ72" s="39">
        <v>3.3277777777777802</v>
      </c>
      <c r="FK72" s="39">
        <v>0</v>
      </c>
      <c r="FL72" s="39">
        <v>8</v>
      </c>
      <c r="FM72" s="39">
        <v>63.052631578947398</v>
      </c>
      <c r="FN72" s="38" t="str">
        <f>HYPERLINK("http://exon.niaid.nih.gov/transcriptome/S_calcitrans/S1/links/SG_female-stripped_temp-95-h10-1gap/6291-SG_female-stripped_temp-95-h10-1gap.txt","11")</f>
        <v>11</v>
      </c>
      <c r="FO72" s="39">
        <v>58.0555555555556</v>
      </c>
      <c r="FP72" s="39">
        <v>2.1444444444444399</v>
      </c>
      <c r="FQ72" s="39">
        <v>0</v>
      </c>
      <c r="FR72" s="39">
        <v>8</v>
      </c>
      <c r="FS72" s="39">
        <v>70.181818181818201</v>
      </c>
      <c r="FT72" s="38">
        <v>0</v>
      </c>
      <c r="FU72" s="39" t="s">
        <v>242</v>
      </c>
      <c r="FV72" s="39" t="s">
        <v>242</v>
      </c>
      <c r="FW72" s="39" t="s">
        <v>242</v>
      </c>
      <c r="FX72" s="39" t="s">
        <v>242</v>
      </c>
      <c r="FY72" s="39" t="s">
        <v>242</v>
      </c>
      <c r="FZ72" s="38">
        <v>0</v>
      </c>
      <c r="GA72" s="39" t="s">
        <v>242</v>
      </c>
      <c r="GB72" s="39" t="s">
        <v>242</v>
      </c>
      <c r="GC72" s="39" t="s">
        <v>242</v>
      </c>
      <c r="GD72" s="39" t="s">
        <v>242</v>
      </c>
      <c r="GE72" s="39" t="s">
        <v>242</v>
      </c>
      <c r="GF72">
        <f t="shared" ref="GF72:GF81" si="86">1*FH72</f>
        <v>19</v>
      </c>
      <c r="GG72">
        <f t="shared" ref="GG72:GG81" si="87">1*FN72</f>
        <v>11</v>
      </c>
      <c r="GH72">
        <f t="shared" ref="GH72:GH81" si="88">1*FT72</f>
        <v>0</v>
      </c>
      <c r="GI72">
        <f t="shared" ref="GI72:GI81" si="89">1*FZ72</f>
        <v>0</v>
      </c>
      <c r="GJ72">
        <f t="shared" ref="GJ72:GJ81" si="90">IF(FZ72&lt;&gt;"",SUM(GF72:GG72),"")</f>
        <v>30</v>
      </c>
      <c r="GK72" s="34">
        <v>1.1652478802684497E-4</v>
      </c>
      <c r="GL72">
        <v>1.7264463621519865</v>
      </c>
      <c r="GM72">
        <v>0.45453091181014893</v>
      </c>
      <c r="GN72">
        <v>0</v>
      </c>
      <c r="GO72">
        <v>0</v>
      </c>
      <c r="GP72">
        <f t="shared" ref="GP72:GP81" si="91">MAX(GL72:GO72)</f>
        <v>1.7264463621519865</v>
      </c>
      <c r="GQ72" t="s">
        <v>574</v>
      </c>
      <c r="GR72">
        <v>1.3464407660847748</v>
      </c>
      <c r="GS72">
        <v>0.37306360646471831</v>
      </c>
      <c r="GT72">
        <v>0</v>
      </c>
      <c r="GU72">
        <v>0</v>
      </c>
      <c r="GV72">
        <f t="shared" ref="GV72:GV81" si="92">MAX(GR72:GU72)</f>
        <v>1.3464407660847748</v>
      </c>
      <c r="GW72">
        <v>85.975218627474661</v>
      </c>
      <c r="GX72">
        <v>30</v>
      </c>
      <c r="GY72">
        <v>0</v>
      </c>
      <c r="GZ72">
        <v>30</v>
      </c>
      <c r="HA72">
        <v>6.659990808019848</v>
      </c>
      <c r="HB72">
        <v>23.340009191980151</v>
      </c>
      <c r="HC72">
        <v>81.795312453844829</v>
      </c>
      <c r="HD72">
        <v>23.340009191980155</v>
      </c>
      <c r="HE72">
        <v>105.13532164582499</v>
      </c>
      <c r="HF72">
        <v>1.1407324795465858E-24</v>
      </c>
      <c r="HG72">
        <v>6.659990808019848</v>
      </c>
      <c r="HH72">
        <v>1</v>
      </c>
      <c r="HI72">
        <v>1</v>
      </c>
      <c r="HJ72">
        <v>2</v>
      </c>
      <c r="HK72" s="37">
        <v>1.8522630189497999E-24</v>
      </c>
      <c r="HL72" s="30" t="s">
        <v>262</v>
      </c>
      <c r="HM72">
        <v>105.13532164582499</v>
      </c>
      <c r="HN72">
        <v>0</v>
      </c>
      <c r="HO72">
        <v>19</v>
      </c>
      <c r="HP72">
        <v>11</v>
      </c>
      <c r="HQ72">
        <v>30</v>
      </c>
      <c r="HR72">
        <v>9.3778783427960626</v>
      </c>
      <c r="HS72">
        <v>20.622121657203937</v>
      </c>
      <c r="HT72">
        <v>9.872726196875389</v>
      </c>
      <c r="HU72">
        <v>4.4896071667626005</v>
      </c>
      <c r="HV72">
        <v>14.36233336363799</v>
      </c>
      <c r="HW72">
        <v>1.5078870074712347E-4</v>
      </c>
      <c r="HX72">
        <v>9.3778783427960626</v>
      </c>
      <c r="HY72">
        <v>1</v>
      </c>
      <c r="HZ72">
        <v>1</v>
      </c>
      <c r="IA72">
        <v>2</v>
      </c>
      <c r="IB72">
        <v>1.2418243030080699E-3</v>
      </c>
      <c r="IC72" s="30" t="s">
        <v>262</v>
      </c>
      <c r="ID72">
        <v>3.481778226413947</v>
      </c>
      <c r="IE72">
        <v>0.25011166039436322</v>
      </c>
      <c r="IF72">
        <v>3.481778226413947</v>
      </c>
      <c r="IG72" t="str">
        <f t="shared" si="84"/>
        <v/>
      </c>
    </row>
    <row r="73" spans="1:241">
      <c r="A73" t="str">
        <f>HYPERLINK("http://exon.niaid.nih.gov/transcriptome/S_calcitrans/S1/links/pep/XP_013118917.1-pep.txt","XP_013118917.1")</f>
        <v>XP_013118917.1</v>
      </c>
      <c r="B73" s="30" t="s">
        <v>232</v>
      </c>
      <c r="C73">
        <v>156</v>
      </c>
      <c r="D73" t="s">
        <v>890</v>
      </c>
      <c r="E73">
        <v>0</v>
      </c>
      <c r="F73" t="s">
        <v>891</v>
      </c>
      <c r="G73" t="str">
        <f>HYPERLINK("http://exon.niaid.nih.gov/transcriptome/S_calcitrans/S1/links/cds/XM_013263463_1-cds.txt","XM_013263463_1")</f>
        <v>XM_013263463_1</v>
      </c>
      <c r="H73">
        <v>471</v>
      </c>
      <c r="I73" t="s">
        <v>892</v>
      </c>
      <c r="J73" s="30" t="s">
        <v>236</v>
      </c>
      <c r="K73" s="30" t="s">
        <v>91</v>
      </c>
      <c r="L73" s="31" t="s">
        <v>893</v>
      </c>
      <c r="M73" s="30">
        <v>996196</v>
      </c>
      <c r="N73" s="30">
        <v>996702</v>
      </c>
      <c r="O73" s="30" t="s">
        <v>276</v>
      </c>
      <c r="P73" s="30">
        <v>2</v>
      </c>
      <c r="Q73" s="31" t="s">
        <v>894</v>
      </c>
      <c r="R73" s="32" t="str">
        <f>HYPERLINK("http://exon.niaid.nih.gov/transcriptome/S_calcitrans/S1/links/Sigp/XP_013118917.1-SigP.txt","SIG")</f>
        <v>SIG</v>
      </c>
      <c r="S73" t="s">
        <v>336</v>
      </c>
      <c r="T73">
        <v>17.917000000000002</v>
      </c>
      <c r="U73">
        <v>4.22</v>
      </c>
      <c r="V73">
        <v>15.862</v>
      </c>
      <c r="W73">
        <v>4.1399999999999997</v>
      </c>
      <c r="X73" t="s">
        <v>720</v>
      </c>
      <c r="Y73" s="32">
        <v>0</v>
      </c>
      <c r="Z73" t="s">
        <v>242</v>
      </c>
      <c r="AA73" t="s">
        <v>242</v>
      </c>
      <c r="AB73" t="s">
        <v>242</v>
      </c>
      <c r="AC73" t="s">
        <v>242</v>
      </c>
      <c r="AD73" t="s">
        <v>242</v>
      </c>
      <c r="AE73" s="32" t="str">
        <f>HYPERLINK("http://exon.niaid.nih.gov/transcriptome/S_calcitrans/S1/links/netoglyc/XP_013118917.1-netoglyc.txt","17")</f>
        <v>17</v>
      </c>
      <c r="AF73">
        <v>12.2</v>
      </c>
      <c r="AG73">
        <v>3.8</v>
      </c>
      <c r="AH73">
        <v>21.2</v>
      </c>
      <c r="AI73" t="s">
        <v>243</v>
      </c>
      <c r="AJ73" t="s">
        <v>242</v>
      </c>
      <c r="AK73">
        <v>2326.9951190942597</v>
      </c>
      <c r="AL73" s="33">
        <v>4622</v>
      </c>
      <c r="AM73">
        <v>1</v>
      </c>
      <c r="AN73" s="30">
        <f t="shared" si="83"/>
        <v>1</v>
      </c>
      <c r="AO73" s="30" t="s">
        <v>244</v>
      </c>
      <c r="AP73">
        <v>664</v>
      </c>
      <c r="AQ73" s="34">
        <v>2.5790819749941687E-3</v>
      </c>
      <c r="AR73" s="35">
        <v>1164.2223579449005</v>
      </c>
      <c r="AS73" t="s">
        <v>895</v>
      </c>
      <c r="AT73" s="36" t="s">
        <v>885</v>
      </c>
      <c r="AU73" t="s">
        <v>708</v>
      </c>
      <c r="AV73" t="str">
        <f>HYPERLINK("http://exon.niaid.nih.gov/transcriptome/S_calcitrans/S1/links/netoglyc/XP_013118917.1-netoglyc.txt","netoglyc")</f>
        <v>netoglyc</v>
      </c>
      <c r="AY73" s="33"/>
      <c r="BG73" s="31"/>
      <c r="BJ73" s="33"/>
      <c r="BK73" s="33"/>
      <c r="BL73" s="33" t="str">
        <f>HYPERLINK("http://exon.niaid.nih.gov/transcriptome/S_calcitrans/S1/links/NR-LIGHT/XP_013118917.1-NR-LIGHT.txt","enolase-phosphatase E1 isoform X5")</f>
        <v>enolase-phosphatase E1 isoform X5</v>
      </c>
      <c r="BM73" t="str">
        <f>HYPERLINK("http://www.ncbi.nlm.nih.gov/sutils/blink.cgi?pid=780133027","2E-031")</f>
        <v>2E-031</v>
      </c>
      <c r="BN73" t="str">
        <f>HYPERLINK("http://www.ncbi.nlm.nih.gov/protein/780133027","gi|780133027")</f>
        <v>gi|780133027</v>
      </c>
      <c r="BO73">
        <v>68</v>
      </c>
      <c r="BP73">
        <v>73</v>
      </c>
      <c r="BQ73">
        <v>6</v>
      </c>
      <c r="BR73" t="s">
        <v>594</v>
      </c>
      <c r="BS73" s="33" t="str">
        <f>HYPERLINK("http://exon.niaid.nih.gov/transcriptome/S_calcitrans/S1/links/SWISSP/XP_013118917.1-SWISSP.txt","Fibrous sheath CABYR-binding protein")</f>
        <v>Fibrous sheath CABYR-binding protein</v>
      </c>
      <c r="BT73" t="str">
        <f>HYPERLINK("http://www.uniprot.org/uniprot/Q2T9N0","1E-022")</f>
        <v>1E-022</v>
      </c>
      <c r="BU73" t="str">
        <f>HYPERLINK("http://www.uniprot.org/uniprot/Q2T9N0#expression","Q2T9N0")</f>
        <v>Q2T9N0</v>
      </c>
      <c r="BV73">
        <v>50</v>
      </c>
      <c r="BW73">
        <v>59</v>
      </c>
      <c r="BX73">
        <v>14</v>
      </c>
      <c r="BY73" t="s">
        <v>896</v>
      </c>
      <c r="BZ73" s="33" t="str">
        <f>HYPERLINK("http://exon.niaid.nih.gov/transcriptome/S_calcitrans/S1/links/REFSEQ-INVERTEBRATE/XP_013118917.1-REFSEQ-INVERTEBRATE.txt","fibrous sheath CABYR-binding protein-like")</f>
        <v>fibrous sheath CABYR-binding protein-like</v>
      </c>
      <c r="CA73" t="str">
        <f>HYPERLINK("http://www.ncbi.nlm.nih.gov/sutils/blink.cgi?pid=907614776","1E-088")</f>
        <v>1E-088</v>
      </c>
      <c r="CB73" t="str">
        <f>HYPERLINK("http://www.ncbi.nlm.nih.gov/protein/907614776","gi|907614776")</f>
        <v>gi|907614776</v>
      </c>
      <c r="CC73">
        <v>100</v>
      </c>
      <c r="CD73">
        <v>100</v>
      </c>
      <c r="CE73">
        <v>100</v>
      </c>
      <c r="CF73" t="s">
        <v>253</v>
      </c>
      <c r="CG73" s="33" t="str">
        <f>HYPERLINK("http://exon.niaid.nih.gov/transcriptome/S_calcitrans/S1/links/DIPTERA/XP_013118917.1-DIPTERA.txt","fibrous sheath CABYR-binding protein-like")</f>
        <v>fibrous sheath CABYR-binding protein-like</v>
      </c>
      <c r="CH73" t="str">
        <f>HYPERLINK("http://www.ncbi.nlm.nih.gov/sutils/blink.cgi?pid=907614776","9E-089")</f>
        <v>9E-089</v>
      </c>
      <c r="CI73" t="str">
        <f>HYPERLINK("http://www.ncbi.nlm.nih.gov/protein/907614776","gi|907614776")</f>
        <v>gi|907614776</v>
      </c>
      <c r="CJ73">
        <v>100</v>
      </c>
      <c r="CK73">
        <v>100</v>
      </c>
      <c r="CL73">
        <v>100</v>
      </c>
      <c r="CM73" t="s">
        <v>253</v>
      </c>
      <c r="CN73" s="33" t="str">
        <f>HYPERLINK("http://exon.niaid.nih.gov/transcriptome/S_calcitrans/S1/links/VIRUS/XP_013118917.1-VIRUS.txt","putative concanavalin A-like lectin/glucanase superfamily protein")</f>
        <v>putative concanavalin A-like lectin/glucanase superfamily protein</v>
      </c>
      <c r="CO73" t="str">
        <f>HYPERLINK("http://www.ncbi.nlm.nih.gov/sutils/blink.cgi?pid=672551282","5E-019")</f>
        <v>5E-019</v>
      </c>
      <c r="CP73" t="str">
        <f>HYPERLINK("http://www.ncbi.nlm.nih.gov/protein/672551282","gi|672551282")</f>
        <v>gi|672551282</v>
      </c>
      <c r="CQ73">
        <v>48</v>
      </c>
      <c r="CR73">
        <v>48</v>
      </c>
      <c r="CS73">
        <v>5</v>
      </c>
      <c r="CT73" t="s">
        <v>897</v>
      </c>
      <c r="CU73" s="33" t="s">
        <v>898</v>
      </c>
      <c r="CV73">
        <f>HYPERLINK("http://exon.niaid.nih.gov/transcriptome/S_calcitrans/S1/links/GO/XP_013118917.1-GO.txt",6E-26)</f>
        <v>6.0000000000000002E-26</v>
      </c>
      <c r="CW73" t="str">
        <f>HYPERLINK("http://amigo.geneontology.org/cgi-bin/amigo/term_details?term=GO:0003674","GO:0003674")</f>
        <v>GO:0003674</v>
      </c>
      <c r="CX73" t="s">
        <v>255</v>
      </c>
      <c r="CY73" t="s">
        <v>256</v>
      </c>
      <c r="CZ73" t="s">
        <v>257</v>
      </c>
      <c r="DA73" t="s">
        <v>242</v>
      </c>
      <c r="DD73" s="37">
        <v>6.0000000000000002E-26</v>
      </c>
      <c r="DE73" s="33" t="str">
        <f>HYPERLINK("http://exon.niaid.nih.gov/transcriptome/S_calcitrans/S1/links/CDD/XP_013118917.1-CDD.txt","predic_Ig_block")</f>
        <v>predic_Ig_block</v>
      </c>
      <c r="DF73" t="str">
        <f>HYPERLINK("http://www.ncbi.nlm.nih.gov/Structure/cdd/cddsrv.cgi?uid=TIGR04526&amp;version=v4.0","4E-008")</f>
        <v>4E-008</v>
      </c>
      <c r="DG73" t="s">
        <v>899</v>
      </c>
      <c r="DH73" s="33" t="str">
        <f>HYPERLINK("http://exon.niaid.nih.gov/transcriptome/S_calcitrans/S1/links/KOG/XP_013118917.1-KOG.txt","Cyclic nucleotide-gated cation channel CNCG4")</f>
        <v>Cyclic nucleotide-gated cation channel CNCG4</v>
      </c>
      <c r="DI73" t="str">
        <f>HYPERLINK("http://www.ncbi.nlm.nih.gov/Structure/cdd/cddsrv.cgi?uid=KOG0499","4E-005")</f>
        <v>4E-005</v>
      </c>
      <c r="DJ73" t="s">
        <v>900</v>
      </c>
      <c r="DK73" t="str">
        <f>HYPERLINK("http://exon.niaid.nih.gov/transcriptome/S_calcitrans/S1/links/KOG/XP_013118917.1-KOG.txt","KOG0499")</f>
        <v>KOG0499</v>
      </c>
      <c r="DL73" s="33" t="str">
        <f>HYPERLINK("http://exon.niaid.nih.gov/transcriptome/S_calcitrans/S1/links/PFAM/XP_013118917.1-PFAM.txt","DUF605")</f>
        <v>DUF605</v>
      </c>
      <c r="DM73" t="str">
        <f>HYPERLINK("http://pfam.sanger.ac.uk/family?acc=PF04652","5E-004")</f>
        <v>5E-004</v>
      </c>
      <c r="DN73" s="33" t="str">
        <f>HYPERLINK("http://exon.niaid.nih.gov/transcriptome/S_calcitrans/S1/links/SMART/XP_013118917.1-SMART.txt","ANTAR")</f>
        <v>ANTAR</v>
      </c>
      <c r="DO73" t="str">
        <f>HYPERLINK("http://smart.embl-heidelberg.de/smart/do_annotation.pl?DOMAIN=ANTAR&amp;BLAST=DUMMY","0.32")</f>
        <v>0.32</v>
      </c>
      <c r="DP73" s="33"/>
      <c r="EB73" s="33">
        <f>HYPERLINK("http://exon.niaid.nih.gov/transcriptome/S_calcitrans/S1/links/cluster-b/Scalc-pep25-50SimCLU1.txt", 1)</f>
        <v>1</v>
      </c>
      <c r="EC73">
        <f>HYPERLINK("http://exon.niaid.nih.gov/transcriptome/S_calcitrans/S1/links/cluster-b/Scalc-pep25-50SimCLTL1.txt", 5170)</f>
        <v>5170</v>
      </c>
      <c r="ED73" s="33">
        <f>HYPERLINK("http://exon.niaid.nih.gov/transcriptome/S_calcitrans/S1/links/cluster-b/Scalc-pep30-50SimCLU1.txt", 1)</f>
        <v>1</v>
      </c>
      <c r="EE73">
        <f>HYPERLINK("http://exon.niaid.nih.gov/transcriptome/S_calcitrans/S1/links/cluster-b/Scalc-pep30-50SimCLTL1.txt", 1550)</f>
        <v>1550</v>
      </c>
      <c r="EF73" s="33">
        <f>HYPERLINK("http://exon.niaid.nih.gov/transcriptome/S_calcitrans/S1/links/cluster-b/Scalc-pep35-50SimCLU1.txt", 1)</f>
        <v>1</v>
      </c>
      <c r="EG73">
        <f>HYPERLINK("http://exon.niaid.nih.gov/transcriptome/S_calcitrans/S1/links/cluster-b/Scalc-pep35-50SimCLTL1.txt", 566)</f>
        <v>566</v>
      </c>
      <c r="EH73" s="33">
        <f>HYPERLINK("http://exon.niaid.nih.gov/transcriptome/S_calcitrans/S1/links/cluster-b/Scalc-pep40-50SimCLU1.txt", 1)</f>
        <v>1</v>
      </c>
      <c r="EI73">
        <f>HYPERLINK("http://exon.niaid.nih.gov/transcriptome/S_calcitrans/S1/links/cluster-b/Scalc-pep40-50SimCLTL1.txt", 404)</f>
        <v>404</v>
      </c>
      <c r="EJ73" s="33">
        <f>HYPERLINK("http://exon.niaid.nih.gov/transcriptome/S_calcitrans/S1/links/cluster-b/Scalc-pep45-50SimCLU2166.txt", 2166)</f>
        <v>2166</v>
      </c>
      <c r="EK73">
        <f>HYPERLINK("http://exon.niaid.nih.gov/transcriptome/S_calcitrans/S1/links/cluster-b/Scalc-pep45-50SimCLTL2166.txt", 2)</f>
        <v>2</v>
      </c>
      <c r="EL73" s="33">
        <f>HYPERLINK("http://exon.niaid.nih.gov/transcriptome/S_calcitrans/S1/links/cluster-b/Scalc-pep50-50SimCLU2201.txt", 2201)</f>
        <v>2201</v>
      </c>
      <c r="EM73">
        <f>HYPERLINK("http://exon.niaid.nih.gov/transcriptome/S_calcitrans/S1/links/cluster-b/Scalc-pep50-50SimCLTL2201.txt", 2)</f>
        <v>2</v>
      </c>
      <c r="EN73" s="33">
        <f>HYPERLINK("http://exon.niaid.nih.gov/transcriptome/S_calcitrans/S1/links/cluster-b/Scalc-pep55-50SimCLU2226.txt", 2226)</f>
        <v>2226</v>
      </c>
      <c r="EO73">
        <f>HYPERLINK("http://exon.niaid.nih.gov/transcriptome/S_calcitrans/S1/links/cluster-b/Scalc-pep55-50SimCLTL2226.txt", 2)</f>
        <v>2</v>
      </c>
      <c r="EP73" s="33">
        <v>4711</v>
      </c>
      <c r="EQ73">
        <v>1</v>
      </c>
      <c r="ER73" s="33">
        <v>4805</v>
      </c>
      <c r="ES73">
        <v>1</v>
      </c>
      <c r="ET73" s="33">
        <v>4843</v>
      </c>
      <c r="EU73">
        <v>1</v>
      </c>
      <c r="EV73" s="33">
        <v>4853</v>
      </c>
      <c r="EW73">
        <v>1</v>
      </c>
      <c r="EX73" s="33">
        <v>4853</v>
      </c>
      <c r="EY73">
        <v>1</v>
      </c>
      <c r="EZ73" s="33">
        <v>4797</v>
      </c>
      <c r="FA73">
        <v>1</v>
      </c>
      <c r="FB73" s="33">
        <v>4725</v>
      </c>
      <c r="FC73">
        <v>1</v>
      </c>
      <c r="FD73" s="33">
        <v>4622</v>
      </c>
      <c r="FE73">
        <v>1</v>
      </c>
      <c r="FF73" t="s">
        <v>901</v>
      </c>
      <c r="FG73">
        <v>2994</v>
      </c>
      <c r="FH73" s="38" t="str">
        <f>HYPERLINK("http://exon.niaid.nih.gov/transcriptome/S_calcitrans/S1/links/SG_male-stripped_temp-95-h10-1gap/2994-SG_male-stripped_temp-95-h10-1gap.txt","215")</f>
        <v>215</v>
      </c>
      <c r="FI73" s="39">
        <v>100</v>
      </c>
      <c r="FJ73" s="39">
        <v>32.358811040339702</v>
      </c>
      <c r="FK73" s="39">
        <v>3</v>
      </c>
      <c r="FL73" s="39">
        <v>62</v>
      </c>
      <c r="FM73" s="39">
        <v>70.888372093023307</v>
      </c>
      <c r="FN73" s="38" t="str">
        <f>HYPERLINK("http://exon.niaid.nih.gov/transcriptome/S_calcitrans/S1/links/SG_female-stripped_temp-95-h10-1gap/2994-SG_female-stripped_temp-95-h10-1gap.txt","449")</f>
        <v>449</v>
      </c>
      <c r="FO73" s="39">
        <v>100</v>
      </c>
      <c r="FP73" s="39">
        <v>68.004246284501093</v>
      </c>
      <c r="FQ73" s="39">
        <v>11</v>
      </c>
      <c r="FR73" s="39">
        <v>142</v>
      </c>
      <c r="FS73" s="39">
        <v>71.336302895322902</v>
      </c>
      <c r="FT73" s="38">
        <v>0</v>
      </c>
      <c r="FU73" s="39" t="s">
        <v>242</v>
      </c>
      <c r="FV73" s="39" t="s">
        <v>242</v>
      </c>
      <c r="FW73" s="39" t="s">
        <v>242</v>
      </c>
      <c r="FX73" s="39" t="s">
        <v>242</v>
      </c>
      <c r="FY73" s="39" t="s">
        <v>242</v>
      </c>
      <c r="FZ73" s="38">
        <v>0</v>
      </c>
      <c r="GA73" s="39" t="s">
        <v>242</v>
      </c>
      <c r="GB73" s="39" t="s">
        <v>242</v>
      </c>
      <c r="GC73" s="39" t="s">
        <v>242</v>
      </c>
      <c r="GD73" s="39" t="s">
        <v>242</v>
      </c>
      <c r="GE73" s="39" t="s">
        <v>242</v>
      </c>
      <c r="GF73">
        <f t="shared" si="86"/>
        <v>215</v>
      </c>
      <c r="GG73">
        <f t="shared" si="87"/>
        <v>449</v>
      </c>
      <c r="GH73">
        <f t="shared" si="88"/>
        <v>0</v>
      </c>
      <c r="GI73">
        <f t="shared" si="89"/>
        <v>0</v>
      </c>
      <c r="GJ73">
        <f t="shared" si="90"/>
        <v>664</v>
      </c>
      <c r="GK73" s="34">
        <v>2.5790819749941687E-3</v>
      </c>
      <c r="GL73">
        <v>14.932053685390967</v>
      </c>
      <c r="GM73">
        <v>14.180732790000476</v>
      </c>
      <c r="GN73">
        <v>0</v>
      </c>
      <c r="GO73">
        <v>0</v>
      </c>
      <c r="GP73">
        <f t="shared" si="91"/>
        <v>14.932053685390967</v>
      </c>
      <c r="GQ73" t="s">
        <v>708</v>
      </c>
      <c r="GR73">
        <v>11.645381081122089</v>
      </c>
      <c r="GS73">
        <v>11.639066077775924</v>
      </c>
      <c r="GT73">
        <v>0</v>
      </c>
      <c r="GU73">
        <v>0</v>
      </c>
      <c r="GV73">
        <f t="shared" si="92"/>
        <v>11.645381081122089</v>
      </c>
      <c r="GW73">
        <v>1164.2223579449005</v>
      </c>
      <c r="GX73">
        <v>664</v>
      </c>
      <c r="GY73">
        <v>0</v>
      </c>
      <c r="GZ73">
        <v>664</v>
      </c>
      <c r="HA73">
        <v>147.40779655083929</v>
      </c>
      <c r="HB73">
        <v>516.59220344916071</v>
      </c>
      <c r="HC73">
        <v>1810.402915645099</v>
      </c>
      <c r="HD73">
        <v>516.59220344916071</v>
      </c>
      <c r="HE73">
        <v>2326.9951190942597</v>
      </c>
      <c r="HF73">
        <v>0</v>
      </c>
      <c r="HG73">
        <v>147.40779655083929</v>
      </c>
      <c r="HH73">
        <v>1</v>
      </c>
      <c r="HI73">
        <v>1</v>
      </c>
      <c r="HJ73">
        <v>2</v>
      </c>
      <c r="HK73">
        <v>0</v>
      </c>
      <c r="HL73" s="30" t="s">
        <v>262</v>
      </c>
      <c r="HM73">
        <v>2326.9951190942597</v>
      </c>
      <c r="HN73">
        <v>0</v>
      </c>
      <c r="HO73">
        <v>215</v>
      </c>
      <c r="HP73">
        <v>449</v>
      </c>
      <c r="HQ73">
        <v>664</v>
      </c>
      <c r="HR73">
        <v>207.56370732055285</v>
      </c>
      <c r="HS73">
        <v>456.43629267944715</v>
      </c>
      <c r="HT73">
        <v>0.26641675237086898</v>
      </c>
      <c r="HU73">
        <v>0.12115261144063992</v>
      </c>
      <c r="HV73">
        <v>0.38756936381150892</v>
      </c>
      <c r="HW73">
        <v>0.53357982226590595</v>
      </c>
      <c r="HX73">
        <v>207.56370732055285</v>
      </c>
      <c r="HY73">
        <v>1</v>
      </c>
      <c r="HZ73" t="s">
        <v>244</v>
      </c>
      <c r="IA73">
        <v>1</v>
      </c>
      <c r="IB73">
        <v>0.86211051804446404</v>
      </c>
      <c r="IC73" s="30" t="s">
        <v>244</v>
      </c>
      <c r="ID73">
        <v>1.0506418507775417</v>
      </c>
      <c r="IE73">
        <v>0.945287336002265</v>
      </c>
      <c r="IF73">
        <v>1.0506418507775417</v>
      </c>
      <c r="IG73" t="str">
        <f t="shared" si="84"/>
        <v/>
      </c>
    </row>
    <row r="74" spans="1:241">
      <c r="A74" t="str">
        <f>HYPERLINK("http://exon.niaid.nih.gov/transcriptome/S_calcitrans/S1/links/pep/XP_013100127.1-pep.txt","XP_013100127.1")</f>
        <v>XP_013100127.1</v>
      </c>
      <c r="B74" s="30" t="s">
        <v>232</v>
      </c>
      <c r="C74">
        <v>111</v>
      </c>
      <c r="D74" t="s">
        <v>902</v>
      </c>
      <c r="E74">
        <v>0</v>
      </c>
      <c r="F74" t="s">
        <v>903</v>
      </c>
      <c r="G74" t="str">
        <f>HYPERLINK("http://exon.niaid.nih.gov/transcriptome/S_calcitrans/S1/links/cds/XM_013244673_1-cds.txt","XM_013244673_1")</f>
        <v>XM_013244673_1</v>
      </c>
      <c r="H74">
        <v>336</v>
      </c>
      <c r="I74" t="s">
        <v>904</v>
      </c>
      <c r="J74" s="30" t="s">
        <v>236</v>
      </c>
      <c r="K74" s="30" t="s">
        <v>91</v>
      </c>
      <c r="L74" s="31" t="s">
        <v>881</v>
      </c>
      <c r="M74" s="30">
        <v>1076677</v>
      </c>
      <c r="N74" s="30">
        <v>1077137</v>
      </c>
      <c r="O74" s="30" t="s">
        <v>276</v>
      </c>
      <c r="P74" s="30">
        <v>2</v>
      </c>
      <c r="Q74" s="31" t="s">
        <v>905</v>
      </c>
      <c r="R74" s="32" t="str">
        <f>HYPERLINK("http://exon.niaid.nih.gov/transcriptome/S_calcitrans/S1/links/Sigp/XP_013100127.1-SigP.txt","SIG")</f>
        <v>SIG</v>
      </c>
      <c r="S74" t="s">
        <v>781</v>
      </c>
      <c r="T74">
        <v>11.226000000000001</v>
      </c>
      <c r="U74">
        <v>9.82</v>
      </c>
      <c r="V74">
        <v>9.4809999999999999</v>
      </c>
      <c r="W74">
        <v>9.5299999999999994</v>
      </c>
      <c r="X74" t="s">
        <v>906</v>
      </c>
      <c r="Y74" s="32">
        <v>0</v>
      </c>
      <c r="Z74" t="s">
        <v>242</v>
      </c>
      <c r="AA74" t="s">
        <v>242</v>
      </c>
      <c r="AB74" t="s">
        <v>242</v>
      </c>
      <c r="AC74" t="s">
        <v>242</v>
      </c>
      <c r="AD74" t="s">
        <v>242</v>
      </c>
      <c r="AE74" s="32" t="str">
        <f>HYPERLINK("http://exon.niaid.nih.gov/transcriptome/S_calcitrans/S1/links/netoglyc/XP_013100127.1-netoglyc.txt","3")</f>
        <v>3</v>
      </c>
      <c r="AF74">
        <v>15.3</v>
      </c>
      <c r="AG74">
        <v>17.100000000000001</v>
      </c>
      <c r="AH74">
        <v>4.5</v>
      </c>
      <c r="AI74" t="s">
        <v>243</v>
      </c>
      <c r="AJ74" t="s">
        <v>242</v>
      </c>
      <c r="AK74">
        <v>115.64885381040749</v>
      </c>
      <c r="AL74" s="33">
        <v>6324</v>
      </c>
      <c r="AM74">
        <v>1</v>
      </c>
      <c r="AN74" s="30">
        <f t="shared" si="83"/>
        <v>1</v>
      </c>
      <c r="AO74" s="30" t="s">
        <v>244</v>
      </c>
      <c r="AP74">
        <v>33</v>
      </c>
      <c r="AQ74" s="34">
        <v>1.2817726682952949E-4</v>
      </c>
      <c r="AR74" s="35">
        <v>99.546397642370792</v>
      </c>
      <c r="AS74" t="s">
        <v>907</v>
      </c>
      <c r="AT74" s="36" t="s">
        <v>885</v>
      </c>
      <c r="AU74" t="s">
        <v>574</v>
      </c>
      <c r="AV74" t="str">
        <f>HYPERLINK("http://exon.niaid.nih.gov/transcriptome/S_calcitrans/S1/links/SWISSP/XP_013100127.1-SWISSP.txt","SWISSP")</f>
        <v>SWISSP</v>
      </c>
      <c r="AW74">
        <v>1000</v>
      </c>
      <c r="AX74">
        <v>30.3</v>
      </c>
      <c r="AY74" s="33"/>
      <c r="BG74" s="31"/>
      <c r="BJ74" s="33"/>
      <c r="BK74" s="33"/>
      <c r="BL74" s="33" t="str">
        <f>HYPERLINK("http://exon.niaid.nih.gov/transcriptome/S_calcitrans/S1/links/NR-LIGHT/XP_013100127.1-NR-LIGHT.txt","uncharacterized transmembrane protein DDB_G0289901-like")</f>
        <v>uncharacterized transmembrane protein DDB_G0289901-like</v>
      </c>
      <c r="BM74" t="str">
        <f>HYPERLINK("http://www.ncbi.nlm.nih.gov/sutils/blink.cgi?pid=755860061","0.021")</f>
        <v>0.021</v>
      </c>
      <c r="BN74" t="str">
        <f>HYPERLINK("http://www.ncbi.nlm.nih.gov/protein/755860061","gi|755860061")</f>
        <v>gi|755860061</v>
      </c>
      <c r="BO74">
        <v>52</v>
      </c>
      <c r="BP74">
        <v>58</v>
      </c>
      <c r="BQ74">
        <v>3</v>
      </c>
      <c r="BR74" t="s">
        <v>251</v>
      </c>
      <c r="BS74" s="33" t="str">
        <f>HYPERLINK("http://exon.niaid.nih.gov/transcriptome/S_calcitrans/S1/links/SWISSP/XP_013100127.1-SWISSP.txt","WW domain-containing protein WWM1")</f>
        <v>WW domain-containing protein WWM1</v>
      </c>
      <c r="BT74" t="str">
        <f>HYPERLINK("http://www.uniprot.org/uniprot/P43582","0.010")</f>
        <v>0.010</v>
      </c>
      <c r="BU74" t="str">
        <f>HYPERLINK("http://www.uniprot.org/uniprot/P43582#expression","P43582")</f>
        <v>P43582</v>
      </c>
      <c r="BV74">
        <v>39</v>
      </c>
      <c r="BW74">
        <v>45</v>
      </c>
      <c r="BX74">
        <v>30</v>
      </c>
      <c r="BY74" t="s">
        <v>887</v>
      </c>
      <c r="BZ74" s="33" t="str">
        <f>HYPERLINK("http://exon.niaid.nih.gov/transcriptome/S_calcitrans/S1/links/REFSEQ-INVERTEBRATE/XP_013100127.1-REFSEQ-INVERTEBRATE.txt","uncharacterized protein LOC106082279")</f>
        <v>uncharacterized protein LOC106082279</v>
      </c>
      <c r="CA74" t="str">
        <f>HYPERLINK("http://www.ncbi.nlm.nih.gov/sutils/blink.cgi?pid=907638809","1E-056")</f>
        <v>1E-056</v>
      </c>
      <c r="CB74" t="str">
        <f>HYPERLINK("http://www.ncbi.nlm.nih.gov/protein/907638809","gi|907638809")</f>
        <v>gi|907638809</v>
      </c>
      <c r="CC74">
        <v>100</v>
      </c>
      <c r="CD74">
        <v>100</v>
      </c>
      <c r="CE74">
        <v>100</v>
      </c>
      <c r="CF74" t="s">
        <v>253</v>
      </c>
      <c r="CG74" s="33" t="str">
        <f>HYPERLINK("http://exon.niaid.nih.gov/transcriptome/S_calcitrans/S1/links/DIPTERA/XP_013100127.1-DIPTERA.txt","uncharacterized protein LOC106082279")</f>
        <v>uncharacterized protein LOC106082279</v>
      </c>
      <c r="CH74" t="str">
        <f>HYPERLINK("http://www.ncbi.nlm.nih.gov/sutils/blink.cgi?pid=907638809","7E-057")</f>
        <v>7E-057</v>
      </c>
      <c r="CI74" t="str">
        <f>HYPERLINK("http://www.ncbi.nlm.nih.gov/protein/907638809","gi|907638809")</f>
        <v>gi|907638809</v>
      </c>
      <c r="CJ74">
        <v>100</v>
      </c>
      <c r="CK74">
        <v>100</v>
      </c>
      <c r="CL74">
        <v>100</v>
      </c>
      <c r="CM74" t="s">
        <v>253</v>
      </c>
      <c r="CN74" s="33" t="s">
        <v>242</v>
      </c>
      <c r="CO74" t="s">
        <v>242</v>
      </c>
      <c r="CP74" t="s">
        <v>242</v>
      </c>
      <c r="CQ74" t="s">
        <v>242</v>
      </c>
      <c r="CR74" t="s">
        <v>242</v>
      </c>
      <c r="CS74" t="s">
        <v>242</v>
      </c>
      <c r="CT74" t="s">
        <v>242</v>
      </c>
      <c r="CU74" s="33" t="s">
        <v>242</v>
      </c>
      <c r="CV74" t="s">
        <v>242</v>
      </c>
      <c r="CW74" t="s">
        <v>242</v>
      </c>
      <c r="CX74" t="s">
        <v>242</v>
      </c>
      <c r="CY74" t="s">
        <v>242</v>
      </c>
      <c r="CZ74" t="s">
        <v>242</v>
      </c>
      <c r="DA74" t="s">
        <v>242</v>
      </c>
      <c r="DB74" t="s">
        <v>242</v>
      </c>
      <c r="DC74" t="s">
        <v>242</v>
      </c>
      <c r="DD74" t="s">
        <v>242</v>
      </c>
      <c r="DE74" s="33" t="str">
        <f>HYPERLINK("http://exon.niaid.nih.gov/transcriptome/S_calcitrans/S1/links/CDD/XP_013100127.1-CDD.txt","PHA03231")</f>
        <v>PHA03231</v>
      </c>
      <c r="DF74" t="str">
        <f>HYPERLINK("http://www.ncbi.nlm.nih.gov/Structure/cdd/cddsrv.cgi?uid=PHA03231&amp;version=v4.0","0.10")</f>
        <v>0.10</v>
      </c>
      <c r="DG74" t="s">
        <v>908</v>
      </c>
      <c r="DH74" s="33" t="str">
        <f>HYPERLINK("http://exon.niaid.nih.gov/transcriptome/S_calcitrans/S1/links/KOG/XP_013100127.1-KOG.txt","Chromatin remodeling complex SWI/SNF, component SWI2 and related ATPases (DNA/RNA helicase superfamily)")</f>
        <v>Chromatin remodeling complex SWI/SNF, component SWI2 and related ATPases (DNA/RNA helicase superfamily)</v>
      </c>
      <c r="DI74" t="str">
        <f>HYPERLINK("http://www.ncbi.nlm.nih.gov/Structure/cdd/cddsrv.cgi?uid=KOG0386","0.062")</f>
        <v>0.062</v>
      </c>
      <c r="DJ74" t="s">
        <v>909</v>
      </c>
      <c r="DK74" t="str">
        <f>HYPERLINK("http://exon.niaid.nih.gov/transcriptome/S_calcitrans/S1/links/KOG/XP_013100127.1-KOG.txt","KOG0386")</f>
        <v>KOG0386</v>
      </c>
      <c r="DL74" s="33" t="str">
        <f>HYPERLINK("http://exon.niaid.nih.gov/transcriptome/S_calcitrans/S1/links/PFAM/XP_013100127.1-PFAM.txt","DUF2076")</f>
        <v>DUF2076</v>
      </c>
      <c r="DM74" t="str">
        <f>HYPERLINK("http://pfam.sanger.ac.uk/family?acc=PF09849","0.021")</f>
        <v>0.021</v>
      </c>
      <c r="DN74" s="33" t="str">
        <f>HYPERLINK("http://exon.niaid.nih.gov/transcriptome/S_calcitrans/S1/links/SMART/XP_013100127.1-SMART.txt","WWE")</f>
        <v>WWE</v>
      </c>
      <c r="DO74" t="str">
        <f>HYPERLINK("http://smart.embl-heidelberg.de/smart/do_annotation.pl?DOMAIN=WWE&amp;BLAST=DUMMY","0.43")</f>
        <v>0.43</v>
      </c>
      <c r="DP74" s="33"/>
      <c r="EB74" s="33">
        <f>HYPERLINK("http://exon.niaid.nih.gov/transcriptome/S_calcitrans/S1/links/cluster-b/Scalc-pep25-50SimCLU1.txt", 1)</f>
        <v>1</v>
      </c>
      <c r="EC74">
        <f>HYPERLINK("http://exon.niaid.nih.gov/transcriptome/S_calcitrans/S1/links/cluster-b/Scalc-pep25-50SimCLTL1.txt", 5170)</f>
        <v>5170</v>
      </c>
      <c r="ED74" s="33">
        <f>HYPERLINK("http://exon.niaid.nih.gov/transcriptome/S_calcitrans/S1/links/cluster-b/Scalc-pep30-50SimCLU546.txt", 546)</f>
        <v>546</v>
      </c>
      <c r="EE74">
        <f>HYPERLINK("http://exon.niaid.nih.gov/transcriptome/S_calcitrans/S1/links/cluster-b/Scalc-pep30-50SimCLTL546.txt", 6)</f>
        <v>6</v>
      </c>
      <c r="EF74" s="33">
        <f>HYPERLINK("http://exon.niaid.nih.gov/transcriptome/S_calcitrans/S1/links/cluster-b/Scalc-pep35-50SimCLU562.txt", 562)</f>
        <v>562</v>
      </c>
      <c r="EG74">
        <f>HYPERLINK("http://exon.niaid.nih.gov/transcriptome/S_calcitrans/S1/links/cluster-b/Scalc-pep35-50SimCLTL562.txt", 6)</f>
        <v>6</v>
      </c>
      <c r="EH74" s="33">
        <f>HYPERLINK("http://exon.niaid.nih.gov/transcriptome/S_calcitrans/S1/links/cluster-b/Scalc-pep40-50SimCLU542.txt", 542)</f>
        <v>542</v>
      </c>
      <c r="EI74">
        <f>HYPERLINK("http://exon.niaid.nih.gov/transcriptome/S_calcitrans/S1/links/cluster-b/Scalc-pep40-50SimCLTL542.txt", 6)</f>
        <v>6</v>
      </c>
      <c r="EJ74" s="33">
        <f>HYPERLINK("http://exon.niaid.nih.gov/transcriptome/S_calcitrans/S1/links/cluster-b/Scalc-pep45-50SimCLU525.txt", 525)</f>
        <v>525</v>
      </c>
      <c r="EK74">
        <f>HYPERLINK("http://exon.niaid.nih.gov/transcriptome/S_calcitrans/S1/links/cluster-b/Scalc-pep45-50SimCLTL525.txt", 6)</f>
        <v>6</v>
      </c>
      <c r="EL74" s="33">
        <f>HYPERLINK("http://exon.niaid.nih.gov/transcriptome/S_calcitrans/S1/links/cluster-b/Scalc-pep50-50SimCLU519.txt", 519)</f>
        <v>519</v>
      </c>
      <c r="EM74">
        <f>HYPERLINK("http://exon.niaid.nih.gov/transcriptome/S_calcitrans/S1/links/cluster-b/Scalc-pep50-50SimCLTL519.txt", 6)</f>
        <v>6</v>
      </c>
      <c r="EN74" s="33">
        <f>HYPERLINK("http://exon.niaid.nih.gov/transcriptome/S_calcitrans/S1/links/cluster-b/Scalc-pep55-50SimCLU472.txt", 472)</f>
        <v>472</v>
      </c>
      <c r="EO74">
        <f>HYPERLINK("http://exon.niaid.nih.gov/transcriptome/S_calcitrans/S1/links/cluster-b/Scalc-pep55-50SimCLTL472.txt", 6)</f>
        <v>6</v>
      </c>
      <c r="EP74" s="33">
        <f>HYPERLINK("http://exon.niaid.nih.gov/transcriptome/S_calcitrans/S1/links/cluster-b/Scalc-pep60-50SimCLU445.txt", 445)</f>
        <v>445</v>
      </c>
      <c r="EQ74">
        <f>HYPERLINK("http://exon.niaid.nih.gov/transcriptome/S_calcitrans/S1/links/cluster-b/Scalc-pep60-50SimCLTL445.txt", 6)</f>
        <v>6</v>
      </c>
      <c r="ER74" s="33">
        <f>HYPERLINK("http://exon.niaid.nih.gov/transcriptome/S_calcitrans/S1/links/cluster-b/Scalc-pep65-50SimCLU405.txt", 405)</f>
        <v>405</v>
      </c>
      <c r="ES74">
        <f>HYPERLINK("http://exon.niaid.nih.gov/transcriptome/S_calcitrans/S1/links/cluster-b/Scalc-pep65-50SimCLTL405.txt", 6)</f>
        <v>6</v>
      </c>
      <c r="ET74" s="33">
        <f>HYPERLINK("http://exon.niaid.nih.gov/transcriptome/S_calcitrans/S1/links/cluster-b/Scalc-pep70-50SimCLU363.txt", 363)</f>
        <v>363</v>
      </c>
      <c r="EU74">
        <f>HYPERLINK("http://exon.niaid.nih.gov/transcriptome/S_calcitrans/S1/links/cluster-b/Scalc-pep70-50SimCLTL363.txt", 6)</f>
        <v>6</v>
      </c>
      <c r="EV74" s="33">
        <f>HYPERLINK("http://exon.niaid.nih.gov/transcriptome/S_calcitrans/S1/links/cluster-b/Scalc-pep75-50SimCLU331.txt", 331)</f>
        <v>331</v>
      </c>
      <c r="EW74">
        <f>HYPERLINK("http://exon.niaid.nih.gov/transcriptome/S_calcitrans/S1/links/cluster-b/Scalc-pep75-50SimCLTL331.txt", 6)</f>
        <v>6</v>
      </c>
      <c r="EX74" s="33">
        <f>HYPERLINK("http://exon.niaid.nih.gov/transcriptome/S_calcitrans/S1/links/cluster-b/Scalc-pep80-50SimCLU301.txt", 301)</f>
        <v>301</v>
      </c>
      <c r="EY74">
        <f>HYPERLINK("http://exon.niaid.nih.gov/transcriptome/S_calcitrans/S1/links/cluster-b/Scalc-pep80-50SimCLTL301.txt", 6)</f>
        <v>6</v>
      </c>
      <c r="EZ74" s="33">
        <f>HYPERLINK("http://exon.niaid.nih.gov/transcriptome/S_calcitrans/S1/links/cluster-b/Scalc-pep85-50SimCLU270.txt", 270)</f>
        <v>270</v>
      </c>
      <c r="FA74">
        <f>HYPERLINK("http://exon.niaid.nih.gov/transcriptome/S_calcitrans/S1/links/cluster-b/Scalc-pep85-50SimCLTL270.txt", 6)</f>
        <v>6</v>
      </c>
      <c r="FB74" s="33">
        <f>HYPERLINK("http://exon.niaid.nih.gov/transcriptome/S_calcitrans/S1/links/cluster-b/Scalc-pep90-50SimCLU242.txt", 242)</f>
        <v>242</v>
      </c>
      <c r="FC74">
        <f>HYPERLINK("http://exon.niaid.nih.gov/transcriptome/S_calcitrans/S1/links/cluster-b/Scalc-pep90-50SimCLTL242.txt", 6)</f>
        <v>6</v>
      </c>
      <c r="FD74" s="33">
        <v>6324</v>
      </c>
      <c r="FE74">
        <v>1</v>
      </c>
      <c r="FF74" t="s">
        <v>910</v>
      </c>
      <c r="FG74">
        <v>6293</v>
      </c>
      <c r="FH74" s="38" t="str">
        <f>HYPERLINK("http://exon.niaid.nih.gov/transcriptome/S_calcitrans/S1/links/SG_male-stripped_temp-95-h10-1gap/6293-SG_male-stripped_temp-95-h10-1gap.txt","20")</f>
        <v>20</v>
      </c>
      <c r="FI74" s="39">
        <v>100</v>
      </c>
      <c r="FJ74" s="39">
        <v>4.3154761904761898</v>
      </c>
      <c r="FK74" s="39">
        <v>1</v>
      </c>
      <c r="FL74" s="39">
        <v>8</v>
      </c>
      <c r="FM74" s="39">
        <v>72.5</v>
      </c>
      <c r="FN74" s="38" t="str">
        <f>HYPERLINK("http://exon.niaid.nih.gov/transcriptome/S_calcitrans/S1/links/SG_female-stripped_temp-95-h10-1gap/6293-SG_female-stripped_temp-95-h10-1gap.txt","13")</f>
        <v>13</v>
      </c>
      <c r="FO74" s="39">
        <v>94.345238095238102</v>
      </c>
      <c r="FP74" s="39">
        <v>2.81845238095238</v>
      </c>
      <c r="FQ74" s="39">
        <v>0</v>
      </c>
      <c r="FR74" s="39">
        <v>8</v>
      </c>
      <c r="FS74" s="39">
        <v>72.846153846153797</v>
      </c>
      <c r="FT74" s="38">
        <v>0</v>
      </c>
      <c r="FU74" s="39" t="s">
        <v>242</v>
      </c>
      <c r="FV74" s="39" t="s">
        <v>242</v>
      </c>
      <c r="FW74" s="39" t="s">
        <v>242</v>
      </c>
      <c r="FX74" s="39" t="s">
        <v>242</v>
      </c>
      <c r="FY74" s="39" t="s">
        <v>242</v>
      </c>
      <c r="FZ74" s="38">
        <v>0</v>
      </c>
      <c r="GA74" s="39" t="s">
        <v>242</v>
      </c>
      <c r="GB74" s="39" t="s">
        <v>242</v>
      </c>
      <c r="GC74" s="39" t="s">
        <v>242</v>
      </c>
      <c r="GD74" s="39" t="s">
        <v>242</v>
      </c>
      <c r="GE74" s="39" t="s">
        <v>242</v>
      </c>
      <c r="GF74">
        <f t="shared" si="86"/>
        <v>20</v>
      </c>
      <c r="GG74">
        <f t="shared" si="87"/>
        <v>13</v>
      </c>
      <c r="GH74">
        <f t="shared" si="88"/>
        <v>0</v>
      </c>
      <c r="GI74">
        <f t="shared" si="89"/>
        <v>0</v>
      </c>
      <c r="GJ74">
        <f t="shared" si="90"/>
        <v>33</v>
      </c>
      <c r="GK74" s="34">
        <v>1.2817726682952949E-4</v>
      </c>
      <c r="GL74">
        <v>1.9471199573142706</v>
      </c>
      <c r="GM74">
        <v>0.57554238833103266</v>
      </c>
      <c r="GN74">
        <v>0</v>
      </c>
      <c r="GO74">
        <v>0</v>
      </c>
      <c r="GP74">
        <f t="shared" si="91"/>
        <v>1.9471199573142706</v>
      </c>
      <c r="GQ74" t="s">
        <v>574</v>
      </c>
      <c r="GR74">
        <v>1.5185422173888439</v>
      </c>
      <c r="GS74">
        <v>0.47238573545857188</v>
      </c>
      <c r="GT74">
        <v>0</v>
      </c>
      <c r="GU74">
        <v>0</v>
      </c>
      <c r="GV74">
        <f t="shared" si="92"/>
        <v>1.5185422173888439</v>
      </c>
      <c r="GW74">
        <v>99.546397642370792</v>
      </c>
      <c r="GX74">
        <v>33</v>
      </c>
      <c r="GY74">
        <v>0</v>
      </c>
      <c r="GZ74">
        <v>33</v>
      </c>
      <c r="HA74">
        <v>7.3259898888218329</v>
      </c>
      <c r="HB74">
        <v>25.674010111178166</v>
      </c>
      <c r="HC74">
        <v>89.974843699229297</v>
      </c>
      <c r="HD74">
        <v>25.674010111178163</v>
      </c>
      <c r="HE74">
        <v>115.64885381040746</v>
      </c>
      <c r="HF74">
        <v>5.6736494559322895E-27</v>
      </c>
      <c r="HG74">
        <v>7.3259898888218329</v>
      </c>
      <c r="HH74">
        <v>1</v>
      </c>
      <c r="HI74">
        <v>1</v>
      </c>
      <c r="HJ74">
        <v>2</v>
      </c>
      <c r="HK74" s="37">
        <v>9.3595005143654895E-27</v>
      </c>
      <c r="HL74" s="30" t="s">
        <v>262</v>
      </c>
      <c r="HM74">
        <v>115.64885381040749</v>
      </c>
      <c r="HN74">
        <v>0</v>
      </c>
      <c r="HO74">
        <v>20</v>
      </c>
      <c r="HP74">
        <v>13</v>
      </c>
      <c r="HQ74">
        <v>33</v>
      </c>
      <c r="HR74">
        <v>10.315666177075668</v>
      </c>
      <c r="HS74">
        <v>22.68433382292433</v>
      </c>
      <c r="HT74">
        <v>9.091639840212741</v>
      </c>
      <c r="HU74">
        <v>4.1344093384420928</v>
      </c>
      <c r="HV74">
        <v>13.226049178654833</v>
      </c>
      <c r="HW74">
        <v>2.7608513911128052E-4</v>
      </c>
      <c r="HX74">
        <v>10.315666177075668</v>
      </c>
      <c r="HY74">
        <v>1</v>
      </c>
      <c r="HZ74">
        <v>1</v>
      </c>
      <c r="IA74">
        <v>2</v>
      </c>
      <c r="IB74">
        <v>2.1336000860585199E-3</v>
      </c>
      <c r="IC74" s="30" t="s">
        <v>262</v>
      </c>
      <c r="ID74">
        <v>3.1414540388697261</v>
      </c>
      <c r="IE74">
        <v>0.2815109597512313</v>
      </c>
      <c r="IF74">
        <v>3.1414540388697261</v>
      </c>
      <c r="IG74" t="str">
        <f t="shared" si="84"/>
        <v/>
      </c>
    </row>
    <row r="75" spans="1:241">
      <c r="A75" t="str">
        <f>HYPERLINK("http://exon.niaid.nih.gov/transcriptome/S_calcitrans/S1/links/pep/XP_013105971.1-pep.txt","XP_013105971.1")</f>
        <v>XP_013105971.1</v>
      </c>
      <c r="B75" s="30" t="s">
        <v>232</v>
      </c>
      <c r="C75">
        <v>119</v>
      </c>
      <c r="D75" t="s">
        <v>911</v>
      </c>
      <c r="E75">
        <v>1</v>
      </c>
      <c r="F75" t="s">
        <v>912</v>
      </c>
      <c r="G75" t="str">
        <f>HYPERLINK("http://exon.niaid.nih.gov/transcriptome/S_calcitrans/S1/links/cds/XM_013250517_1-cds.txt","XM_013250517_1")</f>
        <v>XM_013250517_1</v>
      </c>
      <c r="H75">
        <v>360</v>
      </c>
      <c r="I75" t="s">
        <v>913</v>
      </c>
      <c r="J75" s="30" t="s">
        <v>236</v>
      </c>
      <c r="K75" s="30" t="s">
        <v>91</v>
      </c>
      <c r="L75" s="31" t="s">
        <v>914</v>
      </c>
      <c r="M75" s="30">
        <v>404564</v>
      </c>
      <c r="N75" s="30">
        <v>409029</v>
      </c>
      <c r="O75" s="30" t="s">
        <v>238</v>
      </c>
      <c r="P75" s="30">
        <v>3</v>
      </c>
      <c r="Q75" s="31" t="s">
        <v>915</v>
      </c>
      <c r="R75" s="32" t="str">
        <f>HYPERLINK("http://exon.niaid.nih.gov/transcriptome/S_calcitrans/S1/links/Sigp/XP_013105971.1-SigP.txt","SIG")</f>
        <v>SIG</v>
      </c>
      <c r="S75" t="s">
        <v>278</v>
      </c>
      <c r="T75">
        <v>13.176</v>
      </c>
      <c r="U75">
        <v>6.68</v>
      </c>
      <c r="V75">
        <v>11.305999999999999</v>
      </c>
      <c r="W75">
        <v>6.07</v>
      </c>
      <c r="X75" t="s">
        <v>916</v>
      </c>
      <c r="Y75" s="32" t="str">
        <f>HYPERLINK("http://exon.niaid.nih.gov/transcriptome/S_calcitrans/S1/links/tmhmm/XP_013105971.1-tmhmm.txt","1")</f>
        <v>1</v>
      </c>
      <c r="Z75">
        <v>16</v>
      </c>
      <c r="AA75">
        <v>78.2</v>
      </c>
      <c r="AB75">
        <v>5.9</v>
      </c>
      <c r="AC75" t="s">
        <v>242</v>
      </c>
      <c r="AD75">
        <v>93</v>
      </c>
      <c r="AE75" s="32" t="str">
        <f>HYPERLINK("http://exon.niaid.nih.gov/transcriptome/S_calcitrans/S1/links/netoglyc/XP_013105971.1-netoglyc.txt","0")</f>
        <v>0</v>
      </c>
      <c r="AF75">
        <v>5.9</v>
      </c>
      <c r="AG75">
        <v>8.4</v>
      </c>
      <c r="AH75">
        <v>5</v>
      </c>
      <c r="AI75" t="s">
        <v>243</v>
      </c>
      <c r="AJ75" t="s">
        <v>242</v>
      </c>
      <c r="AK75">
        <v>168.21651463331997</v>
      </c>
      <c r="AL75" s="33">
        <v>9047</v>
      </c>
      <c r="AM75">
        <v>1</v>
      </c>
      <c r="AN75" s="30">
        <f t="shared" si="83"/>
        <v>1</v>
      </c>
      <c r="AO75" s="30" t="s">
        <v>244</v>
      </c>
      <c r="AP75">
        <v>48</v>
      </c>
      <c r="AQ75" s="34">
        <v>1.8643966084295197E-4</v>
      </c>
      <c r="AR75" s="35">
        <v>114.65108310279301</v>
      </c>
      <c r="AS75" t="s">
        <v>917</v>
      </c>
      <c r="AT75" s="36" t="s">
        <v>885</v>
      </c>
      <c r="AU75" t="s">
        <v>574</v>
      </c>
      <c r="AV75" t="str">
        <f>HYPERLINK("http://exon.niaid.nih.gov/transcriptome/S_calcitrans/S1/links/SWISSP/XP_013105971.1-SWISSP.txt","SWISSP")</f>
        <v>SWISSP</v>
      </c>
      <c r="AW75">
        <v>1000</v>
      </c>
      <c r="AX75">
        <v>5.2</v>
      </c>
      <c r="AY75" s="33"/>
      <c r="BG75" s="31"/>
      <c r="BJ75" s="33" t="str">
        <f>HYPERLINK("http://exon.niaid.nih.gov/transcriptome/S_calcitrans/S1/links/TICK-BLOCKS/XP_013105971.1-TICK-BLOCKS.txt","RGD_cys_disintegrin |")</f>
        <v>RGD_cys_disintegrin |</v>
      </c>
      <c r="BK75" s="33" t="s">
        <v>918</v>
      </c>
      <c r="BL75" s="33" t="str">
        <f>HYPERLINK("http://exon.niaid.nih.gov/transcriptome/S_calcitrans/S1/links/NR-LIGHT/XP_013105971.1-NR-LIGHT.txt","uncharacterized protein LOC101900993")</f>
        <v>uncharacterized protein LOC101900993</v>
      </c>
      <c r="BM75" t="str">
        <f>HYPERLINK("http://www.ncbi.nlm.nih.gov/sutils/blink.cgi?pid=557751304","7E-056")</f>
        <v>7E-056</v>
      </c>
      <c r="BN75" t="str">
        <f>HYPERLINK("http://www.ncbi.nlm.nih.gov/protein/557751304","gi|557751304")</f>
        <v>gi|557751304</v>
      </c>
      <c r="BO75">
        <v>82</v>
      </c>
      <c r="BP75">
        <v>95</v>
      </c>
      <c r="BQ75">
        <v>93</v>
      </c>
      <c r="BR75" t="s">
        <v>251</v>
      </c>
      <c r="BS75" s="33" t="str">
        <f>HYPERLINK("http://exon.niaid.nih.gov/transcriptome/S_calcitrans/S1/links/SWISSP/XP_013105971.1-SWISSP.txt","Thrombospondin-1")</f>
        <v>Thrombospondin-1</v>
      </c>
      <c r="BT75" t="str">
        <f>HYPERLINK("http://www.uniprot.org/uniprot/P35448","0.14")</f>
        <v>0.14</v>
      </c>
      <c r="BU75" t="str">
        <f>HYPERLINK("http://www.uniprot.org/uniprot/P35448#expression","P35448")</f>
        <v>P35448</v>
      </c>
      <c r="BV75">
        <v>27</v>
      </c>
      <c r="BW75">
        <v>45</v>
      </c>
      <c r="BX75">
        <v>5</v>
      </c>
      <c r="BY75" t="s">
        <v>607</v>
      </c>
      <c r="BZ75" s="33" t="str">
        <f>HYPERLINK("http://exon.niaid.nih.gov/transcriptome/S_calcitrans/S1/links/REFSEQ-INVERTEBRATE/XP_013105971.1-REFSEQ-INVERTEBRATE.txt","uncharacterized protein LOC106086016")</f>
        <v>uncharacterized protein LOC106086016</v>
      </c>
      <c r="CA75" t="str">
        <f>HYPERLINK("http://www.ncbi.nlm.nih.gov/sutils/blink.cgi?pid=907678630","1E-067")</f>
        <v>1E-067</v>
      </c>
      <c r="CB75" t="str">
        <f>HYPERLINK("http://www.ncbi.nlm.nih.gov/protein/907678630","gi|907678630")</f>
        <v>gi|907678630</v>
      </c>
      <c r="CC75">
        <v>100</v>
      </c>
      <c r="CD75">
        <v>100</v>
      </c>
      <c r="CE75">
        <v>100</v>
      </c>
      <c r="CF75" t="s">
        <v>253</v>
      </c>
      <c r="CG75" s="33" t="str">
        <f>HYPERLINK("http://exon.niaid.nih.gov/transcriptome/S_calcitrans/S1/links/DIPTERA/XP_013105971.1-DIPTERA.txt","uncharacterized protein LOC106086016")</f>
        <v>uncharacterized protein LOC106086016</v>
      </c>
      <c r="CH75" t="str">
        <f>HYPERLINK("http://www.ncbi.nlm.nih.gov/sutils/blink.cgi?pid=907678630","7E-068")</f>
        <v>7E-068</v>
      </c>
      <c r="CI75" t="str">
        <f>HYPERLINK("http://www.ncbi.nlm.nih.gov/protein/907678630","gi|907678630")</f>
        <v>gi|907678630</v>
      </c>
      <c r="CJ75">
        <v>100</v>
      </c>
      <c r="CK75">
        <v>100</v>
      </c>
      <c r="CL75">
        <v>100</v>
      </c>
      <c r="CM75" t="s">
        <v>253</v>
      </c>
      <c r="CN75" s="33" t="s">
        <v>242</v>
      </c>
      <c r="CO75" t="s">
        <v>242</v>
      </c>
      <c r="CP75" t="s">
        <v>242</v>
      </c>
      <c r="CQ75" t="s">
        <v>242</v>
      </c>
      <c r="CR75" t="s">
        <v>242</v>
      </c>
      <c r="CS75" t="s">
        <v>242</v>
      </c>
      <c r="CT75" t="s">
        <v>242</v>
      </c>
      <c r="CU75" s="33" t="s">
        <v>919</v>
      </c>
      <c r="CV75">
        <f>HYPERLINK("http://exon.niaid.nih.gov/transcriptome/S_calcitrans/S1/links/GO/XP_013105971.1-GO.txt",0.000000000000002)</f>
        <v>2.0000000000000002E-15</v>
      </c>
      <c r="CW75" t="s">
        <v>242</v>
      </c>
      <c r="CX75" t="s">
        <v>242</v>
      </c>
      <c r="CY75" t="s">
        <v>242</v>
      </c>
      <c r="CZ75" t="s">
        <v>242</v>
      </c>
      <c r="DA75" t="s">
        <v>242</v>
      </c>
      <c r="DC75" t="s">
        <v>242</v>
      </c>
      <c r="DD75" t="s">
        <v>242</v>
      </c>
      <c r="DE75" s="33" t="str">
        <f>HYPERLINK("http://exon.niaid.nih.gov/transcriptome/S_calcitrans/S1/links/CDD/XP_013105971.1-CDD.txt","SVWC")</f>
        <v>SVWC</v>
      </c>
      <c r="DF75" t="str">
        <f>HYPERLINK("http://www.ncbi.nlm.nih.gov/Structure/cdd/cddsrv.cgi?uid=pfam15430&amp;version=v4.0","8E-008")</f>
        <v>8E-008</v>
      </c>
      <c r="DG75" t="s">
        <v>920</v>
      </c>
      <c r="DH75" s="33" t="str">
        <f>HYPERLINK("http://exon.niaid.nih.gov/transcriptome/S_calcitrans/S1/links/KOG/XP_013105971.1-KOG.txt","Histone H3 (Lys4) methyltransferase complex and RNA cleavage factor II complex, subunit SWD2")</f>
        <v>Histone H3 (Lys4) methyltransferase complex and RNA cleavage factor II complex, subunit SWD2</v>
      </c>
      <c r="DI75" t="str">
        <f>HYPERLINK("http://www.ncbi.nlm.nih.gov/Structure/cdd/cddsrv.cgi?uid=KOG1446","2.7")</f>
        <v>2.7</v>
      </c>
      <c r="DJ75" t="s">
        <v>921</v>
      </c>
      <c r="DK75" t="str">
        <f>HYPERLINK("http://exon.niaid.nih.gov/transcriptome/S_calcitrans/S1/links/KOG/XP_013105971.1-KOG.txt","KOG1446")</f>
        <v>KOG1446</v>
      </c>
      <c r="DL75" s="33" t="str">
        <f>HYPERLINK("http://exon.niaid.nih.gov/transcriptome/S_calcitrans/S1/links/PFAM/XP_013105971.1-PFAM.txt","SVWC")</f>
        <v>SVWC</v>
      </c>
      <c r="DM75" t="str">
        <f>HYPERLINK("http://pfam.sanger.ac.uk/family?acc=PF15430","2E-008")</f>
        <v>2E-008</v>
      </c>
      <c r="DN75" s="33" t="str">
        <f>HYPERLINK("http://exon.niaid.nih.gov/transcriptome/S_calcitrans/S1/links/SMART/XP_013105971.1-SMART.txt","DWB")</f>
        <v>DWB</v>
      </c>
      <c r="DO75" t="str">
        <f>HYPERLINK("http://smart.embl-heidelberg.de/smart/do_annotation.pl?DOMAIN=DWB&amp;BLAST=DUMMY","0.70")</f>
        <v>0.70</v>
      </c>
      <c r="DP75" s="33"/>
      <c r="EB75" s="33">
        <f>HYPERLINK("http://exon.niaid.nih.gov/transcriptome/S_calcitrans/S1/links/cluster-b/Scalc-pep25-50SimCLU25.txt", 25)</f>
        <v>25</v>
      </c>
      <c r="EC75">
        <f>HYPERLINK("http://exon.niaid.nih.gov/transcriptome/S_calcitrans/S1/links/cluster-b/Scalc-pep25-50SimCLTL25.txt", 50)</f>
        <v>50</v>
      </c>
      <c r="ED75" s="33">
        <f>HYPERLINK("http://exon.niaid.nih.gov/transcriptome/S_calcitrans/S1/links/cluster-b/Scalc-pep30-50SimCLU52.txt", 52)</f>
        <v>52</v>
      </c>
      <c r="EE75">
        <f>HYPERLINK("http://exon.niaid.nih.gov/transcriptome/S_calcitrans/S1/links/cluster-b/Scalc-pep30-50SimCLTL52.txt", 31)</f>
        <v>31</v>
      </c>
      <c r="EF75" s="33">
        <f>HYPERLINK("http://exon.niaid.nih.gov/transcriptome/S_calcitrans/S1/links/cluster-b/Scalc-pep35-50SimCLU51.txt", 51)</f>
        <v>51</v>
      </c>
      <c r="EG75">
        <f>HYPERLINK("http://exon.niaid.nih.gov/transcriptome/S_calcitrans/S1/links/cluster-b/Scalc-pep35-50SimCLTL51.txt", 31)</f>
        <v>31</v>
      </c>
      <c r="EH75" s="33">
        <f>HYPERLINK("http://exon.niaid.nih.gov/transcriptome/S_calcitrans/S1/links/cluster-b/Scalc-pep40-50SimCLU43.txt", 43)</f>
        <v>43</v>
      </c>
      <c r="EI75">
        <f>HYPERLINK("http://exon.niaid.nih.gov/transcriptome/S_calcitrans/S1/links/cluster-b/Scalc-pep40-50SimCLTL43.txt", 31)</f>
        <v>31</v>
      </c>
      <c r="EJ75" s="33">
        <v>6483</v>
      </c>
      <c r="EK75">
        <v>1</v>
      </c>
      <c r="EL75" s="33">
        <v>6801</v>
      </c>
      <c r="EM75">
        <v>1</v>
      </c>
      <c r="EN75" s="33">
        <v>7185</v>
      </c>
      <c r="EO75">
        <v>1</v>
      </c>
      <c r="EP75" s="33">
        <v>7475</v>
      </c>
      <c r="EQ75">
        <v>1</v>
      </c>
      <c r="ER75" s="33">
        <v>7728</v>
      </c>
      <c r="ES75">
        <v>1</v>
      </c>
      <c r="ET75" s="33">
        <v>7928</v>
      </c>
      <c r="EU75">
        <v>1</v>
      </c>
      <c r="EV75" s="33">
        <v>8126</v>
      </c>
      <c r="EW75">
        <v>1</v>
      </c>
      <c r="EX75" s="33">
        <v>8319</v>
      </c>
      <c r="EY75">
        <v>1</v>
      </c>
      <c r="EZ75" s="33">
        <v>8516</v>
      </c>
      <c r="FA75">
        <v>1</v>
      </c>
      <c r="FB75" s="33">
        <v>8730</v>
      </c>
      <c r="FC75">
        <v>1</v>
      </c>
      <c r="FD75" s="33">
        <v>9047</v>
      </c>
      <c r="FE75">
        <v>1</v>
      </c>
      <c r="FF75" t="s">
        <v>922</v>
      </c>
      <c r="FG75">
        <v>11519</v>
      </c>
      <c r="FH75" s="38" t="str">
        <f>HYPERLINK("http://exon.niaid.nih.gov/transcriptome/S_calcitrans/S1/links/SG_male-stripped_temp-95-h10-1gap/11519-SG_male-stripped_temp-95-h10-1gap.txt","18")</f>
        <v>18</v>
      </c>
      <c r="FI75" s="39">
        <v>94.4444444444444</v>
      </c>
      <c r="FJ75" s="39">
        <v>3.4638888888888899</v>
      </c>
      <c r="FK75" s="39">
        <v>0</v>
      </c>
      <c r="FL75" s="39">
        <v>7</v>
      </c>
      <c r="FM75" s="39">
        <v>69.2777777777778</v>
      </c>
      <c r="FN75" s="38" t="str">
        <f>HYPERLINK("http://exon.niaid.nih.gov/transcriptome/S_calcitrans/S1/links/SG_female-stripped_temp-95-h10-1gap/11519-SG_female-stripped_temp-95-h10-1gap.txt","30")</f>
        <v>30</v>
      </c>
      <c r="FO75" s="39">
        <v>96.1111111111111</v>
      </c>
      <c r="FP75" s="39">
        <v>6.0277777777777803</v>
      </c>
      <c r="FQ75" s="39">
        <v>0</v>
      </c>
      <c r="FR75" s="39">
        <v>12</v>
      </c>
      <c r="FS75" s="39">
        <v>72.3333333333333</v>
      </c>
      <c r="FT75" s="38">
        <v>0</v>
      </c>
      <c r="FU75" s="39" t="s">
        <v>242</v>
      </c>
      <c r="FV75" s="39" t="s">
        <v>242</v>
      </c>
      <c r="FW75" s="39" t="s">
        <v>242</v>
      </c>
      <c r="FX75" s="39" t="s">
        <v>242</v>
      </c>
      <c r="FY75" s="39" t="s">
        <v>242</v>
      </c>
      <c r="FZ75" s="38">
        <v>0</v>
      </c>
      <c r="GA75" s="39" t="s">
        <v>242</v>
      </c>
      <c r="GB75" s="39" t="s">
        <v>242</v>
      </c>
      <c r="GC75" s="39" t="s">
        <v>242</v>
      </c>
      <c r="GD75" s="39" t="s">
        <v>242</v>
      </c>
      <c r="GE75" s="39" t="s">
        <v>242</v>
      </c>
      <c r="GF75">
        <f t="shared" si="86"/>
        <v>18</v>
      </c>
      <c r="GG75">
        <f t="shared" si="87"/>
        <v>30</v>
      </c>
      <c r="GH75">
        <f t="shared" si="88"/>
        <v>0</v>
      </c>
      <c r="GI75">
        <f t="shared" si="89"/>
        <v>0</v>
      </c>
      <c r="GJ75">
        <f t="shared" si="90"/>
        <v>48</v>
      </c>
      <c r="GK75" s="34">
        <v>1.8643966084295197E-4</v>
      </c>
      <c r="GL75">
        <v>1.6355807641439872</v>
      </c>
      <c r="GM75">
        <v>1.2396297594822243</v>
      </c>
      <c r="GN75">
        <v>0</v>
      </c>
      <c r="GO75">
        <v>0</v>
      </c>
      <c r="GP75">
        <f t="shared" si="91"/>
        <v>1.6355807641439872</v>
      </c>
      <c r="GQ75" t="s">
        <v>574</v>
      </c>
      <c r="GR75">
        <v>1.2755754626066289</v>
      </c>
      <c r="GS75">
        <v>1.0174461994492316</v>
      </c>
      <c r="GT75">
        <v>0</v>
      </c>
      <c r="GU75">
        <v>0</v>
      </c>
      <c r="GV75">
        <f t="shared" si="92"/>
        <v>1.2755754626066289</v>
      </c>
      <c r="GW75">
        <v>114.65108310279301</v>
      </c>
      <c r="GX75">
        <v>48</v>
      </c>
      <c r="GY75">
        <v>0</v>
      </c>
      <c r="GZ75">
        <v>48</v>
      </c>
      <c r="HA75">
        <v>10.655985292831756</v>
      </c>
      <c r="HB75">
        <v>37.344014707168242</v>
      </c>
      <c r="HC75">
        <v>130.87249992615173</v>
      </c>
      <c r="HD75">
        <v>37.344014707168242</v>
      </c>
      <c r="HE75">
        <v>168.21651463331997</v>
      </c>
      <c r="HF75">
        <v>1.8143005908232444E-38</v>
      </c>
      <c r="HG75">
        <v>10.655985292831756</v>
      </c>
      <c r="HH75">
        <v>1</v>
      </c>
      <c r="HI75">
        <v>1</v>
      </c>
      <c r="HJ75">
        <v>2</v>
      </c>
      <c r="HK75" s="37">
        <v>3.23544642147907E-38</v>
      </c>
      <c r="HL75" s="30" t="s">
        <v>262</v>
      </c>
      <c r="HM75">
        <v>168.21651463331997</v>
      </c>
      <c r="HN75">
        <v>0</v>
      </c>
      <c r="HO75">
        <v>18</v>
      </c>
      <c r="HP75">
        <v>30</v>
      </c>
      <c r="HQ75">
        <v>48</v>
      </c>
      <c r="HR75">
        <v>15.004605348473699</v>
      </c>
      <c r="HS75">
        <v>32.995394651526304</v>
      </c>
      <c r="HT75">
        <v>0.59797568213315644</v>
      </c>
      <c r="HU75">
        <v>0.27192852860686556</v>
      </c>
      <c r="HV75">
        <v>0.869904210740022</v>
      </c>
      <c r="HW75">
        <v>0.3509818285173093</v>
      </c>
      <c r="HX75">
        <v>15.004605348473699</v>
      </c>
      <c r="HY75">
        <v>1</v>
      </c>
      <c r="HZ75" t="s">
        <v>244</v>
      </c>
      <c r="IA75">
        <v>1</v>
      </c>
      <c r="IB75">
        <v>0.66849427853143295</v>
      </c>
      <c r="IC75" s="30" t="s">
        <v>244</v>
      </c>
      <c r="ID75">
        <v>1.2768490609599534</v>
      </c>
      <c r="IE75">
        <v>0.71802390543836336</v>
      </c>
      <c r="IF75">
        <v>1.2768490609599534</v>
      </c>
      <c r="IG75" t="str">
        <f t="shared" si="84"/>
        <v/>
      </c>
    </row>
    <row r="76" spans="1:241">
      <c r="A76" t="str">
        <f>HYPERLINK("http://exon.niaid.nih.gov/transcriptome/S_calcitrans/S1/links/pep/XP_013106225.1-pep.txt","XP_013106225.1")</f>
        <v>XP_013106225.1</v>
      </c>
      <c r="B76" s="30" t="s">
        <v>232</v>
      </c>
      <c r="C76">
        <v>123</v>
      </c>
      <c r="D76" t="s">
        <v>923</v>
      </c>
      <c r="E76">
        <v>0</v>
      </c>
      <c r="F76" t="s">
        <v>924</v>
      </c>
      <c r="G76" t="str">
        <f>HYPERLINK("http://exon.niaid.nih.gov/transcriptome/S_calcitrans/S1/links/cds/XM_013250771_1-cds.txt","XM_013250771_1")</f>
        <v>XM_013250771_1</v>
      </c>
      <c r="H76">
        <v>372</v>
      </c>
      <c r="I76" t="s">
        <v>925</v>
      </c>
      <c r="J76" s="30" t="s">
        <v>236</v>
      </c>
      <c r="K76" s="30" t="s">
        <v>91</v>
      </c>
      <c r="L76" s="31" t="s">
        <v>926</v>
      </c>
      <c r="M76" s="30">
        <v>215257</v>
      </c>
      <c r="N76" s="30">
        <v>215692</v>
      </c>
      <c r="O76" s="30" t="s">
        <v>238</v>
      </c>
      <c r="P76" s="30">
        <v>2</v>
      </c>
      <c r="Q76" s="31" t="s">
        <v>927</v>
      </c>
      <c r="R76" s="32" t="str">
        <f>HYPERLINK("http://exon.niaid.nih.gov/transcriptome/S_calcitrans/S1/links/Sigp/XP_013106225.1-SigP.txt","SIG")</f>
        <v>SIG</v>
      </c>
      <c r="S76" t="s">
        <v>492</v>
      </c>
      <c r="T76">
        <v>13.488</v>
      </c>
      <c r="U76">
        <v>4.3499999999999996</v>
      </c>
      <c r="V76">
        <v>11.16</v>
      </c>
      <c r="W76">
        <v>4.24</v>
      </c>
      <c r="X76" t="s">
        <v>928</v>
      </c>
      <c r="Y76" s="32">
        <v>0</v>
      </c>
      <c r="Z76" t="s">
        <v>242</v>
      </c>
      <c r="AA76" t="s">
        <v>242</v>
      </c>
      <c r="AB76" t="s">
        <v>242</v>
      </c>
      <c r="AC76" t="s">
        <v>242</v>
      </c>
      <c r="AD76" t="s">
        <v>242</v>
      </c>
      <c r="AE76" s="32" t="str">
        <f>HYPERLINK("http://exon.niaid.nih.gov/transcriptome/S_calcitrans/S1/links/netoglyc/XP_013106225.1-netoglyc.txt","3")</f>
        <v>3</v>
      </c>
      <c r="AF76">
        <v>13</v>
      </c>
      <c r="AG76">
        <v>10.6</v>
      </c>
      <c r="AH76">
        <v>8.1</v>
      </c>
      <c r="AI76" t="s">
        <v>243</v>
      </c>
      <c r="AJ76" t="s">
        <v>242</v>
      </c>
      <c r="AK76">
        <v>10499.202609632252</v>
      </c>
      <c r="AL76" s="33">
        <v>9168</v>
      </c>
      <c r="AM76">
        <v>1</v>
      </c>
      <c r="AN76" s="30">
        <f t="shared" si="83"/>
        <v>1</v>
      </c>
      <c r="AO76" s="30" t="s">
        <v>244</v>
      </c>
      <c r="AP76">
        <v>404448</v>
      </c>
      <c r="AQ76" s="34">
        <v>1.5709405822627134</v>
      </c>
      <c r="AR76" s="35">
        <v>5174.5223306128155</v>
      </c>
      <c r="AS76" t="s">
        <v>929</v>
      </c>
      <c r="AT76" s="36" t="s">
        <v>885</v>
      </c>
      <c r="AU76" t="s">
        <v>574</v>
      </c>
      <c r="AV76" t="str">
        <f>HYPERLINK("http://exon.niaid.nih.gov/transcriptome/S_calcitrans/S1/links/SWISSP/XP_013106225.1-SWISSP.txt","SWISSP")</f>
        <v>SWISSP</v>
      </c>
      <c r="AW76">
        <v>1000</v>
      </c>
      <c r="AX76">
        <v>6.5</v>
      </c>
      <c r="AY76" s="33" t="str">
        <f>HYPERLINK("http://exon.niaid.nih.gov/transcriptome/S_calcitrans/S1/links/WANG/XP_013106225.1-WANG.txt","SC-4-39-1")</f>
        <v>SC-4-39-1</v>
      </c>
      <c r="AZ76">
        <v>6.9999999999999995E-70</v>
      </c>
      <c r="BA76">
        <v>123</v>
      </c>
      <c r="BB76">
        <v>126</v>
      </c>
      <c r="BC76">
        <v>98</v>
      </c>
      <c r="BD76">
        <v>98</v>
      </c>
      <c r="BE76">
        <v>98</v>
      </c>
      <c r="BF76" t="s">
        <v>248</v>
      </c>
      <c r="BG76" s="31" t="s">
        <v>930</v>
      </c>
      <c r="BH76" t="s">
        <v>931</v>
      </c>
      <c r="BI76">
        <v>27</v>
      </c>
      <c r="BJ76" s="33"/>
      <c r="BK76" s="33"/>
      <c r="BL76" s="33" t="str">
        <f>HYPERLINK("http://exon.niaid.nih.gov/transcriptome/S_calcitrans/S1/links/NR-LIGHT/XP_013106225.1-NR-LIGHT.txt","collagen alpha-4(IV) chain-like")</f>
        <v>collagen alpha-4(IV) chain-like</v>
      </c>
      <c r="BM76" t="str">
        <f>HYPERLINK("http://www.ncbi.nlm.nih.gov/sutils/blink.cgi?pid=755871722","1E-004")</f>
        <v>1E-004</v>
      </c>
      <c r="BN76" t="str">
        <f>HYPERLINK("http://www.ncbi.nlm.nih.gov/protein/755871722","gi|755871722")</f>
        <v>gi|755871722</v>
      </c>
      <c r="BO76">
        <v>54</v>
      </c>
      <c r="BP76">
        <v>58</v>
      </c>
      <c r="BQ76">
        <v>24</v>
      </c>
      <c r="BR76" t="s">
        <v>251</v>
      </c>
      <c r="BS76" s="33" t="str">
        <f>HYPERLINK("http://exon.niaid.nih.gov/transcriptome/S_calcitrans/S1/links/SWISSP/XP_013106225.1-SWISSP.txt","pH-response regulator protein palA/prr-1")</f>
        <v>pH-response regulator protein palA/prr-1</v>
      </c>
      <c r="BT76" t="str">
        <f>HYPERLINK("http://www.uniprot.org/uniprot/Q7S532","1.2")</f>
        <v>1.2</v>
      </c>
      <c r="BU76" t="str">
        <f>HYPERLINK("http://www.uniprot.org/uniprot/Q7S532#expression","Q7S532")</f>
        <v>Q7S532</v>
      </c>
      <c r="BV76">
        <v>32</v>
      </c>
      <c r="BW76">
        <v>42</v>
      </c>
      <c r="BX76">
        <v>7</v>
      </c>
      <c r="BY76" t="s">
        <v>511</v>
      </c>
      <c r="BZ76" s="33" t="str">
        <f>HYPERLINK("http://exon.niaid.nih.gov/transcriptome/S_calcitrans/S1/links/REFSEQ-INVERTEBRATE/XP_013106225.1-REFSEQ-INVERTEBRATE.txt","uncharacterized protein LOC106086203")</f>
        <v>uncharacterized protein LOC106086203</v>
      </c>
      <c r="CA76" t="str">
        <f>HYPERLINK("http://www.ncbi.nlm.nih.gov/sutils/blink.cgi?pid=907680183","4E-067")</f>
        <v>4E-067</v>
      </c>
      <c r="CB76" t="str">
        <f>HYPERLINK("http://www.ncbi.nlm.nih.gov/protein/907680183","gi|907680183")</f>
        <v>gi|907680183</v>
      </c>
      <c r="CC76">
        <v>100</v>
      </c>
      <c r="CD76">
        <v>100</v>
      </c>
      <c r="CE76">
        <v>100</v>
      </c>
      <c r="CF76" t="s">
        <v>253</v>
      </c>
      <c r="CG76" s="33" t="str">
        <f>HYPERLINK("http://exon.niaid.nih.gov/transcriptome/S_calcitrans/S1/links/DIPTERA/XP_013106225.1-DIPTERA.txt","uncharacterized protein LOC106086203")</f>
        <v>uncharacterized protein LOC106086203</v>
      </c>
      <c r="CH76" t="str">
        <f>HYPERLINK("http://www.ncbi.nlm.nih.gov/sutils/blink.cgi?pid=907680183","2E-067")</f>
        <v>2E-067</v>
      </c>
      <c r="CI76" t="str">
        <f>HYPERLINK("http://www.ncbi.nlm.nih.gov/protein/907680183","gi|907680183")</f>
        <v>gi|907680183</v>
      </c>
      <c r="CJ76">
        <v>100</v>
      </c>
      <c r="CK76">
        <v>100</v>
      </c>
      <c r="CL76">
        <v>100</v>
      </c>
      <c r="CM76" t="s">
        <v>253</v>
      </c>
      <c r="CN76" s="33" t="s">
        <v>242</v>
      </c>
      <c r="CO76" t="s">
        <v>242</v>
      </c>
      <c r="CP76" t="s">
        <v>242</v>
      </c>
      <c r="CQ76" t="s">
        <v>242</v>
      </c>
      <c r="CR76" t="s">
        <v>242</v>
      </c>
      <c r="CS76" t="s">
        <v>242</v>
      </c>
      <c r="CT76" t="s">
        <v>242</v>
      </c>
      <c r="CU76" s="33" t="s">
        <v>242</v>
      </c>
      <c r="CV76" t="s">
        <v>242</v>
      </c>
      <c r="CW76" t="s">
        <v>242</v>
      </c>
      <c r="CX76" t="s">
        <v>242</v>
      </c>
      <c r="CY76" t="s">
        <v>242</v>
      </c>
      <c r="CZ76" t="s">
        <v>242</v>
      </c>
      <c r="DA76" t="s">
        <v>242</v>
      </c>
      <c r="DB76" t="s">
        <v>242</v>
      </c>
      <c r="DC76" t="s">
        <v>242</v>
      </c>
      <c r="DD76" t="s">
        <v>242</v>
      </c>
      <c r="DE76" s="33" t="str">
        <f>HYPERLINK("http://exon.niaid.nih.gov/transcriptome/S_calcitrans/S1/links/CDD/XP_013106225.1-CDD.txt","STKc_AMPK_alpha")</f>
        <v>STKc_AMPK_alpha</v>
      </c>
      <c r="DF76" t="str">
        <f>HYPERLINK("http://www.ncbi.nlm.nih.gov/Structure/cdd/cddsrv.cgi?uid=cd14079&amp;version=v4.0","0.27")</f>
        <v>0.27</v>
      </c>
      <c r="DG76" t="s">
        <v>932</v>
      </c>
      <c r="DH76" s="33" t="str">
        <f>HYPERLINK("http://exon.niaid.nih.gov/transcriptome/S_calcitrans/S1/links/KOG/XP_013106225.1-KOG.txt","Predicted serine/threonine protein kinase")</f>
        <v>Predicted serine/threonine protein kinase</v>
      </c>
      <c r="DI76" t="str">
        <f>HYPERLINK("http://www.ncbi.nlm.nih.gov/Structure/cdd/cddsrv.cgi?uid=KOG0611","1.6")</f>
        <v>1.6</v>
      </c>
      <c r="DJ76" t="s">
        <v>342</v>
      </c>
      <c r="DK76" t="str">
        <f>HYPERLINK("http://exon.niaid.nih.gov/transcriptome/S_calcitrans/S1/links/KOG/XP_013106225.1-KOG.txt","KOG0611")</f>
        <v>KOG0611</v>
      </c>
      <c r="DL76" s="33" t="str">
        <f>HYPERLINK("http://exon.niaid.nih.gov/transcriptome/S_calcitrans/S1/links/PFAM/XP_013106225.1-PFAM.txt","PALP")</f>
        <v>PALP</v>
      </c>
      <c r="DM76" t="str">
        <f>HYPERLINK("http://pfam.sanger.ac.uk/family?acc=PF00291","2.5")</f>
        <v>2.5</v>
      </c>
      <c r="DN76" s="33" t="str">
        <f>HYPERLINK("http://exon.niaid.nih.gov/transcriptome/S_calcitrans/S1/links/SMART/XP_013106225.1-SMART.txt","S_TKc")</f>
        <v>S_TKc</v>
      </c>
      <c r="DO76" t="str">
        <f>HYPERLINK("http://smart.embl-heidelberg.de/smart/do_annotation.pl?DOMAIN=S_TKc&amp;BLAST=DUMMY","0.23")</f>
        <v>0.23</v>
      </c>
      <c r="DP76" s="33"/>
      <c r="EB76" s="33">
        <v>4271</v>
      </c>
      <c r="EC76">
        <v>1</v>
      </c>
      <c r="ED76" s="33">
        <v>5174</v>
      </c>
      <c r="EE76">
        <v>1</v>
      </c>
      <c r="EF76" s="33">
        <v>5722</v>
      </c>
      <c r="EG76">
        <v>1</v>
      </c>
      <c r="EH76" s="33">
        <v>6129</v>
      </c>
      <c r="EI76">
        <v>1</v>
      </c>
      <c r="EJ76" s="33">
        <v>6544</v>
      </c>
      <c r="EK76">
        <v>1</v>
      </c>
      <c r="EL76" s="33">
        <v>6871</v>
      </c>
      <c r="EM76">
        <v>1</v>
      </c>
      <c r="EN76" s="33">
        <v>7262</v>
      </c>
      <c r="EO76">
        <v>1</v>
      </c>
      <c r="EP76" s="33">
        <v>7554</v>
      </c>
      <c r="EQ76">
        <v>1</v>
      </c>
      <c r="ER76" s="33">
        <v>7814</v>
      </c>
      <c r="ES76">
        <v>1</v>
      </c>
      <c r="ET76" s="33">
        <v>8015</v>
      </c>
      <c r="EU76">
        <v>1</v>
      </c>
      <c r="EV76" s="33">
        <v>8220</v>
      </c>
      <c r="EW76">
        <v>1</v>
      </c>
      <c r="EX76" s="33">
        <v>8421</v>
      </c>
      <c r="EY76">
        <v>1</v>
      </c>
      <c r="EZ76" s="33">
        <v>8622</v>
      </c>
      <c r="FA76">
        <v>1</v>
      </c>
      <c r="FB76" s="33">
        <v>8840</v>
      </c>
      <c r="FC76">
        <v>1</v>
      </c>
      <c r="FD76" s="33">
        <v>9168</v>
      </c>
      <c r="FE76">
        <v>1</v>
      </c>
      <c r="FF76" t="s">
        <v>933</v>
      </c>
      <c r="FG76">
        <v>11734</v>
      </c>
      <c r="FH76" s="38" t="str">
        <f>HYPERLINK("http://exon.niaid.nih.gov/transcriptome/S_calcitrans/S1/links/SG_male-stripped_temp-95-h10-1gap/11734-SG_male-stripped_temp-95-h10-1gap.txt","202141")</f>
        <v>202141</v>
      </c>
      <c r="FI76" s="39">
        <v>100</v>
      </c>
      <c r="FJ76" s="39">
        <v>25956.346774193498</v>
      </c>
      <c r="FK76" s="39">
        <v>22</v>
      </c>
      <c r="FL76" s="39">
        <v>31999</v>
      </c>
      <c r="FM76" s="39">
        <v>71.011214944024204</v>
      </c>
      <c r="FN76" s="38" t="str">
        <f>HYPERLINK("http://exon.niaid.nih.gov/transcriptome/S_calcitrans/S1/links/SG_female-stripped_temp-95-h10-1gap/11734-SG_female-stripped_temp-95-h10-1gap.txt","202307")</f>
        <v>202307</v>
      </c>
      <c r="FO76" s="39">
        <v>100</v>
      </c>
      <c r="FP76" s="39">
        <v>25642.908602150499</v>
      </c>
      <c r="FQ76" s="39">
        <v>47</v>
      </c>
      <c r="FR76" s="39">
        <v>31999</v>
      </c>
      <c r="FS76" s="39">
        <v>71.133134295896795</v>
      </c>
      <c r="FT76" s="38" t="str">
        <f>HYPERLINK("http://exon.niaid.nih.gov/transcriptome/S_calcitrans/S1/links/SRR694289-stripped_temp-95-h10-1gap/11734-SRR694289-stripped_temp-95-h10-1gap.txt","43")</f>
        <v>43</v>
      </c>
      <c r="FU76" s="39">
        <v>99.731182795698899</v>
      </c>
      <c r="FV76" s="39">
        <v>11.510752688171999</v>
      </c>
      <c r="FW76" s="39">
        <v>0</v>
      </c>
      <c r="FX76" s="39">
        <v>22</v>
      </c>
      <c r="FY76" s="39">
        <v>99.581395348837205</v>
      </c>
      <c r="FZ76" s="38" t="str">
        <f>HYPERLINK("http://exon.niaid.nih.gov/transcriptome/S_calcitrans/S1/links/SRR694925-stripped_temp-95-h10-1gap/11734-SRR694925-stripped_temp-95-h10-1gap.txt","91")</f>
        <v>91</v>
      </c>
      <c r="GA76" s="39">
        <v>100</v>
      </c>
      <c r="GB76" s="39">
        <v>23.991935483871</v>
      </c>
      <c r="GC76" s="39">
        <v>1</v>
      </c>
      <c r="GD76" s="39">
        <v>45</v>
      </c>
      <c r="GE76" s="39">
        <v>98.076923076923094</v>
      </c>
      <c r="GF76">
        <f t="shared" si="86"/>
        <v>202141</v>
      </c>
      <c r="GG76">
        <f t="shared" si="87"/>
        <v>202307</v>
      </c>
      <c r="GH76">
        <f t="shared" si="88"/>
        <v>43</v>
      </c>
      <c r="GI76">
        <f t="shared" si="89"/>
        <v>91</v>
      </c>
      <c r="GJ76">
        <f t="shared" si="90"/>
        <v>404448</v>
      </c>
      <c r="GK76" s="34">
        <v>1.5709405822627134</v>
      </c>
      <c r="GL76">
        <v>17775.15759380805</v>
      </c>
      <c r="GM76">
        <v>8089.8637984377528</v>
      </c>
      <c r="GN76">
        <v>0.66444349621043508</v>
      </c>
      <c r="GO76">
        <v>1.4495801916492634</v>
      </c>
      <c r="GP76">
        <f t="shared" si="91"/>
        <v>17775.15759380805</v>
      </c>
      <c r="GQ76" t="s">
        <v>574</v>
      </c>
      <c r="GR76">
        <v>13862.693526170244</v>
      </c>
      <c r="GS76">
        <v>6639.886718450829</v>
      </c>
      <c r="GT76">
        <v>1.1977642776504664</v>
      </c>
      <c r="GU76">
        <v>2.7444527029056816</v>
      </c>
      <c r="GV76">
        <f t="shared" si="92"/>
        <v>13862.693526170244</v>
      </c>
      <c r="GW76">
        <v>5174.5223306128155</v>
      </c>
      <c r="GX76">
        <v>404448</v>
      </c>
      <c r="GY76">
        <v>134</v>
      </c>
      <c r="GZ76">
        <v>404582</v>
      </c>
      <c r="HA76">
        <v>89817.080036342872</v>
      </c>
      <c r="HB76">
        <v>314764.9199636571</v>
      </c>
      <c r="HC76">
        <v>1102158.0278174446</v>
      </c>
      <c r="HD76">
        <v>314496.97700940416</v>
      </c>
      <c r="HE76">
        <v>1416655.0048268489</v>
      </c>
      <c r="HF76">
        <v>0</v>
      </c>
      <c r="HG76">
        <v>89817.080036342872</v>
      </c>
      <c r="HH76">
        <v>1</v>
      </c>
      <c r="HI76">
        <v>1</v>
      </c>
      <c r="HJ76">
        <v>2</v>
      </c>
      <c r="HK76">
        <v>0</v>
      </c>
      <c r="HL76" s="30" t="s">
        <v>262</v>
      </c>
      <c r="HM76">
        <v>10499.202609632252</v>
      </c>
      <c r="HN76">
        <v>9.4539573652684122E-5</v>
      </c>
      <c r="HO76">
        <v>202141</v>
      </c>
      <c r="HP76">
        <v>202307</v>
      </c>
      <c r="HQ76">
        <v>404448</v>
      </c>
      <c r="HR76">
        <v>126428.80466623939</v>
      </c>
      <c r="HS76">
        <v>278019.19533376058</v>
      </c>
      <c r="HT76">
        <v>45340.431220483115</v>
      </c>
      <c r="HU76">
        <v>20618.491882820817</v>
      </c>
      <c r="HV76">
        <v>65958.92310330394</v>
      </c>
      <c r="HW76">
        <v>0</v>
      </c>
      <c r="HX76">
        <v>126428.80466623939</v>
      </c>
      <c r="HY76">
        <v>1</v>
      </c>
      <c r="HZ76">
        <v>1</v>
      </c>
      <c r="IA76">
        <v>2</v>
      </c>
      <c r="IB76">
        <v>0</v>
      </c>
      <c r="IC76" s="30" t="s">
        <v>262</v>
      </c>
      <c r="ID76">
        <v>2.1972025951016065</v>
      </c>
      <c r="IE76">
        <v>0.45511966546831112</v>
      </c>
      <c r="IF76">
        <v>2.1972025951016065</v>
      </c>
      <c r="IG76" t="str">
        <f t="shared" si="84"/>
        <v/>
      </c>
    </row>
    <row r="77" spans="1:241">
      <c r="A77" t="str">
        <f>HYPERLINK("http://exon.niaid.nih.gov/transcriptome/S_calcitrans/S1/links/pep/XP_013107500.1-pep.txt","XP_013107500.1")</f>
        <v>XP_013107500.1</v>
      </c>
      <c r="B77" s="30" t="s">
        <v>232</v>
      </c>
      <c r="C77">
        <v>92</v>
      </c>
      <c r="D77" t="s">
        <v>934</v>
      </c>
      <c r="E77">
        <v>0</v>
      </c>
      <c r="F77" t="s">
        <v>935</v>
      </c>
      <c r="G77" t="str">
        <f>HYPERLINK("http://exon.niaid.nih.gov/transcriptome/S_calcitrans/S1/links/cds/XM_013252046_1-cds.txt","XM_013252046_1")</f>
        <v>XM_013252046_1</v>
      </c>
      <c r="H77">
        <v>279</v>
      </c>
      <c r="I77" t="s">
        <v>936</v>
      </c>
      <c r="J77" s="30" t="s">
        <v>236</v>
      </c>
      <c r="K77" s="30" t="s">
        <v>91</v>
      </c>
      <c r="L77" s="31" t="s">
        <v>937</v>
      </c>
      <c r="M77" s="30">
        <v>173060</v>
      </c>
      <c r="N77" s="30">
        <v>173338</v>
      </c>
      <c r="O77" s="30" t="s">
        <v>276</v>
      </c>
      <c r="P77" s="30">
        <v>1</v>
      </c>
      <c r="Q77" s="31" t="s">
        <v>938</v>
      </c>
      <c r="R77" s="32" t="str">
        <f>HYPERLINK("http://exon.niaid.nih.gov/transcriptome/S_calcitrans/S1/links/Sigp/XP_013107500.1-SigP.txt","SIG")</f>
        <v>SIG</v>
      </c>
      <c r="S77" t="s">
        <v>657</v>
      </c>
      <c r="T77">
        <v>9.718</v>
      </c>
      <c r="U77">
        <v>4.25</v>
      </c>
      <c r="V77">
        <v>6.9119999999999999</v>
      </c>
      <c r="W77">
        <v>4.08</v>
      </c>
      <c r="X77" t="s">
        <v>939</v>
      </c>
      <c r="Y77" s="32" t="str">
        <f>HYPERLINK("http://exon.niaid.nih.gov/transcriptome/S_calcitrans/S1/links/tmhmm/XP_013107500.1-tmhmm.txt","1")</f>
        <v>1</v>
      </c>
      <c r="Z77">
        <v>23.9</v>
      </c>
      <c r="AA77">
        <v>68.5</v>
      </c>
      <c r="AB77">
        <v>7.6</v>
      </c>
      <c r="AC77" t="s">
        <v>242</v>
      </c>
      <c r="AD77">
        <v>63</v>
      </c>
      <c r="AE77" s="32" t="s">
        <v>242</v>
      </c>
      <c r="AF77" t="s">
        <v>242</v>
      </c>
      <c r="AG77" t="s">
        <v>242</v>
      </c>
      <c r="AH77" t="s">
        <v>242</v>
      </c>
      <c r="AI77" t="s">
        <v>242</v>
      </c>
      <c r="AJ77" t="s">
        <v>242</v>
      </c>
      <c r="AK77">
        <v>2029.8522442561734</v>
      </c>
      <c r="AL77" s="33">
        <v>9853</v>
      </c>
      <c r="AM77">
        <v>1</v>
      </c>
      <c r="AN77" s="30">
        <f t="shared" si="83"/>
        <v>1</v>
      </c>
      <c r="AO77" s="30" t="s">
        <v>244</v>
      </c>
      <c r="AP77">
        <v>194615</v>
      </c>
      <c r="AQ77" s="34">
        <v>0.75591572072814783</v>
      </c>
      <c r="AR77" s="35">
        <v>916.71546898316626</v>
      </c>
      <c r="AS77" t="s">
        <v>940</v>
      </c>
      <c r="AT77" s="36" t="s">
        <v>885</v>
      </c>
      <c r="AU77" t="s">
        <v>574</v>
      </c>
      <c r="AV77" t="str">
        <f>HYPERLINK("http://exon.niaid.nih.gov/transcriptome/S_calcitrans/S1/links/SWISSP/XP_013107500.1-SWISSP.txt","SWISSP")</f>
        <v>SWISSP</v>
      </c>
      <c r="AW77">
        <v>1000</v>
      </c>
      <c r="AX77">
        <v>4.5999999999999996</v>
      </c>
      <c r="AY77" s="33" t="str">
        <f>HYPERLINK("http://exon.niaid.nih.gov/transcriptome/S_calcitrans/S1/links/WANG/XP_013107500.1-WANG.txt","SC-4-47-2")</f>
        <v>SC-4-47-2</v>
      </c>
      <c r="AZ77">
        <v>2.0000000000000001E-53</v>
      </c>
      <c r="BA77">
        <v>92</v>
      </c>
      <c r="BB77">
        <v>92</v>
      </c>
      <c r="BC77">
        <v>97</v>
      </c>
      <c r="BD77">
        <v>97</v>
      </c>
      <c r="BE77">
        <v>100</v>
      </c>
      <c r="BF77" t="s">
        <v>248</v>
      </c>
      <c r="BG77" s="31" t="s">
        <v>941</v>
      </c>
      <c r="BH77" t="s">
        <v>942</v>
      </c>
      <c r="BI77">
        <v>24</v>
      </c>
      <c r="BJ77" s="33"/>
      <c r="BK77" s="33"/>
      <c r="BL77" s="33" t="str">
        <f>HYPERLINK("http://exon.niaid.nih.gov/transcriptome/S_calcitrans/S1/links/NR-LIGHT/XP_013107500.1-NR-LIGHT.txt","uncharacterized protein LOC101898872")</f>
        <v>uncharacterized protein LOC101898872</v>
      </c>
      <c r="BM77" t="str">
        <f>HYPERLINK("http://www.ncbi.nlm.nih.gov/sutils/blink.cgi?pid=557758132","7E-009")</f>
        <v>7E-009</v>
      </c>
      <c r="BN77" t="str">
        <f>HYPERLINK("http://www.ncbi.nlm.nih.gov/protein/557758132","gi|557758132")</f>
        <v>gi|557758132</v>
      </c>
      <c r="BO77">
        <v>58</v>
      </c>
      <c r="BP77">
        <v>72</v>
      </c>
      <c r="BQ77">
        <v>94</v>
      </c>
      <c r="BR77" t="s">
        <v>251</v>
      </c>
      <c r="BS77" s="33" t="str">
        <f>HYPERLINK("http://exon.niaid.nih.gov/transcriptome/S_calcitrans/S1/links/SWISSP/XP_013107500.1-SWISSP.txt","Uncharacterized protein DDB_G0290685")</f>
        <v>Uncharacterized protein DDB_G0290685</v>
      </c>
      <c r="BT77" t="str">
        <f>HYPERLINK("http://www.uniprot.org/uniprot/Q54G14","8E-007")</f>
        <v>8E-007</v>
      </c>
      <c r="BU77" t="str">
        <f>HYPERLINK("http://www.uniprot.org/uniprot/Q54G14#expression","Q54G14")</f>
        <v>Q54G14</v>
      </c>
      <c r="BV77">
        <v>56</v>
      </c>
      <c r="BW77">
        <v>78</v>
      </c>
      <c r="BX77">
        <v>5</v>
      </c>
      <c r="BY77" t="s">
        <v>943</v>
      </c>
      <c r="BZ77" s="33" t="str">
        <f>HYPERLINK("http://exon.niaid.nih.gov/transcriptome/S_calcitrans/S1/links/REFSEQ-INVERTEBRATE/XP_013107500.1-REFSEQ-INVERTEBRATE.txt","uncharacterized protein LOC106087125")</f>
        <v>uncharacterized protein LOC106087125</v>
      </c>
      <c r="CA77" t="str">
        <f>HYPERLINK("http://www.ncbi.nlm.nih.gov/sutils/blink.cgi?pid=907687307","7E-050")</f>
        <v>7E-050</v>
      </c>
      <c r="CB77" t="str">
        <f>HYPERLINK("http://www.ncbi.nlm.nih.gov/protein/907687307","gi|907687307")</f>
        <v>gi|907687307</v>
      </c>
      <c r="CC77">
        <v>100</v>
      </c>
      <c r="CD77">
        <v>100</v>
      </c>
      <c r="CE77">
        <v>100</v>
      </c>
      <c r="CF77" t="s">
        <v>253</v>
      </c>
      <c r="CG77" s="33" t="str">
        <f>HYPERLINK("http://exon.niaid.nih.gov/transcriptome/S_calcitrans/S1/links/DIPTERA/XP_013107500.1-DIPTERA.txt","uncharacterized protein LOC106087125")</f>
        <v>uncharacterized protein LOC106087125</v>
      </c>
      <c r="CH77" t="str">
        <f>HYPERLINK("http://www.ncbi.nlm.nih.gov/sutils/blink.cgi?pid=907687307","4E-050")</f>
        <v>4E-050</v>
      </c>
      <c r="CI77" t="str">
        <f>HYPERLINK("http://www.ncbi.nlm.nih.gov/protein/907687307","gi|907687307")</f>
        <v>gi|907687307</v>
      </c>
      <c r="CJ77">
        <v>100</v>
      </c>
      <c r="CK77">
        <v>100</v>
      </c>
      <c r="CL77">
        <v>100</v>
      </c>
      <c r="CM77" t="s">
        <v>253</v>
      </c>
      <c r="CN77" s="33" t="str">
        <f>HYPERLINK("http://exon.niaid.nih.gov/transcriptome/S_calcitrans/S1/links/VIRUS/XP_013107500.1-VIRUS.txt","hypothetical protein phiSMA9p6")</f>
        <v>hypothetical protein phiSMA9p6</v>
      </c>
      <c r="CO77" t="str">
        <f>HYPERLINK("http://www.ncbi.nlm.nih.gov/sutils/blink.cgi?pid=70727684","9E-006")</f>
        <v>9E-006</v>
      </c>
      <c r="CP77" t="str">
        <f>HYPERLINK("http://www.ncbi.nlm.nih.gov/protein/70727684","gi|70727684")</f>
        <v>gi|70727684</v>
      </c>
      <c r="CQ77">
        <v>43</v>
      </c>
      <c r="CR77">
        <v>58</v>
      </c>
      <c r="CS77">
        <v>14</v>
      </c>
      <c r="CT77" t="s">
        <v>944</v>
      </c>
      <c r="CU77" s="33" t="s">
        <v>945</v>
      </c>
      <c r="CV77">
        <f>HYPERLINK("http://exon.niaid.nih.gov/transcriptome/S_calcitrans/S1/links/GO/XP_013107500.1-GO.txt",0.000000000001)</f>
        <v>9.9999999999999998E-13</v>
      </c>
      <c r="CW77" t="str">
        <f>HYPERLINK("http://amigo.geneontology.org/cgi-bin/amigo/term_details?term=GO:0003674","GO:0003674")</f>
        <v>GO:0003674</v>
      </c>
      <c r="CX77" t="s">
        <v>255</v>
      </c>
      <c r="CY77" t="s">
        <v>256</v>
      </c>
      <c r="CZ77" t="s">
        <v>257</v>
      </c>
      <c r="DA77" t="s">
        <v>242</v>
      </c>
      <c r="DD77">
        <v>9.9999999999999998E-13</v>
      </c>
      <c r="DE77" s="33" t="str">
        <f>HYPERLINK("http://exon.niaid.nih.gov/transcriptome/S_calcitrans/S1/links/CDD/XP_013107500.1-CDD.txt","DUF4175")</f>
        <v>DUF4175</v>
      </c>
      <c r="DF77" t="str">
        <f>HYPERLINK("http://www.ncbi.nlm.nih.gov/Structure/cdd/cddsrv.cgi?uid=pfam13779&amp;version=v4.0","0.021")</f>
        <v>0.021</v>
      </c>
      <c r="DG77" t="s">
        <v>946</v>
      </c>
      <c r="DH77" s="33" t="str">
        <f>HYPERLINK("http://exon.niaid.nih.gov/transcriptome/S_calcitrans/S1/links/KOG/XP_013107500.1-KOG.txt","5'-3' exonuclease HKE1/RAT1")</f>
        <v>5'-3' exonuclease HKE1/RAT1</v>
      </c>
      <c r="DI77" t="str">
        <f>HYPERLINK("http://www.ncbi.nlm.nih.gov/Structure/cdd/cddsrv.cgi?uid=KOG2044","0.002")</f>
        <v>0.002</v>
      </c>
      <c r="DJ77" t="s">
        <v>947</v>
      </c>
      <c r="DK77" t="str">
        <f>HYPERLINK("http://exon.niaid.nih.gov/transcriptome/S_calcitrans/S1/links/KOG/XP_013107500.1-KOG.txt","KOG2044")</f>
        <v>KOG2044</v>
      </c>
      <c r="DL77" s="33" t="str">
        <f>HYPERLINK("http://exon.niaid.nih.gov/transcriptome/S_calcitrans/S1/links/PFAM/XP_013107500.1-PFAM.txt","DUF4175")</f>
        <v>DUF4175</v>
      </c>
      <c r="DM77" t="str">
        <f>HYPERLINK("http://pfam.sanger.ac.uk/family?acc=PF13779","0.005")</f>
        <v>0.005</v>
      </c>
      <c r="DN77" s="33" t="str">
        <f>HYPERLINK("http://exon.niaid.nih.gov/transcriptome/S_calcitrans/S1/links/SMART/XP_013107500.1-SMART.txt","HTTM")</f>
        <v>HTTM</v>
      </c>
      <c r="DO77" t="str">
        <f>HYPERLINK("http://smart.embl-heidelberg.de/smart/do_annotation.pl?DOMAIN=HTTM&amp;BLAST=DUMMY","1.3")</f>
        <v>1.3</v>
      </c>
      <c r="DP77" s="33"/>
      <c r="EB77" s="33">
        <v>4506</v>
      </c>
      <c r="EC77">
        <v>1</v>
      </c>
      <c r="ED77" s="33">
        <v>5448</v>
      </c>
      <c r="EE77">
        <v>1</v>
      </c>
      <c r="EF77" s="33">
        <v>6025</v>
      </c>
      <c r="EG77">
        <v>1</v>
      </c>
      <c r="EH77" s="33">
        <v>6459</v>
      </c>
      <c r="EI77">
        <v>1</v>
      </c>
      <c r="EJ77" s="33">
        <v>6900</v>
      </c>
      <c r="EK77">
        <v>1</v>
      </c>
      <c r="EL77" s="33">
        <v>7255</v>
      </c>
      <c r="EM77">
        <v>1</v>
      </c>
      <c r="EN77" s="33">
        <v>7667</v>
      </c>
      <c r="EO77">
        <v>1</v>
      </c>
      <c r="EP77" s="33">
        <v>7991</v>
      </c>
      <c r="EQ77">
        <v>1</v>
      </c>
      <c r="ER77" s="33">
        <v>8279</v>
      </c>
      <c r="ES77">
        <v>1</v>
      </c>
      <c r="ET77" s="33">
        <v>8502</v>
      </c>
      <c r="EU77">
        <v>1</v>
      </c>
      <c r="EV77" s="33">
        <v>8733</v>
      </c>
      <c r="EW77">
        <v>1</v>
      </c>
      <c r="EX77" s="33">
        <v>8965</v>
      </c>
      <c r="EY77">
        <v>1</v>
      </c>
      <c r="EZ77" s="33">
        <v>9210</v>
      </c>
      <c r="FA77">
        <v>1</v>
      </c>
      <c r="FB77" s="33">
        <v>9479</v>
      </c>
      <c r="FC77">
        <v>1</v>
      </c>
      <c r="FD77" s="33">
        <v>9853</v>
      </c>
      <c r="FE77">
        <v>1</v>
      </c>
      <c r="FF77" t="s">
        <v>948</v>
      </c>
      <c r="FG77">
        <v>12873</v>
      </c>
      <c r="FH77" s="38" t="str">
        <f>HYPERLINK("http://exon.niaid.nih.gov/transcriptome/S_calcitrans/S1/links/SG_male-stripped_temp-95-h10-1gap/12873-SG_male-stripped_temp-95-h10-1gap.txt","71730")</f>
        <v>71730</v>
      </c>
      <c r="FI77" s="39">
        <v>100</v>
      </c>
      <c r="FJ77" s="39">
        <v>18091.512544802899</v>
      </c>
      <c r="FK77" s="39">
        <v>180</v>
      </c>
      <c r="FL77" s="39">
        <v>31999</v>
      </c>
      <c r="FM77" s="39">
        <v>70.676718248989303</v>
      </c>
      <c r="FN77" s="38" t="str">
        <f>HYPERLINK("http://exon.niaid.nih.gov/transcriptome/S_calcitrans/S1/links/SG_female-stripped_temp-95-h10-1gap/12873-SG_female-stripped_temp-95-h10-1gap.txt","122885")</f>
        <v>122885</v>
      </c>
      <c r="FO77" s="39">
        <v>100</v>
      </c>
      <c r="FP77" s="39">
        <v>23698.7956989247</v>
      </c>
      <c r="FQ77" s="39">
        <v>381</v>
      </c>
      <c r="FR77" s="39">
        <v>31999</v>
      </c>
      <c r="FS77" s="39">
        <v>70.921902591854206</v>
      </c>
      <c r="FT77" s="38" t="str">
        <f>HYPERLINK("http://exon.niaid.nih.gov/transcriptome/S_calcitrans/S1/links/SRR694289-stripped_temp-95-h10-1gap/12873-SRR694289-stripped_temp-95-h10-1gap.txt","153")</f>
        <v>153</v>
      </c>
      <c r="FU77" s="39">
        <v>100</v>
      </c>
      <c r="FV77" s="39">
        <v>50.577060931899602</v>
      </c>
      <c r="FW77" s="39">
        <v>3</v>
      </c>
      <c r="FX77" s="39">
        <v>88</v>
      </c>
      <c r="FY77" s="39">
        <v>92.228758169934594</v>
      </c>
      <c r="FZ77" s="38" t="str">
        <f>HYPERLINK("http://exon.niaid.nih.gov/transcriptome/S_calcitrans/S1/links/SRR694925-stripped_temp-95-h10-1gap/12873-SRR694925-stripped_temp-95-h10-1gap.txt","182")</f>
        <v>182</v>
      </c>
      <c r="GA77" s="39">
        <v>100</v>
      </c>
      <c r="GB77" s="39">
        <v>61.831541218638002</v>
      </c>
      <c r="GC77" s="39">
        <v>6</v>
      </c>
      <c r="GD77" s="39">
        <v>109</v>
      </c>
      <c r="GE77" s="39">
        <v>94.785714285714306</v>
      </c>
      <c r="GF77">
        <f t="shared" si="86"/>
        <v>71730</v>
      </c>
      <c r="GG77">
        <f t="shared" si="87"/>
        <v>122885</v>
      </c>
      <c r="GH77">
        <f t="shared" si="88"/>
        <v>153</v>
      </c>
      <c r="GI77">
        <f t="shared" si="89"/>
        <v>182</v>
      </c>
      <c r="GJ77">
        <f t="shared" si="90"/>
        <v>194615</v>
      </c>
      <c r="GK77" s="34">
        <v>0.75591572072814783</v>
      </c>
      <c r="GL77">
        <v>8410.0507678887607</v>
      </c>
      <c r="GM77">
        <v>6551.9098061923933</v>
      </c>
      <c r="GN77">
        <v>3.1522435634169477</v>
      </c>
      <c r="GO77">
        <v>3.8655471777313695</v>
      </c>
      <c r="GP77">
        <f t="shared" si="91"/>
        <v>8410.0507678887607</v>
      </c>
      <c r="GQ77" t="s">
        <v>574</v>
      </c>
      <c r="GR77">
        <v>6558.9267335321492</v>
      </c>
      <c r="GS77">
        <v>5377.5860739491973</v>
      </c>
      <c r="GT77">
        <v>5.682416573039422</v>
      </c>
      <c r="GU77">
        <v>7.3185405410818181</v>
      </c>
      <c r="GV77">
        <f t="shared" si="92"/>
        <v>6558.9267335321492</v>
      </c>
      <c r="GW77">
        <v>916.71546898316626</v>
      </c>
      <c r="GX77">
        <v>194615</v>
      </c>
      <c r="GY77">
        <v>335</v>
      </c>
      <c r="GZ77">
        <v>194950</v>
      </c>
      <c r="HA77">
        <v>43278.840267448977</v>
      </c>
      <c r="HB77">
        <v>151671.15973255102</v>
      </c>
      <c r="HC77">
        <v>529187.77631437138</v>
      </c>
      <c r="HD77">
        <v>151001.89965568605</v>
      </c>
      <c r="HE77">
        <v>680189.67597005749</v>
      </c>
      <c r="HF77">
        <v>0</v>
      </c>
      <c r="HG77">
        <v>43278.840267448977</v>
      </c>
      <c r="HH77">
        <v>1</v>
      </c>
      <c r="HI77">
        <v>1</v>
      </c>
      <c r="HJ77">
        <v>2</v>
      </c>
      <c r="HK77">
        <v>0</v>
      </c>
      <c r="HL77" s="30" t="s">
        <v>262</v>
      </c>
      <c r="HM77">
        <v>2029.8522442561734</v>
      </c>
      <c r="HN77">
        <v>4.9117796101366847E-4</v>
      </c>
      <c r="HO77">
        <v>71730</v>
      </c>
      <c r="HP77">
        <v>122885</v>
      </c>
      <c r="HQ77">
        <v>194615</v>
      </c>
      <c r="HR77">
        <v>60835.859789441856</v>
      </c>
      <c r="HS77">
        <v>133779.14021055814</v>
      </c>
      <c r="HT77">
        <v>1950.8607478889828</v>
      </c>
      <c r="HU77">
        <v>887.15094700491295</v>
      </c>
      <c r="HV77">
        <v>2838.0116948938958</v>
      </c>
      <c r="HW77">
        <v>0</v>
      </c>
      <c r="HX77">
        <v>60835.859789441856</v>
      </c>
      <c r="HY77">
        <v>1</v>
      </c>
      <c r="HZ77">
        <v>1</v>
      </c>
      <c r="IA77">
        <v>2</v>
      </c>
      <c r="IB77">
        <v>0</v>
      </c>
      <c r="IC77" s="30" t="s">
        <v>262</v>
      </c>
      <c r="ID77">
        <v>1.2835925064343199</v>
      </c>
      <c r="IE77">
        <v>0.77904624442991743</v>
      </c>
      <c r="IF77">
        <v>1.2835925064343199</v>
      </c>
      <c r="IG77" t="str">
        <f t="shared" si="84"/>
        <v/>
      </c>
    </row>
    <row r="78" spans="1:241">
      <c r="A78" t="str">
        <f>HYPERLINK("http://exon.niaid.nih.gov/transcriptome/S_calcitrans/S1/links/pep/XP_013109588.1-pep.txt","XP_013109588.1")</f>
        <v>XP_013109588.1</v>
      </c>
      <c r="B78" s="30" t="s">
        <v>232</v>
      </c>
      <c r="C78">
        <v>113</v>
      </c>
      <c r="D78" t="s">
        <v>949</v>
      </c>
      <c r="E78">
        <v>0</v>
      </c>
      <c r="F78" t="s">
        <v>950</v>
      </c>
      <c r="G78" t="str">
        <f>HYPERLINK("http://exon.niaid.nih.gov/transcriptome/S_calcitrans/S1/links/cds/XM_013254134_1-cds.txt","XM_013254134_1")</f>
        <v>XM_013254134_1</v>
      </c>
      <c r="H78">
        <v>342</v>
      </c>
      <c r="I78" t="s">
        <v>951</v>
      </c>
      <c r="J78" s="30" t="s">
        <v>236</v>
      </c>
      <c r="K78" s="30" t="s">
        <v>91</v>
      </c>
      <c r="L78" s="31" t="s">
        <v>952</v>
      </c>
      <c r="M78" s="30">
        <v>14790</v>
      </c>
      <c r="N78" s="30">
        <v>15131</v>
      </c>
      <c r="O78" s="30" t="s">
        <v>276</v>
      </c>
      <c r="P78" s="30">
        <v>1</v>
      </c>
      <c r="Q78" s="31" t="s">
        <v>953</v>
      </c>
      <c r="R78" s="32" t="str">
        <f>HYPERLINK("http://exon.niaid.nih.gov/transcriptome/S_calcitrans/S1/links/Sigp/XP_013109588.1-SigP.txt","SIG")</f>
        <v>SIG</v>
      </c>
      <c r="S78" t="s">
        <v>278</v>
      </c>
      <c r="T78">
        <v>12.811</v>
      </c>
      <c r="U78">
        <v>7.02</v>
      </c>
      <c r="V78">
        <v>10.749000000000001</v>
      </c>
      <c r="W78">
        <v>6.57</v>
      </c>
      <c r="X78" t="s">
        <v>954</v>
      </c>
      <c r="Y78" s="32">
        <v>0</v>
      </c>
      <c r="Z78" t="s">
        <v>242</v>
      </c>
      <c r="AA78" t="s">
        <v>242</v>
      </c>
      <c r="AB78" t="s">
        <v>242</v>
      </c>
      <c r="AC78" t="s">
        <v>242</v>
      </c>
      <c r="AD78" t="s">
        <v>242</v>
      </c>
      <c r="AE78" s="32" t="str">
        <f>HYPERLINK("http://exon.niaid.nih.gov/transcriptome/S_calcitrans/S1/links/netoglyc/XP_013109588.1-netoglyc.txt","0")</f>
        <v>0</v>
      </c>
      <c r="AF78">
        <v>14.2</v>
      </c>
      <c r="AG78">
        <v>9.6999999999999993</v>
      </c>
      <c r="AH78">
        <v>2.7</v>
      </c>
      <c r="AI78" t="s">
        <v>243</v>
      </c>
      <c r="AJ78" t="s">
        <v>955</v>
      </c>
      <c r="AK78">
        <v>148.2560405237503</v>
      </c>
      <c r="AL78" s="33">
        <v>10909</v>
      </c>
      <c r="AM78">
        <v>1</v>
      </c>
      <c r="AN78" s="30">
        <f t="shared" si="83"/>
        <v>1</v>
      </c>
      <c r="AO78" s="30" t="s">
        <v>244</v>
      </c>
      <c r="AP78">
        <v>973</v>
      </c>
      <c r="AQ78" s="34">
        <v>3.7792872916706721E-3</v>
      </c>
      <c r="AR78" s="35">
        <v>81.582443483756848</v>
      </c>
      <c r="AS78" t="s">
        <v>956</v>
      </c>
      <c r="AT78" s="36" t="s">
        <v>885</v>
      </c>
      <c r="AU78" t="s">
        <v>574</v>
      </c>
      <c r="AV78" t="str">
        <f>HYPERLINK("http://exon.niaid.nih.gov/transcriptome/S_calcitrans/S1/links/SWISSP/XP_013109588.1-SWISSP.txt","SWISSP")</f>
        <v>SWISSP</v>
      </c>
      <c r="AW78">
        <v>1000</v>
      </c>
      <c r="AX78">
        <v>6.7</v>
      </c>
      <c r="AY78" s="33" t="str">
        <f>HYPERLINK("http://exon.niaid.nih.gov/transcriptome/S_calcitrans/S1/links/WANG/XP_013109588.1-WANG.txt","SC-4-1-3")</f>
        <v>SC-4-1-3</v>
      </c>
      <c r="AZ78">
        <v>6.9999999999999997E-32</v>
      </c>
      <c r="BA78">
        <v>61</v>
      </c>
      <c r="BB78">
        <v>67</v>
      </c>
      <c r="BC78">
        <v>98</v>
      </c>
      <c r="BD78">
        <v>98</v>
      </c>
      <c r="BE78">
        <v>91</v>
      </c>
      <c r="BF78" t="s">
        <v>248</v>
      </c>
      <c r="BG78" s="31" t="s">
        <v>930</v>
      </c>
      <c r="BH78" t="s">
        <v>957</v>
      </c>
      <c r="BI78">
        <v>25</v>
      </c>
      <c r="BJ78" s="33"/>
      <c r="BK78" s="33"/>
      <c r="BL78" s="33" t="str">
        <f>HYPERLINK("http://exon.niaid.nih.gov/transcriptome/S_calcitrans/S1/links/NR-LIGHT/XP_013109588.1-NR-LIGHT.txt","uncharacterized protein LOC101894327")</f>
        <v>uncharacterized protein LOC101894327</v>
      </c>
      <c r="BM78" t="str">
        <f>HYPERLINK("http://www.ncbi.nlm.nih.gov/sutils/blink.cgi?pid=557765093","9E-038")</f>
        <v>9E-038</v>
      </c>
      <c r="BN78" t="str">
        <f>HYPERLINK("http://www.ncbi.nlm.nih.gov/protein/557765093","gi|557765093")</f>
        <v>gi|557765093</v>
      </c>
      <c r="BO78">
        <v>69</v>
      </c>
      <c r="BP78">
        <v>77</v>
      </c>
      <c r="BQ78">
        <v>102</v>
      </c>
      <c r="BR78" t="s">
        <v>251</v>
      </c>
      <c r="BS78" s="33" t="str">
        <f>HYPERLINK("http://exon.niaid.nih.gov/transcriptome/S_calcitrans/S1/links/SWISSP/XP_013109588.1-SWISSP.txt","DEAD-box ATP-dependent RNA helicase rde-12")</f>
        <v>DEAD-box ATP-dependent RNA helicase rde-12</v>
      </c>
      <c r="BT78" t="str">
        <f>HYPERLINK("http://www.uniprot.org/uniprot/P90897","0.40")</f>
        <v>0.40</v>
      </c>
      <c r="BU78" t="str">
        <f>HYPERLINK("http://www.uniprot.org/uniprot/P90897#expression","P90897")</f>
        <v>P90897</v>
      </c>
      <c r="BV78">
        <v>29</v>
      </c>
      <c r="BW78">
        <v>43</v>
      </c>
      <c r="BX78">
        <v>7</v>
      </c>
      <c r="BY78" t="s">
        <v>366</v>
      </c>
      <c r="BZ78" s="33" t="str">
        <f>HYPERLINK("http://exon.niaid.nih.gov/transcriptome/S_calcitrans/S1/links/REFSEQ-INVERTEBRATE/XP_013109588.1-REFSEQ-INVERTEBRATE.txt","uncharacterized protein LOC106088557")</f>
        <v>uncharacterized protein LOC106088557</v>
      </c>
      <c r="CA78" t="str">
        <f>HYPERLINK("http://www.ncbi.nlm.nih.gov/sutils/blink.cgi?pid=907699936","5E-061")</f>
        <v>5E-061</v>
      </c>
      <c r="CB78" t="str">
        <f>HYPERLINK("http://www.ncbi.nlm.nih.gov/protein/907699936","gi|907699936")</f>
        <v>gi|907699936</v>
      </c>
      <c r="CC78">
        <v>100</v>
      </c>
      <c r="CD78">
        <v>100</v>
      </c>
      <c r="CE78">
        <v>100</v>
      </c>
      <c r="CF78" t="s">
        <v>253</v>
      </c>
      <c r="CG78" s="33" t="str">
        <f>HYPERLINK("http://exon.niaid.nih.gov/transcriptome/S_calcitrans/S1/links/DIPTERA/XP_013109588.1-DIPTERA.txt","uncharacterized protein LOC106088557")</f>
        <v>uncharacterized protein LOC106088557</v>
      </c>
      <c r="CH78" t="str">
        <f>HYPERLINK("http://www.ncbi.nlm.nih.gov/sutils/blink.cgi?pid=907699936","3E-061")</f>
        <v>3E-061</v>
      </c>
      <c r="CI78" t="str">
        <f>HYPERLINK("http://www.ncbi.nlm.nih.gov/protein/907699936","gi|907699936")</f>
        <v>gi|907699936</v>
      </c>
      <c r="CJ78">
        <v>100</v>
      </c>
      <c r="CK78">
        <v>100</v>
      </c>
      <c r="CL78">
        <v>100</v>
      </c>
      <c r="CM78" t="s">
        <v>253</v>
      </c>
      <c r="CN78" s="33" t="s">
        <v>242</v>
      </c>
      <c r="CO78" t="s">
        <v>242</v>
      </c>
      <c r="CP78" t="s">
        <v>242</v>
      </c>
      <c r="CQ78" t="s">
        <v>242</v>
      </c>
      <c r="CR78" t="s">
        <v>242</v>
      </c>
      <c r="CS78" t="s">
        <v>242</v>
      </c>
      <c r="CT78" t="s">
        <v>242</v>
      </c>
      <c r="CU78" s="33" t="s">
        <v>958</v>
      </c>
      <c r="CV78">
        <f>HYPERLINK("http://exon.niaid.nih.gov/transcriptome/S_calcitrans/S1/links/GO/XP_013109588.1-GO.txt",1E-24)</f>
        <v>9.9999999999999992E-25</v>
      </c>
      <c r="CW78" t="str">
        <f>HYPERLINK("http://amigo.geneontology.org/cgi-bin/amigo/term_details?term=GO:0003674","GO:0003674")</f>
        <v>GO:0003674</v>
      </c>
      <c r="CX78" t="s">
        <v>255</v>
      </c>
      <c r="CY78" t="s">
        <v>256</v>
      </c>
      <c r="CZ78" t="s">
        <v>257</v>
      </c>
      <c r="DA78" t="s">
        <v>242</v>
      </c>
      <c r="DC78" t="s">
        <v>258</v>
      </c>
      <c r="DD78" s="37">
        <v>9.9999999999999992E-25</v>
      </c>
      <c r="DE78" s="33" t="str">
        <f>HYPERLINK("http://exon.niaid.nih.gov/transcriptome/S_calcitrans/S1/links/CDD/XP_013109588.1-CDD.txt","PRK08411")</f>
        <v>PRK08411</v>
      </c>
      <c r="DF78" t="str">
        <f>HYPERLINK("http://www.ncbi.nlm.nih.gov/Structure/cdd/cddsrv.cgi?uid=PRK08411&amp;version=v4.0","0.20")</f>
        <v>0.20</v>
      </c>
      <c r="DG78" t="s">
        <v>959</v>
      </c>
      <c r="DH78" s="33" t="str">
        <f>HYPERLINK("http://exon.niaid.nih.gov/transcriptome/S_calcitrans/S1/links/KOG/XP_013109588.1-KOG.txt","Histone H3 (Lys4) methyltransferase complex, subunit CPS60/ASH2/BRE2")</f>
        <v>Histone H3 (Lys4) methyltransferase complex, subunit CPS60/ASH2/BRE2</v>
      </c>
      <c r="DI78" t="str">
        <f>HYPERLINK("http://www.ncbi.nlm.nih.gov/Structure/cdd/cddsrv.cgi?uid=KOG2626","0.40")</f>
        <v>0.40</v>
      </c>
      <c r="DJ78" t="s">
        <v>909</v>
      </c>
      <c r="DK78" t="str">
        <f>HYPERLINK("http://exon.niaid.nih.gov/transcriptome/S_calcitrans/S1/links/KOG/XP_013109588.1-KOG.txt","KOG2626")</f>
        <v>KOG2626</v>
      </c>
      <c r="DL78" s="33" t="str">
        <f>HYPERLINK("http://exon.niaid.nih.gov/transcriptome/S_calcitrans/S1/links/PFAM/XP_013109588.1-PFAM.txt","Attacin_C")</f>
        <v>Attacin_C</v>
      </c>
      <c r="DM78" t="str">
        <f>HYPERLINK("http://pfam.sanger.ac.uk/family?acc=PF03769","0.16")</f>
        <v>0.16</v>
      </c>
      <c r="DN78" s="33" t="str">
        <f>HYPERLINK("http://exon.niaid.nih.gov/transcriptome/S_calcitrans/S1/links/SMART/XP_013109588.1-SMART.txt","JAB_MPN")</f>
        <v>JAB_MPN</v>
      </c>
      <c r="DO78" t="str">
        <f>HYPERLINK("http://smart.embl-heidelberg.de/smart/do_annotation.pl?DOMAIN=JAB_MPN&amp;BLAST=DUMMY","1.3")</f>
        <v>1.3</v>
      </c>
      <c r="DP78" s="33"/>
      <c r="EB78" s="33">
        <f>HYPERLINK("http://exon.niaid.nih.gov/transcriptome/S_calcitrans/S1/links/cluster-b/Scalc-pep25-50SimCLU1.txt", 1)</f>
        <v>1</v>
      </c>
      <c r="EC78">
        <f>HYPERLINK("http://exon.niaid.nih.gov/transcriptome/S_calcitrans/S1/links/cluster-b/Scalc-pep25-50SimCLTL1.txt", 5170)</f>
        <v>5170</v>
      </c>
      <c r="ED78" s="33">
        <f>HYPERLINK("http://exon.niaid.nih.gov/transcriptome/S_calcitrans/S1/links/cluster-b/Scalc-pep30-50SimCLU1.txt", 1)</f>
        <v>1</v>
      </c>
      <c r="EE78">
        <f>HYPERLINK("http://exon.niaid.nih.gov/transcriptome/S_calcitrans/S1/links/cluster-b/Scalc-pep30-50SimCLTL1.txt", 1550)</f>
        <v>1550</v>
      </c>
      <c r="EF78" s="33">
        <f>HYPERLINK("http://exon.niaid.nih.gov/transcriptome/S_calcitrans/S1/links/cluster-b/Scalc-pep35-50SimCLU1871.txt", 1871)</f>
        <v>1871</v>
      </c>
      <c r="EG78">
        <f>HYPERLINK("http://exon.niaid.nih.gov/transcriptome/S_calcitrans/S1/links/cluster-b/Scalc-pep35-50SimCLTL1871.txt", 2)</f>
        <v>2</v>
      </c>
      <c r="EH78" s="33">
        <v>6937</v>
      </c>
      <c r="EI78">
        <v>1</v>
      </c>
      <c r="EJ78" s="33">
        <v>7442</v>
      </c>
      <c r="EK78">
        <v>1</v>
      </c>
      <c r="EL78" s="33">
        <v>7835</v>
      </c>
      <c r="EM78">
        <v>1</v>
      </c>
      <c r="EN78" s="33">
        <v>8296</v>
      </c>
      <c r="EO78">
        <v>1</v>
      </c>
      <c r="EP78" s="33">
        <v>8661</v>
      </c>
      <c r="EQ78">
        <v>1</v>
      </c>
      <c r="ER78" s="33">
        <v>8978</v>
      </c>
      <c r="ES78">
        <v>1</v>
      </c>
      <c r="ET78" s="33">
        <v>9246</v>
      </c>
      <c r="EU78">
        <v>1</v>
      </c>
      <c r="EV78" s="33">
        <v>9527</v>
      </c>
      <c r="EW78">
        <v>1</v>
      </c>
      <c r="EX78" s="33">
        <v>9795</v>
      </c>
      <c r="EY78">
        <v>1</v>
      </c>
      <c r="EZ78" s="33">
        <v>10100</v>
      </c>
      <c r="FA78">
        <v>1</v>
      </c>
      <c r="FB78" s="33">
        <v>10428</v>
      </c>
      <c r="FC78">
        <v>1</v>
      </c>
      <c r="FD78" s="33">
        <v>10909</v>
      </c>
      <c r="FE78">
        <v>1</v>
      </c>
      <c r="FF78" t="s">
        <v>960</v>
      </c>
      <c r="FG78">
        <v>14753</v>
      </c>
      <c r="FH78" s="38" t="str">
        <f>HYPERLINK("http://exon.niaid.nih.gov/transcriptome/S_calcitrans/S1/links/SG_male-stripped_temp-95-h10-1gap/14753-SG_male-stripped_temp-95-h10-1gap.txt","547")</f>
        <v>547</v>
      </c>
      <c r="FI78" s="39">
        <v>88.011695906432706</v>
      </c>
      <c r="FJ78" s="39">
        <v>115.87134502924</v>
      </c>
      <c r="FK78" s="39">
        <v>0</v>
      </c>
      <c r="FL78" s="39">
        <v>290</v>
      </c>
      <c r="FM78" s="39">
        <v>72.446069469835507</v>
      </c>
      <c r="FN78" s="38" t="str">
        <f>HYPERLINK("http://exon.niaid.nih.gov/transcriptome/S_calcitrans/S1/links/SG_female-stripped_temp-95-h10-1gap/14753-SG_female-stripped_temp-95-h10-1gap.txt","426")</f>
        <v>426</v>
      </c>
      <c r="FO78" s="39">
        <v>100</v>
      </c>
      <c r="FP78" s="39">
        <v>89.377192982456094</v>
      </c>
      <c r="FQ78" s="39">
        <v>3</v>
      </c>
      <c r="FR78" s="39">
        <v>233</v>
      </c>
      <c r="FS78" s="39">
        <v>71.753521126760603</v>
      </c>
      <c r="FT78" s="38" t="str">
        <f>HYPERLINK("http://exon.niaid.nih.gov/transcriptome/S_calcitrans/S1/links/SRR694289-stripped_temp-95-h10-1gap/14753-SRR694289-stripped_temp-95-h10-1gap.txt","22")</f>
        <v>22</v>
      </c>
      <c r="FU78" s="39">
        <v>89.473684210526301</v>
      </c>
      <c r="FV78" s="39">
        <v>6.1491228070175401</v>
      </c>
      <c r="FW78" s="39">
        <v>0</v>
      </c>
      <c r="FX78" s="39">
        <v>14</v>
      </c>
      <c r="FY78" s="39">
        <v>95.590909090909093</v>
      </c>
      <c r="FZ78" s="38">
        <v>0</v>
      </c>
      <c r="GA78" s="39" t="s">
        <v>242</v>
      </c>
      <c r="GB78" s="39" t="s">
        <v>242</v>
      </c>
      <c r="GC78" s="39" t="s">
        <v>242</v>
      </c>
      <c r="GD78" s="39" t="s">
        <v>242</v>
      </c>
      <c r="GE78" s="39" t="s">
        <v>242</v>
      </c>
      <c r="GF78">
        <f t="shared" si="86"/>
        <v>547</v>
      </c>
      <c r="GG78">
        <f t="shared" si="87"/>
        <v>426</v>
      </c>
      <c r="GH78">
        <f t="shared" si="88"/>
        <v>22</v>
      </c>
      <c r="GI78">
        <f t="shared" si="89"/>
        <v>0</v>
      </c>
      <c r="GJ78">
        <f t="shared" si="90"/>
        <v>973</v>
      </c>
      <c r="GK78" s="34">
        <v>3.7792872916706721E-3</v>
      </c>
      <c r="GL78">
        <v>52.319454853026961</v>
      </c>
      <c r="GM78">
        <v>18.529202720681667</v>
      </c>
      <c r="GN78">
        <v>0.36976782082049509</v>
      </c>
      <c r="GO78">
        <v>0</v>
      </c>
      <c r="GP78">
        <f t="shared" si="91"/>
        <v>52.319454853026961</v>
      </c>
      <c r="GQ78" t="s">
        <v>574</v>
      </c>
      <c r="GR78">
        <v>40.803495792153569</v>
      </c>
      <c r="GS78">
        <v>15.208143191767462</v>
      </c>
      <c r="GT78">
        <v>0.66656486116492708</v>
      </c>
      <c r="GU78">
        <v>0</v>
      </c>
      <c r="GV78">
        <f t="shared" si="92"/>
        <v>40.803495792153569</v>
      </c>
      <c r="GW78">
        <v>81.582443483756848</v>
      </c>
      <c r="GX78">
        <v>973</v>
      </c>
      <c r="GY78">
        <v>22</v>
      </c>
      <c r="GZ78">
        <v>995</v>
      </c>
      <c r="HA78">
        <v>220.88969513265829</v>
      </c>
      <c r="HB78">
        <v>774.11030486734171</v>
      </c>
      <c r="HC78">
        <v>2560.8705301889477</v>
      </c>
      <c r="HD78">
        <v>730.73553876095707</v>
      </c>
      <c r="HE78">
        <v>3291.6060689499045</v>
      </c>
      <c r="HF78">
        <v>0</v>
      </c>
      <c r="HG78">
        <v>220.88969513265829</v>
      </c>
      <c r="HH78">
        <v>1</v>
      </c>
      <c r="HI78">
        <v>1</v>
      </c>
      <c r="HJ78">
        <v>2</v>
      </c>
      <c r="HK78">
        <v>0</v>
      </c>
      <c r="HL78" s="30" t="s">
        <v>262</v>
      </c>
      <c r="HM78">
        <v>148.2560405237503</v>
      </c>
      <c r="HN78">
        <v>6.4451989988476331E-3</v>
      </c>
      <c r="HO78">
        <v>547</v>
      </c>
      <c r="HP78">
        <v>426</v>
      </c>
      <c r="HQ78">
        <v>973</v>
      </c>
      <c r="HR78">
        <v>304.15585425135225</v>
      </c>
      <c r="HS78">
        <v>668.84414574864775</v>
      </c>
      <c r="HT78">
        <v>193.89164568128078</v>
      </c>
      <c r="HU78">
        <v>88.171929887164907</v>
      </c>
      <c r="HV78">
        <v>282.06357556844569</v>
      </c>
      <c r="HW78">
        <v>2.6663248488810556E-63</v>
      </c>
      <c r="HX78">
        <v>304.15585425135225</v>
      </c>
      <c r="HY78">
        <v>1</v>
      </c>
      <c r="HZ78">
        <v>1</v>
      </c>
      <c r="IA78">
        <v>2</v>
      </c>
      <c r="IB78" s="37">
        <v>2.5580719658119699E-61</v>
      </c>
      <c r="IC78" s="30" t="s">
        <v>262</v>
      </c>
      <c r="ID78">
        <v>2.8170087856749841</v>
      </c>
      <c r="IE78">
        <v>0.35350884979428909</v>
      </c>
      <c r="IF78">
        <v>2.8170087856749841</v>
      </c>
      <c r="IG78" t="str">
        <f t="shared" si="84"/>
        <v/>
      </c>
    </row>
    <row r="79" spans="1:241">
      <c r="A79" t="str">
        <f>HYPERLINK("http://exon.niaid.nih.gov/transcriptome/S_calcitrans/S1/links/pep/XP_013111305.1-pep.txt","XP_013111305.1")</f>
        <v>XP_013111305.1</v>
      </c>
      <c r="B79" s="30" t="s">
        <v>232</v>
      </c>
      <c r="C79">
        <v>146</v>
      </c>
      <c r="D79" t="s">
        <v>961</v>
      </c>
      <c r="E79">
        <v>1</v>
      </c>
      <c r="F79" t="s">
        <v>962</v>
      </c>
      <c r="G79" t="str">
        <f>HYPERLINK("http://exon.niaid.nih.gov/transcriptome/S_calcitrans/S1/links/cds/XM_013255851_1-cds.txt","XM_013255851_1")</f>
        <v>XM_013255851_1</v>
      </c>
      <c r="H79">
        <v>441</v>
      </c>
      <c r="I79" t="s">
        <v>963</v>
      </c>
      <c r="J79" s="30" t="s">
        <v>236</v>
      </c>
      <c r="K79" s="30" t="s">
        <v>91</v>
      </c>
      <c r="L79" s="31" t="s">
        <v>599</v>
      </c>
      <c r="M79" s="30">
        <v>246274</v>
      </c>
      <c r="N79" s="30">
        <v>246783</v>
      </c>
      <c r="O79" s="30" t="s">
        <v>276</v>
      </c>
      <c r="P79" s="30">
        <v>2</v>
      </c>
      <c r="Q79" s="31" t="s">
        <v>964</v>
      </c>
      <c r="R79" s="32" t="str">
        <f>HYPERLINK("http://exon.niaid.nih.gov/transcriptome/S_calcitrans/S1/links/Sigp/XP_013111305.1-SigP.txt","SIG")</f>
        <v>SIG</v>
      </c>
      <c r="S79" t="s">
        <v>615</v>
      </c>
      <c r="T79">
        <v>17.096</v>
      </c>
      <c r="U79">
        <v>5.73</v>
      </c>
      <c r="V79">
        <v>14.581</v>
      </c>
      <c r="W79">
        <v>5.52</v>
      </c>
      <c r="X79" t="s">
        <v>965</v>
      </c>
      <c r="Y79" s="32">
        <v>0</v>
      </c>
      <c r="Z79" t="s">
        <v>242</v>
      </c>
      <c r="AA79" t="s">
        <v>242</v>
      </c>
      <c r="AB79" t="s">
        <v>242</v>
      </c>
      <c r="AC79" t="s">
        <v>242</v>
      </c>
      <c r="AD79" t="s">
        <v>242</v>
      </c>
      <c r="AE79" s="32" t="str">
        <f>HYPERLINK("http://exon.niaid.nih.gov/transcriptome/S_calcitrans/S1/links/netoglyc/XP_013111305.1-netoglyc.txt","0")</f>
        <v>0</v>
      </c>
      <c r="AF79">
        <v>15.8</v>
      </c>
      <c r="AG79" t="s">
        <v>460</v>
      </c>
      <c r="AH79">
        <v>3.4</v>
      </c>
      <c r="AI79" t="s">
        <v>243</v>
      </c>
      <c r="AJ79" t="s">
        <v>242</v>
      </c>
      <c r="AK79">
        <v>298.83918698116315</v>
      </c>
      <c r="AL79" s="33">
        <v>11828</v>
      </c>
      <c r="AM79">
        <v>1</v>
      </c>
      <c r="AN79" s="30">
        <f t="shared" si="83"/>
        <v>1</v>
      </c>
      <c r="AO79" s="30" t="s">
        <v>244</v>
      </c>
      <c r="AP79">
        <v>938</v>
      </c>
      <c r="AQ79" s="34">
        <v>3.643341705639353E-3</v>
      </c>
      <c r="AR79" s="35">
        <v>133.18414724257832</v>
      </c>
      <c r="AS79" t="s">
        <v>966</v>
      </c>
      <c r="AT79" s="36" t="s">
        <v>967</v>
      </c>
      <c r="AU79" t="s">
        <v>968</v>
      </c>
      <c r="AV79" t="str">
        <f>HYPERLINK("http://exon.niaid.nih.gov/transcriptome/S_calcitrans/S1/links/DIPTERA/XP_013111305.1-DIPTERA.txt","DIPTERA")</f>
        <v>DIPTERA</v>
      </c>
      <c r="AW79" s="37">
        <v>4.0000000000000003E-37</v>
      </c>
      <c r="AX79">
        <v>81.2</v>
      </c>
      <c r="AY79" s="33"/>
      <c r="BG79" s="31"/>
      <c r="BJ79" s="33" t="str">
        <f>HYPERLINK("http://exon.niaid.nih.gov/transcriptome/S_calcitrans/S1/links/TICK-BLOCKS/XP_013111305.1-TICK-BLOCKS.txt","RTS_cys_disintegrin |")</f>
        <v>RTS_cys_disintegrin |</v>
      </c>
      <c r="BK79" s="33" t="s">
        <v>969</v>
      </c>
      <c r="BL79" s="33" t="str">
        <f>HYPERLINK("http://exon.niaid.nih.gov/transcriptome/S_calcitrans/S1/links/NR-LIGHT/XP_013111305.1-NR-LIGHT.txt","double-headed protease inhibitor, submandibular gland-like")</f>
        <v>double-headed protease inhibitor, submandibular gland-like</v>
      </c>
      <c r="BM79" t="str">
        <f>HYPERLINK("http://www.ncbi.nlm.nih.gov/sutils/blink.cgi?pid=755899644","1E-036")</f>
        <v>1E-036</v>
      </c>
      <c r="BN79" t="str">
        <f>HYPERLINK("http://www.ncbi.nlm.nih.gov/protein/755899644","gi|755899644")</f>
        <v>gi|755899644</v>
      </c>
      <c r="BO79">
        <v>64</v>
      </c>
      <c r="BP79">
        <v>77</v>
      </c>
      <c r="BQ79">
        <v>81</v>
      </c>
      <c r="BR79" t="s">
        <v>251</v>
      </c>
      <c r="BS79" s="33" t="str">
        <f>HYPERLINK("http://exon.niaid.nih.gov/transcriptome/S_calcitrans/S1/links/SWISSP/XP_013111305.1-SWISSP.txt","Double-headed protease inhibitor, submandibular gland")</f>
        <v>Double-headed protease inhibitor, submandibular gland</v>
      </c>
      <c r="BT79" t="str">
        <f>HYPERLINK("http://www.uniprot.org/uniprot/P08480","5E-005")</f>
        <v>5E-005</v>
      </c>
      <c r="BU79" t="str">
        <f>HYPERLINK("http://www.uniprot.org/uniprot/P08480#expression","P08480")</f>
        <v>P08480</v>
      </c>
      <c r="BV79">
        <v>36</v>
      </c>
      <c r="BW79">
        <v>54</v>
      </c>
      <c r="BX79">
        <v>64</v>
      </c>
      <c r="BY79" t="s">
        <v>970</v>
      </c>
      <c r="BZ79" s="33" t="str">
        <f>HYPERLINK("http://exon.niaid.nih.gov/transcriptome/S_calcitrans/S1/links/REFSEQ-INVERTEBRATE/XP_013111305.1-REFSEQ-INVERTEBRATE.txt","uncharacterized protein LOC106089856")</f>
        <v>uncharacterized protein LOC106089856</v>
      </c>
      <c r="CA79" t="str">
        <f>HYPERLINK("http://www.ncbi.nlm.nih.gov/sutils/blink.cgi?pid=907711415","2E-084")</f>
        <v>2E-084</v>
      </c>
      <c r="CB79" t="str">
        <f>HYPERLINK("http://www.ncbi.nlm.nih.gov/protein/907711415","gi|907711415")</f>
        <v>gi|907711415</v>
      </c>
      <c r="CC79">
        <v>100</v>
      </c>
      <c r="CD79">
        <v>100</v>
      </c>
      <c r="CE79">
        <v>100</v>
      </c>
      <c r="CF79" t="s">
        <v>253</v>
      </c>
      <c r="CG79" s="33" t="str">
        <f>HYPERLINK("http://exon.niaid.nih.gov/transcriptome/S_calcitrans/S1/links/DIPTERA/XP_013111305.1-DIPTERA.txt","uncharacterized protein LOC106089856")</f>
        <v>uncharacterized protein LOC106089856</v>
      </c>
      <c r="CH79" t="str">
        <f>HYPERLINK("http://www.ncbi.nlm.nih.gov/sutils/blink.cgi?pid=907711415","1E-084")</f>
        <v>1E-084</v>
      </c>
      <c r="CI79" t="str">
        <f>HYPERLINK("http://www.ncbi.nlm.nih.gov/protein/907711415","gi|907711415")</f>
        <v>gi|907711415</v>
      </c>
      <c r="CJ79">
        <v>100</v>
      </c>
      <c r="CK79">
        <v>100</v>
      </c>
      <c r="CL79">
        <v>100</v>
      </c>
      <c r="CM79" t="s">
        <v>253</v>
      </c>
      <c r="CN79" s="33" t="s">
        <v>242</v>
      </c>
      <c r="CO79" t="s">
        <v>242</v>
      </c>
      <c r="CP79" t="s">
        <v>242</v>
      </c>
      <c r="CQ79" t="s">
        <v>242</v>
      </c>
      <c r="CR79" t="s">
        <v>242</v>
      </c>
      <c r="CS79" t="s">
        <v>242</v>
      </c>
      <c r="CT79" t="s">
        <v>242</v>
      </c>
      <c r="CU79" s="33" t="s">
        <v>971</v>
      </c>
      <c r="CV79">
        <f>HYPERLINK("http://exon.niaid.nih.gov/transcriptome/S_calcitrans/S1/links/GO/XP_013111305.1-GO.txt",0.00000008)</f>
        <v>8.0000000000000002E-8</v>
      </c>
      <c r="CW79" t="str">
        <f>HYPERLINK("http://amigo.geneontology.org/cgi-bin/amigo/term_details?term=GO:0003674","GO:0003674")</f>
        <v>GO:0003674</v>
      </c>
      <c r="CX79" t="s">
        <v>255</v>
      </c>
      <c r="CY79" t="s">
        <v>256</v>
      </c>
      <c r="CZ79" t="s">
        <v>257</v>
      </c>
      <c r="DA79" t="s">
        <v>242</v>
      </c>
      <c r="DC79" t="s">
        <v>258</v>
      </c>
      <c r="DD79">
        <v>8.0000000000000002E-8</v>
      </c>
      <c r="DE79" s="33" t="str">
        <f>HYPERLINK("http://exon.niaid.nih.gov/transcriptome/S_calcitrans/S1/links/CDD/XP_013111305.1-CDD.txt","TOMM_kin_cyc")</f>
        <v>TOMM_kin_cyc</v>
      </c>
      <c r="DF79" t="str">
        <f>HYPERLINK("http://www.ncbi.nlm.nih.gov/Structure/cdd/cddsrv.cgi?uid=TIGR03903&amp;version=v4.0","0.31")</f>
        <v>0.31</v>
      </c>
      <c r="DG79" t="s">
        <v>972</v>
      </c>
      <c r="DH79" s="33" t="str">
        <f>HYPERLINK("http://exon.niaid.nih.gov/transcriptome/S_calcitrans/S1/links/KOG/XP_013111305.1-KOG.txt","Glutaryl-CoA dehydrogenase")</f>
        <v>Glutaryl-CoA dehydrogenase</v>
      </c>
      <c r="DI79" t="str">
        <f>HYPERLINK("http://www.ncbi.nlm.nih.gov/Structure/cdd/cddsrv.cgi?uid=KOG0138","1.3")</f>
        <v>1.3</v>
      </c>
      <c r="DJ79" t="s">
        <v>628</v>
      </c>
      <c r="DK79" t="str">
        <f>HYPERLINK("http://exon.niaid.nih.gov/transcriptome/S_calcitrans/S1/links/KOG/XP_013111305.1-KOG.txt","KOG0138")</f>
        <v>KOG0138</v>
      </c>
      <c r="DL79" s="33" t="str">
        <f>HYPERLINK("http://exon.niaid.nih.gov/transcriptome/S_calcitrans/S1/links/PFAM/XP_013111305.1-PFAM.txt","DASH_Ask1")</f>
        <v>DASH_Ask1</v>
      </c>
      <c r="DM79" t="str">
        <f>HYPERLINK("http://pfam.sanger.ac.uk/family?acc=PF08655","0.27")</f>
        <v>0.27</v>
      </c>
      <c r="DN79" s="33" t="str">
        <f>HYPERLINK("http://exon.niaid.nih.gov/transcriptome/S_calcitrans/S1/links/SMART/XP_013111305.1-SMART.txt","KAZAL")</f>
        <v>KAZAL</v>
      </c>
      <c r="DO79" t="str">
        <f>HYPERLINK("http://smart.embl-heidelberg.de/smart/do_annotation.pl?DOMAIN=KAZAL&amp;BLAST=DUMMY","0.063")</f>
        <v>0.063</v>
      </c>
      <c r="DP79" s="33"/>
      <c r="EB79" s="33">
        <f>HYPERLINK("http://exon.niaid.nih.gov/transcriptome/S_calcitrans/S1/links/cluster-b/Scalc-pep25-50SimCLU97.txt", 97)</f>
        <v>97</v>
      </c>
      <c r="EC79">
        <f>HYPERLINK("http://exon.niaid.nih.gov/transcriptome/S_calcitrans/S1/links/cluster-b/Scalc-pep25-50SimCLTL97.txt", 16)</f>
        <v>16</v>
      </c>
      <c r="ED79" s="33">
        <f>HYPERLINK("http://exon.niaid.nih.gov/transcriptome/S_calcitrans/S1/links/cluster-b/Scalc-pep30-50SimCLU2656.txt", 2656)</f>
        <v>2656</v>
      </c>
      <c r="EE79">
        <f>HYPERLINK("http://exon.niaid.nih.gov/transcriptome/S_calcitrans/S1/links/cluster-b/Scalc-pep30-50SimCLTL2656.txt", 2)</f>
        <v>2</v>
      </c>
      <c r="EF79" s="33">
        <v>6843</v>
      </c>
      <c r="EG79">
        <v>1</v>
      </c>
      <c r="EH79" s="33">
        <v>7378</v>
      </c>
      <c r="EI79">
        <v>1</v>
      </c>
      <c r="EJ79" s="33">
        <v>7937</v>
      </c>
      <c r="EK79">
        <v>1</v>
      </c>
      <c r="EL79" s="33">
        <v>8370</v>
      </c>
      <c r="EM79">
        <v>1</v>
      </c>
      <c r="EN79" s="33">
        <v>8854</v>
      </c>
      <c r="EO79">
        <v>1</v>
      </c>
      <c r="EP79" s="33">
        <v>9252</v>
      </c>
      <c r="EQ79">
        <v>1</v>
      </c>
      <c r="ER79" s="33">
        <v>9606</v>
      </c>
      <c r="ES79">
        <v>1</v>
      </c>
      <c r="ET79" s="33">
        <v>9908</v>
      </c>
      <c r="EU79">
        <v>1</v>
      </c>
      <c r="EV79" s="33">
        <v>10245</v>
      </c>
      <c r="EW79">
        <v>1</v>
      </c>
      <c r="EX79" s="33">
        <v>10544</v>
      </c>
      <c r="EY79">
        <v>1</v>
      </c>
      <c r="EZ79" s="33">
        <v>10893</v>
      </c>
      <c r="FA79">
        <v>1</v>
      </c>
      <c r="FB79" s="33">
        <v>11274</v>
      </c>
      <c r="FC79">
        <v>1</v>
      </c>
      <c r="FD79" s="33">
        <v>11828</v>
      </c>
      <c r="FE79">
        <v>1</v>
      </c>
      <c r="FF79" t="s">
        <v>973</v>
      </c>
      <c r="FG79">
        <v>16300</v>
      </c>
      <c r="FH79" s="38" t="str">
        <f>HYPERLINK("http://exon.niaid.nih.gov/transcriptome/S_calcitrans/S1/links/SG_male-stripped_temp-95-h10-1gap/16300-SG_male-stripped_temp-95-h10-1gap.txt","282")</f>
        <v>282</v>
      </c>
      <c r="FI79" s="39">
        <v>83.673469387755105</v>
      </c>
      <c r="FJ79" s="39">
        <v>45.024943310657598</v>
      </c>
      <c r="FK79" s="39">
        <v>0</v>
      </c>
      <c r="FL79" s="39">
        <v>92</v>
      </c>
      <c r="FM79" s="39">
        <v>70.411347517730505</v>
      </c>
      <c r="FN79" s="38" t="str">
        <f>HYPERLINK("http://exon.niaid.nih.gov/transcriptome/S_calcitrans/S1/links/SG_female-stripped_temp-95-h10-1gap/16300-SG_female-stripped_temp-95-h10-1gap.txt","656")</f>
        <v>656</v>
      </c>
      <c r="FO79" s="39">
        <v>87.755102040816297</v>
      </c>
      <c r="FP79" s="39">
        <v>101.69614512471701</v>
      </c>
      <c r="FQ79" s="39">
        <v>0</v>
      </c>
      <c r="FR79" s="39">
        <v>224</v>
      </c>
      <c r="FS79" s="39">
        <v>68.365853658536594</v>
      </c>
      <c r="FT79" s="38" t="str">
        <f>HYPERLINK("http://exon.niaid.nih.gov/transcriptome/S_calcitrans/S1/links/SRR694289-stripped_temp-95-h10-1gap/16300-SRR694289-stripped_temp-95-h10-1gap.txt","8")</f>
        <v>8</v>
      </c>
      <c r="FU79" s="39">
        <v>58.276643990929699</v>
      </c>
      <c r="FV79" s="39">
        <v>1.4126984126984099</v>
      </c>
      <c r="FW79" s="39">
        <v>0</v>
      </c>
      <c r="FX79" s="39">
        <v>4</v>
      </c>
      <c r="FY79" s="39">
        <v>77.875</v>
      </c>
      <c r="FZ79" s="38" t="str">
        <f>HYPERLINK("http://exon.niaid.nih.gov/transcriptome/S_calcitrans/S1/links/SRR694925-stripped_temp-95-h10-1gap/16300-SRR694925-stripped_temp-95-h10-1gap.txt","2")</f>
        <v>2</v>
      </c>
      <c r="GA79" s="39">
        <v>26.984126984126998</v>
      </c>
      <c r="GB79" s="39">
        <v>0.45351473922902502</v>
      </c>
      <c r="GC79" s="39">
        <v>0</v>
      </c>
      <c r="GD79" s="39">
        <v>2</v>
      </c>
      <c r="GE79" s="39">
        <v>100</v>
      </c>
      <c r="GF79">
        <f t="shared" si="86"/>
        <v>282</v>
      </c>
      <c r="GG79">
        <f t="shared" si="87"/>
        <v>656</v>
      </c>
      <c r="GH79">
        <f t="shared" si="88"/>
        <v>8</v>
      </c>
      <c r="GI79">
        <f t="shared" si="89"/>
        <v>2</v>
      </c>
      <c r="GJ79">
        <f t="shared" si="90"/>
        <v>938</v>
      </c>
      <c r="GK79" s="34">
        <v>3.643341705639353E-3</v>
      </c>
      <c r="GL79">
        <v>20.917631541433305</v>
      </c>
      <c r="GM79">
        <v>22.127812849533036</v>
      </c>
      <c r="GN79">
        <v>0.10427589752266281</v>
      </c>
      <c r="GO79">
        <v>2.6874178629664149E-2</v>
      </c>
      <c r="GP79">
        <f t="shared" si="91"/>
        <v>22.127812849533036</v>
      </c>
      <c r="GQ79" t="s">
        <v>968</v>
      </c>
      <c r="GR79">
        <v>16.313482106805864</v>
      </c>
      <c r="GS79">
        <v>18.16176073030465</v>
      </c>
      <c r="GT79">
        <v>0.18797376418751191</v>
      </c>
      <c r="GU79">
        <v>5.0880187659460931E-2</v>
      </c>
      <c r="GV79">
        <f t="shared" si="92"/>
        <v>18.16176073030465</v>
      </c>
      <c r="GW79">
        <v>133.18414724257832</v>
      </c>
      <c r="GX79">
        <v>938</v>
      </c>
      <c r="GY79">
        <v>10</v>
      </c>
      <c r="GZ79">
        <v>948</v>
      </c>
      <c r="HA79">
        <v>210.45570953342721</v>
      </c>
      <c r="HB79">
        <v>737.54429046657276</v>
      </c>
      <c r="HC79">
        <v>2515.1168184697572</v>
      </c>
      <c r="HD79">
        <v>717.67987554436752</v>
      </c>
      <c r="HE79">
        <v>3232.7966940141246</v>
      </c>
      <c r="HF79">
        <v>0</v>
      </c>
      <c r="HG79">
        <v>210.45570953342721</v>
      </c>
      <c r="HH79">
        <v>1</v>
      </c>
      <c r="HI79">
        <v>1</v>
      </c>
      <c r="HJ79">
        <v>2</v>
      </c>
      <c r="HK79">
        <v>0</v>
      </c>
      <c r="HL79" s="30" t="s">
        <v>262</v>
      </c>
      <c r="HM79">
        <v>298.83918698116315</v>
      </c>
      <c r="HN79">
        <v>3.0388342651164655E-3</v>
      </c>
      <c r="HO79">
        <v>282</v>
      </c>
      <c r="HP79">
        <v>656</v>
      </c>
      <c r="HQ79">
        <v>938</v>
      </c>
      <c r="HR79">
        <v>293.2149961847569</v>
      </c>
      <c r="HS79">
        <v>644.78500381524316</v>
      </c>
      <c r="HT79">
        <v>0.42895534355568687</v>
      </c>
      <c r="HU79">
        <v>0.19506678765772048</v>
      </c>
      <c r="HV79">
        <v>0.62402213121340733</v>
      </c>
      <c r="HW79">
        <v>0.42955655203861404</v>
      </c>
      <c r="HX79">
        <v>293.2149961847569</v>
      </c>
      <c r="HY79">
        <v>1</v>
      </c>
      <c r="HZ79" t="s">
        <v>244</v>
      </c>
      <c r="IA79">
        <v>1</v>
      </c>
      <c r="IB79">
        <v>0.77123677162507998</v>
      </c>
      <c r="IC79" s="30" t="s">
        <v>244</v>
      </c>
      <c r="ID79">
        <v>0.94387066555994514</v>
      </c>
      <c r="IE79">
        <v>1.054116602754271</v>
      </c>
      <c r="IF79">
        <v>1.054116602754271</v>
      </c>
      <c r="IG79" t="str">
        <f t="shared" si="84"/>
        <v/>
      </c>
    </row>
    <row r="80" spans="1:241">
      <c r="A80" t="str">
        <f>HYPERLINK("http://exon.niaid.nih.gov/transcriptome/S_calcitrans/S1/links/pep/XP_013111425.1-pep.txt","XP_013111425.1")</f>
        <v>XP_013111425.1</v>
      </c>
      <c r="B80" s="30" t="s">
        <v>232</v>
      </c>
      <c r="C80">
        <v>53</v>
      </c>
      <c r="D80" t="s">
        <v>974</v>
      </c>
      <c r="E80">
        <v>0</v>
      </c>
      <c r="F80" t="s">
        <v>975</v>
      </c>
      <c r="G80" t="str">
        <f>HYPERLINK("http://exon.niaid.nih.gov/transcriptome/S_calcitrans/S1/links/cds/XM_013255971_1-cds.txt","XM_013255971_1")</f>
        <v>XM_013255971_1</v>
      </c>
      <c r="H80">
        <v>162</v>
      </c>
      <c r="I80" t="s">
        <v>976</v>
      </c>
      <c r="J80" s="30" t="s">
        <v>236</v>
      </c>
      <c r="K80" s="30" t="s">
        <v>91</v>
      </c>
      <c r="L80" s="31" t="s">
        <v>977</v>
      </c>
      <c r="M80" s="30">
        <v>175141</v>
      </c>
      <c r="N80" s="30">
        <v>175302</v>
      </c>
      <c r="O80" s="30" t="s">
        <v>238</v>
      </c>
      <c r="P80" s="30">
        <v>1</v>
      </c>
      <c r="Q80" s="31" t="s">
        <v>978</v>
      </c>
      <c r="R80" s="32" t="str">
        <f>HYPERLINK("http://exon.niaid.nih.gov/transcriptome/S_calcitrans/S1/links/Sigp/XP_013111425.1-SigP.txt","SIG")</f>
        <v>SIG</v>
      </c>
      <c r="S80" t="s">
        <v>615</v>
      </c>
      <c r="T80">
        <v>5.7380000000000004</v>
      </c>
      <c r="U80">
        <v>10</v>
      </c>
      <c r="V80">
        <v>3.3580000000000001</v>
      </c>
      <c r="W80">
        <v>9.6999999999999993</v>
      </c>
      <c r="X80" t="s">
        <v>979</v>
      </c>
      <c r="Y80" s="32" t="str">
        <f>HYPERLINK("http://exon.niaid.nih.gov/transcriptome/S_calcitrans/S1/links/tmhmm/XP_013111425.1-tmhmm.txt","1")</f>
        <v>1</v>
      </c>
      <c r="Z80">
        <v>41.5</v>
      </c>
      <c r="AA80">
        <v>45.3</v>
      </c>
      <c r="AB80">
        <v>13.2</v>
      </c>
      <c r="AC80" t="s">
        <v>242</v>
      </c>
      <c r="AD80">
        <v>24</v>
      </c>
      <c r="AE80" s="32" t="str">
        <f>HYPERLINK("http://exon.niaid.nih.gov/transcriptome/S_calcitrans/S1/links/netoglyc/XP_013111425.1-netoglyc.txt","0")</f>
        <v>0</v>
      </c>
      <c r="AF80">
        <v>5.7</v>
      </c>
      <c r="AG80">
        <v>11.3</v>
      </c>
      <c r="AH80">
        <v>3.8</v>
      </c>
      <c r="AI80" t="s">
        <v>243</v>
      </c>
      <c r="AJ80" t="s">
        <v>242</v>
      </c>
      <c r="AK80">
        <v>166.65895431264107</v>
      </c>
      <c r="AL80" s="33">
        <v>11885</v>
      </c>
      <c r="AM80">
        <v>1</v>
      </c>
      <c r="AN80" s="30">
        <f t="shared" si="83"/>
        <v>1</v>
      </c>
      <c r="AO80" s="30" t="s">
        <v>244</v>
      </c>
      <c r="AP80">
        <v>428</v>
      </c>
      <c r="AQ80" s="34">
        <v>1.6624203091829884E-3</v>
      </c>
      <c r="AR80" s="35">
        <v>93.709089981456685</v>
      </c>
      <c r="AS80" t="s">
        <v>980</v>
      </c>
      <c r="AT80" s="36" t="s">
        <v>885</v>
      </c>
      <c r="AU80" t="s">
        <v>574</v>
      </c>
      <c r="AV80" t="str">
        <f>HYPERLINK("http://exon.niaid.nih.gov/transcriptome/S_calcitrans/S1/links/SWISSP/XP_013111425.1-SWISSP.txt","SWISSP")</f>
        <v>SWISSP</v>
      </c>
      <c r="AW80">
        <v>1000</v>
      </c>
      <c r="AX80">
        <v>20.8</v>
      </c>
      <c r="AY80" s="33"/>
      <c r="BG80" s="31"/>
      <c r="BJ80" s="33"/>
      <c r="BK80" s="33"/>
      <c r="BL80" s="33" t="str">
        <f>HYPERLINK("http://exon.niaid.nih.gov/transcriptome/S_calcitrans/S1/links/NR-LIGHT/XP_013111425.1-NR-LIGHT.txt","uncharacterized protein LOC101887724")</f>
        <v>uncharacterized protein LOC101887724</v>
      </c>
      <c r="BM80" t="str">
        <f>HYPERLINK("http://www.ncbi.nlm.nih.gov/sutils/blink.cgi?pid=557756757","2E-013")</f>
        <v>2E-013</v>
      </c>
      <c r="BN80" t="str">
        <f>HYPERLINK("http://www.ncbi.nlm.nih.gov/protein/557756757","gi|557756757")</f>
        <v>gi|557756757</v>
      </c>
      <c r="BO80">
        <v>71</v>
      </c>
      <c r="BP80">
        <v>80</v>
      </c>
      <c r="BQ80">
        <v>98</v>
      </c>
      <c r="BR80" t="s">
        <v>251</v>
      </c>
      <c r="BS80" s="33" t="str">
        <f>HYPERLINK("http://exon.niaid.nih.gov/transcriptome/S_calcitrans/S1/links/SWISSP/XP_013111425.1-SWISSP.txt","Small integral membrane protein 20")</f>
        <v>Small integral membrane protein 20</v>
      </c>
      <c r="BT80" t="str">
        <f>HYPERLINK("http://www.uniprot.org/uniprot/Q8N5G0","0.013")</f>
        <v>0.013</v>
      </c>
      <c r="BU80" t="str">
        <f>HYPERLINK("http://www.uniprot.org/uniprot/Q8N5G0#expression","Q8N5G0")</f>
        <v>Q8N5G0</v>
      </c>
      <c r="BV80">
        <v>42</v>
      </c>
      <c r="BW80">
        <v>65</v>
      </c>
      <c r="BX80">
        <v>21</v>
      </c>
      <c r="BY80" t="s">
        <v>353</v>
      </c>
      <c r="BZ80" s="33" t="str">
        <f>HYPERLINK("http://exon.niaid.nih.gov/transcriptome/S_calcitrans/S1/links/REFSEQ-INVERTEBRATE/XP_013111425.1-REFSEQ-INVERTEBRATE.txt","uncharacterized protein LOC106089960")</f>
        <v>uncharacterized protein LOC106089960</v>
      </c>
      <c r="CA80" t="str">
        <f>HYPERLINK("http://www.ncbi.nlm.nih.gov/sutils/blink.cgi?pid=907711803","5E-022")</f>
        <v>5E-022</v>
      </c>
      <c r="CB80" t="str">
        <f>HYPERLINK("http://www.ncbi.nlm.nih.gov/protein/907711803","gi|907711803")</f>
        <v>gi|907711803</v>
      </c>
      <c r="CC80">
        <v>100</v>
      </c>
      <c r="CD80">
        <v>100</v>
      </c>
      <c r="CE80">
        <v>100</v>
      </c>
      <c r="CF80" t="s">
        <v>253</v>
      </c>
      <c r="CG80" s="33" t="str">
        <f>HYPERLINK("http://exon.niaid.nih.gov/transcriptome/S_calcitrans/S1/links/DIPTERA/XP_013111425.1-DIPTERA.txt","uncharacterized protein LOC106089960")</f>
        <v>uncharacterized protein LOC106089960</v>
      </c>
      <c r="CH80" t="str">
        <f>HYPERLINK("http://www.ncbi.nlm.nih.gov/sutils/blink.cgi?pid=907711803","2E-022")</f>
        <v>2E-022</v>
      </c>
      <c r="CI80" t="str">
        <f>HYPERLINK("http://www.ncbi.nlm.nih.gov/protein/907711803","gi|907711803")</f>
        <v>gi|907711803</v>
      </c>
      <c r="CJ80">
        <v>100</v>
      </c>
      <c r="CK80">
        <v>100</v>
      </c>
      <c r="CL80">
        <v>100</v>
      </c>
      <c r="CM80" t="s">
        <v>253</v>
      </c>
      <c r="CN80" s="33" t="s">
        <v>242</v>
      </c>
      <c r="CO80" t="s">
        <v>242</v>
      </c>
      <c r="CP80" t="s">
        <v>242</v>
      </c>
      <c r="CQ80" t="s">
        <v>242</v>
      </c>
      <c r="CR80" t="s">
        <v>242</v>
      </c>
      <c r="CS80" t="s">
        <v>242</v>
      </c>
      <c r="CT80" t="s">
        <v>242</v>
      </c>
      <c r="CU80" s="33" t="s">
        <v>242</v>
      </c>
      <c r="CV80" t="s">
        <v>242</v>
      </c>
      <c r="CW80" t="s">
        <v>242</v>
      </c>
      <c r="CX80" t="s">
        <v>242</v>
      </c>
      <c r="CY80" t="s">
        <v>242</v>
      </c>
      <c r="CZ80" t="s">
        <v>242</v>
      </c>
      <c r="DA80" t="s">
        <v>242</v>
      </c>
      <c r="DB80" t="s">
        <v>242</v>
      </c>
      <c r="DC80" t="s">
        <v>242</v>
      </c>
      <c r="DD80" t="s">
        <v>242</v>
      </c>
      <c r="DE80" s="33" t="str">
        <f>HYPERLINK("http://exon.niaid.nih.gov/transcriptome/S_calcitrans/S1/links/CDD/XP_013111425.1-CDD.txt","DUF4538")</f>
        <v>DUF4538</v>
      </c>
      <c r="DF80" t="str">
        <f>HYPERLINK("http://www.ncbi.nlm.nih.gov/Structure/cdd/cddsrv.cgi?uid=pfam15061&amp;version=v4.0","2E-008")</f>
        <v>2E-008</v>
      </c>
      <c r="DG80" t="s">
        <v>981</v>
      </c>
      <c r="DH80" s="33" t="str">
        <f>HYPERLINK("http://exon.niaid.nih.gov/transcriptome/S_calcitrans/S1/links/KOG/XP_013111425.1-KOG.txt","Permease of the major facilitator superfamily")</f>
        <v>Permease of the major facilitator superfamily</v>
      </c>
      <c r="DI80" t="str">
        <f>HYPERLINK("http://www.ncbi.nlm.nih.gov/Structure/cdd/cddsrv.cgi?uid=KOG2532","0.73")</f>
        <v>0.73</v>
      </c>
      <c r="DJ80" t="s">
        <v>444</v>
      </c>
      <c r="DK80" t="str">
        <f>HYPERLINK("http://exon.niaid.nih.gov/transcriptome/S_calcitrans/S1/links/KOG/XP_013111425.1-KOG.txt","KOG2532")</f>
        <v>KOG2532</v>
      </c>
      <c r="DL80" s="33" t="str">
        <f>HYPERLINK("http://exon.niaid.nih.gov/transcriptome/S_calcitrans/S1/links/PFAM/XP_013111425.1-PFAM.txt","DUF4538")</f>
        <v>DUF4538</v>
      </c>
      <c r="DM80" t="str">
        <f>HYPERLINK("http://pfam.sanger.ac.uk/family?acc=PF15061","8E-013")</f>
        <v>8E-013</v>
      </c>
      <c r="DN80" s="33" t="str">
        <f>HYPERLINK("http://exon.niaid.nih.gov/transcriptome/S_calcitrans/S1/links/SMART/XP_013111425.1-SMART.txt","AIP3")</f>
        <v>AIP3</v>
      </c>
      <c r="DO80" t="str">
        <f>HYPERLINK("http://smart.embl-heidelberg.de/smart/do_annotation.pl?DOMAIN=AIP3&amp;BLAST=DUMMY","5.6")</f>
        <v>5.6</v>
      </c>
      <c r="DP80" s="33"/>
      <c r="EB80" s="33">
        <v>5108</v>
      </c>
      <c r="EC80">
        <v>1</v>
      </c>
      <c r="ED80" s="33">
        <v>6173</v>
      </c>
      <c r="EE80">
        <v>1</v>
      </c>
      <c r="EF80" s="33">
        <v>6868</v>
      </c>
      <c r="EG80">
        <v>1</v>
      </c>
      <c r="EH80" s="33">
        <v>7406</v>
      </c>
      <c r="EI80">
        <v>1</v>
      </c>
      <c r="EJ80" s="33">
        <v>7965</v>
      </c>
      <c r="EK80">
        <v>1</v>
      </c>
      <c r="EL80" s="33">
        <v>8401</v>
      </c>
      <c r="EM80">
        <v>1</v>
      </c>
      <c r="EN80" s="33">
        <v>8888</v>
      </c>
      <c r="EO80">
        <v>1</v>
      </c>
      <c r="EP80" s="33">
        <v>9287</v>
      </c>
      <c r="EQ80">
        <v>1</v>
      </c>
      <c r="ER80" s="33">
        <v>9642</v>
      </c>
      <c r="ES80">
        <v>1</v>
      </c>
      <c r="ET80" s="33">
        <v>9945</v>
      </c>
      <c r="EU80">
        <v>1</v>
      </c>
      <c r="EV80" s="33">
        <v>10287</v>
      </c>
      <c r="EW80">
        <v>1</v>
      </c>
      <c r="EX80" s="33">
        <v>10588</v>
      </c>
      <c r="EY80">
        <v>1</v>
      </c>
      <c r="EZ80" s="33">
        <v>10938</v>
      </c>
      <c r="FA80">
        <v>1</v>
      </c>
      <c r="FB80" s="33">
        <v>11319</v>
      </c>
      <c r="FC80">
        <v>1</v>
      </c>
      <c r="FD80" s="33">
        <v>11885</v>
      </c>
      <c r="FE80">
        <v>1</v>
      </c>
      <c r="FF80" t="s">
        <v>982</v>
      </c>
      <c r="FG80">
        <v>16391</v>
      </c>
      <c r="FH80" s="38" t="str">
        <f>HYPERLINK("http://exon.niaid.nih.gov/transcriptome/S_calcitrans/S1/links/SG_male-stripped_temp-95-h10-1gap/16391-SG_male-stripped_temp-95-h10-1gap.txt","220")</f>
        <v>220</v>
      </c>
      <c r="FI80" s="39">
        <v>100</v>
      </c>
      <c r="FJ80" s="39">
        <v>92.598765432098801</v>
      </c>
      <c r="FK80" s="39">
        <v>2</v>
      </c>
      <c r="FL80" s="39">
        <v>178</v>
      </c>
      <c r="FM80" s="39">
        <v>68.186363636363595</v>
      </c>
      <c r="FN80" s="38" t="str">
        <f>HYPERLINK("http://exon.niaid.nih.gov/transcriptome/S_calcitrans/S1/links/SG_female-stripped_temp-95-h10-1gap/16391-SG_female-stripped_temp-95-h10-1gap.txt","208")</f>
        <v>208</v>
      </c>
      <c r="FO80" s="39">
        <v>100</v>
      </c>
      <c r="FP80" s="39">
        <v>87.104938271604894</v>
      </c>
      <c r="FQ80" s="39">
        <v>2</v>
      </c>
      <c r="FR80" s="39">
        <v>161</v>
      </c>
      <c r="FS80" s="39">
        <v>67.841346153846203</v>
      </c>
      <c r="FT80" s="38" t="str">
        <f>HYPERLINK("http://exon.niaid.nih.gov/transcriptome/S_calcitrans/S1/links/SRR694289-stripped_temp-95-h10-1gap/16391-SRR694289-stripped_temp-95-h10-1gap.txt","7")</f>
        <v>7</v>
      </c>
      <c r="FU80" s="39">
        <v>100</v>
      </c>
      <c r="FV80" s="39">
        <v>3.8703703703703698</v>
      </c>
      <c r="FW80" s="39">
        <v>2</v>
      </c>
      <c r="FX80" s="39">
        <v>6</v>
      </c>
      <c r="FY80" s="39">
        <v>89.571428571428598</v>
      </c>
      <c r="FZ80" s="38" t="str">
        <f>HYPERLINK("http://exon.niaid.nih.gov/transcriptome/S_calcitrans/S1/links/SRR694925-stripped_temp-95-h10-1gap/16391-SRR694925-stripped_temp-95-h10-1gap.txt","1")</f>
        <v>1</v>
      </c>
      <c r="GA80" s="39">
        <v>16.049382716049401</v>
      </c>
      <c r="GB80" s="39">
        <v>0.16049382716049401</v>
      </c>
      <c r="GC80" s="39">
        <v>0</v>
      </c>
      <c r="GD80" s="39">
        <v>1</v>
      </c>
      <c r="GE80" s="39">
        <v>26</v>
      </c>
      <c r="GF80">
        <f t="shared" si="86"/>
        <v>220</v>
      </c>
      <c r="GG80">
        <f t="shared" si="87"/>
        <v>208</v>
      </c>
      <c r="GH80">
        <f t="shared" si="88"/>
        <v>7</v>
      </c>
      <c r="GI80">
        <f t="shared" si="89"/>
        <v>1</v>
      </c>
      <c r="GJ80">
        <f t="shared" si="90"/>
        <v>428</v>
      </c>
      <c r="GK80" s="34">
        <v>1.6624203091829884E-3</v>
      </c>
      <c r="GL80">
        <v>44.423181248355206</v>
      </c>
      <c r="GM80">
        <v>19.099480738689085</v>
      </c>
      <c r="GN80">
        <v>0.24837939479356488</v>
      </c>
      <c r="GO80">
        <v>3.6578743134820652E-2</v>
      </c>
      <c r="GP80">
        <f t="shared" si="91"/>
        <v>44.423181248355206</v>
      </c>
      <c r="GQ80" t="s">
        <v>574</v>
      </c>
      <c r="GR80">
        <v>34.645259478204736</v>
      </c>
      <c r="GS80">
        <v>15.676208110032606</v>
      </c>
      <c r="GT80">
        <v>0.4477430633077541</v>
      </c>
      <c r="GU80">
        <v>6.9253588758710724E-2</v>
      </c>
      <c r="GV80">
        <f t="shared" si="92"/>
        <v>34.645259478204736</v>
      </c>
      <c r="GW80">
        <v>93.709089981456685</v>
      </c>
      <c r="GX80">
        <v>428</v>
      </c>
      <c r="GY80">
        <v>8</v>
      </c>
      <c r="GZ80">
        <v>436</v>
      </c>
      <c r="HA80">
        <v>96.791866409888456</v>
      </c>
      <c r="HB80">
        <v>339.20813359011152</v>
      </c>
      <c r="HC80">
        <v>1133.3475820344147</v>
      </c>
      <c r="HD80">
        <v>323.3968083112116</v>
      </c>
      <c r="HE80">
        <v>1456.7443903456262</v>
      </c>
      <c r="HF80">
        <v>0</v>
      </c>
      <c r="HG80">
        <v>96.791866409888456</v>
      </c>
      <c r="HH80">
        <v>1</v>
      </c>
      <c r="HI80">
        <v>1</v>
      </c>
      <c r="HJ80">
        <v>2</v>
      </c>
      <c r="HK80">
        <v>0</v>
      </c>
      <c r="HL80" s="30" t="s">
        <v>262</v>
      </c>
      <c r="HM80">
        <v>166.65895431264107</v>
      </c>
      <c r="HN80">
        <v>5.3211475523437966E-3</v>
      </c>
      <c r="HO80">
        <v>220</v>
      </c>
      <c r="HP80">
        <v>208</v>
      </c>
      <c r="HQ80">
        <v>428</v>
      </c>
      <c r="HR80">
        <v>133.79106435722383</v>
      </c>
      <c r="HS80">
        <v>294.20893564277617</v>
      </c>
      <c r="HT80">
        <v>55.549155097659145</v>
      </c>
      <c r="HU80">
        <v>25.260893481780975</v>
      </c>
      <c r="HV80">
        <v>80.810048579440121</v>
      </c>
      <c r="HW80">
        <v>2.4849116056614796E-19</v>
      </c>
      <c r="HX80">
        <v>133.79106435722383</v>
      </c>
      <c r="HY80">
        <v>1</v>
      </c>
      <c r="HZ80">
        <v>1</v>
      </c>
      <c r="IA80">
        <v>2</v>
      </c>
      <c r="IB80" s="37">
        <v>8.7439231191222596E-18</v>
      </c>
      <c r="IC80" s="30" t="s">
        <v>262</v>
      </c>
      <c r="ID80">
        <v>2.3147556075882196</v>
      </c>
      <c r="IE80">
        <v>0.42799856324169105</v>
      </c>
      <c r="IF80">
        <v>2.3147556075882196</v>
      </c>
      <c r="IG80" t="str">
        <f t="shared" si="84"/>
        <v/>
      </c>
    </row>
    <row r="81" spans="1:241">
      <c r="A81" t="str">
        <f>HYPERLINK("http://exon.niaid.nih.gov/transcriptome/S_calcitrans/S1/links/pep/XP_013114752.1-pep.txt","XP_013114752.1")</f>
        <v>XP_013114752.1</v>
      </c>
      <c r="B81" s="30" t="s">
        <v>232</v>
      </c>
      <c r="C81">
        <v>209</v>
      </c>
      <c r="D81" t="s">
        <v>983</v>
      </c>
      <c r="E81">
        <v>1</v>
      </c>
      <c r="F81" t="s">
        <v>984</v>
      </c>
      <c r="G81" t="str">
        <f>HYPERLINK("http://exon.niaid.nih.gov/transcriptome/S_calcitrans/S1/links/cds/XM_013259298_1-cds.txt","XM_013259298_1")</f>
        <v>XM_013259298_1</v>
      </c>
      <c r="H81">
        <v>630</v>
      </c>
      <c r="I81" t="s">
        <v>985</v>
      </c>
      <c r="J81" s="30" t="s">
        <v>236</v>
      </c>
      <c r="K81" s="30" t="s">
        <v>91</v>
      </c>
      <c r="L81" s="31" t="s">
        <v>986</v>
      </c>
      <c r="M81" s="30">
        <v>22390</v>
      </c>
      <c r="N81" s="30">
        <v>23078</v>
      </c>
      <c r="O81" s="30" t="s">
        <v>276</v>
      </c>
      <c r="P81" s="30">
        <v>2</v>
      </c>
      <c r="Q81" s="31" t="s">
        <v>987</v>
      </c>
      <c r="R81" s="32" t="str">
        <f>HYPERLINK("http://exon.niaid.nih.gov/transcriptome/S_calcitrans/S1/links/Sigp/XP_013114752.1-SigP.txt","SIG")</f>
        <v>SIG</v>
      </c>
      <c r="S81" t="s">
        <v>667</v>
      </c>
      <c r="T81">
        <v>23.678999999999998</v>
      </c>
      <c r="U81">
        <v>5.0199999999999996</v>
      </c>
      <c r="V81">
        <v>20.997</v>
      </c>
      <c r="W81">
        <v>4.91</v>
      </c>
      <c r="X81" t="s">
        <v>988</v>
      </c>
      <c r="Y81" s="32" t="str">
        <f>HYPERLINK("http://exon.niaid.nih.gov/transcriptome/S_calcitrans/S1/links/tmhmm/XP_013114752.1-tmhmm.txt","1")</f>
        <v>1</v>
      </c>
      <c r="Z81">
        <v>10.5</v>
      </c>
      <c r="AA81">
        <v>86.1</v>
      </c>
      <c r="AB81">
        <v>3.3</v>
      </c>
      <c r="AC81" t="s">
        <v>242</v>
      </c>
      <c r="AD81">
        <v>180</v>
      </c>
      <c r="AE81" s="32" t="s">
        <v>242</v>
      </c>
      <c r="AF81" t="s">
        <v>242</v>
      </c>
      <c r="AG81" t="s">
        <v>242</v>
      </c>
      <c r="AH81" t="s">
        <v>242</v>
      </c>
      <c r="AI81" t="s">
        <v>242</v>
      </c>
      <c r="AJ81" t="s">
        <v>242</v>
      </c>
      <c r="AK81">
        <v>200.34119624732207</v>
      </c>
      <c r="AL81" s="33">
        <v>13684</v>
      </c>
      <c r="AM81">
        <v>1</v>
      </c>
      <c r="AN81" s="30">
        <f t="shared" si="83"/>
        <v>1</v>
      </c>
      <c r="AO81" s="30" t="s">
        <v>244</v>
      </c>
      <c r="AP81">
        <v>343</v>
      </c>
      <c r="AQ81" s="34">
        <v>1.3322667431069277E-3</v>
      </c>
      <c r="AR81" s="35">
        <v>92.702999358473988</v>
      </c>
      <c r="AS81" t="s">
        <v>989</v>
      </c>
      <c r="AT81" s="36" t="s">
        <v>885</v>
      </c>
      <c r="AU81" t="s">
        <v>574</v>
      </c>
      <c r="AV81" t="str">
        <f>HYPERLINK("http://exon.niaid.nih.gov/transcriptome/S_calcitrans/S1/links/SWISSP/XP_013114752.1-SWISSP.txt","SWISSP")</f>
        <v>SWISSP</v>
      </c>
      <c r="AW81">
        <v>1000</v>
      </c>
      <c r="AX81">
        <v>7.5</v>
      </c>
      <c r="AY81" s="33"/>
      <c r="BG81" s="31"/>
      <c r="BJ81" s="33"/>
      <c r="BK81" s="33"/>
      <c r="BL81" s="33" t="str">
        <f>HYPERLINK("http://exon.niaid.nih.gov/transcriptome/S_calcitrans/S1/links/NR-LIGHT/XP_013114752.1-NR-LIGHT.txt","uncharacterized protein LOC101892051")</f>
        <v>uncharacterized protein LOC101892051</v>
      </c>
      <c r="BM81" t="str">
        <f>HYPERLINK("http://www.ncbi.nlm.nih.gov/sutils/blink.cgi?pid=557771466","9E-020")</f>
        <v>9E-020</v>
      </c>
      <c r="BN81" t="str">
        <f>HYPERLINK("http://www.ncbi.nlm.nih.gov/protein/557771466","gi|557771466")</f>
        <v>gi|557771466</v>
      </c>
      <c r="BO81">
        <v>31</v>
      </c>
      <c r="BP81">
        <v>51</v>
      </c>
      <c r="BQ81">
        <v>102</v>
      </c>
      <c r="BR81" t="s">
        <v>251</v>
      </c>
      <c r="BS81" s="33" t="str">
        <f>HYPERLINK("http://exon.niaid.nih.gov/transcriptome/S_calcitrans/S1/links/SWISSP/XP_013114752.1-SWISSP.txt","RNA-directed RNA polymerase L")</f>
        <v>RNA-directed RNA polymerase L</v>
      </c>
      <c r="BT81" t="str">
        <f>HYPERLINK("http://www.uniprot.org/uniprot/Q6Q305","1.4")</f>
        <v>1.4</v>
      </c>
      <c r="BU81" t="str">
        <f>HYPERLINK("http://www.uniprot.org/uniprot/Q6Q305#expression","Q6Q305")</f>
        <v>Q6Q305</v>
      </c>
      <c r="BV81">
        <v>23</v>
      </c>
      <c r="BW81">
        <v>41</v>
      </c>
      <c r="BX81">
        <v>8</v>
      </c>
      <c r="BY81" t="s">
        <v>990</v>
      </c>
      <c r="BZ81" s="33" t="str">
        <f>HYPERLINK("http://exon.niaid.nih.gov/transcriptome/S_calcitrans/S1/links/REFSEQ-INVERTEBRATE/XP_013114752.1-REFSEQ-INVERTEBRATE.txt","uncharacterized protein LOC106092429")</f>
        <v>uncharacterized protein LOC106092429</v>
      </c>
      <c r="CA81" t="str">
        <f>HYPERLINK("http://www.ncbi.nlm.nih.gov/sutils/blink.cgi?pid=907732634","1E-117")</f>
        <v>1E-117</v>
      </c>
      <c r="CB81" t="str">
        <f>HYPERLINK("http://www.ncbi.nlm.nih.gov/protein/907732634","gi|907732634")</f>
        <v>gi|907732634</v>
      </c>
      <c r="CC81">
        <v>100</v>
      </c>
      <c r="CD81">
        <v>100</v>
      </c>
      <c r="CE81">
        <v>100</v>
      </c>
      <c r="CF81" t="s">
        <v>253</v>
      </c>
      <c r="CG81" s="33" t="str">
        <f>HYPERLINK("http://exon.niaid.nih.gov/transcriptome/S_calcitrans/S1/links/DIPTERA/XP_013114752.1-DIPTERA.txt","uncharacterized protein LOC106092429")</f>
        <v>uncharacterized protein LOC106092429</v>
      </c>
      <c r="CH81" t="str">
        <f>HYPERLINK("http://www.ncbi.nlm.nih.gov/sutils/blink.cgi?pid=907732634","1E-117")</f>
        <v>1E-117</v>
      </c>
      <c r="CI81" t="str">
        <f>HYPERLINK("http://www.ncbi.nlm.nih.gov/protein/907732634","gi|907732634")</f>
        <v>gi|907732634</v>
      </c>
      <c r="CJ81">
        <v>100</v>
      </c>
      <c r="CK81">
        <v>100</v>
      </c>
      <c r="CL81">
        <v>100</v>
      </c>
      <c r="CM81" t="s">
        <v>253</v>
      </c>
      <c r="CN81" s="33" t="s">
        <v>242</v>
      </c>
      <c r="CO81" t="s">
        <v>242</v>
      </c>
      <c r="CP81" t="s">
        <v>242</v>
      </c>
      <c r="CQ81" t="s">
        <v>242</v>
      </c>
      <c r="CR81" t="s">
        <v>242</v>
      </c>
      <c r="CS81" t="s">
        <v>242</v>
      </c>
      <c r="CT81" t="s">
        <v>242</v>
      </c>
      <c r="CU81" s="33" t="s">
        <v>242</v>
      </c>
      <c r="CV81" t="s">
        <v>242</v>
      </c>
      <c r="CW81" t="s">
        <v>242</v>
      </c>
      <c r="CX81" t="s">
        <v>242</v>
      </c>
      <c r="CY81" t="s">
        <v>242</v>
      </c>
      <c r="CZ81" t="s">
        <v>242</v>
      </c>
      <c r="DA81" t="s">
        <v>242</v>
      </c>
      <c r="DB81" t="s">
        <v>242</v>
      </c>
      <c r="DC81" t="s">
        <v>242</v>
      </c>
      <c r="DD81" t="s">
        <v>242</v>
      </c>
      <c r="DE81" s="33" t="str">
        <f>HYPERLINK("http://exon.niaid.nih.gov/transcriptome/S_calcitrans/S1/links/CDD/XP_013114752.1-CDD.txt","PRK09866")</f>
        <v>PRK09866</v>
      </c>
      <c r="DF81" t="str">
        <f>HYPERLINK("http://www.ncbi.nlm.nih.gov/Structure/cdd/cddsrv.cgi?uid=PRK09866&amp;version=v4.0","0.26")</f>
        <v>0.26</v>
      </c>
      <c r="DG81" t="s">
        <v>991</v>
      </c>
      <c r="DH81" s="33" t="str">
        <f>HYPERLINK("http://exon.niaid.nih.gov/transcriptome/S_calcitrans/S1/links/KOG/XP_013114752.1-KOG.txt","Uncharacterized conserved protein")</f>
        <v>Uncharacterized conserved protein</v>
      </c>
      <c r="DI81" t="str">
        <f>HYPERLINK("http://www.ncbi.nlm.nih.gov/Structure/cdd/cddsrv.cgi?uid=KOG4425","0.22")</f>
        <v>0.22</v>
      </c>
      <c r="DJ81" t="s">
        <v>260</v>
      </c>
      <c r="DK81" t="str">
        <f>HYPERLINK("http://exon.niaid.nih.gov/transcriptome/S_calcitrans/S1/links/KOG/XP_013114752.1-KOG.txt","KOG4425")</f>
        <v>KOG4425</v>
      </c>
      <c r="DL81" s="33" t="str">
        <f>HYPERLINK("http://exon.niaid.nih.gov/transcriptome/S_calcitrans/S1/links/PFAM/XP_013114752.1-PFAM.txt","MAP2_projctn")</f>
        <v>MAP2_projctn</v>
      </c>
      <c r="DM81" t="str">
        <f>HYPERLINK("http://pfam.sanger.ac.uk/family?acc=PF08377","0.35")</f>
        <v>0.35</v>
      </c>
      <c r="DN81" s="33" t="str">
        <f>HYPERLINK("http://exon.niaid.nih.gov/transcriptome/S_calcitrans/S1/links/SMART/XP_013114752.1-SMART.txt","HTH_XRE")</f>
        <v>HTH_XRE</v>
      </c>
      <c r="DO81" t="str">
        <f>HYPERLINK("http://smart.embl-heidelberg.de/smart/do_annotation.pl?DOMAIN=HTH_XRE&amp;BLAST=DUMMY","0.27")</f>
        <v>0.27</v>
      </c>
      <c r="DP81" s="33"/>
      <c r="EB81" s="33">
        <f>HYPERLINK("http://exon.niaid.nih.gov/transcriptome/S_calcitrans/S1/links/cluster-b/Scalc-pep25-50SimCLU1.txt", 1)</f>
        <v>1</v>
      </c>
      <c r="EC81">
        <f>HYPERLINK("http://exon.niaid.nih.gov/transcriptome/S_calcitrans/S1/links/cluster-b/Scalc-pep25-50SimCLTL1.txt", 5170)</f>
        <v>5170</v>
      </c>
      <c r="ED81" s="33">
        <f>HYPERLINK("http://exon.niaid.nih.gov/transcriptome/S_calcitrans/S1/links/cluster-b/Scalc-pep30-50SimCLU88.txt", 88)</f>
        <v>88</v>
      </c>
      <c r="EE81">
        <f>HYPERLINK("http://exon.niaid.nih.gov/transcriptome/S_calcitrans/S1/links/cluster-b/Scalc-pep30-50SimCLTL88.txt", 20)</f>
        <v>20</v>
      </c>
      <c r="EF81" s="33">
        <f>HYPERLINK("http://exon.niaid.nih.gov/transcriptome/S_calcitrans/S1/links/cluster-b/Scalc-pep35-50SimCLU88.txt", 88)</f>
        <v>88</v>
      </c>
      <c r="EG81">
        <f>HYPERLINK("http://exon.niaid.nih.gov/transcriptome/S_calcitrans/S1/links/cluster-b/Scalc-pep35-50SimCLTL88.txt", 20)</f>
        <v>20</v>
      </c>
      <c r="EH81" s="33">
        <f>HYPERLINK("http://exon.niaid.nih.gov/transcriptome/S_calcitrans/S1/links/cluster-b/Scalc-pep40-50SimCLU144.txt", 144)</f>
        <v>144</v>
      </c>
      <c r="EI81">
        <f>HYPERLINK("http://exon.niaid.nih.gov/transcriptome/S_calcitrans/S1/links/cluster-b/Scalc-pep40-50SimCLTL144.txt", 13)</f>
        <v>13</v>
      </c>
      <c r="EJ81" s="33">
        <f>HYPERLINK("http://exon.niaid.nih.gov/transcriptome/S_calcitrans/S1/links/cluster-b/Scalc-pep45-50SimCLU126.txt", 126)</f>
        <v>126</v>
      </c>
      <c r="EK81">
        <f>HYPERLINK("http://exon.niaid.nih.gov/transcriptome/S_calcitrans/S1/links/cluster-b/Scalc-pep45-50SimCLTL126.txt", 13)</f>
        <v>13</v>
      </c>
      <c r="EL81" s="33">
        <f>HYPERLINK("http://exon.niaid.nih.gov/transcriptome/S_calcitrans/S1/links/cluster-b/Scalc-pep50-50SimCLU111.txt", 111)</f>
        <v>111</v>
      </c>
      <c r="EM81">
        <f>HYPERLINK("http://exon.niaid.nih.gov/transcriptome/S_calcitrans/S1/links/cluster-b/Scalc-pep50-50SimCLTL111.txt", 13)</f>
        <v>13</v>
      </c>
      <c r="EN81" s="33">
        <f>HYPERLINK("http://exon.niaid.nih.gov/transcriptome/S_calcitrans/S1/links/cluster-b/Scalc-pep55-50SimCLU136.txt", 136)</f>
        <v>136</v>
      </c>
      <c r="EO81">
        <f>HYPERLINK("http://exon.niaid.nih.gov/transcriptome/S_calcitrans/S1/links/cluster-b/Scalc-pep55-50SimCLTL136.txt", 11)</f>
        <v>11</v>
      </c>
      <c r="EP81" s="33">
        <f>HYPERLINK("http://exon.niaid.nih.gov/transcriptome/S_calcitrans/S1/links/cluster-b/Scalc-pep60-50SimCLU346.txt", 346)</f>
        <v>346</v>
      </c>
      <c r="EQ81">
        <f>HYPERLINK("http://exon.niaid.nih.gov/transcriptome/S_calcitrans/S1/links/cluster-b/Scalc-pep60-50SimCLTL346.txt", 7)</f>
        <v>7</v>
      </c>
      <c r="ER81" s="33">
        <f>HYPERLINK("http://exon.niaid.nih.gov/transcriptome/S_calcitrans/S1/links/cluster-b/Scalc-pep65-50SimCLU1435.txt", 1435)</f>
        <v>1435</v>
      </c>
      <c r="ES81">
        <f>HYPERLINK("http://exon.niaid.nih.gov/transcriptome/S_calcitrans/S1/links/cluster-b/Scalc-pep65-50SimCLTL1435.txt", 3)</f>
        <v>3</v>
      </c>
      <c r="ET81" s="33">
        <f>HYPERLINK("http://exon.niaid.nih.gov/transcriptome/S_calcitrans/S1/links/cluster-b/Scalc-pep70-50SimCLU3545.txt", 3545)</f>
        <v>3545</v>
      </c>
      <c r="EU81">
        <f>HYPERLINK("http://exon.niaid.nih.gov/transcriptome/S_calcitrans/S1/links/cluster-b/Scalc-pep70-50SimCLTL3545.txt", 2)</f>
        <v>2</v>
      </c>
      <c r="EV81" s="33">
        <f>HYPERLINK("http://exon.niaid.nih.gov/transcriptome/S_calcitrans/S1/links/cluster-b/Scalc-pep75-50SimCLU3501.txt", 3501)</f>
        <v>3501</v>
      </c>
      <c r="EW81">
        <f>HYPERLINK("http://exon.niaid.nih.gov/transcriptome/S_calcitrans/S1/links/cluster-b/Scalc-pep75-50SimCLTL3501.txt", 2)</f>
        <v>2</v>
      </c>
      <c r="EX81" s="33">
        <f>HYPERLINK("http://exon.niaid.nih.gov/transcriptome/S_calcitrans/S1/links/cluster-b/Scalc-pep80-50SimCLU3450.txt", 3450)</f>
        <v>3450</v>
      </c>
      <c r="EY81">
        <f>HYPERLINK("http://exon.niaid.nih.gov/transcriptome/S_calcitrans/S1/links/cluster-b/Scalc-pep80-50SimCLTL3450.txt", 2)</f>
        <v>2</v>
      </c>
      <c r="EZ81" s="33">
        <f>HYPERLINK("http://exon.niaid.nih.gov/transcriptome/S_calcitrans/S1/links/cluster-b/Scalc-pep85-50SimCLU3308.txt", 3308)</f>
        <v>3308</v>
      </c>
      <c r="FA81">
        <f>HYPERLINK("http://exon.niaid.nih.gov/transcriptome/S_calcitrans/S1/links/cluster-b/Scalc-pep85-50SimCLTL3308.txt", 2)</f>
        <v>2</v>
      </c>
      <c r="FB81" s="33">
        <f>HYPERLINK("http://exon.niaid.nih.gov/transcriptome/S_calcitrans/S1/links/cluster-b/Scalc-pep90-50SimCLU3146.txt", 3146)</f>
        <v>3146</v>
      </c>
      <c r="FC81">
        <f>HYPERLINK("http://exon.niaid.nih.gov/transcriptome/S_calcitrans/S1/links/cluster-b/Scalc-pep90-50SimCLTL3146.txt", 2)</f>
        <v>2</v>
      </c>
      <c r="FD81" s="33">
        <v>13684</v>
      </c>
      <c r="FE81">
        <v>1</v>
      </c>
      <c r="FF81" t="s">
        <v>992</v>
      </c>
      <c r="FG81">
        <v>19369</v>
      </c>
      <c r="FH81" s="38" t="str">
        <f>HYPERLINK("http://exon.niaid.nih.gov/transcriptome/S_calcitrans/S1/links/SG_male-stripped_temp-95-h10-1gap/19369-SG_male-stripped_temp-95-h10-1gap.txt","146")</f>
        <v>146</v>
      </c>
      <c r="FI81" s="39">
        <v>89.047619047619094</v>
      </c>
      <c r="FJ81" s="39">
        <v>16.704761904761899</v>
      </c>
      <c r="FK81" s="39">
        <v>0</v>
      </c>
      <c r="FL81" s="39">
        <v>30</v>
      </c>
      <c r="FM81" s="39">
        <v>72.089041095890394</v>
      </c>
      <c r="FN81" s="38" t="str">
        <f>HYPERLINK("http://exon.niaid.nih.gov/transcriptome/S_calcitrans/S1/links/SG_female-stripped_temp-95-h10-1gap/19369-SG_female-stripped_temp-95-h10-1gap.txt","197")</f>
        <v>197</v>
      </c>
      <c r="FO81" s="39">
        <v>90.158730158730194</v>
      </c>
      <c r="FP81" s="39">
        <v>22.731746031745999</v>
      </c>
      <c r="FQ81" s="39">
        <v>0</v>
      </c>
      <c r="FR81" s="39">
        <v>47</v>
      </c>
      <c r="FS81" s="39">
        <v>72.695431472081196</v>
      </c>
      <c r="FT81" s="38" t="str">
        <f>HYPERLINK("http://exon.niaid.nih.gov/transcriptome/S_calcitrans/S1/links/SRR694289-stripped_temp-95-h10-1gap/19369-SRR694289-stripped_temp-95-h10-1gap.txt","3")</f>
        <v>3</v>
      </c>
      <c r="FU81" s="39">
        <v>22.380952380952401</v>
      </c>
      <c r="FV81" s="39">
        <v>0.22539682539682501</v>
      </c>
      <c r="FW81" s="39">
        <v>0</v>
      </c>
      <c r="FX81" s="39">
        <v>2</v>
      </c>
      <c r="FY81" s="39">
        <v>47.3333333333333</v>
      </c>
      <c r="FZ81" s="38" t="str">
        <f>HYPERLINK("http://exon.niaid.nih.gov/transcriptome/S_calcitrans/S1/links/SRR694925-stripped_temp-95-h10-1gap/19369-SRR694925-stripped_temp-95-h10-1gap.txt","2")</f>
        <v>2</v>
      </c>
      <c r="GA81" s="39">
        <v>29.365079365079399</v>
      </c>
      <c r="GB81" s="39">
        <v>0.293650793650794</v>
      </c>
      <c r="GC81" s="39">
        <v>0</v>
      </c>
      <c r="GD81" s="39">
        <v>1</v>
      </c>
      <c r="GE81" s="39">
        <v>92.5</v>
      </c>
      <c r="GF81">
        <f t="shared" si="86"/>
        <v>146</v>
      </c>
      <c r="GG81">
        <f t="shared" si="87"/>
        <v>197</v>
      </c>
      <c r="GH81">
        <f t="shared" si="88"/>
        <v>3</v>
      </c>
      <c r="GI81">
        <f t="shared" si="89"/>
        <v>2</v>
      </c>
      <c r="GJ81">
        <f t="shared" si="90"/>
        <v>343</v>
      </c>
      <c r="GK81" s="34">
        <v>1.3322667431069277E-3</v>
      </c>
      <c r="GL81">
        <v>7.5807870338102266</v>
      </c>
      <c r="GM81">
        <v>4.6515630974856794</v>
      </c>
      <c r="GN81">
        <v>2.7372423099698985E-2</v>
      </c>
      <c r="GO81">
        <v>1.8811925040764906E-2</v>
      </c>
      <c r="GP81">
        <f t="shared" si="91"/>
        <v>7.5807870338102266</v>
      </c>
      <c r="GQ81" t="s">
        <v>574</v>
      </c>
      <c r="GR81">
        <v>5.9121910330338983</v>
      </c>
      <c r="GS81">
        <v>3.8178457388856879</v>
      </c>
      <c r="GT81">
        <v>4.9343113099221875E-2</v>
      </c>
      <c r="GU81">
        <v>3.5616131361622658E-2</v>
      </c>
      <c r="GV81">
        <f t="shared" si="92"/>
        <v>5.9121910330338983</v>
      </c>
      <c r="GW81">
        <v>92.702999358473988</v>
      </c>
      <c r="GX81">
        <v>343</v>
      </c>
      <c r="GY81">
        <v>5</v>
      </c>
      <c r="GZ81">
        <v>348</v>
      </c>
      <c r="HA81">
        <v>77.255893373030233</v>
      </c>
      <c r="HB81">
        <v>270.74410662696977</v>
      </c>
      <c r="HC81">
        <v>914.10411715748091</v>
      </c>
      <c r="HD81">
        <v>260.83644474029552</v>
      </c>
      <c r="HE81">
        <v>1174.9405618977764</v>
      </c>
      <c r="HF81">
        <v>1.7039700885969059E-257</v>
      </c>
      <c r="HG81">
        <v>77.255893373030233</v>
      </c>
      <c r="HH81">
        <v>1</v>
      </c>
      <c r="HI81">
        <v>1</v>
      </c>
      <c r="HJ81">
        <v>2</v>
      </c>
      <c r="HK81" s="37">
        <v>6.3262444187200296E-257</v>
      </c>
      <c r="HL81" s="30" t="s">
        <v>262</v>
      </c>
      <c r="HM81">
        <v>200.34119624732207</v>
      </c>
      <c r="HN81">
        <v>4.147478742651688E-3</v>
      </c>
      <c r="HO81">
        <v>146</v>
      </c>
      <c r="HP81">
        <v>197</v>
      </c>
      <c r="HQ81">
        <v>343</v>
      </c>
      <c r="HR81">
        <v>107.22040905263498</v>
      </c>
      <c r="HS81">
        <v>235.77959094736502</v>
      </c>
      <c r="HT81">
        <v>14.025843468911832</v>
      </c>
      <c r="HU81">
        <v>6.3782309062563156</v>
      </c>
      <c r="HV81">
        <v>20.404074375168147</v>
      </c>
      <c r="HW81">
        <v>6.2696170115528517E-6</v>
      </c>
      <c r="HX81">
        <v>107.22040905263498</v>
      </c>
      <c r="HY81">
        <v>1</v>
      </c>
      <c r="HZ81">
        <v>1</v>
      </c>
      <c r="IA81">
        <v>2</v>
      </c>
      <c r="IB81" s="37">
        <v>6.8029467858869006E-5</v>
      </c>
      <c r="IC81" s="30" t="s">
        <v>262</v>
      </c>
      <c r="ID81">
        <v>1.6214979938004346</v>
      </c>
      <c r="IE81">
        <v>0.60942482495596229</v>
      </c>
      <c r="IF81">
        <v>1.6214979938004346</v>
      </c>
      <c r="IG81" t="str">
        <f t="shared" si="84"/>
        <v/>
      </c>
    </row>
    <row r="82" spans="1:241">
      <c r="A82" s="22" t="s">
        <v>63</v>
      </c>
      <c r="B82" s="23"/>
      <c r="C82" s="24"/>
      <c r="D82" s="24"/>
      <c r="E82" s="24"/>
      <c r="F82" s="24"/>
      <c r="G82" s="24"/>
      <c r="H82" s="24"/>
      <c r="I82" s="24"/>
      <c r="J82" s="23"/>
      <c r="K82" s="23"/>
      <c r="L82" s="25"/>
      <c r="M82" s="23"/>
      <c r="N82" s="23"/>
      <c r="O82" s="23"/>
      <c r="P82" s="23"/>
      <c r="Q82" s="25"/>
      <c r="R82" s="23"/>
      <c r="S82" s="24"/>
      <c r="T82" s="24"/>
      <c r="U82" s="24"/>
      <c r="V82" s="24"/>
      <c r="W82" s="24"/>
      <c r="X82" s="24"/>
      <c r="Y82" s="23"/>
      <c r="Z82" s="24"/>
      <c r="AA82" s="24"/>
      <c r="AB82" s="24"/>
      <c r="AC82" s="24"/>
      <c r="AD82" s="24"/>
      <c r="AE82" s="23"/>
      <c r="AF82" s="24"/>
      <c r="AG82" s="24"/>
      <c r="AH82" s="24"/>
      <c r="AI82" s="24"/>
      <c r="AJ82" s="24"/>
      <c r="AK82" s="24"/>
      <c r="AL82" s="24"/>
      <c r="AM82" s="24"/>
      <c r="AN82" s="23"/>
      <c r="AO82" s="23"/>
      <c r="AP82" s="24"/>
      <c r="AQ82" s="26"/>
      <c r="AR82" s="27"/>
      <c r="AS82" s="24"/>
      <c r="AT82" s="24"/>
      <c r="AU82" s="24"/>
      <c r="AV82" s="24"/>
      <c r="AW82" s="28"/>
      <c r="AX82" s="24"/>
      <c r="AY82" s="24"/>
      <c r="AZ82" s="24"/>
      <c r="BA82" s="24"/>
      <c r="BB82" s="24"/>
      <c r="BC82" s="24"/>
      <c r="BD82" s="24"/>
      <c r="BE82" s="24"/>
      <c r="BF82" s="24"/>
      <c r="BG82" s="25"/>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8"/>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4"/>
      <c r="GG82" s="24"/>
      <c r="GH82" s="24"/>
      <c r="GI82" s="24"/>
      <c r="GJ82" s="24"/>
      <c r="GK82" s="26"/>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3"/>
      <c r="HM82" s="24"/>
      <c r="HN82" s="24"/>
      <c r="HO82" s="24"/>
      <c r="HP82" s="24"/>
      <c r="HQ82" s="24"/>
      <c r="HR82" s="24"/>
      <c r="HS82" s="24"/>
      <c r="HT82" s="24"/>
      <c r="HU82" s="24"/>
      <c r="HV82" s="24"/>
      <c r="HW82" s="24"/>
      <c r="HX82" s="24"/>
      <c r="HY82" s="24"/>
      <c r="HZ82" s="24"/>
      <c r="IA82" s="24"/>
      <c r="IB82" s="24"/>
      <c r="IC82" s="23"/>
      <c r="ID82" s="24"/>
      <c r="IE82" s="24"/>
      <c r="IF82" s="24"/>
      <c r="IG82" s="24" t="str">
        <f t="shared" si="84"/>
        <v/>
      </c>
    </row>
    <row r="83" spans="1:241">
      <c r="A83" s="41" t="s">
        <v>993</v>
      </c>
      <c r="B83" s="42"/>
      <c r="C83" s="42"/>
      <c r="D83" s="42"/>
      <c r="E83" s="42"/>
      <c r="F83" s="42"/>
      <c r="G83" s="42"/>
      <c r="H83" s="42"/>
      <c r="I83" s="42"/>
      <c r="J83" s="42"/>
      <c r="K83" s="42"/>
      <c r="L83" s="43"/>
      <c r="M83" s="42"/>
      <c r="N83" s="42"/>
      <c r="O83" s="42"/>
      <c r="P83" s="42"/>
      <c r="Q83" s="43"/>
      <c r="R83" s="42"/>
      <c r="S83" s="42"/>
      <c r="T83" s="42"/>
      <c r="U83" s="42"/>
      <c r="V83" s="42"/>
      <c r="W83" s="42"/>
      <c r="X83" s="42"/>
      <c r="Y83" s="42"/>
      <c r="Z83" s="42"/>
      <c r="AA83" s="42"/>
      <c r="AB83" s="42"/>
      <c r="AC83" s="42"/>
      <c r="AD83" s="42"/>
      <c r="AE83" s="42"/>
      <c r="AF83" s="42"/>
      <c r="AG83" s="42"/>
      <c r="AH83" s="42"/>
      <c r="AI83" s="42"/>
      <c r="AJ83" s="42"/>
      <c r="AK83" s="42"/>
      <c r="AL83" s="42"/>
      <c r="AM83" s="42"/>
      <c r="AN83" s="42" t="str">
        <f t="shared" si="83"/>
        <v/>
      </c>
      <c r="AO83" s="42" t="s">
        <v>244</v>
      </c>
      <c r="AP83" s="42" t="s">
        <v>244</v>
      </c>
      <c r="AQ83" s="44"/>
      <c r="AR83" s="45"/>
      <c r="AS83" s="42"/>
      <c r="AT83" s="42"/>
      <c r="AU83" s="42"/>
      <c r="AV83" s="42"/>
      <c r="AW83" s="42"/>
      <c r="AX83" s="42"/>
      <c r="AY83" s="42"/>
      <c r="AZ83" s="42"/>
      <c r="BA83" s="42"/>
      <c r="BB83" s="42"/>
      <c r="BC83" s="42"/>
      <c r="BD83" s="42"/>
      <c r="BE83" s="42"/>
      <c r="BF83" s="42"/>
      <c r="BG83" s="43"/>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2"/>
      <c r="CJ83" s="42"/>
      <c r="CK83" s="42"/>
      <c r="CL83" s="42"/>
      <c r="CM83" s="42"/>
      <c r="CN83" s="42"/>
      <c r="CO83" s="42"/>
      <c r="CP83" s="42"/>
      <c r="CQ83" s="42"/>
      <c r="CR83" s="42"/>
      <c r="CS83" s="42"/>
      <c r="CT83" s="42"/>
      <c r="CU83" s="42"/>
      <c r="CV83" s="42"/>
      <c r="CW83" s="42"/>
      <c r="CX83" s="42"/>
      <c r="CY83" s="42"/>
      <c r="CZ83" s="42"/>
      <c r="DA83" s="42"/>
      <c r="DB83" s="42"/>
      <c r="DC83" s="42"/>
      <c r="DD83" s="42"/>
      <c r="DE83" s="42"/>
      <c r="DF83" s="42"/>
      <c r="DG83" s="42"/>
      <c r="DH83" s="42"/>
      <c r="DI83" s="42"/>
      <c r="DJ83" s="42"/>
      <c r="DK83" s="42"/>
      <c r="DL83" s="42"/>
      <c r="DM83" s="42"/>
      <c r="DN83" s="42"/>
      <c r="DO83" s="42"/>
      <c r="DP83" s="42"/>
      <c r="DQ83" s="42"/>
      <c r="DR83" s="42"/>
      <c r="DS83" s="42"/>
      <c r="DT83" s="42"/>
      <c r="DU83" s="42"/>
      <c r="DV83" s="42"/>
      <c r="DW83" s="42"/>
      <c r="DX83" s="42"/>
      <c r="DY83" s="42"/>
      <c r="DZ83" s="42"/>
      <c r="EA83" s="42"/>
      <c r="EB83" s="42"/>
      <c r="EC83" s="42"/>
      <c r="ED83" s="42"/>
      <c r="EE83" s="42"/>
      <c r="EF83" s="42"/>
      <c r="EG83" s="42"/>
      <c r="EH83" s="42"/>
      <c r="EI83" s="42"/>
      <c r="EJ83" s="42"/>
      <c r="EK83" s="42"/>
      <c r="EL83" s="42"/>
      <c r="EM83" s="42"/>
      <c r="EN83" s="42"/>
      <c r="EO83" s="42"/>
      <c r="EP83" s="42"/>
      <c r="EQ83" s="42"/>
      <c r="ER83" s="42"/>
      <c r="ES83" s="42"/>
      <c r="ET83" s="42"/>
      <c r="EU83" s="42"/>
      <c r="EV83" s="42"/>
      <c r="EW83" s="42"/>
      <c r="EX83" s="42"/>
      <c r="EY83" s="42"/>
      <c r="EZ83" s="42"/>
      <c r="FA83" s="42"/>
      <c r="FB83" s="42"/>
      <c r="FC83" s="42"/>
      <c r="FD83" s="42"/>
      <c r="FE83" s="42"/>
      <c r="FF83" s="42"/>
      <c r="FG83" s="42"/>
      <c r="FH83" s="46"/>
      <c r="FI83" s="46"/>
      <c r="FJ83" s="46"/>
      <c r="FK83" s="46"/>
      <c r="FL83" s="46"/>
      <c r="FM83" s="46"/>
      <c r="FN83" s="46"/>
      <c r="FO83" s="46"/>
      <c r="FP83" s="46"/>
      <c r="FQ83" s="46"/>
      <c r="FR83" s="46"/>
      <c r="FS83" s="46"/>
      <c r="FT83" s="46"/>
      <c r="FU83" s="46"/>
      <c r="FV83" s="46"/>
      <c r="FW83" s="46"/>
      <c r="FX83" s="46"/>
      <c r="FY83" s="46"/>
      <c r="FZ83" s="46"/>
      <c r="GA83" s="46"/>
      <c r="GB83" s="46"/>
      <c r="GC83" s="46"/>
      <c r="GD83" s="46"/>
      <c r="GE83" s="46"/>
      <c r="GF83" s="42"/>
      <c r="GG83" s="42"/>
      <c r="GH83" s="42"/>
      <c r="GI83" s="42"/>
      <c r="GJ83" s="42" t="str">
        <f t="shared" ref="GJ83:GJ146" si="93">IF(FZ83&lt;&gt;"",SUM(GF83:GG83),"")</f>
        <v/>
      </c>
      <c r="GK83" s="44"/>
      <c r="GL83" s="42"/>
      <c r="GM83" s="42"/>
      <c r="GN83" s="42"/>
      <c r="GO83" s="42"/>
      <c r="GP83" s="42"/>
      <c r="GQ83" s="42"/>
      <c r="GR83" s="42"/>
      <c r="GS83" s="42"/>
      <c r="GT83" s="42"/>
      <c r="GU83" s="42"/>
      <c r="GV83" s="42"/>
      <c r="GW83" s="42"/>
      <c r="GX83" s="42"/>
      <c r="GY83" s="42"/>
      <c r="GZ83" s="42"/>
      <c r="HA83" s="42"/>
      <c r="HB83" s="42"/>
      <c r="HC83" s="42"/>
      <c r="HD83" s="42"/>
      <c r="HE83" s="42"/>
      <c r="HF83" s="42"/>
      <c r="HG83" s="42"/>
      <c r="HH83" s="42"/>
      <c r="HI83" s="42"/>
      <c r="HJ83" s="42"/>
      <c r="HK83" s="42"/>
      <c r="HL83" s="42"/>
      <c r="HM83" s="42"/>
      <c r="HN83" s="42"/>
      <c r="HO83" s="42"/>
      <c r="HP83" s="42"/>
      <c r="HQ83" s="42"/>
      <c r="HR83" s="42"/>
      <c r="HS83" s="42"/>
      <c r="HT83" s="42"/>
      <c r="HU83" s="42"/>
      <c r="HV83" s="42"/>
      <c r="HW83" s="42"/>
      <c r="HX83" s="42"/>
      <c r="HY83" s="42"/>
      <c r="HZ83" s="42"/>
      <c r="IA83" s="42"/>
      <c r="IB83" s="42"/>
      <c r="IC83" s="42"/>
      <c r="ID83" s="42"/>
      <c r="IE83" s="42"/>
      <c r="IF83" s="42"/>
      <c r="IG83" s="42" t="str">
        <f t="shared" si="84"/>
        <v/>
      </c>
    </row>
    <row r="84" spans="1:241">
      <c r="A84" t="str">
        <f>HYPERLINK("http://exon.niaid.nih.gov/transcriptome/S_calcitrans/S1/links/pep/XP_013097979.1-pep.txt","XP_013097979.1")</f>
        <v>XP_013097979.1</v>
      </c>
      <c r="B84" s="30" t="s">
        <v>232</v>
      </c>
      <c r="C84">
        <v>97</v>
      </c>
      <c r="D84" t="s">
        <v>994</v>
      </c>
      <c r="E84">
        <v>1</v>
      </c>
      <c r="F84" t="s">
        <v>995</v>
      </c>
      <c r="G84" t="str">
        <f>HYPERLINK("http://exon.niaid.nih.gov/transcriptome/S_calcitrans/S1/links/cds/XM_013242525_1-cds.txt","XM_013242525_1")</f>
        <v>XM_013242525_1</v>
      </c>
      <c r="H84">
        <v>294</v>
      </c>
      <c r="I84" t="s">
        <v>996</v>
      </c>
      <c r="J84" s="30" t="s">
        <v>236</v>
      </c>
      <c r="K84" s="30" t="s">
        <v>91</v>
      </c>
      <c r="L84" s="31" t="s">
        <v>997</v>
      </c>
      <c r="M84" s="30">
        <v>1402532</v>
      </c>
      <c r="N84" s="30">
        <v>1403028</v>
      </c>
      <c r="O84" s="30" t="s">
        <v>276</v>
      </c>
      <c r="P84" s="30">
        <v>3</v>
      </c>
      <c r="Q84" s="31" t="s">
        <v>998</v>
      </c>
      <c r="R84" s="32" t="str">
        <f>HYPERLINK("http://exon.niaid.nih.gov/transcriptome/S_calcitrans/S1/links/Sigp/XP_013097979.1-SigP.txt","CYT")</f>
        <v>CYT</v>
      </c>
      <c r="S84" t="s">
        <v>242</v>
      </c>
      <c r="T84">
        <v>10.816000000000001</v>
      </c>
      <c r="U84">
        <v>6.07</v>
      </c>
      <c r="V84" t="s">
        <v>242</v>
      </c>
      <c r="W84" t="s">
        <v>242</v>
      </c>
      <c r="X84" t="s">
        <v>720</v>
      </c>
      <c r="Y84" s="32">
        <v>0</v>
      </c>
      <c r="Z84" t="s">
        <v>242</v>
      </c>
      <c r="AA84" t="s">
        <v>242</v>
      </c>
      <c r="AB84" t="s">
        <v>242</v>
      </c>
      <c r="AC84" t="s">
        <v>242</v>
      </c>
      <c r="AD84" t="s">
        <v>242</v>
      </c>
      <c r="AE84" s="32" t="str">
        <f>HYPERLINK("http://exon.niaid.nih.gov/transcriptome/S_calcitrans/S1/links/netoglyc/XP_013097979.1-netoglyc.txt","1")</f>
        <v>1</v>
      </c>
      <c r="AF84">
        <v>15.5</v>
      </c>
      <c r="AG84">
        <v>4.0999999999999996</v>
      </c>
      <c r="AH84">
        <v>4.0999999999999996</v>
      </c>
      <c r="AI84" t="s">
        <v>243</v>
      </c>
      <c r="AJ84" t="s">
        <v>242</v>
      </c>
      <c r="AK84">
        <v>672.47666845311016</v>
      </c>
      <c r="AL84" s="33">
        <v>5334</v>
      </c>
      <c r="AM84">
        <v>1</v>
      </c>
      <c r="AN84" s="30">
        <f t="shared" si="83"/>
        <v>1</v>
      </c>
      <c r="AO84" s="30" t="s">
        <v>244</v>
      </c>
      <c r="AP84">
        <v>1727</v>
      </c>
      <c r="AQ84" s="34">
        <v>6.7079436307453761E-3</v>
      </c>
      <c r="AR84" s="35">
        <v>214.34785463531315</v>
      </c>
      <c r="AS84" t="s">
        <v>999</v>
      </c>
      <c r="AT84" s="36" t="s">
        <v>1000</v>
      </c>
      <c r="AU84" t="s">
        <v>1001</v>
      </c>
      <c r="AV84" t="str">
        <f>HYPERLINK("http://exon.niaid.nih.gov/transcriptome/S_calcitrans/S1/links/NR-LIGHT/XP_013097979.1-NR-LIGHT.txt","NR-LIGHT")</f>
        <v>NR-LIGHT</v>
      </c>
      <c r="AW84" s="37">
        <v>5.0000000000000001E-47</v>
      </c>
      <c r="AX84">
        <v>100</v>
      </c>
      <c r="AY84" s="33"/>
      <c r="BG84" s="31"/>
      <c r="BJ84" s="33"/>
      <c r="BK84" s="33"/>
      <c r="BL84" s="33" t="str">
        <f>HYPERLINK("http://exon.niaid.nih.gov/transcriptome/S_calcitrans/S1/links/NR-LIGHT/XP_013097979.1-NR-LIGHT.txt","dynein light chain roadblock-type 2")</f>
        <v>dynein light chain roadblock-type 2</v>
      </c>
      <c r="BM84" t="str">
        <f>HYPERLINK("http://www.ncbi.nlm.nih.gov/sutils/blink.cgi?pid=498925076","5E-047")</f>
        <v>5E-047</v>
      </c>
      <c r="BN84" t="str">
        <f>HYPERLINK("http://www.ncbi.nlm.nih.gov/protein/498925076","gi|498925076")</f>
        <v>gi|498925076</v>
      </c>
      <c r="BO84">
        <v>98</v>
      </c>
      <c r="BP84">
        <v>100</v>
      </c>
      <c r="BQ84">
        <v>100</v>
      </c>
      <c r="BR84" t="s">
        <v>737</v>
      </c>
      <c r="BS84" s="33" t="str">
        <f>HYPERLINK("http://exon.niaid.nih.gov/transcriptome/S_calcitrans/S1/links/SWISSP/XP_013097979.1-SWISSP.txt","Dynein light chain roadblock-type 2")</f>
        <v>Dynein light chain roadblock-type 2</v>
      </c>
      <c r="BT84" t="str">
        <f>HYPERLINK("http://www.uniprot.org/uniprot/Q9DAJ5","2E-037")</f>
        <v>2E-037</v>
      </c>
      <c r="BU84" t="str">
        <f>HYPERLINK("http://www.uniprot.org/uniprot/Q9DAJ5#expression","Q9DAJ5")</f>
        <v>Q9DAJ5</v>
      </c>
      <c r="BV84">
        <v>76</v>
      </c>
      <c r="BW84">
        <v>93</v>
      </c>
      <c r="BX84">
        <v>98</v>
      </c>
      <c r="BY84" t="s">
        <v>620</v>
      </c>
      <c r="BZ84" s="33" t="str">
        <f>HYPERLINK("http://exon.niaid.nih.gov/transcriptome/S_calcitrans/S1/links/REFSEQ-INVERTEBRATE/XP_013097979.1-REFSEQ-INVERTEBRATE.txt","dynein light chain roadblock-type 2")</f>
        <v>dynein light chain roadblock-type 2</v>
      </c>
      <c r="CA84" t="str">
        <f>HYPERLINK("http://www.ncbi.nlm.nih.gov/sutils/blink.cgi?pid=907624706","1E-047")</f>
        <v>1E-047</v>
      </c>
      <c r="CB84" t="str">
        <f>HYPERLINK("http://www.ncbi.nlm.nih.gov/protein/907624706","gi|907624706")</f>
        <v>gi|907624706</v>
      </c>
      <c r="CC84">
        <v>100</v>
      </c>
      <c r="CD84">
        <v>100</v>
      </c>
      <c r="CE84">
        <v>100</v>
      </c>
      <c r="CF84" t="s">
        <v>253</v>
      </c>
      <c r="CG84" s="33" t="str">
        <f>HYPERLINK("http://exon.niaid.nih.gov/transcriptome/S_calcitrans/S1/links/DIPTERA/XP_013097979.1-DIPTERA.txt","dynein light chain roadblock-type 2")</f>
        <v>dynein light chain roadblock-type 2</v>
      </c>
      <c r="CH84" t="str">
        <f>HYPERLINK("http://www.ncbi.nlm.nih.gov/sutils/blink.cgi?pid=907624706","8E-048")</f>
        <v>8E-048</v>
      </c>
      <c r="CI84" t="str">
        <f>HYPERLINK("http://www.ncbi.nlm.nih.gov/protein/907624706","gi|907624706")</f>
        <v>gi|907624706</v>
      </c>
      <c r="CJ84">
        <v>100</v>
      </c>
      <c r="CK84">
        <v>100</v>
      </c>
      <c r="CL84">
        <v>100</v>
      </c>
      <c r="CM84" t="s">
        <v>253</v>
      </c>
      <c r="CN84" s="33" t="s">
        <v>242</v>
      </c>
      <c r="CO84" t="s">
        <v>242</v>
      </c>
      <c r="CP84" t="s">
        <v>242</v>
      </c>
      <c r="CQ84" t="s">
        <v>242</v>
      </c>
      <c r="CR84" t="s">
        <v>242</v>
      </c>
      <c r="CS84" t="s">
        <v>242</v>
      </c>
      <c r="CT84" t="s">
        <v>242</v>
      </c>
      <c r="CU84" s="33" t="s">
        <v>1002</v>
      </c>
      <c r="CV84">
        <f>HYPERLINK("http://exon.niaid.nih.gov/transcriptome/S_calcitrans/S1/links/GO/XP_013097979.1-GO.txt",4E-47)</f>
        <v>3.9999999999999999E-47</v>
      </c>
      <c r="CW84" t="str">
        <f>HYPERLINK("http://amigo.geneontology.org/cgi-bin/amigo/term_details?term=GO:0003774","GO:0003774")</f>
        <v>GO:0003774</v>
      </c>
      <c r="CX84" t="s">
        <v>1003</v>
      </c>
      <c r="CY84" t="s">
        <v>1004</v>
      </c>
      <c r="CZ84" t="s">
        <v>242</v>
      </c>
      <c r="DA84" t="s">
        <v>242</v>
      </c>
      <c r="DC84" t="s">
        <v>1005</v>
      </c>
      <c r="DD84" s="37">
        <v>3.9999999999999999E-47</v>
      </c>
      <c r="DE84" s="33" t="str">
        <f>HYPERLINK("http://exon.niaid.nih.gov/transcriptome/S_calcitrans/S1/links/CDD/XP_013097979.1-CDD.txt","Robl_LC7")</f>
        <v>Robl_LC7</v>
      </c>
      <c r="DF84" t="str">
        <f>HYPERLINK("http://www.ncbi.nlm.nih.gov/Structure/cdd/cddsrv.cgi?uid=smart00960&amp;version=v4.0","4E-018")</f>
        <v>4E-018</v>
      </c>
      <c r="DG84" t="s">
        <v>1006</v>
      </c>
      <c r="DH84" s="33" t="str">
        <f>HYPERLINK("http://exon.niaid.nih.gov/transcriptome/S_calcitrans/S1/links/KOG/XP_013097979.1-KOG.txt","Dynein-associated protein Roadblock")</f>
        <v>Dynein-associated protein Roadblock</v>
      </c>
      <c r="DI84" t="str">
        <f>HYPERLINK("http://www.ncbi.nlm.nih.gov/Structure/cdd/cddsrv.cgi?uid=KOG4115","1E-039")</f>
        <v>1E-039</v>
      </c>
      <c r="DJ84" t="s">
        <v>1007</v>
      </c>
      <c r="DK84" t="str">
        <f>HYPERLINK("http://exon.niaid.nih.gov/transcriptome/S_calcitrans/S1/links/KOG/XP_013097979.1-KOG.txt","KOG4115")</f>
        <v>KOG4115</v>
      </c>
      <c r="DL84" s="33" t="str">
        <f>HYPERLINK("http://exon.niaid.nih.gov/transcriptome/S_calcitrans/S1/links/PFAM/XP_013097979.1-PFAM.txt","Robl_LC7")</f>
        <v>Robl_LC7</v>
      </c>
      <c r="DM84" t="str">
        <f>HYPERLINK("http://pfam.sanger.ac.uk/family?acc=PF03259","1E-018")</f>
        <v>1E-018</v>
      </c>
      <c r="DN84" s="33" t="str">
        <f>HYPERLINK("http://exon.niaid.nih.gov/transcriptome/S_calcitrans/S1/links/SMART/XP_013097979.1-SMART.txt","Robl_LC7")</f>
        <v>Robl_LC7</v>
      </c>
      <c r="DO84" t="str">
        <f>HYPERLINK("http://smart.embl-heidelberg.de/smart/do_annotation.pl?DOMAIN=Robl_LC7&amp;BLAST=DUMMY","1E-025")</f>
        <v>1E-025</v>
      </c>
      <c r="DP84" s="33"/>
      <c r="EB84" s="33">
        <f>HYPERLINK("http://exon.niaid.nih.gov/transcriptome/S_calcitrans/S1/links/cluster-b/Scalc-pep25-50SimCLU1095.txt", 1095)</f>
        <v>1095</v>
      </c>
      <c r="EC84">
        <f>HYPERLINK("http://exon.niaid.nih.gov/transcriptome/S_calcitrans/S1/links/cluster-b/Scalc-pep25-50SimCLTL1095.txt", 3)</f>
        <v>3</v>
      </c>
      <c r="ED84" s="33">
        <f>HYPERLINK("http://exon.niaid.nih.gov/transcriptome/S_calcitrans/S1/links/cluster-b/Scalc-pep30-50SimCLU1295.txt", 1295)</f>
        <v>1295</v>
      </c>
      <c r="EE84">
        <f>HYPERLINK("http://exon.niaid.nih.gov/transcriptome/S_calcitrans/S1/links/cluster-b/Scalc-pep30-50SimCLTL1295.txt", 3)</f>
        <v>3</v>
      </c>
      <c r="EF84" s="33">
        <f>HYPERLINK("http://exon.niaid.nih.gov/transcriptome/S_calcitrans/S1/links/cluster-b/Scalc-pep35-50SimCLU1355.txt", 1355)</f>
        <v>1355</v>
      </c>
      <c r="EG84">
        <f>HYPERLINK("http://exon.niaid.nih.gov/transcriptome/S_calcitrans/S1/links/cluster-b/Scalc-pep35-50SimCLTL1355.txt", 3)</f>
        <v>3</v>
      </c>
      <c r="EH84" s="33">
        <f>HYPERLINK("http://exon.niaid.nih.gov/transcriptome/S_calcitrans/S1/links/cluster-b/Scalc-pep40-50SimCLU1360.txt", 1360)</f>
        <v>1360</v>
      </c>
      <c r="EI84">
        <f>HYPERLINK("http://exon.niaid.nih.gov/transcriptome/S_calcitrans/S1/links/cluster-b/Scalc-pep40-50SimCLTL1360.txt", 3)</f>
        <v>3</v>
      </c>
      <c r="EJ84" s="33">
        <f>HYPERLINK("http://exon.niaid.nih.gov/transcriptome/S_calcitrans/S1/links/cluster-b/Scalc-pep45-50SimCLU1392.txt", 1392)</f>
        <v>1392</v>
      </c>
      <c r="EK84">
        <f>HYPERLINK("http://exon.niaid.nih.gov/transcriptome/S_calcitrans/S1/links/cluster-b/Scalc-pep45-50SimCLTL1392.txt", 3)</f>
        <v>3</v>
      </c>
      <c r="EL84" s="33">
        <f>HYPERLINK("http://exon.niaid.nih.gov/transcriptome/S_calcitrans/S1/links/cluster-b/Scalc-pep50-50SimCLU1403.txt", 1403)</f>
        <v>1403</v>
      </c>
      <c r="EM84">
        <f>HYPERLINK("http://exon.niaid.nih.gov/transcriptome/S_calcitrans/S1/links/cluster-b/Scalc-pep50-50SimCLTL1403.txt", 3)</f>
        <v>3</v>
      </c>
      <c r="EN84" s="33">
        <v>5015</v>
      </c>
      <c r="EO84">
        <v>1</v>
      </c>
      <c r="EP84" s="33">
        <v>5166</v>
      </c>
      <c r="EQ84">
        <v>1</v>
      </c>
      <c r="ER84" s="33">
        <v>5284</v>
      </c>
      <c r="ES84">
        <v>1</v>
      </c>
      <c r="ET84" s="33">
        <v>5357</v>
      </c>
      <c r="EU84">
        <v>1</v>
      </c>
      <c r="EV84" s="33">
        <v>5384</v>
      </c>
      <c r="EW84">
        <v>1</v>
      </c>
      <c r="EX84" s="33">
        <v>5420</v>
      </c>
      <c r="EY84">
        <v>1</v>
      </c>
      <c r="EZ84" s="33">
        <v>5402</v>
      </c>
      <c r="FA84">
        <v>1</v>
      </c>
      <c r="FB84" s="33">
        <v>5371</v>
      </c>
      <c r="FC84">
        <v>1</v>
      </c>
      <c r="FD84" s="33">
        <v>5334</v>
      </c>
      <c r="FE84">
        <v>1</v>
      </c>
      <c r="FF84" t="s">
        <v>1008</v>
      </c>
      <c r="FG84">
        <v>4393</v>
      </c>
      <c r="FH84" s="38" t="str">
        <f>HYPERLINK("http://exon.niaid.nih.gov/transcriptome/S_calcitrans/S1/links/SG_male-stripped_temp-95-h10-1gap/4393-SG_male-stripped_temp-95-h10-1gap.txt","781")</f>
        <v>781</v>
      </c>
      <c r="FI84" s="39">
        <v>100</v>
      </c>
      <c r="FJ84" s="39">
        <v>188.45578231292501</v>
      </c>
      <c r="FK84" s="39">
        <v>25</v>
      </c>
      <c r="FL84" s="39">
        <v>321</v>
      </c>
      <c r="FM84" s="39">
        <v>70.948783610755399</v>
      </c>
      <c r="FN84" s="38" t="str">
        <f>HYPERLINK("http://exon.niaid.nih.gov/transcriptome/S_calcitrans/S1/links/SG_female-stripped_temp-95-h10-1gap/4393-SG_female-stripped_temp-95-h10-1gap.txt","946")</f>
        <v>946</v>
      </c>
      <c r="FO84" s="39">
        <v>100</v>
      </c>
      <c r="FP84" s="39">
        <v>228.63945578231301</v>
      </c>
      <c r="FQ84" s="39">
        <v>38</v>
      </c>
      <c r="FR84" s="39">
        <v>418</v>
      </c>
      <c r="FS84" s="39">
        <v>71.0623678646934</v>
      </c>
      <c r="FT84" s="38" t="str">
        <f>HYPERLINK("http://exon.niaid.nih.gov/transcriptome/S_calcitrans/S1/links/SRR694289-stripped_temp-95-h10-1gap/4393-SRR694289-stripped_temp-95-h10-1gap.txt","2")</f>
        <v>2</v>
      </c>
      <c r="FU84" s="39">
        <v>35.374149659863903</v>
      </c>
      <c r="FV84" s="39">
        <v>0.64965986394557795</v>
      </c>
      <c r="FW84" s="39">
        <v>0</v>
      </c>
      <c r="FX84" s="39">
        <v>2</v>
      </c>
      <c r="FY84" s="39">
        <v>95.5</v>
      </c>
      <c r="FZ84" s="38" t="str">
        <f>HYPERLINK("http://exon.niaid.nih.gov/transcriptome/S_calcitrans/S1/links/SRR694925-stripped_temp-95-h10-1gap/4393-SRR694925-stripped_temp-95-h10-1gap.txt","6")</f>
        <v>6</v>
      </c>
      <c r="GA84" s="39">
        <v>63.605442176870703</v>
      </c>
      <c r="GB84" s="39">
        <v>1.9285714285714299</v>
      </c>
      <c r="GC84" s="39">
        <v>0</v>
      </c>
      <c r="GD84" s="39">
        <v>6</v>
      </c>
      <c r="GE84" s="39">
        <v>94.5</v>
      </c>
      <c r="GF84">
        <f t="shared" ref="GF84:GF91" si="94">1*FH84</f>
        <v>781</v>
      </c>
      <c r="GG84">
        <f t="shared" ref="GG84:GG91" si="95">1*FN84</f>
        <v>946</v>
      </c>
      <c r="GH84">
        <f t="shared" ref="GH84:GH91" si="96">1*FT84</f>
        <v>2</v>
      </c>
      <c r="GI84">
        <f t="shared" ref="GI84:GI91" si="97">1*FZ84</f>
        <v>6</v>
      </c>
      <c r="GJ84">
        <f t="shared" si="93"/>
        <v>1727</v>
      </c>
      <c r="GK84" s="34">
        <v>6.7079436307453761E-3</v>
      </c>
      <c r="GL84">
        <v>86.897182094996879</v>
      </c>
      <c r="GM84">
        <v>47.864887855925886</v>
      </c>
      <c r="GN84">
        <v>3.9103461570998553E-2</v>
      </c>
      <c r="GO84">
        <v>0.12093380383348867</v>
      </c>
      <c r="GP84">
        <f t="shared" ref="GP84:GP91" si="98">MAX(GL84:GO84)</f>
        <v>86.897182094996879</v>
      </c>
      <c r="GQ84" t="s">
        <v>1001</v>
      </c>
      <c r="GR84">
        <v>67.770369816039263</v>
      </c>
      <c r="GS84">
        <v>39.285881823631563</v>
      </c>
      <c r="GT84">
        <v>7.049016157031697E-2</v>
      </c>
      <c r="GU84">
        <v>0.22896084446757423</v>
      </c>
      <c r="GV84">
        <f t="shared" ref="GV84:GV91" si="99">MAX(GR84:GU84)</f>
        <v>67.770369816039263</v>
      </c>
      <c r="GW84">
        <v>214.34785463531315</v>
      </c>
      <c r="GX84">
        <v>1727</v>
      </c>
      <c r="GY84">
        <v>8</v>
      </c>
      <c r="GZ84">
        <v>1735</v>
      </c>
      <c r="HA84">
        <v>385.16946839714791</v>
      </c>
      <c r="HB84">
        <v>1349.830531602852</v>
      </c>
      <c r="HC84">
        <v>4674.5895593289579</v>
      </c>
      <c r="HD84">
        <v>1333.8779449621602</v>
      </c>
      <c r="HE84">
        <v>6008.4675042911185</v>
      </c>
      <c r="HF84">
        <v>0</v>
      </c>
      <c r="HG84">
        <v>385.16946839714791</v>
      </c>
      <c r="HH84">
        <v>1</v>
      </c>
      <c r="HI84">
        <v>1</v>
      </c>
      <c r="HJ84">
        <v>2</v>
      </c>
      <c r="HK84">
        <v>0</v>
      </c>
      <c r="HL84" s="30" t="s">
        <v>262</v>
      </c>
      <c r="HM84">
        <v>672.47666845311016</v>
      </c>
      <c r="HN84">
        <v>1.3210487846964634E-3</v>
      </c>
      <c r="HO84">
        <v>781</v>
      </c>
      <c r="HP84">
        <v>946</v>
      </c>
      <c r="HQ84">
        <v>1727</v>
      </c>
      <c r="HR84">
        <v>539.85319660029336</v>
      </c>
      <c r="HS84">
        <v>1187.1468033997066</v>
      </c>
      <c r="HT84">
        <v>107.71776689682598</v>
      </c>
      <c r="HU84">
        <v>48.984490059160223</v>
      </c>
      <c r="HV84">
        <v>156.7022569559862</v>
      </c>
      <c r="HW84">
        <v>5.9458111002614057E-36</v>
      </c>
      <c r="HX84">
        <v>539.85319660029336</v>
      </c>
      <c r="HY84">
        <v>1</v>
      </c>
      <c r="HZ84">
        <v>1</v>
      </c>
      <c r="IA84">
        <v>2</v>
      </c>
      <c r="IB84" s="37">
        <v>3.8579027312138703E-34</v>
      </c>
      <c r="IC84" s="30" t="s">
        <v>262</v>
      </c>
      <c r="ID84">
        <v>1.8135511331046246</v>
      </c>
      <c r="IE84">
        <v>0.55011771851445612</v>
      </c>
      <c r="IF84">
        <v>1.8135511331046246</v>
      </c>
      <c r="IG84" t="str">
        <f t="shared" si="84"/>
        <v/>
      </c>
    </row>
    <row r="85" spans="1:241">
      <c r="A85" s="22" t="s">
        <v>1009</v>
      </c>
      <c r="B85" s="23"/>
      <c r="C85" s="24"/>
      <c r="D85" s="24"/>
      <c r="E85" s="24"/>
      <c r="F85" s="24"/>
      <c r="G85" s="24"/>
      <c r="H85" s="24"/>
      <c r="I85" s="24"/>
      <c r="J85" s="23"/>
      <c r="K85" s="23"/>
      <c r="L85" s="25"/>
      <c r="M85" s="23"/>
      <c r="N85" s="23"/>
      <c r="O85" s="23"/>
      <c r="P85" s="23"/>
      <c r="Q85" s="25"/>
      <c r="R85" s="23"/>
      <c r="S85" s="24"/>
      <c r="T85" s="24"/>
      <c r="U85" s="24"/>
      <c r="V85" s="24"/>
      <c r="W85" s="24"/>
      <c r="X85" s="24"/>
      <c r="Y85" s="23"/>
      <c r="Z85" s="24"/>
      <c r="AA85" s="24"/>
      <c r="AB85" s="24"/>
      <c r="AC85" s="24"/>
      <c r="AD85" s="24"/>
      <c r="AE85" s="23"/>
      <c r="AF85" s="24"/>
      <c r="AG85" s="24"/>
      <c r="AH85" s="24"/>
      <c r="AI85" s="24"/>
      <c r="AJ85" s="24"/>
      <c r="AK85" s="24"/>
      <c r="AL85" s="24"/>
      <c r="AM85" s="24"/>
      <c r="AN85" s="23" t="str">
        <f t="shared" si="83"/>
        <v/>
      </c>
      <c r="AO85" s="23" t="s">
        <v>244</v>
      </c>
      <c r="AP85" s="24" t="s">
        <v>244</v>
      </c>
      <c r="AQ85" s="26"/>
      <c r="AR85" s="27"/>
      <c r="AS85" s="24"/>
      <c r="AT85" s="24"/>
      <c r="AU85" s="24"/>
      <c r="AV85" s="24"/>
      <c r="AW85" s="28"/>
      <c r="AX85" s="24"/>
      <c r="AY85" s="24"/>
      <c r="AZ85" s="24"/>
      <c r="BA85" s="24"/>
      <c r="BB85" s="24"/>
      <c r="BC85" s="24"/>
      <c r="BD85" s="24"/>
      <c r="BE85" s="24"/>
      <c r="BF85" s="24"/>
      <c r="BG85" s="25"/>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8"/>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9"/>
      <c r="FI85" s="29"/>
      <c r="FJ85" s="29"/>
      <c r="FK85" s="29"/>
      <c r="FL85" s="29"/>
      <c r="FM85" s="29"/>
      <c r="FN85" s="29"/>
      <c r="FO85" s="29"/>
      <c r="FP85" s="29"/>
      <c r="FQ85" s="29"/>
      <c r="FR85" s="29"/>
      <c r="FS85" s="29"/>
      <c r="FT85" s="29"/>
      <c r="FU85" s="29"/>
      <c r="FV85" s="29"/>
      <c r="FW85" s="29"/>
      <c r="FX85" s="29"/>
      <c r="FY85" s="29"/>
      <c r="FZ85" s="29"/>
      <c r="GA85" s="29"/>
      <c r="GB85" s="29"/>
      <c r="GC85" s="29"/>
      <c r="GD85" s="29"/>
      <c r="GE85" s="29"/>
      <c r="GF85" s="24"/>
      <c r="GG85" s="24"/>
      <c r="GH85" s="24"/>
      <c r="GI85" s="24"/>
      <c r="GJ85" s="24" t="str">
        <f t="shared" si="93"/>
        <v/>
      </c>
      <c r="GK85" s="26"/>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3"/>
      <c r="HM85" s="24"/>
      <c r="HN85" s="24"/>
      <c r="HO85" s="24"/>
      <c r="HP85" s="24"/>
      <c r="HQ85" s="24"/>
      <c r="HR85" s="24"/>
      <c r="HS85" s="24"/>
      <c r="HT85" s="24"/>
      <c r="HU85" s="24"/>
      <c r="HV85" s="24"/>
      <c r="HW85" s="24"/>
      <c r="HX85" s="24"/>
      <c r="HY85" s="24"/>
      <c r="HZ85" s="24"/>
      <c r="IA85" s="24"/>
      <c r="IB85" s="28"/>
      <c r="IC85" s="23"/>
      <c r="ID85" s="24"/>
      <c r="IE85" s="24"/>
      <c r="IF85" s="24"/>
      <c r="IG85" s="24" t="str">
        <f t="shared" si="84"/>
        <v/>
      </c>
    </row>
    <row r="86" spans="1:241">
      <c r="A86" t="str">
        <f>HYPERLINK("http://exon.niaid.nih.gov/transcriptome/S_calcitrans/S1/links/pep/XP_013115102.1-pep.txt","XP_013115102.1")</f>
        <v>XP_013115102.1</v>
      </c>
      <c r="B86" s="30" t="s">
        <v>232</v>
      </c>
      <c r="C86">
        <v>248</v>
      </c>
      <c r="D86" t="s">
        <v>1010</v>
      </c>
      <c r="E86">
        <v>0</v>
      </c>
      <c r="F86" t="s">
        <v>1011</v>
      </c>
      <c r="G86" t="str">
        <f>HYPERLINK("http://exon.niaid.nih.gov/transcriptome/S_calcitrans/S1/links/cds/XM_013259648_1-cds.txt","XM_013259648_1")</f>
        <v>XM_013259648_1</v>
      </c>
      <c r="H86">
        <v>747</v>
      </c>
      <c r="I86" t="s">
        <v>1012</v>
      </c>
      <c r="J86" s="30" t="s">
        <v>236</v>
      </c>
      <c r="K86" s="30" t="s">
        <v>91</v>
      </c>
      <c r="L86" s="31" t="s">
        <v>1013</v>
      </c>
      <c r="M86" s="30">
        <v>86184</v>
      </c>
      <c r="N86" s="30">
        <v>86998</v>
      </c>
      <c r="O86" s="30" t="s">
        <v>276</v>
      </c>
      <c r="P86" s="30">
        <v>2</v>
      </c>
      <c r="Q86" s="31" t="s">
        <v>1014</v>
      </c>
      <c r="R86" s="32" t="str">
        <f>HYPERLINK("http://exon.niaid.nih.gov/transcriptome/S_calcitrans/S1/links/Sigp/XP_013115102.1-SigP.txt","CYT")</f>
        <v>CYT</v>
      </c>
      <c r="S86" t="s">
        <v>242</v>
      </c>
      <c r="T86">
        <v>27.353000000000002</v>
      </c>
      <c r="U86">
        <v>6.65</v>
      </c>
      <c r="V86" t="s">
        <v>242</v>
      </c>
      <c r="W86" t="s">
        <v>242</v>
      </c>
      <c r="X86" t="s">
        <v>1015</v>
      </c>
      <c r="Y86" s="32">
        <v>0</v>
      </c>
      <c r="Z86" t="s">
        <v>242</v>
      </c>
      <c r="AA86" t="s">
        <v>242</v>
      </c>
      <c r="AB86" t="s">
        <v>242</v>
      </c>
      <c r="AC86" t="s">
        <v>242</v>
      </c>
      <c r="AD86" t="s">
        <v>242</v>
      </c>
      <c r="AE86" s="32" t="str">
        <f>HYPERLINK("http://exon.niaid.nih.gov/transcriptome/S_calcitrans/S1/links/netoglyc/XP_013115102.1-netoglyc.txt","0")</f>
        <v>0</v>
      </c>
      <c r="AF86">
        <v>10.5</v>
      </c>
      <c r="AG86">
        <v>6.5</v>
      </c>
      <c r="AH86">
        <v>4.4000000000000004</v>
      </c>
      <c r="AI86" t="s">
        <v>243</v>
      </c>
      <c r="AJ86" t="s">
        <v>242</v>
      </c>
      <c r="AK86">
        <v>46560.929446214359</v>
      </c>
      <c r="AL86" s="33">
        <v>13889</v>
      </c>
      <c r="AM86">
        <v>1</v>
      </c>
      <c r="AN86" s="30">
        <f t="shared" si="83"/>
        <v>1</v>
      </c>
      <c r="AO86" s="30" t="s">
        <v>244</v>
      </c>
      <c r="AP86">
        <v>13286</v>
      </c>
      <c r="AQ86" s="34">
        <v>5.1604944457488748E-2</v>
      </c>
      <c r="AR86" s="35">
        <v>1462.39355771799</v>
      </c>
      <c r="AS86" t="s">
        <v>1016</v>
      </c>
      <c r="AT86" s="36" t="s">
        <v>1017</v>
      </c>
      <c r="AU86" t="s">
        <v>1018</v>
      </c>
      <c r="AV86" t="str">
        <f>HYPERLINK("http://exon.niaid.nih.gov/transcriptome/S_calcitrans/S1/links/KOG/XP_013115102.1-KOG.txt","KOG")</f>
        <v>KOG</v>
      </c>
      <c r="AW86" s="37">
        <v>9.9999999999999992E-66</v>
      </c>
      <c r="AX86">
        <v>89.7</v>
      </c>
      <c r="AY86" s="33" t="str">
        <f>HYPERLINK("http://exon.niaid.nih.gov/transcriptome/S_calcitrans/S1/links/WANG/XP_013115102.1-WANG.txt","SC-4-11-2")</f>
        <v>SC-4-11-2</v>
      </c>
      <c r="AZ86">
        <v>1E-141</v>
      </c>
      <c r="BA86">
        <v>248</v>
      </c>
      <c r="BB86">
        <v>248</v>
      </c>
      <c r="BC86">
        <v>98</v>
      </c>
      <c r="BD86">
        <v>99</v>
      </c>
      <c r="BE86">
        <v>100</v>
      </c>
      <c r="BF86" t="s">
        <v>248</v>
      </c>
      <c r="BG86" s="31" t="s">
        <v>1019</v>
      </c>
      <c r="BH86" t="s">
        <v>1017</v>
      </c>
      <c r="BI86">
        <v>65</v>
      </c>
      <c r="BJ86" s="33"/>
      <c r="BK86" s="33"/>
      <c r="BL86" s="33" t="str">
        <f>HYPERLINK("http://exon.niaid.nih.gov/transcriptome/S_calcitrans/S1/links/NR-LIGHT/XP_013115102.1-NR-LIGHT.txt","dehydrogenase/reductase SDR family member 11-like")</f>
        <v>dehydrogenase/reductase SDR family member 11-like</v>
      </c>
      <c r="BM86" t="str">
        <f>HYPERLINK("http://www.ncbi.nlm.nih.gov/sutils/blink.cgi?pid=557766959","1E-088")</f>
        <v>1E-088</v>
      </c>
      <c r="BN86" t="str">
        <f>HYPERLINK("http://www.ncbi.nlm.nih.gov/protein/557766959","gi|557766959")</f>
        <v>gi|557766959</v>
      </c>
      <c r="BO86">
        <v>63</v>
      </c>
      <c r="BP86">
        <v>81</v>
      </c>
      <c r="BQ86">
        <v>99</v>
      </c>
      <c r="BR86" t="s">
        <v>251</v>
      </c>
      <c r="BS86" s="33" t="str">
        <f>HYPERLINK("http://exon.niaid.nih.gov/transcriptome/S_calcitrans/S1/links/SWISSP/XP_013115102.1-SWISSP.txt","Farnesol dehydrogenase")</f>
        <v>Farnesol dehydrogenase</v>
      </c>
      <c r="BT86" t="str">
        <f>HYPERLINK("http://www.uniprot.org/uniprot/D2WKD9","2E-063")</f>
        <v>2E-063</v>
      </c>
      <c r="BU86" t="str">
        <f>HYPERLINK("http://www.uniprot.org/uniprot/D2WKD9#expression","D2WKD9")</f>
        <v>D2WKD9</v>
      </c>
      <c r="BV86">
        <v>51</v>
      </c>
      <c r="BW86">
        <v>70</v>
      </c>
      <c r="BX86">
        <v>101</v>
      </c>
      <c r="BY86" t="s">
        <v>1020</v>
      </c>
      <c r="BZ86" s="33" t="str">
        <f>HYPERLINK("http://exon.niaid.nih.gov/transcriptome/S_calcitrans/S1/links/REFSEQ-INVERTEBRATE/XP_013115102.1-REFSEQ-INVERTEBRATE.txt","farnesol dehydrogenase-like")</f>
        <v>farnesol dehydrogenase-like</v>
      </c>
      <c r="CA86" t="str">
        <f>HYPERLINK("http://www.ncbi.nlm.nih.gov/sutils/blink.cgi?pid=907733725","1E-138")</f>
        <v>1E-138</v>
      </c>
      <c r="CB86" t="str">
        <f>HYPERLINK("http://www.ncbi.nlm.nih.gov/protein/907733725","gi|907733725")</f>
        <v>gi|907733725</v>
      </c>
      <c r="CC86">
        <v>100</v>
      </c>
      <c r="CD86">
        <v>100</v>
      </c>
      <c r="CE86">
        <v>100</v>
      </c>
      <c r="CF86" t="s">
        <v>253</v>
      </c>
      <c r="CG86" s="33" t="str">
        <f>HYPERLINK("http://exon.niaid.nih.gov/transcriptome/S_calcitrans/S1/links/DIPTERA/XP_013115102.1-DIPTERA.txt","farnesol dehydrogenase-like")</f>
        <v>farnesol dehydrogenase-like</v>
      </c>
      <c r="CH86" t="str">
        <f>HYPERLINK("http://www.ncbi.nlm.nih.gov/sutils/blink.cgi?pid=907733725","1E-139")</f>
        <v>1E-139</v>
      </c>
      <c r="CI86" t="str">
        <f>HYPERLINK("http://www.ncbi.nlm.nih.gov/protein/907733725","gi|907733725")</f>
        <v>gi|907733725</v>
      </c>
      <c r="CJ86">
        <v>100</v>
      </c>
      <c r="CK86">
        <v>100</v>
      </c>
      <c r="CL86">
        <v>100</v>
      </c>
      <c r="CM86" t="s">
        <v>253</v>
      </c>
      <c r="CN86" s="33" t="str">
        <f>HYPERLINK("http://exon.niaid.nih.gov/transcriptome/S_calcitrans/S1/links/VIRUS/XP_013115102.1-VIRUS.txt","hypothetical protein TNAV2c_gp071")</f>
        <v>hypothetical protein TNAV2c_gp071</v>
      </c>
      <c r="CO86" t="str">
        <f>HYPERLINK("http://www.ncbi.nlm.nih.gov/sutils/blink.cgi?pid=116326757","7E-007")</f>
        <v>7E-007</v>
      </c>
      <c r="CP86" t="str">
        <f>HYPERLINK("http://www.ncbi.nlm.nih.gov/protein/116326757","gi|116326757")</f>
        <v>gi|116326757</v>
      </c>
      <c r="CQ86">
        <v>24</v>
      </c>
      <c r="CR86">
        <v>42</v>
      </c>
      <c r="CS86">
        <v>75</v>
      </c>
      <c r="CT86" t="s">
        <v>820</v>
      </c>
      <c r="CU86" s="33" t="s">
        <v>1021</v>
      </c>
      <c r="CV86">
        <f>HYPERLINK("http://exon.niaid.nih.gov/transcriptome/S_calcitrans/S1/links/GO/XP_013115102.1-GO.txt",6E-74)</f>
        <v>6.0000000000000001E-74</v>
      </c>
      <c r="CW86" t="str">
        <f>HYPERLINK("http://amigo.geneontology.org/cgi-bin/amigo/term_details?term=GO:0004090","GO:0004090")</f>
        <v>GO:0004090</v>
      </c>
      <c r="CX86" t="s">
        <v>1022</v>
      </c>
      <c r="CY86" t="s">
        <v>1023</v>
      </c>
      <c r="CZ86" t="s">
        <v>1024</v>
      </c>
      <c r="DA86" t="str">
        <f>HYPERLINK("http://www.genome.jp/dbget-bin/www_bfind_sub?mode=bfind&amp;max_hit=1000&amp;dbkey=kegg&amp;keywords=EC:1.1.1.184","EC:1.1.1.184")</f>
        <v>EC:1.1.1.184</v>
      </c>
      <c r="DC86" t="s">
        <v>1025</v>
      </c>
      <c r="DD86" s="37">
        <v>2E-66</v>
      </c>
      <c r="DE86" s="33" t="str">
        <f>HYPERLINK("http://exon.niaid.nih.gov/transcriptome/S_calcitrans/S1/links/CDD/XP_013115102.1-CDD.txt","Mgc4172-like_SD")</f>
        <v>Mgc4172-like_SD</v>
      </c>
      <c r="DF86" t="str">
        <f>HYPERLINK("http://www.ncbi.nlm.nih.gov/Structure/cdd/cddsrv.cgi?uid=cd05343&amp;version=v4.0","3E-065")</f>
        <v>3E-065</v>
      </c>
      <c r="DG86" t="s">
        <v>1026</v>
      </c>
      <c r="DH86" s="33" t="str">
        <f>HYPERLINK("http://exon.niaid.nih.gov/transcriptome/S_calcitrans/S1/links/KOG/XP_013115102.1-KOG.txt","Predicted dehydrogenase")</f>
        <v>Predicted dehydrogenase</v>
      </c>
      <c r="DI86" t="str">
        <f>HYPERLINK("http://www.ncbi.nlm.nih.gov/Structure/cdd/cddsrv.cgi?uid=KOG1205","1E-065")</f>
        <v>1E-065</v>
      </c>
      <c r="DJ86" t="s">
        <v>1027</v>
      </c>
      <c r="DK86" t="str">
        <f>HYPERLINK("http://exon.niaid.nih.gov/transcriptome/S_calcitrans/S1/links/KOG/XP_013115102.1-KOG.txt","KOG1205")</f>
        <v>KOG1205</v>
      </c>
      <c r="DL86" s="33" t="str">
        <f>HYPERLINK("http://exon.niaid.nih.gov/transcriptome/S_calcitrans/S1/links/PFAM/XP_013115102.1-PFAM.txt","adh_short")</f>
        <v>adh_short</v>
      </c>
      <c r="DM86" t="str">
        <f>HYPERLINK("http://pfam.sanger.ac.uk/family?acc=PF00106","2E-015")</f>
        <v>2E-015</v>
      </c>
      <c r="DN86" s="33" t="str">
        <f>HYPERLINK("http://exon.niaid.nih.gov/transcriptome/S_calcitrans/S1/links/SMART/XP_013115102.1-SMART.txt","PKS_KR")</f>
        <v>PKS_KR</v>
      </c>
      <c r="DO86" t="str">
        <f>HYPERLINK("http://smart.embl-heidelberg.de/smart/do_annotation.pl?DOMAIN=PKS_KR&amp;BLAST=DUMMY","2E-009")</f>
        <v>2E-009</v>
      </c>
      <c r="DP86" s="33" t="str">
        <f>HYPERLINK("http://exon.niaid.nih.gov/transcriptome/S_calcitrans/S1/links/REPBASE-RPS/XP_013115102.1-REPBASE-RPS.txt","DNA8-8B_MAD")</f>
        <v>DNA8-8B_MAD</v>
      </c>
      <c r="DQ86" t="str">
        <f>HYPERLINK("http://www.girinst.org/protected/repbase_extract.php?access=DNA8-8B_Mad","4E-022")</f>
        <v>4E-022</v>
      </c>
      <c r="DR86">
        <v>12</v>
      </c>
      <c r="DS86">
        <v>26</v>
      </c>
      <c r="DT86">
        <v>71</v>
      </c>
      <c r="DU86" t="s">
        <v>1028</v>
      </c>
      <c r="DV86" t="s">
        <v>589</v>
      </c>
      <c r="DW86" t="s">
        <v>590</v>
      </c>
      <c r="DX86" t="s">
        <v>1029</v>
      </c>
      <c r="DY86" t="s">
        <v>1030</v>
      </c>
      <c r="DZ86" t="s">
        <v>1031</v>
      </c>
      <c r="EA86" t="s">
        <v>1032</v>
      </c>
      <c r="EB86" s="33">
        <f>HYPERLINK("http://exon.niaid.nih.gov/transcriptome/S_calcitrans/S1/links/cluster-b/Scalc-pep25-50SimCLU8.txt", 8)</f>
        <v>8</v>
      </c>
      <c r="EC86">
        <f>HYPERLINK("http://exon.niaid.nih.gov/transcriptome/S_calcitrans/S1/links/cluster-b/Scalc-pep25-50SimCLTL8.txt", 108)</f>
        <v>108</v>
      </c>
      <c r="ED86" s="33">
        <f>HYPERLINK("http://exon.niaid.nih.gov/transcriptome/S_calcitrans/S1/links/cluster-b/Scalc-pep30-50SimCLU11.txt", 11)</f>
        <v>11</v>
      </c>
      <c r="EE86">
        <f>HYPERLINK("http://exon.niaid.nih.gov/transcriptome/S_calcitrans/S1/links/cluster-b/Scalc-pep30-50SimCLTL11.txt", 98)</f>
        <v>98</v>
      </c>
      <c r="EF86" s="33">
        <f>HYPERLINK("http://exon.niaid.nih.gov/transcriptome/S_calcitrans/S1/links/cluster-b/Scalc-pep35-50SimCLU8.txt", 8)</f>
        <v>8</v>
      </c>
      <c r="EG86">
        <f>HYPERLINK("http://exon.niaid.nih.gov/transcriptome/S_calcitrans/S1/links/cluster-b/Scalc-pep35-50SimCLTL8.txt", 96)</f>
        <v>96</v>
      </c>
      <c r="EH86" s="33">
        <f>HYPERLINK("http://exon.niaid.nih.gov/transcriptome/S_calcitrans/S1/links/cluster-b/Scalc-pep40-50SimCLU14.txt", 14)</f>
        <v>14</v>
      </c>
      <c r="EI86">
        <f>HYPERLINK("http://exon.niaid.nih.gov/transcriptome/S_calcitrans/S1/links/cluster-b/Scalc-pep40-50SimCLTL14.txt", 63)</f>
        <v>63</v>
      </c>
      <c r="EJ86" s="33">
        <f>HYPERLINK("http://exon.niaid.nih.gov/transcriptome/S_calcitrans/S1/links/cluster-b/Scalc-pep45-50SimCLU16.txt", 16)</f>
        <v>16</v>
      </c>
      <c r="EK86">
        <f>HYPERLINK("http://exon.niaid.nih.gov/transcriptome/S_calcitrans/S1/links/cluster-b/Scalc-pep45-50SimCLTL16.txt", 45)</f>
        <v>45</v>
      </c>
      <c r="EL86" s="33">
        <f>HYPERLINK("http://exon.niaid.nih.gov/transcriptome/S_calcitrans/S1/links/cluster-b/Scalc-pep50-50SimCLU33.txt", 33)</f>
        <v>33</v>
      </c>
      <c r="EM86">
        <f>HYPERLINK("http://exon.niaid.nih.gov/transcriptome/S_calcitrans/S1/links/cluster-b/Scalc-pep50-50SimCLTL33.txt", 29)</f>
        <v>29</v>
      </c>
      <c r="EN86" s="33">
        <f>HYPERLINK("http://exon.niaid.nih.gov/transcriptome/S_calcitrans/S1/links/cluster-b/Scalc-pep55-50SimCLU23.txt", 23)</f>
        <v>23</v>
      </c>
      <c r="EO86">
        <f>HYPERLINK("http://exon.niaid.nih.gov/transcriptome/S_calcitrans/S1/links/cluster-b/Scalc-pep55-50SimCLTL23.txt", 29)</f>
        <v>29</v>
      </c>
      <c r="EP86" s="33">
        <f>HYPERLINK("http://exon.niaid.nih.gov/transcriptome/S_calcitrans/S1/links/cluster-b/Scalc-pep60-50SimCLU13.txt", 13)</f>
        <v>13</v>
      </c>
      <c r="EQ86">
        <f>HYPERLINK("http://exon.niaid.nih.gov/transcriptome/S_calcitrans/S1/links/cluster-b/Scalc-pep60-50SimCLTL13.txt", 28)</f>
        <v>28</v>
      </c>
      <c r="ER86" s="33">
        <f>HYPERLINK("http://exon.niaid.nih.gov/transcriptome/S_calcitrans/S1/links/cluster-b/Scalc-pep65-50SimCLU11.txt", 11)</f>
        <v>11</v>
      </c>
      <c r="ES86">
        <f>HYPERLINK("http://exon.niaid.nih.gov/transcriptome/S_calcitrans/S1/links/cluster-b/Scalc-pep65-50SimCLTL11.txt", 25)</f>
        <v>25</v>
      </c>
      <c r="ET86" s="33">
        <f>HYPERLINK("http://exon.niaid.nih.gov/transcriptome/S_calcitrans/S1/links/cluster-b/Scalc-pep70-50SimCLU10.txt", 10)</f>
        <v>10</v>
      </c>
      <c r="EU86">
        <f>HYPERLINK("http://exon.niaid.nih.gov/transcriptome/S_calcitrans/S1/links/cluster-b/Scalc-pep70-50SimCLTL10.txt", 22)</f>
        <v>22</v>
      </c>
      <c r="EV86" s="33">
        <f>HYPERLINK("http://exon.niaid.nih.gov/transcriptome/S_calcitrans/S1/links/cluster-b/Scalc-pep75-50SimCLU99.txt", 99)</f>
        <v>99</v>
      </c>
      <c r="EW86">
        <f>HYPERLINK("http://exon.niaid.nih.gov/transcriptome/S_calcitrans/S1/links/cluster-b/Scalc-pep75-50SimCLTL99.txt", 10)</f>
        <v>10</v>
      </c>
      <c r="EX86" s="33">
        <v>12191</v>
      </c>
      <c r="EY86">
        <v>1</v>
      </c>
      <c r="EZ86" s="33">
        <v>12654</v>
      </c>
      <c r="FA86">
        <v>1</v>
      </c>
      <c r="FB86" s="33">
        <v>13153</v>
      </c>
      <c r="FC86">
        <v>1</v>
      </c>
      <c r="FD86" s="33">
        <v>13889</v>
      </c>
      <c r="FE86">
        <v>1</v>
      </c>
      <c r="FF86" t="s">
        <v>1033</v>
      </c>
      <c r="FG86">
        <v>19674</v>
      </c>
      <c r="FH86" s="38" t="str">
        <f>HYPERLINK("http://exon.niaid.nih.gov/transcriptome/S_calcitrans/S1/links/SG_male-stripped_temp-95-h10-1gap/19674-SG_male-stripped_temp-95-h10-1gap.txt","4230")</f>
        <v>4230</v>
      </c>
      <c r="FI86" s="39">
        <v>100</v>
      </c>
      <c r="FJ86" s="39">
        <v>408.73226238286497</v>
      </c>
      <c r="FK86" s="39">
        <v>2</v>
      </c>
      <c r="FL86" s="39">
        <v>922</v>
      </c>
      <c r="FM86" s="39">
        <v>72.180378250591005</v>
      </c>
      <c r="FN86" s="38" t="str">
        <f>HYPERLINK("http://exon.niaid.nih.gov/transcriptome/S_calcitrans/S1/links/SG_female-stripped_temp-95-h10-1gap/19674-SG_female-stripped_temp-95-h10-1gap.txt","9056")</f>
        <v>9056</v>
      </c>
      <c r="FO86" s="39">
        <v>100</v>
      </c>
      <c r="FP86" s="39">
        <v>877.24096385542202</v>
      </c>
      <c r="FQ86" s="39">
        <v>14</v>
      </c>
      <c r="FR86" s="39">
        <v>1591</v>
      </c>
      <c r="FS86" s="39">
        <v>72.360976148409904</v>
      </c>
      <c r="FT86" s="38">
        <v>0</v>
      </c>
      <c r="FU86" s="39" t="s">
        <v>242</v>
      </c>
      <c r="FV86" s="39" t="s">
        <v>242</v>
      </c>
      <c r="FW86" s="39" t="s">
        <v>242</v>
      </c>
      <c r="FX86" s="39" t="s">
        <v>242</v>
      </c>
      <c r="FY86" s="39" t="s">
        <v>242</v>
      </c>
      <c r="FZ86" s="38">
        <v>0</v>
      </c>
      <c r="GA86" s="39" t="s">
        <v>242</v>
      </c>
      <c r="GB86" s="39" t="s">
        <v>242</v>
      </c>
      <c r="GC86" s="39" t="s">
        <v>242</v>
      </c>
      <c r="GD86" s="39" t="s">
        <v>242</v>
      </c>
      <c r="GE86" s="39" t="s">
        <v>242</v>
      </c>
      <c r="GF86">
        <f t="shared" si="94"/>
        <v>4230</v>
      </c>
      <c r="GG86">
        <f t="shared" si="95"/>
        <v>9056</v>
      </c>
      <c r="GH86">
        <f t="shared" si="96"/>
        <v>0</v>
      </c>
      <c r="GI86">
        <f t="shared" si="97"/>
        <v>0</v>
      </c>
      <c r="GJ86">
        <f t="shared" si="93"/>
        <v>13286</v>
      </c>
      <c r="GK86" s="34">
        <v>5.1604944457488748E-2</v>
      </c>
      <c r="GL86">
        <v>185.23444798739132</v>
      </c>
      <c r="GM86">
        <v>180.33874862443412</v>
      </c>
      <c r="GN86">
        <v>0</v>
      </c>
      <c r="GO86">
        <v>0</v>
      </c>
      <c r="GP86">
        <f t="shared" si="98"/>
        <v>185.23444798739132</v>
      </c>
      <c r="GQ86" t="s">
        <v>1018</v>
      </c>
      <c r="GR86">
        <v>144.46276323496758</v>
      </c>
      <c r="GS86">
        <v>148.01594830863041</v>
      </c>
      <c r="GT86">
        <v>0</v>
      </c>
      <c r="GU86">
        <v>0</v>
      </c>
      <c r="GV86">
        <f t="shared" si="99"/>
        <v>148.01594830863041</v>
      </c>
      <c r="GW86">
        <v>1462.39355771799</v>
      </c>
      <c r="GX86">
        <v>13286</v>
      </c>
      <c r="GY86">
        <v>0</v>
      </c>
      <c r="GZ86">
        <v>13286</v>
      </c>
      <c r="HA86">
        <v>2949.48792917839</v>
      </c>
      <c r="HB86">
        <v>10336.512070821609</v>
      </c>
      <c r="HC86">
        <v>36224.417375392739</v>
      </c>
      <c r="HD86">
        <v>10336.512070821609</v>
      </c>
      <c r="HE86">
        <v>46560.929446214344</v>
      </c>
      <c r="HF86">
        <v>0</v>
      </c>
      <c r="HG86">
        <v>2949.48792917839</v>
      </c>
      <c r="HH86">
        <v>1</v>
      </c>
      <c r="HI86">
        <v>1</v>
      </c>
      <c r="HJ86">
        <v>2</v>
      </c>
      <c r="HK86">
        <v>0</v>
      </c>
      <c r="HL86" s="30" t="s">
        <v>262</v>
      </c>
      <c r="HM86">
        <v>46560.929446214359</v>
      </c>
      <c r="HN86">
        <v>0</v>
      </c>
      <c r="HO86">
        <v>4230</v>
      </c>
      <c r="HP86">
        <v>9056</v>
      </c>
      <c r="HQ86">
        <v>13286</v>
      </c>
      <c r="HR86">
        <v>4153.1497220796164</v>
      </c>
      <c r="HS86">
        <v>9132.8502779203845</v>
      </c>
      <c r="HT86">
        <v>1.4220448603242015</v>
      </c>
      <c r="HU86">
        <v>0.64667272940175413</v>
      </c>
      <c r="HV86">
        <v>2.0687175897259555</v>
      </c>
      <c r="HW86">
        <v>0.15034789698365827</v>
      </c>
      <c r="HX86">
        <v>4153.1497220796164</v>
      </c>
      <c r="HY86">
        <v>1</v>
      </c>
      <c r="HZ86" t="s">
        <v>244</v>
      </c>
      <c r="IA86">
        <v>1</v>
      </c>
      <c r="IB86">
        <v>0.38216828438066103</v>
      </c>
      <c r="IC86" s="30" t="s">
        <v>244</v>
      </c>
      <c r="ID86">
        <v>1.0270338311905995</v>
      </c>
      <c r="IE86">
        <v>0.9733401502036283</v>
      </c>
      <c r="IF86">
        <v>1.0270338311905995</v>
      </c>
      <c r="IG86" t="str">
        <f t="shared" si="84"/>
        <v/>
      </c>
    </row>
    <row r="87" spans="1:241">
      <c r="A87" s="22" t="s">
        <v>1034</v>
      </c>
      <c r="B87" s="23"/>
      <c r="C87" s="24"/>
      <c r="D87" s="24"/>
      <c r="E87" s="24"/>
      <c r="F87" s="24"/>
      <c r="G87" s="24"/>
      <c r="H87" s="24"/>
      <c r="I87" s="24"/>
      <c r="J87" s="23"/>
      <c r="K87" s="23"/>
      <c r="L87" s="25"/>
      <c r="M87" s="23"/>
      <c r="N87" s="23"/>
      <c r="O87" s="23"/>
      <c r="P87" s="23"/>
      <c r="Q87" s="25"/>
      <c r="R87" s="23"/>
      <c r="S87" s="24"/>
      <c r="T87" s="24"/>
      <c r="U87" s="24"/>
      <c r="V87" s="24"/>
      <c r="W87" s="24"/>
      <c r="X87" s="24"/>
      <c r="Y87" s="23"/>
      <c r="Z87" s="24"/>
      <c r="AA87" s="24"/>
      <c r="AB87" s="24"/>
      <c r="AC87" s="24"/>
      <c r="AD87" s="24"/>
      <c r="AE87" s="23"/>
      <c r="AF87" s="24"/>
      <c r="AG87" s="24"/>
      <c r="AH87" s="24"/>
      <c r="AI87" s="24"/>
      <c r="AJ87" s="24"/>
      <c r="AK87" s="24"/>
      <c r="AL87" s="24"/>
      <c r="AM87" s="24"/>
      <c r="AN87" s="23" t="str">
        <f t="shared" si="83"/>
        <v/>
      </c>
      <c r="AO87" s="23" t="s">
        <v>244</v>
      </c>
      <c r="AP87" s="24" t="s">
        <v>244</v>
      </c>
      <c r="AQ87" s="26"/>
      <c r="AR87" s="27"/>
      <c r="AS87" s="24"/>
      <c r="AT87" s="24"/>
      <c r="AU87" s="24"/>
      <c r="AV87" s="24"/>
      <c r="AW87" s="28"/>
      <c r="AX87" s="24"/>
      <c r="AY87" s="24"/>
      <c r="AZ87" s="24"/>
      <c r="BA87" s="24"/>
      <c r="BB87" s="24"/>
      <c r="BC87" s="24"/>
      <c r="BD87" s="24"/>
      <c r="BE87" s="24"/>
      <c r="BF87" s="24"/>
      <c r="BG87" s="25"/>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8"/>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9"/>
      <c r="FI87" s="29"/>
      <c r="FJ87" s="29"/>
      <c r="FK87" s="29"/>
      <c r="FL87" s="29"/>
      <c r="FM87" s="29"/>
      <c r="FN87" s="29"/>
      <c r="FO87" s="29"/>
      <c r="FP87" s="29"/>
      <c r="FQ87" s="29"/>
      <c r="FR87" s="29"/>
      <c r="FS87" s="29"/>
      <c r="FT87" s="29"/>
      <c r="FU87" s="29"/>
      <c r="FV87" s="29"/>
      <c r="FW87" s="29"/>
      <c r="FX87" s="29"/>
      <c r="FY87" s="29"/>
      <c r="FZ87" s="29"/>
      <c r="GA87" s="29"/>
      <c r="GB87" s="29"/>
      <c r="GC87" s="29"/>
      <c r="GD87" s="29"/>
      <c r="GE87" s="29"/>
      <c r="GF87" s="24"/>
      <c r="GG87" s="24"/>
      <c r="GH87" s="24"/>
      <c r="GI87" s="24"/>
      <c r="GJ87" s="24" t="str">
        <f t="shared" si="93"/>
        <v/>
      </c>
      <c r="GK87" s="26"/>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3"/>
      <c r="HM87" s="24"/>
      <c r="HN87" s="24"/>
      <c r="HO87" s="24"/>
      <c r="HP87" s="24"/>
      <c r="HQ87" s="24"/>
      <c r="HR87" s="24"/>
      <c r="HS87" s="24"/>
      <c r="HT87" s="24"/>
      <c r="HU87" s="24"/>
      <c r="HV87" s="24"/>
      <c r="HW87" s="24"/>
      <c r="HX87" s="24"/>
      <c r="HY87" s="24"/>
      <c r="HZ87" s="24"/>
      <c r="IA87" s="24"/>
      <c r="IB87" s="24"/>
      <c r="IC87" s="23"/>
      <c r="ID87" s="24"/>
      <c r="IE87" s="24"/>
      <c r="IF87" s="24"/>
      <c r="IG87" s="24" t="str">
        <f t="shared" si="84"/>
        <v/>
      </c>
    </row>
    <row r="88" spans="1:241">
      <c r="A88" t="str">
        <f>HYPERLINK("http://exon.niaid.nih.gov/transcriptome/S_calcitrans/S1/links/pep/XP_013115326.1-pep.txt","XP_013115326.1")</f>
        <v>XP_013115326.1</v>
      </c>
      <c r="B88" s="30" t="s">
        <v>232</v>
      </c>
      <c r="C88">
        <v>510</v>
      </c>
      <c r="D88" t="s">
        <v>1035</v>
      </c>
      <c r="E88">
        <v>2</v>
      </c>
      <c r="F88" t="s">
        <v>1036</v>
      </c>
      <c r="G88" t="str">
        <f>HYPERLINK("http://exon.niaid.nih.gov/transcriptome/S_calcitrans/S1/links/cds/XM_013259872_1-cds.txt","XM_013259872_1")</f>
        <v>XM_013259872_1</v>
      </c>
      <c r="H88">
        <v>1533</v>
      </c>
      <c r="I88" t="s">
        <v>1037</v>
      </c>
      <c r="J88" s="30" t="s">
        <v>236</v>
      </c>
      <c r="K88" s="30" t="s">
        <v>91</v>
      </c>
      <c r="L88" s="31" t="s">
        <v>1038</v>
      </c>
      <c r="M88" s="30">
        <v>114934</v>
      </c>
      <c r="N88" s="30">
        <v>131308</v>
      </c>
      <c r="O88" s="30" t="s">
        <v>238</v>
      </c>
      <c r="P88" s="30">
        <v>9</v>
      </c>
      <c r="Q88" s="31" t="s">
        <v>1039</v>
      </c>
      <c r="R88" s="32" t="str">
        <f>HYPERLINK("http://exon.niaid.nih.gov/transcriptome/S_calcitrans/S1/links/Sigp/XP_013115326.1-SigP.txt","BL")</f>
        <v>BL</v>
      </c>
      <c r="S88" t="s">
        <v>657</v>
      </c>
      <c r="T88">
        <v>58.499000000000002</v>
      </c>
      <c r="U88">
        <v>6.73</v>
      </c>
      <c r="V88">
        <v>55.279000000000003</v>
      </c>
      <c r="W88">
        <v>6.79</v>
      </c>
      <c r="X88" t="s">
        <v>1040</v>
      </c>
      <c r="Y88" s="32" t="str">
        <f>HYPERLINK("http://exon.niaid.nih.gov/transcriptome/S_calcitrans/S1/links/tmhmm/XP_013115326.1-tmhmm.txt","1")</f>
        <v>1</v>
      </c>
      <c r="Z88">
        <v>4.3</v>
      </c>
      <c r="AA88">
        <v>0.8</v>
      </c>
      <c r="AB88">
        <v>94.9</v>
      </c>
      <c r="AC88" t="s">
        <v>242</v>
      </c>
      <c r="AD88">
        <v>484</v>
      </c>
      <c r="AE88" s="32" t="str">
        <f>HYPERLINK("http://exon.niaid.nih.gov/transcriptome/S_calcitrans/S1/links/netoglyc/XP_013115326.1-netoglyc.txt","0")</f>
        <v>0</v>
      </c>
      <c r="AF88">
        <v>10.199999999999999</v>
      </c>
      <c r="AG88">
        <v>6.1</v>
      </c>
      <c r="AH88">
        <v>5.9</v>
      </c>
      <c r="AI88" t="s">
        <v>243</v>
      </c>
      <c r="AJ88" t="s">
        <v>242</v>
      </c>
      <c r="AK88">
        <v>101.15239270149185</v>
      </c>
      <c r="AL88" s="33">
        <v>14017</v>
      </c>
      <c r="AM88">
        <v>1</v>
      </c>
      <c r="AN88" s="30">
        <f t="shared" si="83"/>
        <v>1</v>
      </c>
      <c r="AO88" s="30" t="s">
        <v>244</v>
      </c>
      <c r="AP88">
        <v>26006</v>
      </c>
      <c r="AQ88" s="34">
        <v>0.10101145458087102</v>
      </c>
      <c r="AR88" s="35">
        <v>41.327261498832897</v>
      </c>
      <c r="AS88" t="s">
        <v>1041</v>
      </c>
      <c r="AT88" s="36" t="s">
        <v>1042</v>
      </c>
      <c r="AU88" t="s">
        <v>1043</v>
      </c>
      <c r="AV88" t="str">
        <f>HYPERLINK("http://exon.niaid.nih.gov/transcriptome/S_calcitrans/S1/links/NR-LIGHT/XP_013115326.1-NR-LIGHT.txt","NR-LIGHT")</f>
        <v>NR-LIGHT</v>
      </c>
      <c r="AW88">
        <v>0</v>
      </c>
      <c r="AX88">
        <v>99.4</v>
      </c>
      <c r="AY88" s="33"/>
      <c r="BG88" s="31"/>
      <c r="BJ88" s="33"/>
      <c r="BK88" s="33"/>
      <c r="BL88" s="33" t="str">
        <f>HYPERLINK("http://exon.niaid.nih.gov/transcriptome/S_calcitrans/S1/links/NR-LIGHT/XP_013115326.1-NR-LIGHT.txt","probable cytochrome P450 308a1")</f>
        <v>probable cytochrome P450 308a1</v>
      </c>
      <c r="BM88" t="str">
        <f>HYPERLINK("http://www.ncbi.nlm.nih.gov/sutils/blink.cgi?pid=557767489","0.0")</f>
        <v>0.0</v>
      </c>
      <c r="BN88" t="str">
        <f>HYPERLINK("http://www.ncbi.nlm.nih.gov/protein/557767489","gi|557767489")</f>
        <v>gi|557767489</v>
      </c>
      <c r="BO88">
        <v>71</v>
      </c>
      <c r="BP88">
        <v>84</v>
      </c>
      <c r="BQ88">
        <v>99</v>
      </c>
      <c r="BR88" t="s">
        <v>251</v>
      </c>
      <c r="BS88" s="33" t="str">
        <f>HYPERLINK("http://exon.niaid.nih.gov/transcriptome/S_calcitrans/S1/links/SWISSP/XP_013115326.1-SWISSP.txt","Probable cytochrome P450 308a1")</f>
        <v>Probable cytochrome P450 308a1</v>
      </c>
      <c r="BT88" t="str">
        <f>HYPERLINK("http://www.uniprot.org/uniprot/Q9VWR2","1E-110")</f>
        <v>1E-110</v>
      </c>
      <c r="BU88" t="str">
        <f>HYPERLINK("http://www.uniprot.org/uniprot/Q9VWR2#expression","Q9VWR2")</f>
        <v>Q9VWR2</v>
      </c>
      <c r="BV88">
        <v>42</v>
      </c>
      <c r="BW88">
        <v>60</v>
      </c>
      <c r="BX88">
        <v>105</v>
      </c>
      <c r="BY88" t="s">
        <v>304</v>
      </c>
      <c r="BZ88" s="33" t="str">
        <f>HYPERLINK("http://exon.niaid.nih.gov/transcriptome/S_calcitrans/S1/links/REFSEQ-INVERTEBRATE/XP_013115326.1-REFSEQ-INVERTEBRATE.txt","probable cytochrome P450 308a1")</f>
        <v>probable cytochrome P450 308a1</v>
      </c>
      <c r="CA88" t="str">
        <f>HYPERLINK("http://www.ncbi.nlm.nih.gov/sutils/blink.cgi?pid=907734910","0.0")</f>
        <v>0.0</v>
      </c>
      <c r="CB88" t="str">
        <f>HYPERLINK("http://www.ncbi.nlm.nih.gov/protein/907734910","gi|907734910")</f>
        <v>gi|907734910</v>
      </c>
      <c r="CC88">
        <v>100</v>
      </c>
      <c r="CD88">
        <v>100</v>
      </c>
      <c r="CE88">
        <v>100</v>
      </c>
      <c r="CF88" t="s">
        <v>253</v>
      </c>
      <c r="CG88" s="33" t="str">
        <f>HYPERLINK("http://exon.niaid.nih.gov/transcriptome/S_calcitrans/S1/links/DIPTERA/XP_013115326.1-DIPTERA.txt","probable cytochrome P450 308a1")</f>
        <v>probable cytochrome P450 308a1</v>
      </c>
      <c r="CH88" t="str">
        <f>HYPERLINK("http://www.ncbi.nlm.nih.gov/sutils/blink.cgi?pid=907734910","0.0")</f>
        <v>0.0</v>
      </c>
      <c r="CI88" t="str">
        <f>HYPERLINK("http://www.ncbi.nlm.nih.gov/protein/907734910","gi|907734910")</f>
        <v>gi|907734910</v>
      </c>
      <c r="CJ88">
        <v>100</v>
      </c>
      <c r="CK88">
        <v>100</v>
      </c>
      <c r="CL88">
        <v>100</v>
      </c>
      <c r="CM88" t="s">
        <v>253</v>
      </c>
      <c r="CN88" s="33" t="str">
        <f>HYPERLINK("http://exon.niaid.nih.gov/transcriptome/S_calcitrans/S1/links/VIRUS/XP_013115326.1-VIRUS.txt","cytochrome P450")</f>
        <v>cytochrome P450</v>
      </c>
      <c r="CO88" t="str">
        <f>HYPERLINK("http://www.ncbi.nlm.nih.gov/sutils/blink.cgi?pid=526119413","4E-011")</f>
        <v>4E-011</v>
      </c>
      <c r="CP88" t="str">
        <f>HYPERLINK("http://www.ncbi.nlm.nih.gov/protein/526119413","gi|526119413")</f>
        <v>gi|526119413</v>
      </c>
      <c r="CQ88">
        <v>27</v>
      </c>
      <c r="CR88">
        <v>48</v>
      </c>
      <c r="CS88">
        <v>33</v>
      </c>
      <c r="CT88" t="s">
        <v>1044</v>
      </c>
      <c r="CU88" s="33" t="s">
        <v>1045</v>
      </c>
      <c r="CV88">
        <f>HYPERLINK("http://exon.niaid.nih.gov/transcriptome/S_calcitrans/S1/links/GO/XP_013115326.1-GO.txt",0)</f>
        <v>0</v>
      </c>
      <c r="CW88" t="str">
        <f>HYPERLINK("http://amigo.geneontology.org/cgi-bin/amigo/term_details?term=GO:0009055","GO:0009055")</f>
        <v>GO:0009055</v>
      </c>
      <c r="CX88" t="s">
        <v>1046</v>
      </c>
      <c r="CY88" t="s">
        <v>1047</v>
      </c>
      <c r="CZ88" t="s">
        <v>1048</v>
      </c>
      <c r="DA88" t="s">
        <v>242</v>
      </c>
      <c r="DC88" t="s">
        <v>1049</v>
      </c>
      <c r="DD88" s="37">
        <v>1.0000000000000001E-110</v>
      </c>
      <c r="DE88" s="33" t="str">
        <f>HYPERLINK("http://exon.niaid.nih.gov/transcriptome/S_calcitrans/S1/links/CDD/XP_013115326.1-CDD.txt","p450")</f>
        <v>p450</v>
      </c>
      <c r="DF88" t="str">
        <f>HYPERLINK("http://www.ncbi.nlm.nih.gov/Structure/cdd/cddsrv.cgi?uid=pfam00067&amp;version=v4.0","7E-053")</f>
        <v>7E-053</v>
      </c>
      <c r="DG88" t="s">
        <v>1050</v>
      </c>
      <c r="DH88" s="33" t="str">
        <f>HYPERLINK("http://exon.niaid.nih.gov/transcriptome/S_calcitrans/S1/links/KOG/XP_013115326.1-KOG.txt","Cytochrome P450 CYP3/CYP5/CYP6/CYP9 subfamilies")</f>
        <v>Cytochrome P450 CYP3/CYP5/CYP6/CYP9 subfamilies</v>
      </c>
      <c r="DI88" t="str">
        <f>HYPERLINK("http://www.ncbi.nlm.nih.gov/Structure/cdd/cddsrv.cgi?uid=KOG0158","1E-100")</f>
        <v>1E-100</v>
      </c>
      <c r="DJ88" t="s">
        <v>1027</v>
      </c>
      <c r="DK88" t="str">
        <f>HYPERLINK("http://exon.niaid.nih.gov/transcriptome/S_calcitrans/S1/links/KOG/XP_013115326.1-KOG.txt","KOG0158")</f>
        <v>KOG0158</v>
      </c>
      <c r="DL88" s="33" t="str">
        <f>HYPERLINK("http://exon.niaid.nih.gov/transcriptome/S_calcitrans/S1/links/PFAM/XP_013115326.1-PFAM.txt","p450")</f>
        <v>p450</v>
      </c>
      <c r="DM88" t="str">
        <f>HYPERLINK("http://pfam.sanger.ac.uk/family?acc=PF00067","1E-053")</f>
        <v>1E-053</v>
      </c>
      <c r="DN88" s="33" t="str">
        <f>HYPERLINK("http://exon.niaid.nih.gov/transcriptome/S_calcitrans/S1/links/SMART/XP_013115326.1-SMART.txt","IL2")</f>
        <v>IL2</v>
      </c>
      <c r="DO88" t="str">
        <f>HYPERLINK("http://smart.embl-heidelberg.de/smart/do_annotation.pl?DOMAIN=IL2&amp;BLAST=DUMMY","0.16")</f>
        <v>0.16</v>
      </c>
      <c r="DP88" s="33"/>
      <c r="EB88" s="33">
        <f>HYPERLINK("http://exon.niaid.nih.gov/transcriptome/S_calcitrans/S1/links/cluster-b/Scalc-pep25-50SimCLU2.txt", 2)</f>
        <v>2</v>
      </c>
      <c r="EC88">
        <f>HYPERLINK("http://exon.niaid.nih.gov/transcriptome/S_calcitrans/S1/links/cluster-b/Scalc-pep25-50SimCLTL2.txt", 254)</f>
        <v>254</v>
      </c>
      <c r="ED88" s="33">
        <f>HYPERLINK("http://exon.niaid.nih.gov/transcriptome/S_calcitrans/S1/links/cluster-b/Scalc-pep30-50SimCLU3.txt", 3)</f>
        <v>3</v>
      </c>
      <c r="EE88">
        <f>HYPERLINK("http://exon.niaid.nih.gov/transcriptome/S_calcitrans/S1/links/cluster-b/Scalc-pep30-50SimCLTL3.txt", 254)</f>
        <v>254</v>
      </c>
      <c r="EF88" s="33">
        <f>HYPERLINK("http://exon.niaid.nih.gov/transcriptome/S_calcitrans/S1/links/cluster-b/Scalc-pep35-50SimCLU3.txt", 3)</f>
        <v>3</v>
      </c>
      <c r="EG88">
        <f>HYPERLINK("http://exon.niaid.nih.gov/transcriptome/S_calcitrans/S1/links/cluster-b/Scalc-pep35-50SimCLTL3.txt", 248)</f>
        <v>248</v>
      </c>
      <c r="EH88" s="33">
        <f>HYPERLINK("http://exon.niaid.nih.gov/transcriptome/S_calcitrans/S1/links/cluster-b/Scalc-pep40-50SimCLU2.txt", 2)</f>
        <v>2</v>
      </c>
      <c r="EI88">
        <f>HYPERLINK("http://exon.niaid.nih.gov/transcriptome/S_calcitrans/S1/links/cluster-b/Scalc-pep40-50SimCLTL2.txt", 243)</f>
        <v>243</v>
      </c>
      <c r="EJ88" s="33">
        <f>HYPERLINK("http://exon.niaid.nih.gov/transcriptome/S_calcitrans/S1/links/cluster-b/Scalc-pep45-50SimCLU2.txt", 2)</f>
        <v>2</v>
      </c>
      <c r="EK88">
        <f>HYPERLINK("http://exon.niaid.nih.gov/transcriptome/S_calcitrans/S1/links/cluster-b/Scalc-pep45-50SimCLTL2.txt", 209)</f>
        <v>209</v>
      </c>
      <c r="EL88" s="33">
        <f>HYPERLINK("http://exon.niaid.nih.gov/transcriptome/S_calcitrans/S1/links/cluster-b/Scalc-pep50-50SimCLU2.txt", 2)</f>
        <v>2</v>
      </c>
      <c r="EM88">
        <f>HYPERLINK("http://exon.niaid.nih.gov/transcriptome/S_calcitrans/S1/links/cluster-b/Scalc-pep50-50SimCLTL2.txt", 116)</f>
        <v>116</v>
      </c>
      <c r="EN88" s="33">
        <v>10228</v>
      </c>
      <c r="EO88">
        <v>1</v>
      </c>
      <c r="EP88" s="33">
        <v>10696</v>
      </c>
      <c r="EQ88">
        <v>1</v>
      </c>
      <c r="ER88" s="33">
        <v>11134</v>
      </c>
      <c r="ES88">
        <v>1</v>
      </c>
      <c r="ET88" s="33">
        <v>11519</v>
      </c>
      <c r="EU88">
        <v>1</v>
      </c>
      <c r="EV88" s="33">
        <v>11928</v>
      </c>
      <c r="EW88">
        <v>1</v>
      </c>
      <c r="EX88" s="33">
        <v>12296</v>
      </c>
      <c r="EY88">
        <v>1</v>
      </c>
      <c r="EZ88" s="33">
        <v>12763</v>
      </c>
      <c r="FA88">
        <v>1</v>
      </c>
      <c r="FB88" s="33">
        <v>13264</v>
      </c>
      <c r="FC88">
        <v>1</v>
      </c>
      <c r="FD88" s="33">
        <v>14017</v>
      </c>
      <c r="FE88">
        <v>1</v>
      </c>
      <c r="FF88" t="s">
        <v>1051</v>
      </c>
      <c r="FG88">
        <v>19876</v>
      </c>
      <c r="FH88" s="38" t="str">
        <f>HYPERLINK("http://exon.niaid.nih.gov/transcriptome/S_calcitrans/S1/links/SG_male-stripped_temp-95-h10-1gap/19876-SG_male-stripped_temp-95-h10-1gap.txt","7569")</f>
        <v>7569</v>
      </c>
      <c r="FI88" s="39">
        <v>100</v>
      </c>
      <c r="FJ88" s="39">
        <v>360.12328767123302</v>
      </c>
      <c r="FK88" s="39">
        <v>42</v>
      </c>
      <c r="FL88" s="39">
        <v>1095</v>
      </c>
      <c r="FM88" s="39">
        <v>72.938300964460296</v>
      </c>
      <c r="FN88" s="38" t="str">
        <f>HYPERLINK("http://exon.niaid.nih.gov/transcriptome/S_calcitrans/S1/links/SG_female-stripped_temp-95-h10-1gap/19876-SG_female-stripped_temp-95-h10-1gap.txt","18437")</f>
        <v>18437</v>
      </c>
      <c r="FO88" s="39">
        <v>100</v>
      </c>
      <c r="FP88" s="39">
        <v>880.87866927592995</v>
      </c>
      <c r="FQ88" s="39">
        <v>136</v>
      </c>
      <c r="FR88" s="39">
        <v>1685</v>
      </c>
      <c r="FS88" s="39">
        <v>73.243857460541307</v>
      </c>
      <c r="FT88" s="38" t="str">
        <f>HYPERLINK("http://exon.niaid.nih.gov/transcriptome/S_calcitrans/S1/links/SRR694289-stripped_temp-95-h10-1gap/19876-SRR694289-stripped_temp-95-h10-1gap.txt","332")</f>
        <v>332</v>
      </c>
      <c r="FU88" s="39">
        <v>93.020221787345093</v>
      </c>
      <c r="FV88" s="39">
        <v>21.234181343770398</v>
      </c>
      <c r="FW88" s="39">
        <v>0</v>
      </c>
      <c r="FX88" s="39">
        <v>76</v>
      </c>
      <c r="FY88" s="39">
        <v>98.051204819277103</v>
      </c>
      <c r="FZ88" s="38" t="str">
        <f>HYPERLINK("http://exon.niaid.nih.gov/transcriptome/S_calcitrans/S1/links/SRR694925-stripped_temp-95-h10-1gap/19876-SRR694925-stripped_temp-95-h10-1gap.txt","568")</f>
        <v>568</v>
      </c>
      <c r="GA88" s="39">
        <v>94.520547945205493</v>
      </c>
      <c r="GB88" s="39">
        <v>36.681669928245299</v>
      </c>
      <c r="GC88" s="39">
        <v>0</v>
      </c>
      <c r="GD88" s="39">
        <v>106</v>
      </c>
      <c r="GE88" s="39">
        <v>99.001760563380302</v>
      </c>
      <c r="GF88">
        <f t="shared" si="94"/>
        <v>7569</v>
      </c>
      <c r="GG88">
        <f t="shared" si="95"/>
        <v>18437</v>
      </c>
      <c r="GH88">
        <f t="shared" si="96"/>
        <v>332</v>
      </c>
      <c r="GI88">
        <f t="shared" si="97"/>
        <v>568</v>
      </c>
      <c r="GJ88">
        <f t="shared" si="93"/>
        <v>26006</v>
      </c>
      <c r="GK88" s="34">
        <v>0.10101145458087102</v>
      </c>
      <c r="GL88">
        <v>161.50959952779959</v>
      </c>
      <c r="GM88">
        <v>178.90453131564595</v>
      </c>
      <c r="GN88">
        <v>1.24488280398631</v>
      </c>
      <c r="GO88">
        <v>2.1955835801002328</v>
      </c>
      <c r="GP88">
        <f t="shared" si="98"/>
        <v>178.90453131564595</v>
      </c>
      <c r="GQ88" t="s">
        <v>1043</v>
      </c>
      <c r="GR88">
        <v>125.95995664017708</v>
      </c>
      <c r="GS88">
        <v>146.83879122697053</v>
      </c>
      <c r="GT88">
        <v>2.2440977464303646</v>
      </c>
      <c r="GU88">
        <v>4.156841632890754</v>
      </c>
      <c r="GV88">
        <f t="shared" si="99"/>
        <v>146.83879122697053</v>
      </c>
      <c r="GW88">
        <v>41.327261498832897</v>
      </c>
      <c r="GX88">
        <v>26006</v>
      </c>
      <c r="GY88">
        <v>900</v>
      </c>
      <c r="GZ88">
        <v>26906</v>
      </c>
      <c r="HA88">
        <v>5973.1237560194013</v>
      </c>
      <c r="HB88">
        <v>20932.876243980598</v>
      </c>
      <c r="HC88">
        <v>67186.977367113286</v>
      </c>
      <c r="HD88">
        <v>19171.571356422821</v>
      </c>
      <c r="HE88">
        <v>86358.548723536107</v>
      </c>
      <c r="HF88">
        <v>0</v>
      </c>
      <c r="HG88">
        <v>5973.1237560194013</v>
      </c>
      <c r="HH88">
        <v>1</v>
      </c>
      <c r="HI88">
        <v>1</v>
      </c>
      <c r="HJ88">
        <v>2</v>
      </c>
      <c r="HK88">
        <v>0</v>
      </c>
      <c r="HL88" s="30" t="s">
        <v>262</v>
      </c>
      <c r="HM88">
        <v>101.15239270149185</v>
      </c>
      <c r="HN88">
        <v>9.8747215651552468E-3</v>
      </c>
      <c r="HO88">
        <v>7569</v>
      </c>
      <c r="HP88">
        <v>18437</v>
      </c>
      <c r="HQ88">
        <v>26006</v>
      </c>
      <c r="HR88">
        <v>8129.3701394251466</v>
      </c>
      <c r="HS88">
        <v>17876.629860574853</v>
      </c>
      <c r="HT88">
        <v>38.627186088683025</v>
      </c>
      <c r="HU88">
        <v>17.565653907277444</v>
      </c>
      <c r="HV88">
        <v>56.192839995960469</v>
      </c>
      <c r="HW88">
        <v>6.5700357351142719E-14</v>
      </c>
      <c r="HX88">
        <v>8129.3701394251466</v>
      </c>
      <c r="HY88">
        <v>1</v>
      </c>
      <c r="HZ88">
        <v>1</v>
      </c>
      <c r="IA88">
        <v>2</v>
      </c>
      <c r="IB88" s="37">
        <v>1.72511576608187E-12</v>
      </c>
      <c r="IC88" s="30" t="s">
        <v>262</v>
      </c>
      <c r="ID88">
        <v>0.90272079044058307</v>
      </c>
      <c r="IE88">
        <v>1.1075558262737779</v>
      </c>
      <c r="IF88">
        <v>1.1075558262737779</v>
      </c>
      <c r="IG88" t="str">
        <f t="shared" si="84"/>
        <v/>
      </c>
    </row>
    <row r="89" spans="1:241">
      <c r="A89" s="22" t="s">
        <v>1052</v>
      </c>
      <c r="B89" s="23"/>
      <c r="C89" s="24"/>
      <c r="D89" s="24"/>
      <c r="E89" s="24"/>
      <c r="F89" s="24"/>
      <c r="G89" s="24"/>
      <c r="H89" s="24"/>
      <c r="I89" s="24"/>
      <c r="J89" s="23"/>
      <c r="K89" s="23"/>
      <c r="L89" s="25"/>
      <c r="M89" s="23"/>
      <c r="N89" s="23"/>
      <c r="O89" s="23"/>
      <c r="P89" s="23"/>
      <c r="Q89" s="25"/>
      <c r="R89" s="23"/>
      <c r="S89" s="24"/>
      <c r="T89" s="24"/>
      <c r="U89" s="24"/>
      <c r="V89" s="24"/>
      <c r="W89" s="24"/>
      <c r="X89" s="24"/>
      <c r="Y89" s="23"/>
      <c r="Z89" s="24"/>
      <c r="AA89" s="24"/>
      <c r="AB89" s="24"/>
      <c r="AC89" s="24"/>
      <c r="AD89" s="24"/>
      <c r="AE89" s="23"/>
      <c r="AF89" s="24"/>
      <c r="AG89" s="24"/>
      <c r="AH89" s="24"/>
      <c r="AI89" s="24"/>
      <c r="AJ89" s="24"/>
      <c r="AK89" s="24"/>
      <c r="AL89" s="24"/>
      <c r="AM89" s="24"/>
      <c r="AN89" s="23" t="str">
        <f t="shared" si="83"/>
        <v/>
      </c>
      <c r="AO89" s="23" t="s">
        <v>244</v>
      </c>
      <c r="AP89" s="24" t="s">
        <v>244</v>
      </c>
      <c r="AQ89" s="26"/>
      <c r="AR89" s="27"/>
      <c r="AS89" s="24"/>
      <c r="AT89" s="24"/>
      <c r="AU89" s="24"/>
      <c r="AV89" s="24"/>
      <c r="AW89" s="24"/>
      <c r="AX89" s="24"/>
      <c r="AY89" s="24"/>
      <c r="AZ89" s="24"/>
      <c r="BA89" s="24"/>
      <c r="BB89" s="24"/>
      <c r="BC89" s="24"/>
      <c r="BD89" s="24"/>
      <c r="BE89" s="24"/>
      <c r="BF89" s="24"/>
      <c r="BG89" s="25"/>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8"/>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9"/>
      <c r="FI89" s="29"/>
      <c r="FJ89" s="29"/>
      <c r="FK89" s="29"/>
      <c r="FL89" s="29"/>
      <c r="FM89" s="29"/>
      <c r="FN89" s="29"/>
      <c r="FO89" s="29"/>
      <c r="FP89" s="29"/>
      <c r="FQ89" s="29"/>
      <c r="FR89" s="29"/>
      <c r="FS89" s="29"/>
      <c r="FT89" s="29"/>
      <c r="FU89" s="29"/>
      <c r="FV89" s="29"/>
      <c r="FW89" s="29"/>
      <c r="FX89" s="29"/>
      <c r="FY89" s="29"/>
      <c r="FZ89" s="29"/>
      <c r="GA89" s="29"/>
      <c r="GB89" s="29"/>
      <c r="GC89" s="29"/>
      <c r="GD89" s="29"/>
      <c r="GE89" s="29"/>
      <c r="GF89" s="24"/>
      <c r="GG89" s="24"/>
      <c r="GH89" s="24"/>
      <c r="GI89" s="24"/>
      <c r="GJ89" s="24" t="str">
        <f t="shared" si="93"/>
        <v/>
      </c>
      <c r="GK89" s="26"/>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3"/>
      <c r="HM89" s="24"/>
      <c r="HN89" s="24"/>
      <c r="HO89" s="24"/>
      <c r="HP89" s="24"/>
      <c r="HQ89" s="24"/>
      <c r="HR89" s="24"/>
      <c r="HS89" s="24"/>
      <c r="HT89" s="24"/>
      <c r="HU89" s="24"/>
      <c r="HV89" s="24"/>
      <c r="HW89" s="24"/>
      <c r="HX89" s="24"/>
      <c r="HY89" s="24"/>
      <c r="HZ89" s="24"/>
      <c r="IA89" s="24"/>
      <c r="IB89" s="28"/>
      <c r="IC89" s="23"/>
      <c r="ID89" s="24"/>
      <c r="IE89" s="24"/>
      <c r="IF89" s="24"/>
      <c r="IG89" s="24" t="str">
        <f t="shared" si="84"/>
        <v/>
      </c>
    </row>
    <row r="90" spans="1:241">
      <c r="A90" t="str">
        <f>HYPERLINK("http://exon.niaid.nih.gov/transcriptome/S_calcitrans/S1/links/pep/XP_013118450.1-pep.txt","XP_013118450.1")</f>
        <v>XP_013118450.1</v>
      </c>
      <c r="B90" s="30" t="s">
        <v>232</v>
      </c>
      <c r="C90">
        <v>248</v>
      </c>
      <c r="D90" t="s">
        <v>1053</v>
      </c>
      <c r="E90">
        <v>0</v>
      </c>
      <c r="F90" t="s">
        <v>1054</v>
      </c>
      <c r="G90" t="str">
        <f>HYPERLINK("http://exon.niaid.nih.gov/transcriptome/S_calcitrans/S1/links/cds/XM_013262996_1-cds.txt","XM_013262996_1")</f>
        <v>XM_013262996_1</v>
      </c>
      <c r="H90">
        <v>747</v>
      </c>
      <c r="I90" t="s">
        <v>1055</v>
      </c>
      <c r="J90" s="30" t="s">
        <v>236</v>
      </c>
      <c r="K90" s="30" t="s">
        <v>91</v>
      </c>
      <c r="L90" s="31" t="s">
        <v>1056</v>
      </c>
      <c r="M90" s="30">
        <v>1097779</v>
      </c>
      <c r="N90" s="30">
        <v>1098525</v>
      </c>
      <c r="O90" s="30" t="s">
        <v>238</v>
      </c>
      <c r="P90" s="30">
        <v>1</v>
      </c>
      <c r="Q90" s="31" t="s">
        <v>1057</v>
      </c>
      <c r="R90" s="32" t="str">
        <f>HYPERLINK("http://exon.niaid.nih.gov/transcriptome/S_calcitrans/S1/links/Sigp/XP_013118450.1-SigP.txt","SIG")</f>
        <v>SIG</v>
      </c>
      <c r="S90" t="s">
        <v>278</v>
      </c>
      <c r="T90">
        <v>25.446999999999999</v>
      </c>
      <c r="U90">
        <v>9.52</v>
      </c>
      <c r="V90">
        <v>23.138999999999999</v>
      </c>
      <c r="W90">
        <v>9.52</v>
      </c>
      <c r="X90" t="s">
        <v>1058</v>
      </c>
      <c r="Y90" s="32">
        <v>0</v>
      </c>
      <c r="Z90" t="s">
        <v>242</v>
      </c>
      <c r="AA90" t="s">
        <v>242</v>
      </c>
      <c r="AB90" t="s">
        <v>242</v>
      </c>
      <c r="AC90" t="s">
        <v>242</v>
      </c>
      <c r="AD90" t="s">
        <v>242</v>
      </c>
      <c r="AE90" s="32" t="str">
        <f>HYPERLINK("http://exon.niaid.nih.gov/transcriptome/S_calcitrans/S1/links/netoglyc/XP_013118450.1-netoglyc.txt","2")</f>
        <v>2</v>
      </c>
      <c r="AF90">
        <v>12.5</v>
      </c>
      <c r="AG90">
        <v>23</v>
      </c>
      <c r="AH90">
        <v>7.3</v>
      </c>
      <c r="AI90">
        <v>7.3</v>
      </c>
      <c r="AJ90" t="s">
        <v>242</v>
      </c>
      <c r="AK90">
        <v>518.66758678606993</v>
      </c>
      <c r="AL90" s="33">
        <v>3256</v>
      </c>
      <c r="AM90">
        <v>1</v>
      </c>
      <c r="AN90" s="30">
        <f t="shared" si="83"/>
        <v>1</v>
      </c>
      <c r="AO90" s="30" t="s">
        <v>244</v>
      </c>
      <c r="AP90">
        <v>148</v>
      </c>
      <c r="AQ90" s="34">
        <v>5.7485562093243523E-4</v>
      </c>
      <c r="AR90" s="35">
        <v>17.259099277301601</v>
      </c>
      <c r="AS90" t="s">
        <v>1059</v>
      </c>
      <c r="AT90" s="36" t="s">
        <v>1060</v>
      </c>
      <c r="AU90" t="s">
        <v>351</v>
      </c>
      <c r="AV90" t="str">
        <f>HYPERLINK("http://exon.niaid.nih.gov/transcriptome/S_calcitrans/S1/links/REFSEQ-INVERTEBRATE/XP_013118450.1-REFSEQ-INVERTEBRATE.txt","REFSEQ-INVERTEBRATE")</f>
        <v>REFSEQ-INVERTEBRATE</v>
      </c>
      <c r="AW90" s="37">
        <v>1E-25</v>
      </c>
      <c r="AX90">
        <v>102.1</v>
      </c>
      <c r="AY90" s="33"/>
      <c r="BG90" s="31"/>
      <c r="BJ90" s="33" t="str">
        <f>HYPERLINK("http://exon.niaid.nih.gov/transcriptome/S_calcitrans/S1/links/TICK-BLOCKS/XP_013118450.1-TICK-BLOCKS.txt","GGY_REPEATS |")</f>
        <v>GGY_REPEATS |</v>
      </c>
      <c r="BK90" s="33" t="s">
        <v>467</v>
      </c>
      <c r="BL90" s="33" t="str">
        <f>HYPERLINK("http://exon.niaid.nih.gov/transcriptome/S_calcitrans/S1/links/NR-LIGHT/XP_013118450.1-NR-LIGHT.txt","pro-resilin-like")</f>
        <v>pro-resilin-like</v>
      </c>
      <c r="BM90" t="str">
        <f>HYPERLINK("http://www.ncbi.nlm.nih.gov/sutils/blink.cgi?pid=557783348","8E-054")</f>
        <v>8E-054</v>
      </c>
      <c r="BN90" t="str">
        <f>HYPERLINK("http://www.ncbi.nlm.nih.gov/protein/557783348","gi|557783348")</f>
        <v>gi|557783348</v>
      </c>
      <c r="BO90">
        <v>52</v>
      </c>
      <c r="BP90">
        <v>62</v>
      </c>
      <c r="BQ90">
        <v>112</v>
      </c>
      <c r="BR90" t="s">
        <v>251</v>
      </c>
      <c r="BS90" s="33" t="str">
        <f>HYPERLINK("http://exon.niaid.nih.gov/transcriptome/S_calcitrans/S1/links/SWISSP/XP_013118450.1-SWISSP.txt","Pupal cuticle protein Edg-91")</f>
        <v>Pupal cuticle protein Edg-91</v>
      </c>
      <c r="BT90" t="str">
        <f>HYPERLINK("http://www.uniprot.org/uniprot/P27781","5E-015")</f>
        <v>5E-015</v>
      </c>
      <c r="BU90" t="str">
        <f>HYPERLINK("http://www.uniprot.org/uniprot/P27781#expression","P27781")</f>
        <v>P27781</v>
      </c>
      <c r="BV90">
        <v>41</v>
      </c>
      <c r="BW90">
        <v>47</v>
      </c>
      <c r="BX90">
        <v>97</v>
      </c>
      <c r="BY90" t="s">
        <v>304</v>
      </c>
      <c r="BZ90" s="33" t="str">
        <f>HYPERLINK("http://exon.niaid.nih.gov/transcriptome/S_calcitrans/S1/links/REFSEQ-INVERTEBRATE/XP_013118450.1-REFSEQ-INVERTEBRATE.txt","shematrin-like protein 2")</f>
        <v>shematrin-like protein 2</v>
      </c>
      <c r="CA90" t="str">
        <f>HYPERLINK("http://www.ncbi.nlm.nih.gov/sutils/blink.cgi?pid=907596217","1E-145")</f>
        <v>1E-145</v>
      </c>
      <c r="CB90" t="str">
        <f>HYPERLINK("http://www.ncbi.nlm.nih.gov/protein/907596217","gi|907596217")</f>
        <v>gi|907596217</v>
      </c>
      <c r="CC90">
        <v>100</v>
      </c>
      <c r="CD90">
        <v>100</v>
      </c>
      <c r="CE90">
        <v>100</v>
      </c>
      <c r="CF90" t="s">
        <v>253</v>
      </c>
      <c r="CG90" s="33" t="str">
        <f>HYPERLINK("http://exon.niaid.nih.gov/transcriptome/S_calcitrans/S1/links/DIPTERA/XP_013118450.1-DIPTERA.txt","shematrin-like protein 2")</f>
        <v>shematrin-like protein 2</v>
      </c>
      <c r="CH90" t="str">
        <f>HYPERLINK("http://www.ncbi.nlm.nih.gov/sutils/blink.cgi?pid=907596217","1E-145")</f>
        <v>1E-145</v>
      </c>
      <c r="CI90" t="str">
        <f>HYPERLINK("http://www.ncbi.nlm.nih.gov/protein/907596217","gi|907596217")</f>
        <v>gi|907596217</v>
      </c>
      <c r="CJ90">
        <v>100</v>
      </c>
      <c r="CK90">
        <v>100</v>
      </c>
      <c r="CL90">
        <v>100</v>
      </c>
      <c r="CM90" t="s">
        <v>253</v>
      </c>
      <c r="CN90" s="33" t="str">
        <f>HYPERLINK("http://exon.niaid.nih.gov/transcriptome/S_calcitrans/S1/links/VIRUS/XP_013118450.1-VIRUS.txt","hypothetical protein SXCG_00049")</f>
        <v>hypothetical protein SXCG_00049</v>
      </c>
      <c r="CO90" t="str">
        <f>HYPERLINK("http://www.ncbi.nlm.nih.gov/sutils/blink.cgi?pid=514050795","2E-009")</f>
        <v>2E-009</v>
      </c>
      <c r="CP90" t="str">
        <f>HYPERLINK("http://www.ncbi.nlm.nih.gov/protein/514050795","gi|514050795")</f>
        <v>gi|514050795</v>
      </c>
      <c r="CQ90">
        <v>36</v>
      </c>
      <c r="CR90">
        <v>40</v>
      </c>
      <c r="CS90">
        <v>41</v>
      </c>
      <c r="CT90" t="s">
        <v>1061</v>
      </c>
      <c r="CU90" s="33" t="s">
        <v>1062</v>
      </c>
      <c r="CV90">
        <f>HYPERLINK("http://exon.niaid.nih.gov/transcriptome/S_calcitrans/S1/links/GO/XP_013118450.1-GO.txt",0.000000000000008)</f>
        <v>8.0000000000000006E-15</v>
      </c>
      <c r="CW90" t="str">
        <f>HYPERLINK("http://amigo.geneontology.org/cgi-bin/amigo/term_details?term=GO:0003674","GO:0003674")</f>
        <v>GO:0003674</v>
      </c>
      <c r="CX90" t="s">
        <v>255</v>
      </c>
      <c r="CY90" t="s">
        <v>256</v>
      </c>
      <c r="CZ90" t="s">
        <v>257</v>
      </c>
      <c r="DA90" t="s">
        <v>242</v>
      </c>
      <c r="DC90" t="s">
        <v>1063</v>
      </c>
      <c r="DD90">
        <v>9.9999999999999998E-13</v>
      </c>
      <c r="DE90" s="33" t="str">
        <f>HYPERLINK("http://exon.niaid.nih.gov/transcriptome/S_calcitrans/S1/links/CDD/XP_013118450.1-CDD.txt","PTZ00110")</f>
        <v>PTZ00110</v>
      </c>
      <c r="DF90" t="str">
        <f>HYPERLINK("http://www.ncbi.nlm.nih.gov/Structure/cdd/cddsrv.cgi?uid=PTZ00110&amp;version=v4.0","0.005")</f>
        <v>0.005</v>
      </c>
      <c r="DG90" t="s">
        <v>1064</v>
      </c>
      <c r="DH90" s="33" t="str">
        <f>HYPERLINK("http://exon.niaid.nih.gov/transcriptome/S_calcitrans/S1/links/KOG/XP_013118450.1-KOG.txt","5'-3' exonuclease HKE1/RAT1")</f>
        <v>5'-3' exonuclease HKE1/RAT1</v>
      </c>
      <c r="DI90" t="str">
        <f>HYPERLINK("http://www.ncbi.nlm.nih.gov/Structure/cdd/cddsrv.cgi?uid=KOG2044","5E-008")</f>
        <v>5E-008</v>
      </c>
      <c r="DJ90" t="s">
        <v>947</v>
      </c>
      <c r="DK90" t="str">
        <f>HYPERLINK("http://exon.niaid.nih.gov/transcriptome/S_calcitrans/S1/links/KOG/XP_013118450.1-KOG.txt","KOG2044")</f>
        <v>KOG2044</v>
      </c>
      <c r="DL90" s="33" t="str">
        <f>HYPERLINK("http://exon.niaid.nih.gov/transcriptome/S_calcitrans/S1/links/PFAM/XP_013118450.1-PFAM.txt","DUF1517")</f>
        <v>DUF1517</v>
      </c>
      <c r="DM90" t="str">
        <f>HYPERLINK("http://pfam.sanger.ac.uk/family?acc=PF07466","0.006")</f>
        <v>0.006</v>
      </c>
      <c r="DN90" s="33" t="str">
        <f>HYPERLINK("http://exon.niaid.nih.gov/transcriptome/S_calcitrans/S1/links/SMART/XP_013118450.1-SMART.txt","Amelin")</f>
        <v>Amelin</v>
      </c>
      <c r="DO90" t="str">
        <f>HYPERLINK("http://smart.embl-heidelberg.de/smart/do_annotation.pl?DOMAIN=Amelin&amp;BLAST=DUMMY","0.015")</f>
        <v>0.015</v>
      </c>
      <c r="DP90" s="33"/>
      <c r="EB90" s="33">
        <f>HYPERLINK("http://exon.niaid.nih.gov/transcriptome/S_calcitrans/S1/links/cluster-b/Scalc-pep25-50SimCLU1.txt", 1)</f>
        <v>1</v>
      </c>
      <c r="EC90">
        <f>HYPERLINK("http://exon.niaid.nih.gov/transcriptome/S_calcitrans/S1/links/cluster-b/Scalc-pep25-50SimCLTL1.txt", 5170)</f>
        <v>5170</v>
      </c>
      <c r="ED90" s="33">
        <f>HYPERLINK("http://exon.niaid.nih.gov/transcriptome/S_calcitrans/S1/links/cluster-b/Scalc-pep30-50SimCLU1.txt", 1)</f>
        <v>1</v>
      </c>
      <c r="EE90">
        <f>HYPERLINK("http://exon.niaid.nih.gov/transcriptome/S_calcitrans/S1/links/cluster-b/Scalc-pep30-50SimCLTL1.txt", 1550)</f>
        <v>1550</v>
      </c>
      <c r="EF90" s="33">
        <f>HYPERLINK("http://exon.niaid.nih.gov/transcriptome/S_calcitrans/S1/links/cluster-b/Scalc-pep35-50SimCLU1.txt", 1)</f>
        <v>1</v>
      </c>
      <c r="EG90">
        <f>HYPERLINK("http://exon.niaid.nih.gov/transcriptome/S_calcitrans/S1/links/cluster-b/Scalc-pep35-50SimCLTL1.txt", 566)</f>
        <v>566</v>
      </c>
      <c r="EH90" s="33">
        <v>3410</v>
      </c>
      <c r="EI90">
        <v>1</v>
      </c>
      <c r="EJ90" s="33">
        <v>3569</v>
      </c>
      <c r="EK90">
        <v>1</v>
      </c>
      <c r="EL90" s="33">
        <v>3667</v>
      </c>
      <c r="EM90">
        <v>1</v>
      </c>
      <c r="EN90" s="33">
        <v>3787</v>
      </c>
      <c r="EO90">
        <v>1</v>
      </c>
      <c r="EP90" s="33">
        <v>3847</v>
      </c>
      <c r="EQ90">
        <v>1</v>
      </c>
      <c r="ER90" s="33">
        <v>3885</v>
      </c>
      <c r="ES90">
        <v>1</v>
      </c>
      <c r="ET90" s="33">
        <v>3882</v>
      </c>
      <c r="EU90">
        <v>1</v>
      </c>
      <c r="EV90" s="33">
        <v>3840</v>
      </c>
      <c r="EW90">
        <v>1</v>
      </c>
      <c r="EX90" s="33">
        <v>3798</v>
      </c>
      <c r="EY90">
        <v>1</v>
      </c>
      <c r="EZ90" s="33">
        <v>3656</v>
      </c>
      <c r="FA90">
        <v>1</v>
      </c>
      <c r="FB90" s="33">
        <v>3499</v>
      </c>
      <c r="FC90">
        <v>1</v>
      </c>
      <c r="FD90" s="33">
        <v>3256</v>
      </c>
      <c r="FE90">
        <v>1</v>
      </c>
      <c r="FF90" t="s">
        <v>1065</v>
      </c>
      <c r="FG90">
        <v>306</v>
      </c>
      <c r="FH90" s="38" t="str">
        <f>HYPERLINK("http://exon.niaid.nih.gov/transcriptome/S_calcitrans/S1/links/SG_male-stripped_temp-95-h10-1gap/306-SG_male-stripped_temp-95-h10-1gap.txt","58")</f>
        <v>58</v>
      </c>
      <c r="FI90" s="39">
        <v>3.8821954484605099</v>
      </c>
      <c r="FJ90" s="39">
        <v>2.1981258366800498</v>
      </c>
      <c r="FK90" s="39">
        <v>0</v>
      </c>
      <c r="FL90" s="39">
        <v>58</v>
      </c>
      <c r="FM90" s="39">
        <v>28.310344827586199</v>
      </c>
      <c r="FN90" s="38" t="str">
        <f>HYPERLINK("http://exon.niaid.nih.gov/transcriptome/S_calcitrans/S1/links/SG_female-stripped_temp-95-h10-1gap/306-SG_female-stripped_temp-95-h10-1gap.txt","90")</f>
        <v>90</v>
      </c>
      <c r="FO90" s="39">
        <v>4.41767068273092</v>
      </c>
      <c r="FP90" s="39">
        <v>3.3547523427041499</v>
      </c>
      <c r="FQ90" s="39">
        <v>0</v>
      </c>
      <c r="FR90" s="39">
        <v>90</v>
      </c>
      <c r="FS90" s="39">
        <v>27.844444444444399</v>
      </c>
      <c r="FT90" s="38">
        <v>0</v>
      </c>
      <c r="FU90" s="39" t="s">
        <v>242</v>
      </c>
      <c r="FV90" s="39" t="s">
        <v>242</v>
      </c>
      <c r="FW90" s="39" t="s">
        <v>242</v>
      </c>
      <c r="FX90" s="39" t="s">
        <v>242</v>
      </c>
      <c r="FY90" s="39" t="s">
        <v>242</v>
      </c>
      <c r="FZ90" s="38">
        <v>0</v>
      </c>
      <c r="GA90" s="39" t="s">
        <v>242</v>
      </c>
      <c r="GB90" s="39" t="s">
        <v>242</v>
      </c>
      <c r="GC90" s="39" t="s">
        <v>242</v>
      </c>
      <c r="GD90" s="39" t="s">
        <v>242</v>
      </c>
      <c r="GE90" s="39" t="s">
        <v>242</v>
      </c>
      <c r="GF90">
        <f t="shared" si="94"/>
        <v>58</v>
      </c>
      <c r="GG90">
        <f t="shared" si="95"/>
        <v>90</v>
      </c>
      <c r="GH90">
        <f t="shared" si="96"/>
        <v>0</v>
      </c>
      <c r="GI90">
        <f t="shared" si="97"/>
        <v>0</v>
      </c>
      <c r="GJ90">
        <f t="shared" si="93"/>
        <v>148</v>
      </c>
      <c r="GK90" s="34">
        <v>5.7485562093243523E-4</v>
      </c>
      <c r="GL90">
        <v>2.5398576792597392</v>
      </c>
      <c r="GM90">
        <v>1.7922357968417701</v>
      </c>
      <c r="GN90">
        <v>0</v>
      </c>
      <c r="GO90">
        <v>0</v>
      </c>
      <c r="GP90">
        <f t="shared" si="98"/>
        <v>2.5398576792597392</v>
      </c>
      <c r="GQ90" t="s">
        <v>351</v>
      </c>
      <c r="GR90">
        <v>1.9808133020397449</v>
      </c>
      <c r="GS90">
        <v>1.4710065534205761</v>
      </c>
      <c r="GT90">
        <v>0</v>
      </c>
      <c r="GU90">
        <v>0</v>
      </c>
      <c r="GV90">
        <f t="shared" si="99"/>
        <v>1.9808133020397449</v>
      </c>
      <c r="GW90">
        <v>17.259099277301601</v>
      </c>
      <c r="GX90">
        <v>148</v>
      </c>
      <c r="GY90">
        <v>0</v>
      </c>
      <c r="GZ90">
        <v>148</v>
      </c>
      <c r="HA90">
        <v>32.855954652897921</v>
      </c>
      <c r="HB90">
        <v>115.14404534710208</v>
      </c>
      <c r="HC90">
        <v>403.52354143896775</v>
      </c>
      <c r="HD90">
        <v>115.14404534710208</v>
      </c>
      <c r="HE90">
        <v>518.66758678606982</v>
      </c>
      <c r="HF90">
        <v>8.2494830879944006E-115</v>
      </c>
      <c r="HG90">
        <v>32.855954652897921</v>
      </c>
      <c r="HH90">
        <v>1</v>
      </c>
      <c r="HI90">
        <v>1</v>
      </c>
      <c r="HJ90">
        <v>2</v>
      </c>
      <c r="HK90" s="37">
        <v>2.0697505029056798E-114</v>
      </c>
      <c r="HL90" s="30" t="s">
        <v>262</v>
      </c>
      <c r="HM90">
        <v>518.66758678606993</v>
      </c>
      <c r="HN90">
        <v>0</v>
      </c>
      <c r="HO90">
        <v>58</v>
      </c>
      <c r="HP90">
        <v>90</v>
      </c>
      <c r="HQ90">
        <v>148</v>
      </c>
      <c r="HR90">
        <v>46.264199824460576</v>
      </c>
      <c r="HS90">
        <v>101.73580017553942</v>
      </c>
      <c r="HT90">
        <v>2.9770104375040285</v>
      </c>
      <c r="HU90">
        <v>1.3537909518826952</v>
      </c>
      <c r="HV90">
        <v>4.3308013893867239</v>
      </c>
      <c r="HW90">
        <v>3.7428619757897984E-2</v>
      </c>
      <c r="HX90">
        <v>46.264199824460576</v>
      </c>
      <c r="HY90">
        <v>1</v>
      </c>
      <c r="HZ90">
        <v>1</v>
      </c>
      <c r="IA90">
        <v>2</v>
      </c>
      <c r="IB90">
        <v>0.13647434123761601</v>
      </c>
      <c r="IC90" s="30" t="s">
        <v>262</v>
      </c>
      <c r="ID90">
        <v>1.4015718019572625</v>
      </c>
      <c r="IE90">
        <v>0.69368411203367308</v>
      </c>
      <c r="IF90">
        <v>1.4015718019572625</v>
      </c>
      <c r="IG90" t="str">
        <f t="shared" si="84"/>
        <v/>
      </c>
    </row>
    <row r="91" spans="1:241">
      <c r="A91" t="str">
        <f>HYPERLINK("http://exon.niaid.nih.gov/transcriptome/S_calcitrans/S1/links/pep/XP_013101940.1-pep.txt","XP_013101940.1")</f>
        <v>XP_013101940.1</v>
      </c>
      <c r="B91" s="30" t="s">
        <v>232</v>
      </c>
      <c r="C91">
        <v>179</v>
      </c>
      <c r="D91" t="s">
        <v>1066</v>
      </c>
      <c r="E91">
        <v>0</v>
      </c>
      <c r="F91" t="s">
        <v>1067</v>
      </c>
      <c r="G91" t="str">
        <f>HYPERLINK("http://exon.niaid.nih.gov/transcriptome/S_calcitrans/S1/links/cds/XM_013246486_1-cds.txt","XM_013246486_1")</f>
        <v>XM_013246486_1</v>
      </c>
      <c r="H91">
        <v>540</v>
      </c>
      <c r="I91" t="s">
        <v>1068</v>
      </c>
      <c r="J91" s="30" t="s">
        <v>236</v>
      </c>
      <c r="K91" s="30" t="s">
        <v>91</v>
      </c>
      <c r="L91" s="31" t="s">
        <v>1069</v>
      </c>
      <c r="M91" s="30">
        <v>769348</v>
      </c>
      <c r="N91" s="30">
        <v>769887</v>
      </c>
      <c r="O91" s="30" t="s">
        <v>276</v>
      </c>
      <c r="P91" s="30">
        <v>1</v>
      </c>
      <c r="Q91" s="31" t="s">
        <v>1070</v>
      </c>
      <c r="R91" s="32" t="str">
        <f>HYPERLINK("http://exon.niaid.nih.gov/transcriptome/S_calcitrans/S1/links/Sigp/XP_013101940.1-SigP.txt","CYT")</f>
        <v>CYT</v>
      </c>
      <c r="S91" t="s">
        <v>242</v>
      </c>
      <c r="T91">
        <v>19.085999999999999</v>
      </c>
      <c r="U91">
        <v>8.7100000000000009</v>
      </c>
      <c r="V91" t="s">
        <v>242</v>
      </c>
      <c r="W91" t="s">
        <v>242</v>
      </c>
      <c r="X91" t="s">
        <v>1071</v>
      </c>
      <c r="Y91" s="32">
        <v>0</v>
      </c>
      <c r="Z91" t="s">
        <v>242</v>
      </c>
      <c r="AA91" t="s">
        <v>242</v>
      </c>
      <c r="AB91" t="s">
        <v>242</v>
      </c>
      <c r="AC91" t="s">
        <v>242</v>
      </c>
      <c r="AD91" t="s">
        <v>242</v>
      </c>
      <c r="AE91" s="32" t="str">
        <f>HYPERLINK("http://exon.niaid.nih.gov/transcriptome/S_calcitrans/S1/links/netoglyc/XP_013101940.1-netoglyc.txt","3")</f>
        <v>3</v>
      </c>
      <c r="AF91">
        <v>8.4</v>
      </c>
      <c r="AG91">
        <v>23.5</v>
      </c>
      <c r="AH91">
        <v>6.1</v>
      </c>
      <c r="AI91">
        <v>8.4</v>
      </c>
      <c r="AJ91" t="s">
        <v>242</v>
      </c>
      <c r="AK91">
        <v>343.44205070969497</v>
      </c>
      <c r="AL91" s="33">
        <v>7160</v>
      </c>
      <c r="AM91">
        <v>1</v>
      </c>
      <c r="AN91" s="30">
        <f t="shared" si="83"/>
        <v>1</v>
      </c>
      <c r="AO91" s="30" t="s">
        <v>244</v>
      </c>
      <c r="AP91">
        <v>98</v>
      </c>
      <c r="AQ91" s="34">
        <v>3.8064764088769363E-4</v>
      </c>
      <c r="AR91" s="35">
        <v>15.143405934173847</v>
      </c>
      <c r="AS91" t="s">
        <v>1072</v>
      </c>
      <c r="AT91" s="36" t="s">
        <v>1073</v>
      </c>
      <c r="AU91" t="s">
        <v>351</v>
      </c>
      <c r="AV91" t="str">
        <f>HYPERLINK("http://exon.niaid.nih.gov/transcriptome/S_calcitrans/S1/links/REFSEQ-INVERTEBRATE/XP_013101940.1-REFSEQ-INVERTEBRATE.txt","REFSEQ-INVERTEBRATE")</f>
        <v>REFSEQ-INVERTEBRATE</v>
      </c>
      <c r="AW91">
        <v>0</v>
      </c>
      <c r="AX91">
        <v>100</v>
      </c>
      <c r="AY91" s="33" t="str">
        <f>HYPERLINK("http://exon.niaid.nih.gov/transcriptome/S_calcitrans/S1/links/WANG/XP_013101940.1-WANG.txt","SC-4-22-3")</f>
        <v>SC-4-22-3</v>
      </c>
      <c r="AZ91">
        <v>3.9999999999999999E-12</v>
      </c>
      <c r="BA91">
        <v>100</v>
      </c>
      <c r="BB91">
        <v>86</v>
      </c>
      <c r="BC91">
        <v>43</v>
      </c>
      <c r="BD91">
        <v>49</v>
      </c>
      <c r="BE91">
        <v>116</v>
      </c>
      <c r="BF91" t="s">
        <v>248</v>
      </c>
      <c r="BG91" s="31" t="s">
        <v>465</v>
      </c>
      <c r="BH91" t="s">
        <v>466</v>
      </c>
      <c r="BI91">
        <v>16</v>
      </c>
      <c r="BJ91" s="33" t="str">
        <f>HYPERLINK("http://exon.niaid.nih.gov/transcriptome/S_calcitrans/S1/links/TICK-BLOCKS/XP_013101940.1-TICK-BLOCKS.txt","GGY_REPEATS |")</f>
        <v>GGY_REPEATS |</v>
      </c>
      <c r="BK91" s="33" t="s">
        <v>467</v>
      </c>
      <c r="BL91" s="33" t="str">
        <f>HYPERLINK("http://exon.niaid.nih.gov/transcriptome/S_calcitrans/S1/links/NR-LIGHT/XP_013101940.1-NR-LIGHT.txt","ctenidin-3-like")</f>
        <v>ctenidin-3-like</v>
      </c>
      <c r="BM91" t="str">
        <f>HYPERLINK("http://www.ncbi.nlm.nih.gov/sutils/blink.cgi?pid=828193004","2E-017")</f>
        <v>2E-017</v>
      </c>
      <c r="BN91" t="str">
        <f>HYPERLINK("http://www.ncbi.nlm.nih.gov/protein/828193004","gi|828193004")</f>
        <v>gi|828193004</v>
      </c>
      <c r="BO91">
        <v>40</v>
      </c>
      <c r="BP91">
        <v>56</v>
      </c>
      <c r="BQ91">
        <v>60</v>
      </c>
      <c r="BR91" t="s">
        <v>1074</v>
      </c>
      <c r="BS91" s="33" t="str">
        <f>HYPERLINK("http://exon.niaid.nih.gov/transcriptome/S_calcitrans/S1/links/SWISSP/XP_013101940.1-SWISSP.txt","Glycine-rich cell wall structural protein")</f>
        <v>Glycine-rich cell wall structural protein</v>
      </c>
      <c r="BT91" t="str">
        <f>HYPERLINK("http://www.uniprot.org/uniprot/P17816","2E-012")</f>
        <v>2E-012</v>
      </c>
      <c r="BU91" t="str">
        <f>HYPERLINK("http://www.uniprot.org/uniprot/P17816#expression","P17816")</f>
        <v>P17816</v>
      </c>
      <c r="BV91">
        <v>42</v>
      </c>
      <c r="BW91">
        <v>51</v>
      </c>
      <c r="BX91">
        <v>63</v>
      </c>
      <c r="BY91" t="s">
        <v>1075</v>
      </c>
      <c r="BZ91" s="33" t="str">
        <f>HYPERLINK("http://exon.niaid.nih.gov/transcriptome/S_calcitrans/S1/links/REFSEQ-INVERTEBRATE/XP_013101940.1-REFSEQ-INVERTEBRATE.txt","glycine-rich cell wall structural protein-like")</f>
        <v>glycine-rich cell wall structural protein-like</v>
      </c>
      <c r="CA91" t="str">
        <f>HYPERLINK("http://www.ncbi.nlm.nih.gov/sutils/blink.cgi?pid=907649611","1E-105")</f>
        <v>1E-105</v>
      </c>
      <c r="CB91" t="str">
        <f>HYPERLINK("http://www.ncbi.nlm.nih.gov/protein/907649611","gi|907649611")</f>
        <v>gi|907649611</v>
      </c>
      <c r="CC91">
        <v>100</v>
      </c>
      <c r="CD91">
        <v>100</v>
      </c>
      <c r="CE91">
        <v>100</v>
      </c>
      <c r="CF91" t="s">
        <v>253</v>
      </c>
      <c r="CG91" s="33" t="str">
        <f>HYPERLINK("http://exon.niaid.nih.gov/transcriptome/S_calcitrans/S1/links/DIPTERA/XP_013101940.1-DIPTERA.txt","glycine-rich cell wall structural protein-like")</f>
        <v>glycine-rich cell wall structural protein-like</v>
      </c>
      <c r="CH91" t="str">
        <f>HYPERLINK("http://www.ncbi.nlm.nih.gov/sutils/blink.cgi?pid=907649611","1E-106")</f>
        <v>1E-106</v>
      </c>
      <c r="CI91" t="str">
        <f>HYPERLINK("http://www.ncbi.nlm.nih.gov/protein/907649611","gi|907649611")</f>
        <v>gi|907649611</v>
      </c>
      <c r="CJ91">
        <v>100</v>
      </c>
      <c r="CK91">
        <v>100</v>
      </c>
      <c r="CL91">
        <v>100</v>
      </c>
      <c r="CM91" t="s">
        <v>253</v>
      </c>
      <c r="CN91" s="33" t="str">
        <f>HYPERLINK("http://exon.niaid.nih.gov/transcriptome/S_calcitrans/S1/links/VIRUS/XP_013101940.1-VIRUS.txt","hypothetical protein NY2A_b069L")</f>
        <v>hypothetical protein NY2A_b069L</v>
      </c>
      <c r="CO91" t="str">
        <f>HYPERLINK("http://www.ncbi.nlm.nih.gov/sutils/blink.cgi?pid=157952373","3E-008")</f>
        <v>3E-008</v>
      </c>
      <c r="CP91" t="str">
        <f>HYPERLINK("http://www.ncbi.nlm.nih.gov/protein/157952373","gi|157952373")</f>
        <v>gi|157952373</v>
      </c>
      <c r="CQ91">
        <v>46</v>
      </c>
      <c r="CR91">
        <v>54</v>
      </c>
      <c r="CS91">
        <v>63</v>
      </c>
      <c r="CT91" t="s">
        <v>1076</v>
      </c>
      <c r="CU91" s="33" t="s">
        <v>1077</v>
      </c>
      <c r="CV91">
        <f>HYPERLINK("http://exon.niaid.nih.gov/transcriptome/S_calcitrans/S1/links/GO/XP_013101940.1-GO.txt",0.000000000006)</f>
        <v>6.0000000000000003E-12</v>
      </c>
      <c r="CW91" t="str">
        <f>HYPERLINK("http://amigo.geneontology.org/cgi-bin/amigo/term_details?term=GO:0004004","GO:0004004")</f>
        <v>GO:0004004</v>
      </c>
      <c r="CX91" t="s">
        <v>1078</v>
      </c>
      <c r="CY91" t="s">
        <v>1079</v>
      </c>
      <c r="CZ91" t="s">
        <v>242</v>
      </c>
      <c r="DA91" t="s">
        <v>242</v>
      </c>
      <c r="DD91">
        <v>6.0000000000000003E-12</v>
      </c>
      <c r="DE91" s="33" t="str">
        <f>HYPERLINK("http://exon.niaid.nih.gov/transcriptome/S_calcitrans/S1/links/CDD/XP_013101940.1-CDD.txt","PTZ00110")</f>
        <v>PTZ00110</v>
      </c>
      <c r="DF91" t="str">
        <f>HYPERLINK("http://www.ncbi.nlm.nih.gov/Structure/cdd/cddsrv.cgi?uid=PTZ00110&amp;version=v4.0","2E-004")</f>
        <v>2E-004</v>
      </c>
      <c r="DG91" t="s">
        <v>1080</v>
      </c>
      <c r="DH91" s="33" t="str">
        <f>HYPERLINK("http://exon.niaid.nih.gov/transcriptome/S_calcitrans/S1/links/KOG/XP_013101940.1-KOG.txt","Dosage compensation complex, subunit MLE")</f>
        <v>Dosage compensation complex, subunit MLE</v>
      </c>
      <c r="DI91" t="str">
        <f>HYPERLINK("http://www.ncbi.nlm.nih.gov/Structure/cdd/cddsrv.cgi?uid=KOG0921","7E-010")</f>
        <v>7E-010</v>
      </c>
      <c r="DJ91" t="s">
        <v>392</v>
      </c>
      <c r="DK91" t="str">
        <f>HYPERLINK("http://exon.niaid.nih.gov/transcriptome/S_calcitrans/S1/links/KOG/XP_013101940.1-KOG.txt","KOG0921")</f>
        <v>KOG0921</v>
      </c>
      <c r="DL91" s="33" t="str">
        <f>HYPERLINK("http://exon.niaid.nih.gov/transcriptome/S_calcitrans/S1/links/PFAM/XP_013101940.1-PFAM.txt","DUF1517")</f>
        <v>DUF1517</v>
      </c>
      <c r="DM91" t="str">
        <f>HYPERLINK("http://pfam.sanger.ac.uk/family?acc=PF07466","2E-004")</f>
        <v>2E-004</v>
      </c>
      <c r="DN91" s="33" t="str">
        <f>HYPERLINK("http://exon.niaid.nih.gov/transcriptome/S_calcitrans/S1/links/SMART/XP_013101940.1-SMART.txt","PRP")</f>
        <v>PRP</v>
      </c>
      <c r="DO91" t="str">
        <f>HYPERLINK("http://smart.embl-heidelberg.de/smart/do_annotation.pl?DOMAIN=PRP&amp;BLAST=DUMMY","0.10")</f>
        <v>0.10</v>
      </c>
      <c r="DP91" s="33"/>
      <c r="EB91" s="33">
        <f>HYPERLINK("http://exon.niaid.nih.gov/transcriptome/S_calcitrans/S1/links/cluster-b/Scalc-pep25-50SimCLU1.txt", 1)</f>
        <v>1</v>
      </c>
      <c r="EC91">
        <f>HYPERLINK("http://exon.niaid.nih.gov/transcriptome/S_calcitrans/S1/links/cluster-b/Scalc-pep25-50SimCLTL1.txt", 5170)</f>
        <v>5170</v>
      </c>
      <c r="ED91" s="33">
        <f>HYPERLINK("http://exon.niaid.nih.gov/transcriptome/S_calcitrans/S1/links/cluster-b/Scalc-pep30-50SimCLU1.txt", 1)</f>
        <v>1</v>
      </c>
      <c r="EE91">
        <f>HYPERLINK("http://exon.niaid.nih.gov/transcriptome/S_calcitrans/S1/links/cluster-b/Scalc-pep30-50SimCLTL1.txt", 1550)</f>
        <v>1550</v>
      </c>
      <c r="EF91" s="33">
        <f>HYPERLINK("http://exon.niaid.nih.gov/transcriptome/S_calcitrans/S1/links/cluster-b/Scalc-pep35-50SimCLU1.txt", 1)</f>
        <v>1</v>
      </c>
      <c r="EG91">
        <f>HYPERLINK("http://exon.niaid.nih.gov/transcriptome/S_calcitrans/S1/links/cluster-b/Scalc-pep35-50SimCLTL1.txt", 566)</f>
        <v>566</v>
      </c>
      <c r="EH91" s="33">
        <v>5225</v>
      </c>
      <c r="EI91">
        <v>1</v>
      </c>
      <c r="EJ91" s="33">
        <v>5562</v>
      </c>
      <c r="EK91">
        <v>1</v>
      </c>
      <c r="EL91" s="33">
        <v>5819</v>
      </c>
      <c r="EM91">
        <v>1</v>
      </c>
      <c r="EN91" s="33">
        <v>6125</v>
      </c>
      <c r="EO91">
        <v>1</v>
      </c>
      <c r="EP91" s="33">
        <v>6340</v>
      </c>
      <c r="EQ91">
        <v>1</v>
      </c>
      <c r="ER91" s="33">
        <v>6515</v>
      </c>
      <c r="ES91">
        <v>1</v>
      </c>
      <c r="ET91" s="33">
        <v>6648</v>
      </c>
      <c r="EU91">
        <v>1</v>
      </c>
      <c r="EV91" s="33">
        <v>6764</v>
      </c>
      <c r="EW91">
        <v>1</v>
      </c>
      <c r="EX91" s="33">
        <v>6866</v>
      </c>
      <c r="EY91">
        <v>1</v>
      </c>
      <c r="EZ91" s="33">
        <v>6956</v>
      </c>
      <c r="FA91">
        <v>1</v>
      </c>
      <c r="FB91" s="33">
        <v>7029</v>
      </c>
      <c r="FC91">
        <v>1</v>
      </c>
      <c r="FD91" s="33">
        <v>7160</v>
      </c>
      <c r="FE91">
        <v>1</v>
      </c>
      <c r="FF91" t="s">
        <v>1081</v>
      </c>
      <c r="FG91">
        <v>7939</v>
      </c>
      <c r="FH91" s="38" t="str">
        <f>HYPERLINK("http://exon.niaid.nih.gov/transcriptome/S_calcitrans/S1/links/SG_male-stripped_temp-95-h10-1gap/7939-SG_male-stripped_temp-95-h10-1gap.txt","33")</f>
        <v>33</v>
      </c>
      <c r="FI91" s="39">
        <v>5</v>
      </c>
      <c r="FJ91" s="39">
        <v>1.5314814814814799</v>
      </c>
      <c r="FK91" s="39">
        <v>0</v>
      </c>
      <c r="FL91" s="39">
        <v>33</v>
      </c>
      <c r="FM91" s="39">
        <v>25.060606060606101</v>
      </c>
      <c r="FN91" s="38" t="str">
        <f>HYPERLINK("http://exon.niaid.nih.gov/transcriptome/S_calcitrans/S1/links/SG_female-stripped_temp-95-h10-1gap/7939-SG_female-stripped_temp-95-h10-1gap.txt","65")</f>
        <v>65</v>
      </c>
      <c r="FO91" s="39">
        <v>5.3703703703703702</v>
      </c>
      <c r="FP91" s="39">
        <v>3.01296296296296</v>
      </c>
      <c r="FQ91" s="39">
        <v>0</v>
      </c>
      <c r="FR91" s="39">
        <v>65</v>
      </c>
      <c r="FS91" s="39">
        <v>25.030769230769199</v>
      </c>
      <c r="FT91" s="38">
        <v>0</v>
      </c>
      <c r="FU91" s="39" t="s">
        <v>242</v>
      </c>
      <c r="FV91" s="39" t="s">
        <v>242</v>
      </c>
      <c r="FW91" s="39" t="s">
        <v>242</v>
      </c>
      <c r="FX91" s="39" t="s">
        <v>242</v>
      </c>
      <c r="FY91" s="39" t="s">
        <v>242</v>
      </c>
      <c r="FZ91" s="38">
        <v>0</v>
      </c>
      <c r="GA91" s="39" t="s">
        <v>242</v>
      </c>
      <c r="GB91" s="39" t="s">
        <v>242</v>
      </c>
      <c r="GC91" s="39" t="s">
        <v>242</v>
      </c>
      <c r="GD91" s="39" t="s">
        <v>242</v>
      </c>
      <c r="GE91" s="39" t="s">
        <v>242</v>
      </c>
      <c r="GF91">
        <f t="shared" si="94"/>
        <v>33</v>
      </c>
      <c r="GG91">
        <f t="shared" si="95"/>
        <v>65</v>
      </c>
      <c r="GH91">
        <f t="shared" si="96"/>
        <v>0</v>
      </c>
      <c r="GI91">
        <f t="shared" si="97"/>
        <v>0</v>
      </c>
      <c r="GJ91">
        <f t="shared" si="93"/>
        <v>98</v>
      </c>
      <c r="GK91" s="34">
        <v>3.8064764088769363E-4</v>
      </c>
      <c r="GL91">
        <v>1.9990431561759845</v>
      </c>
      <c r="GM91">
        <v>1.7905763192521018</v>
      </c>
      <c r="GN91">
        <v>0</v>
      </c>
      <c r="GO91">
        <v>0</v>
      </c>
      <c r="GP91">
        <f t="shared" si="98"/>
        <v>1.9990431561759845</v>
      </c>
      <c r="GQ91" t="s">
        <v>351</v>
      </c>
      <c r="GR91">
        <v>1.559036676519213</v>
      </c>
      <c r="GS91">
        <v>1.4696445103155569</v>
      </c>
      <c r="GT91">
        <v>0</v>
      </c>
      <c r="GU91">
        <v>0</v>
      </c>
      <c r="GV91">
        <f t="shared" si="99"/>
        <v>1.559036676519213</v>
      </c>
      <c r="GW91">
        <v>15.143405934173847</v>
      </c>
      <c r="GX91">
        <v>98</v>
      </c>
      <c r="GY91">
        <v>0</v>
      </c>
      <c r="GZ91">
        <v>98</v>
      </c>
      <c r="HA91">
        <v>21.755969972864836</v>
      </c>
      <c r="HB91">
        <v>76.244030027135167</v>
      </c>
      <c r="HC91">
        <v>267.19802068255984</v>
      </c>
      <c r="HD91">
        <v>76.244030027135167</v>
      </c>
      <c r="HE91">
        <v>343.44205070969502</v>
      </c>
      <c r="HF91">
        <v>1.1357013162693812E-76</v>
      </c>
      <c r="HG91">
        <v>21.755969972864836</v>
      </c>
      <c r="HH91">
        <v>1</v>
      </c>
      <c r="HI91">
        <v>1</v>
      </c>
      <c r="HJ91">
        <v>2</v>
      </c>
      <c r="HK91" s="37">
        <v>2.4485225199270101E-76</v>
      </c>
      <c r="HL91" s="30" t="s">
        <v>262</v>
      </c>
      <c r="HM91">
        <v>343.44205070969497</v>
      </c>
      <c r="HN91">
        <v>0</v>
      </c>
      <c r="HO91">
        <v>33</v>
      </c>
      <c r="HP91">
        <v>65</v>
      </c>
      <c r="HQ91">
        <v>98</v>
      </c>
      <c r="HR91">
        <v>30.634402586467136</v>
      </c>
      <c r="HS91">
        <v>67.365597413532868</v>
      </c>
      <c r="HT91">
        <v>0.18267211534869146</v>
      </c>
      <c r="HU91">
        <v>8.3069865595658182E-2</v>
      </c>
      <c r="HV91">
        <v>0.26574198094434964</v>
      </c>
      <c r="HW91">
        <v>0.60620249670066806</v>
      </c>
      <c r="HX91">
        <v>30.634402586467136</v>
      </c>
      <c r="HY91">
        <v>1</v>
      </c>
      <c r="HZ91" t="s">
        <v>244</v>
      </c>
      <c r="IA91">
        <v>1</v>
      </c>
      <c r="IB91">
        <v>0.92640991493431302</v>
      </c>
      <c r="IC91" s="30" t="s">
        <v>244</v>
      </c>
      <c r="ID91">
        <v>1.0995089136044043</v>
      </c>
      <c r="IE91">
        <v>0.86937208158468504</v>
      </c>
      <c r="IF91">
        <v>1.0995089136044043</v>
      </c>
      <c r="IG91" t="str">
        <f t="shared" si="84"/>
        <v/>
      </c>
    </row>
    <row r="92" spans="1:241">
      <c r="A92" s="22" t="s">
        <v>1082</v>
      </c>
      <c r="B92" s="23"/>
      <c r="C92" s="24"/>
      <c r="D92" s="24"/>
      <c r="E92" s="24"/>
      <c r="F92" s="24"/>
      <c r="G92" s="24"/>
      <c r="H92" s="24"/>
      <c r="I92" s="24"/>
      <c r="J92" s="23"/>
      <c r="K92" s="23"/>
      <c r="L92" s="25"/>
      <c r="M92" s="23"/>
      <c r="N92" s="23"/>
      <c r="O92" s="23"/>
      <c r="P92" s="23"/>
      <c r="Q92" s="25"/>
      <c r="R92" s="23"/>
      <c r="S92" s="24"/>
      <c r="T92" s="24"/>
      <c r="U92" s="24"/>
      <c r="V92" s="24"/>
      <c r="W92" s="24"/>
      <c r="X92" s="24"/>
      <c r="Y92" s="23"/>
      <c r="Z92" s="24"/>
      <c r="AA92" s="24"/>
      <c r="AB92" s="24"/>
      <c r="AC92" s="24"/>
      <c r="AD92" s="24"/>
      <c r="AE92" s="23"/>
      <c r="AF92" s="24"/>
      <c r="AG92" s="24"/>
      <c r="AH92" s="24"/>
      <c r="AI92" s="24"/>
      <c r="AJ92" s="24"/>
      <c r="AK92" s="24"/>
      <c r="AL92" s="24"/>
      <c r="AM92" s="24"/>
      <c r="AN92" s="23" t="str">
        <f t="shared" si="83"/>
        <v/>
      </c>
      <c r="AO92" s="23" t="s">
        <v>244</v>
      </c>
      <c r="AP92" s="24" t="s">
        <v>244</v>
      </c>
      <c r="AQ92" s="26"/>
      <c r="AR92" s="27"/>
      <c r="AS92" s="24"/>
      <c r="AT92" s="24"/>
      <c r="AU92" s="24"/>
      <c r="AV92" s="24"/>
      <c r="AW92" s="24"/>
      <c r="AX92" s="24"/>
      <c r="AY92" s="24"/>
      <c r="AZ92" s="24"/>
      <c r="BA92" s="24"/>
      <c r="BB92" s="24"/>
      <c r="BC92" s="24"/>
      <c r="BD92" s="24"/>
      <c r="BE92" s="24"/>
      <c r="BF92" s="24"/>
      <c r="BG92" s="25"/>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8"/>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9"/>
      <c r="FI92" s="29"/>
      <c r="FJ92" s="29"/>
      <c r="FK92" s="29"/>
      <c r="FL92" s="29"/>
      <c r="FM92" s="29"/>
      <c r="FN92" s="29"/>
      <c r="FO92" s="29"/>
      <c r="FP92" s="29"/>
      <c r="FQ92" s="29"/>
      <c r="FR92" s="29"/>
      <c r="FS92" s="29"/>
      <c r="FT92" s="29"/>
      <c r="FU92" s="29"/>
      <c r="FV92" s="29"/>
      <c r="FW92" s="29"/>
      <c r="FX92" s="29"/>
      <c r="FY92" s="29"/>
      <c r="FZ92" s="29"/>
      <c r="GA92" s="29"/>
      <c r="GB92" s="29"/>
      <c r="GC92" s="29"/>
      <c r="GD92" s="29"/>
      <c r="GE92" s="29"/>
      <c r="GF92" s="24"/>
      <c r="GG92" s="24"/>
      <c r="GH92" s="24"/>
      <c r="GI92" s="24"/>
      <c r="GJ92" s="24" t="str">
        <f t="shared" si="93"/>
        <v/>
      </c>
      <c r="GK92" s="26"/>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3"/>
      <c r="HM92" s="24"/>
      <c r="HN92" s="24"/>
      <c r="HO92" s="24"/>
      <c r="HP92" s="24"/>
      <c r="HQ92" s="24"/>
      <c r="HR92" s="24"/>
      <c r="HS92" s="24"/>
      <c r="HT92" s="24"/>
      <c r="HU92" s="24"/>
      <c r="HV92" s="24"/>
      <c r="HW92" s="24"/>
      <c r="HX92" s="24"/>
      <c r="HY92" s="24"/>
      <c r="HZ92" s="24"/>
      <c r="IA92" s="24"/>
      <c r="IB92" s="24"/>
      <c r="IC92" s="23"/>
      <c r="ID92" s="24"/>
      <c r="IE92" s="24"/>
      <c r="IF92" s="24"/>
      <c r="IG92" s="24" t="str">
        <f t="shared" si="84"/>
        <v/>
      </c>
    </row>
    <row r="93" spans="1:241">
      <c r="A93" t="str">
        <f>HYPERLINK("http://exon.niaid.nih.gov/transcriptome/S_calcitrans/S1/links/pep/XP_013118915.1-pep.txt","XP_013118915.1")</f>
        <v>XP_013118915.1</v>
      </c>
      <c r="B93" s="30" t="s">
        <v>232</v>
      </c>
      <c r="C93">
        <v>193</v>
      </c>
      <c r="D93" t="s">
        <v>1083</v>
      </c>
      <c r="E93">
        <v>0</v>
      </c>
      <c r="F93" t="s">
        <v>1084</v>
      </c>
      <c r="G93" t="str">
        <f>HYPERLINK("http://exon.niaid.nih.gov/transcriptome/S_calcitrans/S1/links/cds/XM_013263461_1-cds.txt","XM_013263461_1")</f>
        <v>XM_013263461_1</v>
      </c>
      <c r="H93">
        <v>582</v>
      </c>
      <c r="I93" t="s">
        <v>1085</v>
      </c>
      <c r="J93" s="30" t="s">
        <v>236</v>
      </c>
      <c r="K93" s="30" t="s">
        <v>91</v>
      </c>
      <c r="L93" s="31" t="s">
        <v>893</v>
      </c>
      <c r="M93" s="30">
        <v>1577636</v>
      </c>
      <c r="N93" s="30">
        <v>1578247</v>
      </c>
      <c r="O93" s="30" t="s">
        <v>276</v>
      </c>
      <c r="P93" s="30">
        <v>2</v>
      </c>
      <c r="Q93" s="31" t="s">
        <v>1086</v>
      </c>
      <c r="R93" s="32" t="str">
        <f>HYPERLINK("http://exon.niaid.nih.gov/transcriptome/S_calcitrans/S1/links/Sigp/XP_013118915.1-SigP.txt","SIG")</f>
        <v>SIG</v>
      </c>
      <c r="S93" t="s">
        <v>492</v>
      </c>
      <c r="T93">
        <v>20.295000000000002</v>
      </c>
      <c r="U93">
        <v>4.01</v>
      </c>
      <c r="V93">
        <v>17.937999999999999</v>
      </c>
      <c r="W93">
        <v>3.95</v>
      </c>
      <c r="X93" t="s">
        <v>1087</v>
      </c>
      <c r="Y93" s="32">
        <v>0</v>
      </c>
      <c r="Z93" t="s">
        <v>242</v>
      </c>
      <c r="AA93" t="s">
        <v>242</v>
      </c>
      <c r="AB93" t="s">
        <v>242</v>
      </c>
      <c r="AC93" t="s">
        <v>242</v>
      </c>
      <c r="AD93" t="s">
        <v>242</v>
      </c>
      <c r="AE93" s="32" t="str">
        <f>HYPERLINK("http://exon.niaid.nih.gov/transcriptome/S_calcitrans/S1/links/netoglyc/XP_013118915.1-netoglyc.txt","12")</f>
        <v>12</v>
      </c>
      <c r="AF93">
        <v>6.7</v>
      </c>
      <c r="AG93">
        <v>7.8</v>
      </c>
      <c r="AH93">
        <v>11.4</v>
      </c>
      <c r="AI93" t="s">
        <v>243</v>
      </c>
      <c r="AJ93" t="s">
        <v>242</v>
      </c>
      <c r="AK93">
        <v>396.00971153260747</v>
      </c>
      <c r="AL93" s="33">
        <f>HYPERLINK("http://exon.niaid.nih.gov/transcriptome/S_calcitrans/S1/links/cluster-b/Scalc-pep95-50SimCLU1609.txt", 1609)</f>
        <v>1609</v>
      </c>
      <c r="AM93">
        <f>HYPERLINK("http://exon.niaid.nih.gov/transcriptome/S_calcitrans/S1/links/cluster-b/Scalc-pep95-50SimCLTL1609.txt", 2)</f>
        <v>2</v>
      </c>
      <c r="AN93" s="30">
        <f t="shared" si="83"/>
        <v>1</v>
      </c>
      <c r="AO93" s="30" t="s">
        <v>244</v>
      </c>
      <c r="AP93">
        <v>113</v>
      </c>
      <c r="AQ93" s="34">
        <v>4.3891003490111611E-4</v>
      </c>
      <c r="AR93" s="35">
        <v>15.509673556124532</v>
      </c>
      <c r="AS93" t="s">
        <v>1088</v>
      </c>
      <c r="AT93" s="36" t="s">
        <v>1089</v>
      </c>
      <c r="AU93" t="s">
        <v>1090</v>
      </c>
      <c r="AV93" t="str">
        <f>HYPERLINK("http://exon.niaid.nih.gov/transcriptome/S_calcitrans/S1/links/REFSEQ-INVERTEBRATE/XP_013118915.1-REFSEQ-INVERTEBRATE.txt","REFSEQ-INVERTEBRATE")</f>
        <v>REFSEQ-INVERTEBRATE</v>
      </c>
      <c r="AW93">
        <v>0</v>
      </c>
      <c r="AX93">
        <v>100</v>
      </c>
      <c r="AY93" s="33"/>
      <c r="BG93" s="31"/>
      <c r="BJ93" s="33"/>
      <c r="BK93" s="33"/>
      <c r="BL93" s="33" t="str">
        <f>HYPERLINK("http://exon.niaid.nih.gov/transcriptome/S_calcitrans/S1/links/NR-LIGHT/XP_013118915.1-NR-LIGHT.txt","uncharacterized abhydrolase domain-containing protein DDB_G0269086-like isoform")</f>
        <v>uncharacterized abhydrolase domain-containing protein DDB_G0269086-like isoform</v>
      </c>
      <c r="BM93" t="str">
        <f>HYPERLINK("http://www.ncbi.nlm.nih.gov/sutils/blink.cgi?pid=755894017","4E-021")</f>
        <v>4E-021</v>
      </c>
      <c r="BN93" t="str">
        <f>HYPERLINK("http://www.ncbi.nlm.nih.gov/protein/755894017","gi|755894017")</f>
        <v>gi|755894017</v>
      </c>
      <c r="BO93">
        <v>43</v>
      </c>
      <c r="BP93">
        <v>52</v>
      </c>
      <c r="BQ93">
        <v>84</v>
      </c>
      <c r="BR93" t="s">
        <v>251</v>
      </c>
      <c r="BS93" s="33" t="str">
        <f>HYPERLINK("http://exon.niaid.nih.gov/transcriptome/S_calcitrans/S1/links/SWISSP/XP_013118915.1-SWISSP.txt","Transcriptional regulator ICP22 homolog")</f>
        <v>Transcriptional regulator ICP22 homolog</v>
      </c>
      <c r="BT93" t="str">
        <f>HYPERLINK("http://www.uniprot.org/uniprot/Q01042","6E-013")</f>
        <v>6E-013</v>
      </c>
      <c r="BU93" t="str">
        <f>HYPERLINK("http://www.uniprot.org/uniprot/Q01042#expression","Q01042")</f>
        <v>Q01042</v>
      </c>
      <c r="BV93">
        <v>33</v>
      </c>
      <c r="BW93">
        <v>44</v>
      </c>
      <c r="BX93">
        <v>46</v>
      </c>
      <c r="BY93" t="s">
        <v>1091</v>
      </c>
      <c r="BZ93" s="33" t="str">
        <f>HYPERLINK("http://exon.niaid.nih.gov/transcriptome/S_calcitrans/S1/links/REFSEQ-INVERTEBRATE/XP_013118915.1-REFSEQ-INVERTEBRATE.txt","cytochrome c1-like isoform X2")</f>
        <v>cytochrome c1-like isoform X2</v>
      </c>
      <c r="CA93" t="str">
        <f>HYPERLINK("http://www.ncbi.nlm.nih.gov/sutils/blink.cgi?pid=907614772","1E-106")</f>
        <v>1E-106</v>
      </c>
      <c r="CB93" t="str">
        <f>HYPERLINK("http://www.ncbi.nlm.nih.gov/protein/907614772","gi|907614772")</f>
        <v>gi|907614772</v>
      </c>
      <c r="CC93">
        <v>100</v>
      </c>
      <c r="CD93">
        <v>100</v>
      </c>
      <c r="CE93">
        <v>100</v>
      </c>
      <c r="CF93" t="s">
        <v>253</v>
      </c>
      <c r="CG93" s="33" t="str">
        <f>HYPERLINK("http://exon.niaid.nih.gov/transcriptome/S_calcitrans/S1/links/DIPTERA/XP_013118915.1-DIPTERA.txt","cytochrome c1-like isoform X1")</f>
        <v>cytochrome c1-like isoform X1</v>
      </c>
      <c r="CH93" t="str">
        <f>HYPERLINK("http://www.ncbi.nlm.nih.gov/sutils/blink.cgi?pid=907614770","1E-106")</f>
        <v>1E-106</v>
      </c>
      <c r="CI93" t="str">
        <f>HYPERLINK("http://www.ncbi.nlm.nih.gov/protein/907614770","gi|907614770")</f>
        <v>gi|907614770</v>
      </c>
      <c r="CJ93">
        <v>100</v>
      </c>
      <c r="CK93">
        <v>100</v>
      </c>
      <c r="CL93">
        <v>100</v>
      </c>
      <c r="CM93" t="s">
        <v>253</v>
      </c>
      <c r="CN93" s="33" t="str">
        <f>HYPERLINK("http://exon.niaid.nih.gov/transcriptome/S_calcitrans/S1/links/VIRUS/XP_013118915.1-VIRUS.txt","unnamed protein product")</f>
        <v>unnamed protein product</v>
      </c>
      <c r="CO93" t="str">
        <f>HYPERLINK("http://www.ncbi.nlm.nih.gov/sutils/blink.cgi?pid=9626029","2E-013")</f>
        <v>2E-013</v>
      </c>
      <c r="CP93" t="str">
        <f>HYPERLINK("http://www.ncbi.nlm.nih.gov/protein/9626029","gi|9626029")</f>
        <v>gi|9626029</v>
      </c>
      <c r="CQ93">
        <v>33</v>
      </c>
      <c r="CR93">
        <v>44</v>
      </c>
      <c r="CS93">
        <v>46</v>
      </c>
      <c r="CT93" t="s">
        <v>1092</v>
      </c>
      <c r="CU93" s="33" t="s">
        <v>1093</v>
      </c>
      <c r="CV93">
        <f>HYPERLINK("http://exon.niaid.nih.gov/transcriptome/S_calcitrans/S1/links/GO/XP_013118915.1-GO.txt",0.00000000000004)</f>
        <v>4E-14</v>
      </c>
      <c r="CW93" t="str">
        <f>HYPERLINK("http://amigo.geneontology.org/cgi-bin/amigo/term_details?term=GO:0003674","GO:0003674")</f>
        <v>GO:0003674</v>
      </c>
      <c r="CX93" t="s">
        <v>255</v>
      </c>
      <c r="CY93" t="s">
        <v>256</v>
      </c>
      <c r="CZ93" t="s">
        <v>257</v>
      </c>
      <c r="DA93" t="s">
        <v>242</v>
      </c>
      <c r="DD93">
        <v>4E-14</v>
      </c>
      <c r="DE93" s="33" t="str">
        <f>HYPERLINK("http://exon.niaid.nih.gov/transcriptome/S_calcitrans/S1/links/CDD/XP_013118915.1-CDD.txt","rne")</f>
        <v>rne</v>
      </c>
      <c r="DF93" t="str">
        <f>HYPERLINK("http://www.ncbi.nlm.nih.gov/Structure/cdd/cddsrv.cgi?uid=PRK10811&amp;version=v4.0","1E-006")</f>
        <v>1E-006</v>
      </c>
      <c r="DG93" t="s">
        <v>1094</v>
      </c>
      <c r="DH93" s="33" t="str">
        <f>HYPERLINK("http://exon.niaid.nih.gov/transcriptome/S_calcitrans/S1/links/KOG/XP_013118915.1-KOG.txt","RasGAP SH3 binding protein rasputin, contains NTF2 and RRM domains")</f>
        <v>RasGAP SH3 binding protein rasputin, contains NTF2 and RRM domains</v>
      </c>
      <c r="DI93" t="str">
        <f>HYPERLINK("http://www.ncbi.nlm.nih.gov/Structure/cdd/cddsrv.cgi?uid=KOG0116","1E-004")</f>
        <v>1E-004</v>
      </c>
      <c r="DJ93" t="s">
        <v>1095</v>
      </c>
      <c r="DK93" t="str">
        <f>HYPERLINK("http://exon.niaid.nih.gov/transcriptome/S_calcitrans/S1/links/KOG/XP_013118915.1-KOG.txt","KOG0116")</f>
        <v>KOG0116</v>
      </c>
      <c r="DL93" s="33" t="str">
        <f>HYPERLINK("http://exon.niaid.nih.gov/transcriptome/S_calcitrans/S1/links/PFAM/XP_013118915.1-PFAM.txt","Nop14")</f>
        <v>Nop14</v>
      </c>
      <c r="DM93" t="str">
        <f>HYPERLINK("http://pfam.sanger.ac.uk/family?acc=PF04147","6E-004")</f>
        <v>6E-004</v>
      </c>
      <c r="DN93" s="33" t="str">
        <f>HYPERLINK("http://exon.niaid.nih.gov/transcriptome/S_calcitrans/S1/links/SMART/XP_013118915.1-SMART.txt","AgrB")</f>
        <v>AgrB</v>
      </c>
      <c r="DO93" t="str">
        <f>HYPERLINK("http://smart.embl-heidelberg.de/smart/do_annotation.pl?DOMAIN=AgrB&amp;BLAST=DUMMY","0.26")</f>
        <v>0.26</v>
      </c>
      <c r="DP93" s="33"/>
      <c r="EB93" s="33">
        <f>HYPERLINK("http://exon.niaid.nih.gov/transcriptome/S_calcitrans/S1/links/cluster-b/Scalc-pep25-50SimCLU1.txt", 1)</f>
        <v>1</v>
      </c>
      <c r="EC93">
        <f>HYPERLINK("http://exon.niaid.nih.gov/transcriptome/S_calcitrans/S1/links/cluster-b/Scalc-pep25-50SimCLTL1.txt", 5170)</f>
        <v>5170</v>
      </c>
      <c r="ED93" s="33">
        <f>HYPERLINK("http://exon.niaid.nih.gov/transcriptome/S_calcitrans/S1/links/cluster-b/Scalc-pep30-50SimCLU1.txt", 1)</f>
        <v>1</v>
      </c>
      <c r="EE93">
        <f>HYPERLINK("http://exon.niaid.nih.gov/transcriptome/S_calcitrans/S1/links/cluster-b/Scalc-pep30-50SimCLTL1.txt", 1550)</f>
        <v>1550</v>
      </c>
      <c r="EF93" s="33">
        <f>HYPERLINK("http://exon.niaid.nih.gov/transcriptome/S_calcitrans/S1/links/cluster-b/Scalc-pep35-50SimCLU1.txt", 1)</f>
        <v>1</v>
      </c>
      <c r="EG93">
        <f>HYPERLINK("http://exon.niaid.nih.gov/transcriptome/S_calcitrans/S1/links/cluster-b/Scalc-pep35-50SimCLTL1.txt", 566)</f>
        <v>566</v>
      </c>
      <c r="EH93" s="33">
        <f>HYPERLINK("http://exon.niaid.nih.gov/transcriptome/S_calcitrans/S1/links/cluster-b/Scalc-pep40-50SimCLU1.txt", 1)</f>
        <v>1</v>
      </c>
      <c r="EI93">
        <f>HYPERLINK("http://exon.niaid.nih.gov/transcriptome/S_calcitrans/S1/links/cluster-b/Scalc-pep40-50SimCLTL1.txt", 404)</f>
        <v>404</v>
      </c>
      <c r="EJ93" s="33">
        <f>HYPERLINK("http://exon.niaid.nih.gov/transcriptome/S_calcitrans/S1/links/cluster-b/Scalc-pep45-50SimCLU2167.txt", 2167)</f>
        <v>2167</v>
      </c>
      <c r="EK93">
        <f>HYPERLINK("http://exon.niaid.nih.gov/transcriptome/S_calcitrans/S1/links/cluster-b/Scalc-pep45-50SimCLTL2167.txt", 2)</f>
        <v>2</v>
      </c>
      <c r="EL93" s="33">
        <f>HYPERLINK("http://exon.niaid.nih.gov/transcriptome/S_calcitrans/S1/links/cluster-b/Scalc-pep50-50SimCLU2202.txt", 2202)</f>
        <v>2202</v>
      </c>
      <c r="EM93">
        <f>HYPERLINK("http://exon.niaid.nih.gov/transcriptome/S_calcitrans/S1/links/cluster-b/Scalc-pep50-50SimCLTL2202.txt", 2)</f>
        <v>2</v>
      </c>
      <c r="EN93" s="33">
        <f>HYPERLINK("http://exon.niaid.nih.gov/transcriptome/S_calcitrans/S1/links/cluster-b/Scalc-pep55-50SimCLU2227.txt", 2227)</f>
        <v>2227</v>
      </c>
      <c r="EO93">
        <f>HYPERLINK("http://exon.niaid.nih.gov/transcriptome/S_calcitrans/S1/links/cluster-b/Scalc-pep55-50SimCLTL2227.txt", 2)</f>
        <v>2</v>
      </c>
      <c r="EP93" s="33">
        <f>HYPERLINK("http://exon.niaid.nih.gov/transcriptome/S_calcitrans/S1/links/cluster-b/Scalc-pep60-50SimCLU2242.txt", 2242)</f>
        <v>2242</v>
      </c>
      <c r="EQ93">
        <f>HYPERLINK("http://exon.niaid.nih.gov/transcriptome/S_calcitrans/S1/links/cluster-b/Scalc-pep60-50SimCLTL2242.txt", 2)</f>
        <v>2</v>
      </c>
      <c r="ER93" s="33">
        <f>HYPERLINK("http://exon.niaid.nih.gov/transcriptome/S_calcitrans/S1/links/cluster-b/Scalc-pep65-50SimCLU2228.txt", 2228)</f>
        <v>2228</v>
      </c>
      <c r="ES93">
        <f>HYPERLINK("http://exon.niaid.nih.gov/transcriptome/S_calcitrans/S1/links/cluster-b/Scalc-pep65-50SimCLTL2228.txt", 2)</f>
        <v>2</v>
      </c>
      <c r="ET93" s="33">
        <f>HYPERLINK("http://exon.niaid.nih.gov/transcriptome/S_calcitrans/S1/links/cluster-b/Scalc-pep70-50SimCLU2176.txt", 2176)</f>
        <v>2176</v>
      </c>
      <c r="EU93">
        <f>HYPERLINK("http://exon.niaid.nih.gov/transcriptome/S_calcitrans/S1/links/cluster-b/Scalc-pep70-50SimCLTL2176.txt", 2)</f>
        <v>2</v>
      </c>
      <c r="EV93" s="33">
        <f>HYPERLINK("http://exon.niaid.nih.gov/transcriptome/S_calcitrans/S1/links/cluster-b/Scalc-pep75-50SimCLU2119.txt", 2119)</f>
        <v>2119</v>
      </c>
      <c r="EW93">
        <f>HYPERLINK("http://exon.niaid.nih.gov/transcriptome/S_calcitrans/S1/links/cluster-b/Scalc-pep75-50SimCLTL2119.txt", 2)</f>
        <v>2</v>
      </c>
      <c r="EX93" s="33">
        <f>HYPERLINK("http://exon.niaid.nih.gov/transcriptome/S_calcitrans/S1/links/cluster-b/Scalc-pep80-50SimCLU2039.txt", 2039)</f>
        <v>2039</v>
      </c>
      <c r="EY93">
        <f>HYPERLINK("http://exon.niaid.nih.gov/transcriptome/S_calcitrans/S1/links/cluster-b/Scalc-pep80-50SimCLTL2039.txt", 2)</f>
        <v>2</v>
      </c>
      <c r="EZ93" s="33">
        <f>HYPERLINK("http://exon.niaid.nih.gov/transcriptome/S_calcitrans/S1/links/cluster-b/Scalc-pep85-50SimCLU1920.txt", 1920)</f>
        <v>1920</v>
      </c>
      <c r="FA93">
        <f>HYPERLINK("http://exon.niaid.nih.gov/transcriptome/S_calcitrans/S1/links/cluster-b/Scalc-pep85-50SimCLTL1920.txt", 2)</f>
        <v>2</v>
      </c>
      <c r="FB93" s="33">
        <f>HYPERLINK("http://exon.niaid.nih.gov/transcriptome/S_calcitrans/S1/links/cluster-b/Scalc-pep90-50SimCLU1807.txt", 1807)</f>
        <v>1807</v>
      </c>
      <c r="FC93">
        <f>HYPERLINK("http://exon.niaid.nih.gov/transcriptome/S_calcitrans/S1/links/cluster-b/Scalc-pep90-50SimCLTL1807.txt", 2)</f>
        <v>2</v>
      </c>
      <c r="FD93" s="33">
        <f>HYPERLINK("http://exon.niaid.nih.gov/transcriptome/S_calcitrans/S1/links/cluster-b/Scalc-pep95-50SimCLU1609.txt", 1609)</f>
        <v>1609</v>
      </c>
      <c r="FE93">
        <f>HYPERLINK("http://exon.niaid.nih.gov/transcriptome/S_calcitrans/S1/links/cluster-b/Scalc-pep95-50SimCLTL1609.txt", 2)</f>
        <v>2</v>
      </c>
      <c r="FF93" t="s">
        <v>1096</v>
      </c>
      <c r="FG93">
        <v>3016</v>
      </c>
      <c r="FH93" s="38" t="str">
        <f>HYPERLINK("http://exon.niaid.nih.gov/transcriptome/S_calcitrans/S1/links/SG_male-stripped_temp-95-h10-1gap/3016-SG_male-stripped_temp-95-h10-1gap.txt","32")</f>
        <v>32</v>
      </c>
      <c r="FI93" s="39">
        <v>78.006872852233698</v>
      </c>
      <c r="FJ93" s="39">
        <v>3.84707903780069</v>
      </c>
      <c r="FK93" s="39">
        <v>0</v>
      </c>
      <c r="FL93" s="39">
        <v>11</v>
      </c>
      <c r="FM93" s="39">
        <v>70.03125</v>
      </c>
      <c r="FN93" s="38" t="str">
        <f>HYPERLINK("http://exon.niaid.nih.gov/transcriptome/S_calcitrans/S1/links/SG_female-stripped_temp-95-h10-1gap/3016-SG_female-stripped_temp-95-h10-1gap.txt","81")</f>
        <v>81</v>
      </c>
      <c r="FO93" s="39">
        <v>100</v>
      </c>
      <c r="FP93" s="39">
        <v>9.9982817869415808</v>
      </c>
      <c r="FQ93" s="39">
        <v>2</v>
      </c>
      <c r="FR93" s="39">
        <v>24</v>
      </c>
      <c r="FS93" s="39">
        <v>71.839506172839506</v>
      </c>
      <c r="FT93" s="38">
        <v>0</v>
      </c>
      <c r="FU93" s="39" t="s">
        <v>242</v>
      </c>
      <c r="FV93" s="39" t="s">
        <v>242</v>
      </c>
      <c r="FW93" s="39" t="s">
        <v>242</v>
      </c>
      <c r="FX93" s="39" t="s">
        <v>242</v>
      </c>
      <c r="FY93" s="39" t="s">
        <v>242</v>
      </c>
      <c r="FZ93" s="38">
        <v>0</v>
      </c>
      <c r="GA93" s="39" t="s">
        <v>242</v>
      </c>
      <c r="GB93" s="39" t="s">
        <v>242</v>
      </c>
      <c r="GC93" s="39" t="s">
        <v>242</v>
      </c>
      <c r="GD93" s="39" t="s">
        <v>242</v>
      </c>
      <c r="GE93" s="39" t="s">
        <v>242</v>
      </c>
      <c r="GF93">
        <f t="shared" ref="GF93:GF99" si="100">1*FH93</f>
        <v>32</v>
      </c>
      <c r="GG93">
        <f t="shared" ref="GG93:GG99" si="101">1*FN93</f>
        <v>81</v>
      </c>
      <c r="GH93">
        <f t="shared" ref="GH93:GH99" si="102">1*FT93</f>
        <v>0</v>
      </c>
      <c r="GI93">
        <f t="shared" ref="GI93:GI99" si="103">1*FZ93</f>
        <v>0</v>
      </c>
      <c r="GJ93">
        <f t="shared" si="93"/>
        <v>113</v>
      </c>
      <c r="GK93" s="34">
        <v>4.3891003490111611E-4</v>
      </c>
      <c r="GL93">
        <v>1.7985767853129757</v>
      </c>
      <c r="GM93">
        <v>2.0703094952177352</v>
      </c>
      <c r="GN93">
        <v>0</v>
      </c>
      <c r="GO93">
        <v>0</v>
      </c>
      <c r="GP93">
        <f t="shared" ref="GP93:GP99" si="104">MAX(GL93:GO93)</f>
        <v>2.0703094952177352</v>
      </c>
      <c r="GQ93" t="s">
        <v>1090</v>
      </c>
      <c r="GR93">
        <v>1.4026946667839217</v>
      </c>
      <c r="GS93">
        <v>1.6992400444409848</v>
      </c>
      <c r="GT93">
        <v>0</v>
      </c>
      <c r="GU93">
        <v>0</v>
      </c>
      <c r="GV93">
        <f t="shared" ref="GV93:GV99" si="105">MAX(GR93:GU93)</f>
        <v>1.6992400444409848</v>
      </c>
      <c r="GW93">
        <v>15.509673556124532</v>
      </c>
      <c r="GX93">
        <v>113</v>
      </c>
      <c r="GY93">
        <v>0</v>
      </c>
      <c r="GZ93">
        <v>113</v>
      </c>
      <c r="HA93">
        <v>25.085965376874761</v>
      </c>
      <c r="HB93">
        <v>87.914034623125232</v>
      </c>
      <c r="HC93">
        <v>308.09567690948228</v>
      </c>
      <c r="HD93">
        <v>87.914034623125232</v>
      </c>
      <c r="HE93">
        <v>396.00971153260753</v>
      </c>
      <c r="HF93">
        <v>4.0698748630415075E-88</v>
      </c>
      <c r="HG93">
        <v>25.085965376874761</v>
      </c>
      <c r="HH93">
        <v>1</v>
      </c>
      <c r="HI93">
        <v>1</v>
      </c>
      <c r="HJ93">
        <v>2</v>
      </c>
      <c r="HK93" s="37">
        <v>9.2216977694792098E-88</v>
      </c>
      <c r="HL93" s="30" t="s">
        <v>262</v>
      </c>
      <c r="HM93">
        <v>396.00971153260747</v>
      </c>
      <c r="HN93">
        <v>0</v>
      </c>
      <c r="HO93">
        <v>32</v>
      </c>
      <c r="HP93">
        <v>81</v>
      </c>
      <c r="HQ93">
        <v>113</v>
      </c>
      <c r="HR93">
        <v>35.323341757865165</v>
      </c>
      <c r="HS93">
        <v>77.676658242134835</v>
      </c>
      <c r="HT93">
        <v>0.31267144867773206</v>
      </c>
      <c r="HU93">
        <v>0.14218686397581543</v>
      </c>
      <c r="HV93">
        <v>0.45485831265354748</v>
      </c>
      <c r="HW93">
        <v>0.50003680297061925</v>
      </c>
      <c r="HX93">
        <v>35.323341757865165</v>
      </c>
      <c r="HY93">
        <v>1</v>
      </c>
      <c r="HZ93" t="s">
        <v>244</v>
      </c>
      <c r="IA93">
        <v>1</v>
      </c>
      <c r="IB93">
        <v>0.82339481036670303</v>
      </c>
      <c r="IC93" s="30" t="s">
        <v>244</v>
      </c>
      <c r="ID93">
        <v>0.85815329842294963</v>
      </c>
      <c r="IE93">
        <v>1.1162007984541831</v>
      </c>
      <c r="IF93">
        <v>1.1162007984541831</v>
      </c>
      <c r="IG93" t="str">
        <f t="shared" si="84"/>
        <v/>
      </c>
    </row>
    <row r="94" spans="1:241">
      <c r="A94" t="str">
        <f>HYPERLINK("http://exon.niaid.nih.gov/transcriptome/S_calcitrans/S1/links/pep/XP_013118916.1-pep.txt","XP_013118916.1")</f>
        <v>XP_013118916.1</v>
      </c>
      <c r="B94" s="30" t="s">
        <v>232</v>
      </c>
      <c r="C94">
        <v>193</v>
      </c>
      <c r="D94" t="s">
        <v>1097</v>
      </c>
      <c r="E94">
        <v>0</v>
      </c>
      <c r="F94" t="s">
        <v>1098</v>
      </c>
      <c r="G94" t="str">
        <f>HYPERLINK("http://exon.niaid.nih.gov/transcriptome/S_calcitrans/S1/links/cds/XM_013263462_1-cds.txt","XM_013263462_1")</f>
        <v>XM_013263462_1</v>
      </c>
      <c r="H94">
        <v>582</v>
      </c>
      <c r="I94" t="s">
        <v>1085</v>
      </c>
      <c r="J94" s="30" t="s">
        <v>236</v>
      </c>
      <c r="K94" s="30" t="s">
        <v>91</v>
      </c>
      <c r="L94" s="31" t="s">
        <v>893</v>
      </c>
      <c r="M94" s="30">
        <v>1577636</v>
      </c>
      <c r="N94" s="30">
        <v>1578247</v>
      </c>
      <c r="O94" s="30" t="s">
        <v>276</v>
      </c>
      <c r="P94" s="30">
        <v>2</v>
      </c>
      <c r="Q94" s="31" t="s">
        <v>1099</v>
      </c>
      <c r="R94" s="32" t="str">
        <f>HYPERLINK("http://exon.niaid.nih.gov/transcriptome/S_calcitrans/S1/links/Sigp/XP_013118916.1-SigP.txt","SIG")</f>
        <v>SIG</v>
      </c>
      <c r="S94" t="s">
        <v>492</v>
      </c>
      <c r="T94">
        <v>20.291</v>
      </c>
      <c r="U94">
        <v>4.01</v>
      </c>
      <c r="V94">
        <v>17.937999999999999</v>
      </c>
      <c r="W94">
        <v>3.95</v>
      </c>
      <c r="X94" t="s">
        <v>1087</v>
      </c>
      <c r="Y94" s="32">
        <v>0</v>
      </c>
      <c r="Z94" t="s">
        <v>242</v>
      </c>
      <c r="AA94" t="s">
        <v>242</v>
      </c>
      <c r="AB94" t="s">
        <v>242</v>
      </c>
      <c r="AC94" t="s">
        <v>242</v>
      </c>
      <c r="AD94" t="s">
        <v>242</v>
      </c>
      <c r="AE94" s="32" t="str">
        <f>HYPERLINK("http://exon.niaid.nih.gov/transcriptome/S_calcitrans/S1/links/netoglyc/XP_013118916.1-netoglyc.txt","12")</f>
        <v>12</v>
      </c>
      <c r="AF94">
        <v>6.7</v>
      </c>
      <c r="AG94">
        <v>7.8</v>
      </c>
      <c r="AH94">
        <v>11.4</v>
      </c>
      <c r="AI94" t="s">
        <v>243</v>
      </c>
      <c r="AJ94" t="s">
        <v>242</v>
      </c>
      <c r="AK94">
        <v>396.00971153260747</v>
      </c>
      <c r="AL94" s="33">
        <f>HYPERLINK("http://exon.niaid.nih.gov/transcriptome/S_calcitrans/S1/links/cluster-b/Scalc-pep95-50SimCLU1609.txt", 1609)</f>
        <v>1609</v>
      </c>
      <c r="AM94">
        <f>HYPERLINK("http://exon.niaid.nih.gov/transcriptome/S_calcitrans/S1/links/cluster-b/Scalc-pep95-50SimCLTL1609.txt", 2)</f>
        <v>2</v>
      </c>
      <c r="AN94" s="30">
        <f t="shared" si="83"/>
        <v>1</v>
      </c>
      <c r="AO94" s="30">
        <v>1</v>
      </c>
      <c r="AP94">
        <v>113</v>
      </c>
      <c r="AQ94" s="34">
        <v>4.3891003490111611E-4</v>
      </c>
      <c r="AR94" s="35">
        <v>15.509673556124532</v>
      </c>
      <c r="AS94" t="s">
        <v>1100</v>
      </c>
      <c r="AT94" s="36" t="s">
        <v>1089</v>
      </c>
      <c r="AU94" t="s">
        <v>1090</v>
      </c>
      <c r="AV94" t="str">
        <f>HYPERLINK("http://exon.niaid.nih.gov/transcriptome/S_calcitrans/S1/links/REFSEQ-INVERTEBRATE/XP_013118916.1-REFSEQ-INVERTEBRATE.txt","REFSEQ-INVERTEBRATE")</f>
        <v>REFSEQ-INVERTEBRATE</v>
      </c>
      <c r="AW94">
        <v>0</v>
      </c>
      <c r="AX94">
        <v>100</v>
      </c>
      <c r="AY94" s="33"/>
      <c r="BG94" s="31"/>
      <c r="BJ94" s="33"/>
      <c r="BK94" s="33"/>
      <c r="BL94" s="33" t="str">
        <f>HYPERLINK("http://exon.niaid.nih.gov/transcriptome/S_calcitrans/S1/links/NR-LIGHT/XP_013118916.1-NR-LIGHT.txt","uncharacterized abhydrolase domain-containing protein DDB_G0269086-like isoform")</f>
        <v>uncharacterized abhydrolase domain-containing protein DDB_G0269086-like isoform</v>
      </c>
      <c r="BM94" t="str">
        <f>HYPERLINK("http://www.ncbi.nlm.nih.gov/sutils/blink.cgi?pid=755894017","4E-021")</f>
        <v>4E-021</v>
      </c>
      <c r="BN94" t="str">
        <f>HYPERLINK("http://www.ncbi.nlm.nih.gov/protein/755894017","gi|755894017")</f>
        <v>gi|755894017</v>
      </c>
      <c r="BO94">
        <v>43</v>
      </c>
      <c r="BP94">
        <v>52</v>
      </c>
      <c r="BQ94">
        <v>84</v>
      </c>
      <c r="BR94" t="s">
        <v>251</v>
      </c>
      <c r="BS94" s="33" t="str">
        <f>HYPERLINK("http://exon.niaid.nih.gov/transcriptome/S_calcitrans/S1/links/SWISSP/XP_013118916.1-SWISSP.txt","Transcriptional regulator ICP22 homolog")</f>
        <v>Transcriptional regulator ICP22 homolog</v>
      </c>
      <c r="BT94" t="str">
        <f>HYPERLINK("http://www.uniprot.org/uniprot/Q01042","6E-013")</f>
        <v>6E-013</v>
      </c>
      <c r="BU94" t="str">
        <f>HYPERLINK("http://www.uniprot.org/uniprot/Q01042#expression","Q01042")</f>
        <v>Q01042</v>
      </c>
      <c r="BV94">
        <v>33</v>
      </c>
      <c r="BW94">
        <v>44</v>
      </c>
      <c r="BX94">
        <v>46</v>
      </c>
      <c r="BY94" t="s">
        <v>1091</v>
      </c>
      <c r="BZ94" s="33" t="str">
        <f>HYPERLINK("http://exon.niaid.nih.gov/transcriptome/S_calcitrans/S1/links/REFSEQ-INVERTEBRATE/XP_013118916.1-REFSEQ-INVERTEBRATE.txt","cytochrome c1-like isoform X2")</f>
        <v>cytochrome c1-like isoform X2</v>
      </c>
      <c r="CA94" t="str">
        <f>HYPERLINK("http://www.ncbi.nlm.nih.gov/sutils/blink.cgi?pid=907614772","1E-106")</f>
        <v>1E-106</v>
      </c>
      <c r="CB94" t="str">
        <f>HYPERLINK("http://www.ncbi.nlm.nih.gov/protein/907614772","gi|907614772")</f>
        <v>gi|907614772</v>
      </c>
      <c r="CC94">
        <v>100</v>
      </c>
      <c r="CD94">
        <v>100</v>
      </c>
      <c r="CE94">
        <v>100</v>
      </c>
      <c r="CF94" t="s">
        <v>253</v>
      </c>
      <c r="CG94" s="33" t="str">
        <f>HYPERLINK("http://exon.niaid.nih.gov/transcriptome/S_calcitrans/S1/links/DIPTERA/XP_013118916.1-DIPTERA.txt","cytochrome c1-like isoform X1")</f>
        <v>cytochrome c1-like isoform X1</v>
      </c>
      <c r="CH94" t="str">
        <f>HYPERLINK("http://www.ncbi.nlm.nih.gov/sutils/blink.cgi?pid=907614770","1E-106")</f>
        <v>1E-106</v>
      </c>
      <c r="CI94" t="str">
        <f>HYPERLINK("http://www.ncbi.nlm.nih.gov/protein/907614770","gi|907614770")</f>
        <v>gi|907614770</v>
      </c>
      <c r="CJ94">
        <v>100</v>
      </c>
      <c r="CK94">
        <v>100</v>
      </c>
      <c r="CL94">
        <v>100</v>
      </c>
      <c r="CM94" t="s">
        <v>253</v>
      </c>
      <c r="CN94" s="33" t="str">
        <f>HYPERLINK("http://exon.niaid.nih.gov/transcriptome/S_calcitrans/S1/links/VIRUS/XP_013118916.1-VIRUS.txt","unnamed protein product")</f>
        <v>unnamed protein product</v>
      </c>
      <c r="CO94" t="str">
        <f>HYPERLINK("http://www.ncbi.nlm.nih.gov/sutils/blink.cgi?pid=9626029","2E-013")</f>
        <v>2E-013</v>
      </c>
      <c r="CP94" t="str">
        <f>HYPERLINK("http://www.ncbi.nlm.nih.gov/protein/9626029","gi|9626029")</f>
        <v>gi|9626029</v>
      </c>
      <c r="CQ94">
        <v>33</v>
      </c>
      <c r="CR94">
        <v>44</v>
      </c>
      <c r="CS94">
        <v>46</v>
      </c>
      <c r="CT94" t="s">
        <v>1092</v>
      </c>
      <c r="CU94" s="33" t="s">
        <v>1093</v>
      </c>
      <c r="CV94">
        <f>HYPERLINK("http://exon.niaid.nih.gov/transcriptome/S_calcitrans/S1/links/GO/XP_013118916.1-GO.txt",0.00000000000004)</f>
        <v>4E-14</v>
      </c>
      <c r="CW94" t="str">
        <f>HYPERLINK("http://amigo.geneontology.org/cgi-bin/amigo/term_details?term=GO:0003674","GO:0003674")</f>
        <v>GO:0003674</v>
      </c>
      <c r="CX94" t="s">
        <v>255</v>
      </c>
      <c r="CY94" t="s">
        <v>256</v>
      </c>
      <c r="CZ94" t="s">
        <v>257</v>
      </c>
      <c r="DA94" t="s">
        <v>242</v>
      </c>
      <c r="DD94">
        <v>4E-14</v>
      </c>
      <c r="DE94" s="33" t="str">
        <f>HYPERLINK("http://exon.niaid.nih.gov/transcriptome/S_calcitrans/S1/links/CDD/XP_013118916.1-CDD.txt","rne")</f>
        <v>rne</v>
      </c>
      <c r="DF94" t="str">
        <f>HYPERLINK("http://www.ncbi.nlm.nih.gov/Structure/cdd/cddsrv.cgi?uid=PRK10811&amp;version=v4.0","1E-006")</f>
        <v>1E-006</v>
      </c>
      <c r="DG94" t="s">
        <v>1094</v>
      </c>
      <c r="DH94" s="33" t="str">
        <f>HYPERLINK("http://exon.niaid.nih.gov/transcriptome/S_calcitrans/S1/links/KOG/XP_013118916.1-KOG.txt","RasGAP SH3 binding protein rasputin, contains NTF2 and RRM domains")</f>
        <v>RasGAP SH3 binding protein rasputin, contains NTF2 and RRM domains</v>
      </c>
      <c r="DI94" t="str">
        <f>HYPERLINK("http://www.ncbi.nlm.nih.gov/Structure/cdd/cddsrv.cgi?uid=KOG0116","1E-004")</f>
        <v>1E-004</v>
      </c>
      <c r="DJ94" t="s">
        <v>1095</v>
      </c>
      <c r="DK94" t="str">
        <f>HYPERLINK("http://exon.niaid.nih.gov/transcriptome/S_calcitrans/S1/links/KOG/XP_013118916.1-KOG.txt","KOG0116")</f>
        <v>KOG0116</v>
      </c>
      <c r="DL94" s="33" t="str">
        <f>HYPERLINK("http://exon.niaid.nih.gov/transcriptome/S_calcitrans/S1/links/PFAM/XP_013118916.1-PFAM.txt","Nop14")</f>
        <v>Nop14</v>
      </c>
      <c r="DM94" t="str">
        <f>HYPERLINK("http://pfam.sanger.ac.uk/family?acc=PF04147","6E-004")</f>
        <v>6E-004</v>
      </c>
      <c r="DN94" s="33" t="str">
        <f>HYPERLINK("http://exon.niaid.nih.gov/transcriptome/S_calcitrans/S1/links/SMART/XP_013118916.1-SMART.txt","AgrB")</f>
        <v>AgrB</v>
      </c>
      <c r="DO94" t="str">
        <f>HYPERLINK("http://smart.embl-heidelberg.de/smart/do_annotation.pl?DOMAIN=AgrB&amp;BLAST=DUMMY","0.26")</f>
        <v>0.26</v>
      </c>
      <c r="DP94" s="33"/>
      <c r="EB94" s="33">
        <f>HYPERLINK("http://exon.niaid.nih.gov/transcriptome/S_calcitrans/S1/links/cluster-b/Scalc-pep25-50SimCLU1.txt", 1)</f>
        <v>1</v>
      </c>
      <c r="EC94">
        <f>HYPERLINK("http://exon.niaid.nih.gov/transcriptome/S_calcitrans/S1/links/cluster-b/Scalc-pep25-50SimCLTL1.txt", 5170)</f>
        <v>5170</v>
      </c>
      <c r="ED94" s="33">
        <f>HYPERLINK("http://exon.niaid.nih.gov/transcriptome/S_calcitrans/S1/links/cluster-b/Scalc-pep30-50SimCLU1.txt", 1)</f>
        <v>1</v>
      </c>
      <c r="EE94">
        <f>HYPERLINK("http://exon.niaid.nih.gov/transcriptome/S_calcitrans/S1/links/cluster-b/Scalc-pep30-50SimCLTL1.txt", 1550)</f>
        <v>1550</v>
      </c>
      <c r="EF94" s="33">
        <f>HYPERLINK("http://exon.niaid.nih.gov/transcriptome/S_calcitrans/S1/links/cluster-b/Scalc-pep35-50SimCLU1.txt", 1)</f>
        <v>1</v>
      </c>
      <c r="EG94">
        <f>HYPERLINK("http://exon.niaid.nih.gov/transcriptome/S_calcitrans/S1/links/cluster-b/Scalc-pep35-50SimCLTL1.txt", 566)</f>
        <v>566</v>
      </c>
      <c r="EH94" s="33">
        <f>HYPERLINK("http://exon.niaid.nih.gov/transcriptome/S_calcitrans/S1/links/cluster-b/Scalc-pep40-50SimCLU1.txt", 1)</f>
        <v>1</v>
      </c>
      <c r="EI94">
        <f>HYPERLINK("http://exon.niaid.nih.gov/transcriptome/S_calcitrans/S1/links/cluster-b/Scalc-pep40-50SimCLTL1.txt", 404)</f>
        <v>404</v>
      </c>
      <c r="EJ94" s="33">
        <f>HYPERLINK("http://exon.niaid.nih.gov/transcriptome/S_calcitrans/S1/links/cluster-b/Scalc-pep45-50SimCLU2167.txt", 2167)</f>
        <v>2167</v>
      </c>
      <c r="EK94">
        <f>HYPERLINK("http://exon.niaid.nih.gov/transcriptome/S_calcitrans/S1/links/cluster-b/Scalc-pep45-50SimCLTL2167.txt", 2)</f>
        <v>2</v>
      </c>
      <c r="EL94" s="33">
        <f>HYPERLINK("http://exon.niaid.nih.gov/transcriptome/S_calcitrans/S1/links/cluster-b/Scalc-pep50-50SimCLU2202.txt", 2202)</f>
        <v>2202</v>
      </c>
      <c r="EM94">
        <f>HYPERLINK("http://exon.niaid.nih.gov/transcriptome/S_calcitrans/S1/links/cluster-b/Scalc-pep50-50SimCLTL2202.txt", 2)</f>
        <v>2</v>
      </c>
      <c r="EN94" s="33">
        <f>HYPERLINK("http://exon.niaid.nih.gov/transcriptome/S_calcitrans/S1/links/cluster-b/Scalc-pep55-50SimCLU2227.txt", 2227)</f>
        <v>2227</v>
      </c>
      <c r="EO94">
        <f>HYPERLINK("http://exon.niaid.nih.gov/transcriptome/S_calcitrans/S1/links/cluster-b/Scalc-pep55-50SimCLTL2227.txt", 2)</f>
        <v>2</v>
      </c>
      <c r="EP94" s="33">
        <f>HYPERLINK("http://exon.niaid.nih.gov/transcriptome/S_calcitrans/S1/links/cluster-b/Scalc-pep60-50SimCLU2242.txt", 2242)</f>
        <v>2242</v>
      </c>
      <c r="EQ94">
        <f>HYPERLINK("http://exon.niaid.nih.gov/transcriptome/S_calcitrans/S1/links/cluster-b/Scalc-pep60-50SimCLTL2242.txt", 2)</f>
        <v>2</v>
      </c>
      <c r="ER94" s="33">
        <f>HYPERLINK("http://exon.niaid.nih.gov/transcriptome/S_calcitrans/S1/links/cluster-b/Scalc-pep65-50SimCLU2228.txt", 2228)</f>
        <v>2228</v>
      </c>
      <c r="ES94">
        <f>HYPERLINK("http://exon.niaid.nih.gov/transcriptome/S_calcitrans/S1/links/cluster-b/Scalc-pep65-50SimCLTL2228.txt", 2)</f>
        <v>2</v>
      </c>
      <c r="ET94" s="33">
        <f>HYPERLINK("http://exon.niaid.nih.gov/transcriptome/S_calcitrans/S1/links/cluster-b/Scalc-pep70-50SimCLU2176.txt", 2176)</f>
        <v>2176</v>
      </c>
      <c r="EU94">
        <f>HYPERLINK("http://exon.niaid.nih.gov/transcriptome/S_calcitrans/S1/links/cluster-b/Scalc-pep70-50SimCLTL2176.txt", 2)</f>
        <v>2</v>
      </c>
      <c r="EV94" s="33">
        <f>HYPERLINK("http://exon.niaid.nih.gov/transcriptome/S_calcitrans/S1/links/cluster-b/Scalc-pep75-50SimCLU2119.txt", 2119)</f>
        <v>2119</v>
      </c>
      <c r="EW94">
        <f>HYPERLINK("http://exon.niaid.nih.gov/transcriptome/S_calcitrans/S1/links/cluster-b/Scalc-pep75-50SimCLTL2119.txt", 2)</f>
        <v>2</v>
      </c>
      <c r="EX94" s="33">
        <f>HYPERLINK("http://exon.niaid.nih.gov/transcriptome/S_calcitrans/S1/links/cluster-b/Scalc-pep80-50SimCLU2039.txt", 2039)</f>
        <v>2039</v>
      </c>
      <c r="EY94">
        <f>HYPERLINK("http://exon.niaid.nih.gov/transcriptome/S_calcitrans/S1/links/cluster-b/Scalc-pep80-50SimCLTL2039.txt", 2)</f>
        <v>2</v>
      </c>
      <c r="EZ94" s="33">
        <f>HYPERLINK("http://exon.niaid.nih.gov/transcriptome/S_calcitrans/S1/links/cluster-b/Scalc-pep85-50SimCLU1920.txt", 1920)</f>
        <v>1920</v>
      </c>
      <c r="FA94">
        <f>HYPERLINK("http://exon.niaid.nih.gov/transcriptome/S_calcitrans/S1/links/cluster-b/Scalc-pep85-50SimCLTL1920.txt", 2)</f>
        <v>2</v>
      </c>
      <c r="FB94" s="33">
        <f>HYPERLINK("http://exon.niaid.nih.gov/transcriptome/S_calcitrans/S1/links/cluster-b/Scalc-pep90-50SimCLU1807.txt", 1807)</f>
        <v>1807</v>
      </c>
      <c r="FC94">
        <f>HYPERLINK("http://exon.niaid.nih.gov/transcriptome/S_calcitrans/S1/links/cluster-b/Scalc-pep90-50SimCLTL1807.txt", 2)</f>
        <v>2</v>
      </c>
      <c r="FD94" s="33">
        <f>HYPERLINK("http://exon.niaid.nih.gov/transcriptome/S_calcitrans/S1/links/cluster-b/Scalc-pep95-50SimCLU1609.txt", 1609)</f>
        <v>1609</v>
      </c>
      <c r="FE94">
        <f>HYPERLINK("http://exon.niaid.nih.gov/transcriptome/S_calcitrans/S1/links/cluster-b/Scalc-pep95-50SimCLTL1609.txt", 2)</f>
        <v>2</v>
      </c>
      <c r="FF94" t="s">
        <v>1101</v>
      </c>
      <c r="FG94">
        <v>3015</v>
      </c>
      <c r="FH94" s="38" t="str">
        <f>HYPERLINK("http://exon.niaid.nih.gov/transcriptome/S_calcitrans/S1/links/SG_male-stripped_temp-95-h10-1gap/3015-SG_male-stripped_temp-95-h10-1gap.txt","32")</f>
        <v>32</v>
      </c>
      <c r="FI94" s="39">
        <v>78.006872852233698</v>
      </c>
      <c r="FJ94" s="39">
        <v>3.84707903780069</v>
      </c>
      <c r="FK94" s="39">
        <v>0</v>
      </c>
      <c r="FL94" s="39">
        <v>11</v>
      </c>
      <c r="FM94" s="39">
        <v>70.03125</v>
      </c>
      <c r="FN94" s="38" t="str">
        <f>HYPERLINK("http://exon.niaid.nih.gov/transcriptome/S_calcitrans/S1/links/SG_female-stripped_temp-95-h10-1gap/3015-SG_female-stripped_temp-95-h10-1gap.txt","81")</f>
        <v>81</v>
      </c>
      <c r="FO94" s="39">
        <v>100</v>
      </c>
      <c r="FP94" s="39">
        <v>9.9982817869415808</v>
      </c>
      <c r="FQ94" s="39">
        <v>2</v>
      </c>
      <c r="FR94" s="39">
        <v>24</v>
      </c>
      <c r="FS94" s="39">
        <v>71.839506172839506</v>
      </c>
      <c r="FT94" s="38">
        <v>0</v>
      </c>
      <c r="FU94" s="39" t="s">
        <v>242</v>
      </c>
      <c r="FV94" s="39" t="s">
        <v>242</v>
      </c>
      <c r="FW94" s="39" t="s">
        <v>242</v>
      </c>
      <c r="FX94" s="39" t="s">
        <v>242</v>
      </c>
      <c r="FY94" s="39" t="s">
        <v>242</v>
      </c>
      <c r="FZ94" s="38">
        <v>0</v>
      </c>
      <c r="GA94" s="39" t="s">
        <v>242</v>
      </c>
      <c r="GB94" s="39" t="s">
        <v>242</v>
      </c>
      <c r="GC94" s="39" t="s">
        <v>242</v>
      </c>
      <c r="GD94" s="39" t="s">
        <v>242</v>
      </c>
      <c r="GE94" s="39" t="s">
        <v>242</v>
      </c>
      <c r="GF94">
        <f t="shared" si="100"/>
        <v>32</v>
      </c>
      <c r="GG94">
        <f t="shared" si="101"/>
        <v>81</v>
      </c>
      <c r="GH94">
        <f t="shared" si="102"/>
        <v>0</v>
      </c>
      <c r="GI94">
        <f t="shared" si="103"/>
        <v>0</v>
      </c>
      <c r="GJ94">
        <f t="shared" si="93"/>
        <v>113</v>
      </c>
      <c r="GK94" s="34">
        <v>4.3891003490111611E-4</v>
      </c>
      <c r="GL94">
        <v>1.7985767853129757</v>
      </c>
      <c r="GM94">
        <v>2.0703094952177352</v>
      </c>
      <c r="GN94">
        <v>0</v>
      </c>
      <c r="GO94">
        <v>0</v>
      </c>
      <c r="GP94">
        <f t="shared" si="104"/>
        <v>2.0703094952177352</v>
      </c>
      <c r="GQ94" t="s">
        <v>1090</v>
      </c>
      <c r="GR94">
        <v>1.4026946667839217</v>
      </c>
      <c r="GS94">
        <v>1.6992400444409848</v>
      </c>
      <c r="GT94">
        <v>0</v>
      </c>
      <c r="GU94">
        <v>0</v>
      </c>
      <c r="GV94">
        <f t="shared" si="105"/>
        <v>1.6992400444409848</v>
      </c>
      <c r="GW94">
        <v>15.509673556124532</v>
      </c>
      <c r="GX94">
        <v>113</v>
      </c>
      <c r="GY94">
        <v>0</v>
      </c>
      <c r="GZ94">
        <v>113</v>
      </c>
      <c r="HA94">
        <v>25.085965376874761</v>
      </c>
      <c r="HB94">
        <v>87.914034623125232</v>
      </c>
      <c r="HC94">
        <v>308.09567690948228</v>
      </c>
      <c r="HD94">
        <v>87.914034623125232</v>
      </c>
      <c r="HE94">
        <v>396.00971153260753</v>
      </c>
      <c r="HF94">
        <v>4.0698748630415075E-88</v>
      </c>
      <c r="HG94">
        <v>25.085965376874761</v>
      </c>
      <c r="HH94">
        <v>1</v>
      </c>
      <c r="HI94">
        <v>1</v>
      </c>
      <c r="HJ94">
        <v>2</v>
      </c>
      <c r="HK94" s="37">
        <v>9.2216977694792098E-88</v>
      </c>
      <c r="HL94" s="30" t="s">
        <v>262</v>
      </c>
      <c r="HM94">
        <v>396.00971153260747</v>
      </c>
      <c r="HN94">
        <v>0</v>
      </c>
      <c r="HO94">
        <v>32</v>
      </c>
      <c r="HP94">
        <v>81</v>
      </c>
      <c r="HQ94">
        <v>113</v>
      </c>
      <c r="HR94">
        <v>35.323341757865165</v>
      </c>
      <c r="HS94">
        <v>77.676658242134835</v>
      </c>
      <c r="HT94">
        <v>0.31267144867773206</v>
      </c>
      <c r="HU94">
        <v>0.14218686397581543</v>
      </c>
      <c r="HV94">
        <v>0.45485831265354748</v>
      </c>
      <c r="HW94">
        <v>0.50003680297061925</v>
      </c>
      <c r="HX94">
        <v>35.323341757865165</v>
      </c>
      <c r="HY94">
        <v>1</v>
      </c>
      <c r="HZ94" t="s">
        <v>244</v>
      </c>
      <c r="IA94">
        <v>1</v>
      </c>
      <c r="IB94">
        <v>0.82339481036670303</v>
      </c>
      <c r="IC94" s="30" t="s">
        <v>244</v>
      </c>
      <c r="ID94">
        <v>0.85815329842294963</v>
      </c>
      <c r="IE94">
        <v>1.1162007984541831</v>
      </c>
      <c r="IF94">
        <v>1.1162007984541831</v>
      </c>
      <c r="IG94" t="str">
        <f t="shared" si="84"/>
        <v/>
      </c>
    </row>
    <row r="95" spans="1:241">
      <c r="A95" t="str">
        <f>HYPERLINK("http://exon.niaid.nih.gov/transcriptome/S_calcitrans/S1/links/pep/XP_013110732.1-pep.txt","XP_013110732.1")</f>
        <v>XP_013110732.1</v>
      </c>
      <c r="B95" s="30" t="s">
        <v>232</v>
      </c>
      <c r="C95">
        <v>82</v>
      </c>
      <c r="D95" t="s">
        <v>1102</v>
      </c>
      <c r="E95">
        <v>0</v>
      </c>
      <c r="F95" t="s">
        <v>1103</v>
      </c>
      <c r="G95" t="str">
        <f>HYPERLINK("http://exon.niaid.nih.gov/transcriptome/S_calcitrans/S1/links/cds/XM_013255278_1-cds.txt","XM_013255278_1")</f>
        <v>XM_013255278_1</v>
      </c>
      <c r="H95">
        <v>249</v>
      </c>
      <c r="I95" t="s">
        <v>1104</v>
      </c>
      <c r="J95" s="30" t="s">
        <v>236</v>
      </c>
      <c r="K95" s="30" t="s">
        <v>91</v>
      </c>
      <c r="L95" s="31" t="s">
        <v>1105</v>
      </c>
      <c r="M95" s="30">
        <v>1936444</v>
      </c>
      <c r="N95" s="30">
        <v>1936754</v>
      </c>
      <c r="O95" s="30" t="s">
        <v>276</v>
      </c>
      <c r="P95" s="30">
        <v>2</v>
      </c>
      <c r="Q95" s="31" t="s">
        <v>1106</v>
      </c>
      <c r="R95" s="32" t="str">
        <f>HYPERLINK("http://exon.niaid.nih.gov/transcriptome/S_calcitrans/S1/links/Sigp/XP_013110732.1-SigP.txt","SIG")</f>
        <v>SIG</v>
      </c>
      <c r="S95" t="s">
        <v>1107</v>
      </c>
      <c r="T95">
        <v>9.4019999999999992</v>
      </c>
      <c r="U95">
        <v>9.4499999999999993</v>
      </c>
      <c r="V95">
        <v>6.819</v>
      </c>
      <c r="W95">
        <v>9.23</v>
      </c>
      <c r="X95" t="s">
        <v>1108</v>
      </c>
      <c r="Y95" s="32" t="str">
        <f>HYPERLINK("http://exon.niaid.nih.gov/transcriptome/S_calcitrans/S1/links/tmhmm/XP_013110732.1-tmhmm.txt","1")</f>
        <v>1</v>
      </c>
      <c r="Z95">
        <v>22</v>
      </c>
      <c r="AA95">
        <v>69.5</v>
      </c>
      <c r="AB95">
        <v>8.5</v>
      </c>
      <c r="AC95" t="s">
        <v>242</v>
      </c>
      <c r="AD95">
        <v>57</v>
      </c>
      <c r="AE95" s="32" t="str">
        <f>HYPERLINK("http://exon.niaid.nih.gov/transcriptome/S_calcitrans/S1/links/netoglyc/XP_013110732.1-netoglyc.txt","0")</f>
        <v>0</v>
      </c>
      <c r="AF95">
        <v>14.6</v>
      </c>
      <c r="AG95">
        <v>6.1</v>
      </c>
      <c r="AH95" t="s">
        <v>460</v>
      </c>
      <c r="AI95" t="s">
        <v>243</v>
      </c>
      <c r="AJ95" t="s">
        <v>242</v>
      </c>
      <c r="AK95">
        <v>384.32800912751583</v>
      </c>
      <c r="AL95" s="33">
        <v>3977</v>
      </c>
      <c r="AM95">
        <v>1</v>
      </c>
      <c r="AN95" s="30">
        <f t="shared" si="83"/>
        <v>1</v>
      </c>
      <c r="AO95" s="30" t="s">
        <v>244</v>
      </c>
      <c r="AP95">
        <v>329</v>
      </c>
      <c r="AQ95" s="34">
        <v>1.2778885086944E-3</v>
      </c>
      <c r="AR95" s="35">
        <v>84.040393284220599</v>
      </c>
      <c r="AS95" t="s">
        <v>1109</v>
      </c>
      <c r="AT95" s="36" t="s">
        <v>1110</v>
      </c>
      <c r="AU95" t="s">
        <v>1090</v>
      </c>
      <c r="AV95" t="str">
        <f>HYPERLINK("http://exon.niaid.nih.gov/transcriptome/S_calcitrans/S1/links/DIPTERA/XP_013110732.1-DIPTERA.txt","DIPTERA")</f>
        <v>DIPTERA</v>
      </c>
      <c r="AW95" s="37">
        <v>9.0000000000000002E-39</v>
      </c>
      <c r="AX95">
        <v>100</v>
      </c>
      <c r="AY95" s="33"/>
      <c r="BG95" s="31"/>
      <c r="BJ95" s="33"/>
      <c r="BK95" s="33"/>
      <c r="BL95" s="33" t="str">
        <f>HYPERLINK("http://exon.niaid.nih.gov/transcriptome/S_calcitrans/S1/links/NR-LIGHT/XP_013110732.1-NR-LIGHT.txt","protein PET117 homolog, mitochondrial")</f>
        <v>protein PET117 homolog, mitochondrial</v>
      </c>
      <c r="BM95" t="str">
        <f>HYPERLINK("http://www.ncbi.nlm.nih.gov/sutils/blink.cgi?pid=557773562","3E-031")</f>
        <v>3E-031</v>
      </c>
      <c r="BN95" t="str">
        <f>HYPERLINK("http://www.ncbi.nlm.nih.gov/protein/557773562","gi|557773562")</f>
        <v>gi|557773562</v>
      </c>
      <c r="BO95">
        <v>86</v>
      </c>
      <c r="BP95">
        <v>93</v>
      </c>
      <c r="BQ95">
        <v>99</v>
      </c>
      <c r="BR95" t="s">
        <v>251</v>
      </c>
      <c r="BS95" s="33" t="str">
        <f>HYPERLINK("http://exon.niaid.nih.gov/transcriptome/S_calcitrans/S1/links/SWISSP/XP_013110732.1-SWISSP.txt","Protein PET117 homolog, mitochondrial")</f>
        <v>Protein PET117 homolog, mitochondrial</v>
      </c>
      <c r="BT95" t="str">
        <f>HYPERLINK("http://www.uniprot.org/uniprot/P0DJF2","1E-011")</f>
        <v>1E-011</v>
      </c>
      <c r="BU95" t="str">
        <f>HYPERLINK("http://www.uniprot.org/uniprot/P0DJF2#expression","P0DJF2")</f>
        <v>P0DJF2</v>
      </c>
      <c r="BV95">
        <v>45</v>
      </c>
      <c r="BW95">
        <v>69</v>
      </c>
      <c r="BX95">
        <v>101</v>
      </c>
      <c r="BY95" t="s">
        <v>620</v>
      </c>
      <c r="BZ95" s="33" t="str">
        <f>HYPERLINK("http://exon.niaid.nih.gov/transcriptome/S_calcitrans/S1/links/REFSEQ-INVERTEBRATE/XP_013110732.1-REFSEQ-INVERTEBRATE.txt","protein PET117 homolog, mitochondrial")</f>
        <v>protein PET117 homolog, mitochondrial</v>
      </c>
      <c r="CA95" t="str">
        <f>HYPERLINK("http://www.ncbi.nlm.nih.gov/sutils/blink.cgi?pid=907605933","2E-038")</f>
        <v>2E-038</v>
      </c>
      <c r="CB95" t="str">
        <f>HYPERLINK("http://www.ncbi.nlm.nih.gov/protein/907605933","gi|907605933")</f>
        <v>gi|907605933</v>
      </c>
      <c r="CC95">
        <v>100</v>
      </c>
      <c r="CD95">
        <v>100</v>
      </c>
      <c r="CE95">
        <v>100</v>
      </c>
      <c r="CF95" t="s">
        <v>253</v>
      </c>
      <c r="CG95" s="33" t="str">
        <f>HYPERLINK("http://exon.niaid.nih.gov/transcriptome/S_calcitrans/S1/links/DIPTERA/XP_013110732.1-DIPTERA.txt","protein PET117 homolog, mitochondrial")</f>
        <v>protein PET117 homolog, mitochondrial</v>
      </c>
      <c r="CH95" t="str">
        <f>HYPERLINK("http://www.ncbi.nlm.nih.gov/sutils/blink.cgi?pid=907605933","9E-039")</f>
        <v>9E-039</v>
      </c>
      <c r="CI95" t="str">
        <f>HYPERLINK("http://www.ncbi.nlm.nih.gov/protein/907605933","gi|907605933")</f>
        <v>gi|907605933</v>
      </c>
      <c r="CJ95">
        <v>100</v>
      </c>
      <c r="CK95">
        <v>100</v>
      </c>
      <c r="CL95">
        <v>100</v>
      </c>
      <c r="CM95" t="s">
        <v>253</v>
      </c>
      <c r="CN95" s="33" t="s">
        <v>242</v>
      </c>
      <c r="CO95" t="s">
        <v>242</v>
      </c>
      <c r="CP95" t="s">
        <v>242</v>
      </c>
      <c r="CQ95" t="s">
        <v>242</v>
      </c>
      <c r="CR95" t="s">
        <v>242</v>
      </c>
      <c r="CS95" t="s">
        <v>242</v>
      </c>
      <c r="CT95" t="s">
        <v>242</v>
      </c>
      <c r="CU95" s="33" t="s">
        <v>1111</v>
      </c>
      <c r="CV95">
        <f>HYPERLINK("http://exon.niaid.nih.gov/transcriptome/S_calcitrans/S1/links/GO/XP_013110732.1-GO.txt",0.0000000000000000002)</f>
        <v>2E-19</v>
      </c>
      <c r="CW95" t="str">
        <f>HYPERLINK("http://amigo.geneontology.org/cgi-bin/amigo/term_details?term=GO:0003674","GO:0003674")</f>
        <v>GO:0003674</v>
      </c>
      <c r="CX95" t="s">
        <v>255</v>
      </c>
      <c r="CY95" t="s">
        <v>256</v>
      </c>
      <c r="CZ95" t="s">
        <v>257</v>
      </c>
      <c r="DA95" t="s">
        <v>242</v>
      </c>
      <c r="DD95" s="37">
        <v>2E-19</v>
      </c>
      <c r="DE95" s="33" t="str">
        <f>HYPERLINK("http://exon.niaid.nih.gov/transcriptome/S_calcitrans/S1/links/CDD/XP_013110732.1-CDD.txt","SLC5sbd_CHT")</f>
        <v>SLC5sbd_CHT</v>
      </c>
      <c r="DF95" t="str">
        <f>HYPERLINK("http://www.ncbi.nlm.nih.gov/Structure/cdd/cddsrv.cgi?uid=cd11474&amp;version=v4.0","0.81")</f>
        <v>0.81</v>
      </c>
      <c r="DG95" t="s">
        <v>1112</v>
      </c>
      <c r="DH95" s="33" t="str">
        <f>HYPERLINK("http://exon.niaid.nih.gov/transcriptome/S_calcitrans/S1/links/KOG/XP_013110732.1-KOG.txt","Phospholipase C")</f>
        <v>Phospholipase C</v>
      </c>
      <c r="DI95" t="str">
        <f>HYPERLINK("http://www.ncbi.nlm.nih.gov/Structure/cdd/cddsrv.cgi?uid=KOG1265","0.68")</f>
        <v>0.68</v>
      </c>
      <c r="DJ95" t="s">
        <v>810</v>
      </c>
      <c r="DK95" t="str">
        <f>HYPERLINK("http://exon.niaid.nih.gov/transcriptome/S_calcitrans/S1/links/KOG/XP_013110732.1-KOG.txt","KOG1265")</f>
        <v>KOG1265</v>
      </c>
      <c r="DL95" s="33" t="str">
        <f>HYPERLINK("http://exon.niaid.nih.gov/transcriptome/S_calcitrans/S1/links/PFAM/XP_013110732.1-PFAM.txt","DUF2339")</f>
        <v>DUF2339</v>
      </c>
      <c r="DM95" t="str">
        <f>HYPERLINK("http://pfam.sanger.ac.uk/family?acc=PF10101","0.15")</f>
        <v>0.15</v>
      </c>
      <c r="DN95" s="33" t="str">
        <f>HYPERLINK("http://exon.niaid.nih.gov/transcriptome/S_calcitrans/S1/links/SMART/XP_013110732.1-SMART.txt","Alpha_TIF")</f>
        <v>Alpha_TIF</v>
      </c>
      <c r="DO95" t="str">
        <f>HYPERLINK("http://smart.embl-heidelberg.de/smart/do_annotation.pl?DOMAIN=Alpha_TIF&amp;BLAST=DUMMY","0.99")</f>
        <v>0.99</v>
      </c>
      <c r="DP95" s="33"/>
      <c r="EB95" s="33">
        <v>2706</v>
      </c>
      <c r="EC95">
        <v>1</v>
      </c>
      <c r="ED95" s="33">
        <v>3269</v>
      </c>
      <c r="EE95">
        <v>1</v>
      </c>
      <c r="EF95" s="33">
        <v>3540</v>
      </c>
      <c r="EG95">
        <v>1</v>
      </c>
      <c r="EH95" s="33">
        <v>3722</v>
      </c>
      <c r="EI95">
        <v>1</v>
      </c>
      <c r="EJ95" s="33">
        <v>3906</v>
      </c>
      <c r="EK95">
        <v>1</v>
      </c>
      <c r="EL95" s="33">
        <v>4033</v>
      </c>
      <c r="EM95">
        <v>1</v>
      </c>
      <c r="EN95" s="33">
        <v>4183</v>
      </c>
      <c r="EO95">
        <v>1</v>
      </c>
      <c r="EP95" s="33">
        <v>4275</v>
      </c>
      <c r="EQ95">
        <v>1</v>
      </c>
      <c r="ER95" s="33">
        <v>4340</v>
      </c>
      <c r="ES95">
        <v>1</v>
      </c>
      <c r="ET95" s="33">
        <v>4363</v>
      </c>
      <c r="EU95">
        <v>1</v>
      </c>
      <c r="EV95" s="33">
        <v>4351</v>
      </c>
      <c r="EW95">
        <v>1</v>
      </c>
      <c r="EX95" s="33">
        <v>4334</v>
      </c>
      <c r="EY95">
        <v>1</v>
      </c>
      <c r="EZ95" s="33">
        <v>4247</v>
      </c>
      <c r="FA95">
        <v>1</v>
      </c>
      <c r="FB95" s="33">
        <v>4144</v>
      </c>
      <c r="FC95">
        <v>1</v>
      </c>
      <c r="FD95" s="33">
        <v>3977</v>
      </c>
      <c r="FE95">
        <v>1</v>
      </c>
      <c r="FF95" t="s">
        <v>1113</v>
      </c>
      <c r="FG95">
        <v>1678</v>
      </c>
      <c r="FH95" s="38" t="str">
        <f>HYPERLINK("http://exon.niaid.nih.gov/transcriptome/S_calcitrans/S1/links/SG_male-stripped_temp-95-h10-1gap/1678-SG_male-stripped_temp-95-h10-1gap.txt","149")</f>
        <v>149</v>
      </c>
      <c r="FI95" s="39">
        <v>100</v>
      </c>
      <c r="FJ95" s="39">
        <v>43.3534136546185</v>
      </c>
      <c r="FK95" s="39">
        <v>3</v>
      </c>
      <c r="FL95" s="39">
        <v>74</v>
      </c>
      <c r="FM95" s="39">
        <v>72.449664429530202</v>
      </c>
      <c r="FN95" s="38" t="str">
        <f>HYPERLINK("http://exon.niaid.nih.gov/transcriptome/S_calcitrans/S1/links/SG_female-stripped_temp-95-h10-1gap/1678-SG_female-stripped_temp-95-h10-1gap.txt","180")</f>
        <v>180</v>
      </c>
      <c r="FO95" s="39">
        <v>100</v>
      </c>
      <c r="FP95" s="39">
        <v>52.2489959839357</v>
      </c>
      <c r="FQ95" s="39">
        <v>2</v>
      </c>
      <c r="FR95" s="39">
        <v>87</v>
      </c>
      <c r="FS95" s="39">
        <v>72.2777777777778</v>
      </c>
      <c r="FT95" s="38" t="str">
        <f>HYPERLINK("http://exon.niaid.nih.gov/transcriptome/S_calcitrans/S1/links/SRR694289-stripped_temp-95-h10-1gap/1678-SRR694289-stripped_temp-95-h10-1gap.txt","1")</f>
        <v>1</v>
      </c>
      <c r="FU95" s="39">
        <v>34.538152610441799</v>
      </c>
      <c r="FV95" s="39">
        <v>0.34538152610441802</v>
      </c>
      <c r="FW95" s="39">
        <v>0</v>
      </c>
      <c r="FX95" s="39">
        <v>1</v>
      </c>
      <c r="FY95" s="39">
        <v>86</v>
      </c>
      <c r="FZ95" s="38" t="str">
        <f>HYPERLINK("http://exon.niaid.nih.gov/transcriptome/S_calcitrans/S1/links/SRR694925-stripped_temp-95-h10-1gap/1678-SRR694925-stripped_temp-95-h10-1gap.txt","1")</f>
        <v>1</v>
      </c>
      <c r="GA95" s="39">
        <v>40.160642570281098</v>
      </c>
      <c r="GB95" s="39">
        <v>0.40160642570281102</v>
      </c>
      <c r="GC95" s="39">
        <v>0</v>
      </c>
      <c r="GD95" s="39">
        <v>1</v>
      </c>
      <c r="GE95" s="39">
        <v>100</v>
      </c>
      <c r="GF95">
        <f t="shared" si="100"/>
        <v>149</v>
      </c>
      <c r="GG95">
        <f t="shared" si="101"/>
        <v>180</v>
      </c>
      <c r="GH95">
        <f t="shared" si="102"/>
        <v>1</v>
      </c>
      <c r="GI95">
        <f t="shared" si="103"/>
        <v>1</v>
      </c>
      <c r="GJ95">
        <f t="shared" si="93"/>
        <v>329</v>
      </c>
      <c r="GK95" s="34">
        <v>1.2778885086944E-3</v>
      </c>
      <c r="GL95">
        <v>19.574420390156956</v>
      </c>
      <c r="GM95">
        <v>10.753414781050621</v>
      </c>
      <c r="GN95">
        <v>2.3085176108179867E-2</v>
      </c>
      <c r="GO95">
        <v>2.3798218425064036E-2</v>
      </c>
      <c r="GP95">
        <f t="shared" si="104"/>
        <v>19.574420390156956</v>
      </c>
      <c r="GQ95" t="s">
        <v>1090</v>
      </c>
      <c r="GR95">
        <v>15.265923207099412</v>
      </c>
      <c r="GS95">
        <v>8.8260393205234564</v>
      </c>
      <c r="GT95">
        <v>4.1614673698138926E-2</v>
      </c>
      <c r="GU95">
        <v>4.5056551722534685E-2</v>
      </c>
      <c r="GV95">
        <f t="shared" si="105"/>
        <v>15.265923207099412</v>
      </c>
      <c r="GW95">
        <v>84.040393284220599</v>
      </c>
      <c r="GX95">
        <v>329</v>
      </c>
      <c r="GY95">
        <v>2</v>
      </c>
      <c r="GZ95">
        <v>331</v>
      </c>
      <c r="HA95">
        <v>73.481898581818996</v>
      </c>
      <c r="HB95">
        <v>257.518101418181</v>
      </c>
      <c r="HC95">
        <v>888.51133969619377</v>
      </c>
      <c r="HD95">
        <v>253.53363430685164</v>
      </c>
      <c r="HE95">
        <v>1142.0449740030454</v>
      </c>
      <c r="HF95">
        <v>2.4032771738546697E-250</v>
      </c>
      <c r="HG95">
        <v>73.481898581818996</v>
      </c>
      <c r="HH95">
        <v>1</v>
      </c>
      <c r="HI95">
        <v>1</v>
      </c>
      <c r="HJ95">
        <v>2</v>
      </c>
      <c r="HK95" s="37">
        <v>8.7715956754999206E-250</v>
      </c>
      <c r="HL95" s="30" t="s">
        <v>262</v>
      </c>
      <c r="HM95">
        <v>384.32800912751583</v>
      </c>
      <c r="HN95">
        <v>1.729372954511734E-3</v>
      </c>
      <c r="HO95">
        <v>149</v>
      </c>
      <c r="HP95">
        <v>180</v>
      </c>
      <c r="HQ95">
        <v>329</v>
      </c>
      <c r="HR95">
        <v>102.84406582599681</v>
      </c>
      <c r="HS95">
        <v>226.15593417400319</v>
      </c>
      <c r="HT95">
        <v>20.714566682722523</v>
      </c>
      <c r="HU95">
        <v>9.4199175770281585</v>
      </c>
      <c r="HV95">
        <v>30.134484259750682</v>
      </c>
      <c r="HW95">
        <v>4.030993042963612E-8</v>
      </c>
      <c r="HX95">
        <v>102.84406582599681</v>
      </c>
      <c r="HY95">
        <v>1</v>
      </c>
      <c r="HZ95">
        <v>1</v>
      </c>
      <c r="IA95">
        <v>2</v>
      </c>
      <c r="IB95" s="37">
        <v>6.0613345947756198E-7</v>
      </c>
      <c r="IC95" s="30" t="s">
        <v>262</v>
      </c>
      <c r="ID95">
        <v>1.8102411947741019</v>
      </c>
      <c r="IE95">
        <v>0.54569816813315608</v>
      </c>
      <c r="IF95">
        <v>1.8102411947741019</v>
      </c>
      <c r="IG95" t="str">
        <f t="shared" si="84"/>
        <v/>
      </c>
    </row>
    <row r="96" spans="1:241">
      <c r="A96" t="str">
        <f>HYPERLINK("http://exon.niaid.nih.gov/transcriptome/S_calcitrans/S1/links/pep/XP_013098073.1-pep.txt","XP_013098073.1")</f>
        <v>XP_013098073.1</v>
      </c>
      <c r="B96" s="30" t="s">
        <v>232</v>
      </c>
      <c r="C96">
        <v>54</v>
      </c>
      <c r="D96" t="s">
        <v>1114</v>
      </c>
      <c r="E96">
        <v>0</v>
      </c>
      <c r="F96" t="s">
        <v>1115</v>
      </c>
      <c r="G96" t="str">
        <f>HYPERLINK("http://exon.niaid.nih.gov/transcriptome/S_calcitrans/S1/links/cds/XM_013242619_1-cds.txt","XM_013242619_1")</f>
        <v>XM_013242619_1</v>
      </c>
      <c r="H96">
        <v>165</v>
      </c>
      <c r="I96" t="s">
        <v>1116</v>
      </c>
      <c r="J96" s="30" t="s">
        <v>236</v>
      </c>
      <c r="K96" s="30" t="s">
        <v>91</v>
      </c>
      <c r="L96" s="31" t="s">
        <v>1117</v>
      </c>
      <c r="M96" s="30">
        <v>249180</v>
      </c>
      <c r="N96" s="30">
        <v>249419</v>
      </c>
      <c r="O96" s="30" t="s">
        <v>238</v>
      </c>
      <c r="P96" s="30">
        <v>2</v>
      </c>
      <c r="Q96" s="31" t="s">
        <v>1118</v>
      </c>
      <c r="R96" s="32" t="str">
        <f>HYPERLINK("http://exon.niaid.nih.gov/transcriptome/S_calcitrans/S1/links/Sigp/XP_013098073.1-SigP.txt","CYT")</f>
        <v>CYT</v>
      </c>
      <c r="S96" t="s">
        <v>242</v>
      </c>
      <c r="T96">
        <v>6.3869999999999996</v>
      </c>
      <c r="U96">
        <v>8.1199999999999992</v>
      </c>
      <c r="V96" t="s">
        <v>242</v>
      </c>
      <c r="W96" t="s">
        <v>242</v>
      </c>
      <c r="X96" t="s">
        <v>1119</v>
      </c>
      <c r="Y96" s="32">
        <v>0</v>
      </c>
      <c r="Z96" t="s">
        <v>242</v>
      </c>
      <c r="AA96" t="s">
        <v>242</v>
      </c>
      <c r="AB96" t="s">
        <v>242</v>
      </c>
      <c r="AC96" t="s">
        <v>242</v>
      </c>
      <c r="AD96" t="s">
        <v>242</v>
      </c>
      <c r="AE96" s="32" t="str">
        <f>HYPERLINK("http://exon.niaid.nih.gov/transcriptome/S_calcitrans/S1/links/netoglyc/XP_013098073.1-netoglyc.txt","0")</f>
        <v>0</v>
      </c>
      <c r="AF96">
        <v>9.3000000000000007</v>
      </c>
      <c r="AG96">
        <v>11.1</v>
      </c>
      <c r="AH96">
        <v>9.3000000000000007</v>
      </c>
      <c r="AI96" t="s">
        <v>243</v>
      </c>
      <c r="AJ96" t="s">
        <v>242</v>
      </c>
      <c r="AK96">
        <v>180.83275323081898</v>
      </c>
      <c r="AL96" s="33">
        <v>5359</v>
      </c>
      <c r="AM96">
        <v>1</v>
      </c>
      <c r="AN96" s="30">
        <f t="shared" si="83"/>
        <v>1</v>
      </c>
      <c r="AO96" s="30" t="s">
        <v>244</v>
      </c>
      <c r="AP96">
        <v>516</v>
      </c>
      <c r="AQ96" s="34">
        <v>2.0042263540617335E-3</v>
      </c>
      <c r="AR96" s="35">
        <v>73.29860300108146</v>
      </c>
      <c r="AS96" t="s">
        <v>1120</v>
      </c>
      <c r="AT96" s="36" t="s">
        <v>1114</v>
      </c>
      <c r="AU96" t="s">
        <v>1090</v>
      </c>
      <c r="AV96" t="str">
        <f>HYPERLINK("http://exon.niaid.nih.gov/transcriptome/S_calcitrans/S1/links/DIPTERA/XP_013098073.1-DIPTERA.txt","DIPTERA")</f>
        <v>DIPTERA</v>
      </c>
      <c r="AW96" s="37">
        <v>1E-25</v>
      </c>
      <c r="AX96">
        <v>100</v>
      </c>
      <c r="AY96" s="33"/>
      <c r="BG96" s="31"/>
      <c r="BJ96" s="33"/>
      <c r="BK96" s="33"/>
      <c r="BL96" s="33" t="str">
        <f>HYPERLINK("http://exon.niaid.nih.gov/transcriptome/S_calcitrans/S1/links/NR-LIGHT/XP_013098073.1-NR-LIGHT.txt","mitochondrial import receptor subunit TOM7 homolog")</f>
        <v>mitochondrial import receptor subunit TOM7 homolog</v>
      </c>
      <c r="BM96" t="str">
        <f>HYPERLINK("http://www.ncbi.nlm.nih.gov/sutils/blink.cgi?pid=557754669","2E-023")</f>
        <v>2E-023</v>
      </c>
      <c r="BN96" t="str">
        <f>HYPERLINK("http://www.ncbi.nlm.nih.gov/protein/557754669","gi|557754669")</f>
        <v>gi|557754669</v>
      </c>
      <c r="BO96">
        <v>92</v>
      </c>
      <c r="BP96">
        <v>98</v>
      </c>
      <c r="BQ96">
        <v>100</v>
      </c>
      <c r="BR96" t="s">
        <v>251</v>
      </c>
      <c r="BS96" s="33" t="str">
        <f>HYPERLINK("http://exon.niaid.nih.gov/transcriptome/S_calcitrans/S1/links/SWISSP/XP_013098073.1-SWISSP.txt","Mitochondrial import receptor subunit TOM7 homolog")</f>
        <v>Mitochondrial import receptor subunit TOM7 homolog</v>
      </c>
      <c r="BT96" t="str">
        <f>HYPERLINK("http://www.uniprot.org/uniprot/Q9P0U1","7E-011")</f>
        <v>7E-011</v>
      </c>
      <c r="BU96" t="str">
        <f>HYPERLINK("http://www.uniprot.org/uniprot/Q9P0U1#expression","Q9P0U1")</f>
        <v>Q9P0U1</v>
      </c>
      <c r="BV96">
        <v>50</v>
      </c>
      <c r="BW96">
        <v>78</v>
      </c>
      <c r="BX96">
        <v>93</v>
      </c>
      <c r="BY96" t="s">
        <v>353</v>
      </c>
      <c r="BZ96" s="33" t="str">
        <f>HYPERLINK("http://exon.niaid.nih.gov/transcriptome/S_calcitrans/S1/links/REFSEQ-INVERTEBRATE/XP_013098073.1-REFSEQ-INVERTEBRATE.txt","mitochondrial import receptor subunit TOM7 homolog")</f>
        <v>mitochondrial import receptor subunit TOM7 homolog</v>
      </c>
      <c r="CA96" t="str">
        <f>HYPERLINK("http://www.ncbi.nlm.nih.gov/sutils/blink.cgi?pid=907625014","3E-025")</f>
        <v>3E-025</v>
      </c>
      <c r="CB96" t="str">
        <f>HYPERLINK("http://www.ncbi.nlm.nih.gov/protein/907625014","gi|907625014")</f>
        <v>gi|907625014</v>
      </c>
      <c r="CC96">
        <v>100</v>
      </c>
      <c r="CD96">
        <v>100</v>
      </c>
      <c r="CE96">
        <v>100</v>
      </c>
      <c r="CF96" t="s">
        <v>253</v>
      </c>
      <c r="CG96" s="33" t="str">
        <f>HYPERLINK("http://exon.niaid.nih.gov/transcriptome/S_calcitrans/S1/links/DIPTERA/XP_013098073.1-DIPTERA.txt","mitochondrial import receptor subunit TOM7 homolog")</f>
        <v>mitochondrial import receptor subunit TOM7 homolog</v>
      </c>
      <c r="CH96" t="str">
        <f>HYPERLINK("http://www.ncbi.nlm.nih.gov/sutils/blink.cgi?pid=907625014","1E-025")</f>
        <v>1E-025</v>
      </c>
      <c r="CI96" t="str">
        <f>HYPERLINK("http://www.ncbi.nlm.nih.gov/protein/907625014","gi|907625014")</f>
        <v>gi|907625014</v>
      </c>
      <c r="CJ96">
        <v>100</v>
      </c>
      <c r="CK96">
        <v>100</v>
      </c>
      <c r="CL96">
        <v>100</v>
      </c>
      <c r="CM96" t="s">
        <v>253</v>
      </c>
      <c r="CN96" s="33" t="s">
        <v>242</v>
      </c>
      <c r="CO96" t="s">
        <v>242</v>
      </c>
      <c r="CP96" t="s">
        <v>242</v>
      </c>
      <c r="CQ96" t="s">
        <v>242</v>
      </c>
      <c r="CR96" t="s">
        <v>242</v>
      </c>
      <c r="CS96" t="s">
        <v>242</v>
      </c>
      <c r="CT96" t="s">
        <v>242</v>
      </c>
      <c r="CU96" s="33" t="s">
        <v>1121</v>
      </c>
      <c r="CV96">
        <f>HYPERLINK("http://exon.niaid.nih.gov/transcriptome/S_calcitrans/S1/links/GO/XP_013098073.1-GO.txt",0.00000000000000001)</f>
        <v>1.0000000000000001E-17</v>
      </c>
      <c r="CW96" t="str">
        <f>HYPERLINK("http://amigo.geneontology.org/cgi-bin/amigo/term_details?term=GO:0015266","GO:0015266")</f>
        <v>GO:0015266</v>
      </c>
      <c r="CX96" t="s">
        <v>1122</v>
      </c>
      <c r="CY96" t="s">
        <v>1123</v>
      </c>
      <c r="CZ96" t="s">
        <v>242</v>
      </c>
      <c r="DA96" t="s">
        <v>242</v>
      </c>
      <c r="DC96" t="s">
        <v>1124</v>
      </c>
      <c r="DD96" s="37">
        <v>1.0000000000000001E-17</v>
      </c>
      <c r="DE96" s="33" t="str">
        <f>HYPERLINK("http://exon.niaid.nih.gov/transcriptome/S_calcitrans/S1/links/CDD/XP_013098073.1-CDD.txt","Tom7")</f>
        <v>Tom7</v>
      </c>
      <c r="DF96" t="str">
        <f>HYPERLINK("http://www.ncbi.nlm.nih.gov/Structure/cdd/cddsrv.cgi?uid=pfam08038&amp;version=v4.0","9E-009")</f>
        <v>9E-009</v>
      </c>
      <c r="DG96" t="s">
        <v>1125</v>
      </c>
      <c r="DH96" s="33" t="str">
        <f>HYPERLINK("http://exon.niaid.nih.gov/transcriptome/S_calcitrans/S1/links/KOG/XP_013098073.1-KOG.txt","Translocase of outer mitochondrial membrane complex, subunit TOM7")</f>
        <v>Translocase of outer mitochondrial membrane complex, subunit TOM7</v>
      </c>
      <c r="DI96" t="str">
        <f>HYPERLINK("http://www.ncbi.nlm.nih.gov/Structure/cdd/cddsrv.cgi?uid=KOG4449","3E-010")</f>
        <v>3E-010</v>
      </c>
      <c r="DJ96" t="s">
        <v>310</v>
      </c>
      <c r="DK96" t="str">
        <f>HYPERLINK("http://exon.niaid.nih.gov/transcriptome/S_calcitrans/S1/links/KOG/XP_013098073.1-KOG.txt","KOG4449")</f>
        <v>KOG4449</v>
      </c>
      <c r="DL96" s="33" t="str">
        <f>HYPERLINK("http://exon.niaid.nih.gov/transcriptome/S_calcitrans/S1/links/PFAM/XP_013098073.1-PFAM.txt","Tom7")</f>
        <v>Tom7</v>
      </c>
      <c r="DM96" t="str">
        <f>HYPERLINK("http://pfam.sanger.ac.uk/family?acc=PF08038","2E-013")</f>
        <v>2E-013</v>
      </c>
      <c r="DN96" s="33" t="str">
        <f>HYPERLINK("http://exon.niaid.nih.gov/transcriptome/S_calcitrans/S1/links/SMART/XP_013098073.1-SMART.txt","CM_2")</f>
        <v>CM_2</v>
      </c>
      <c r="DO96" t="str">
        <f>HYPERLINK("http://smart.embl-heidelberg.de/smart/do_annotation.pl?DOMAIN=CM_2&amp;BLAST=DUMMY","2.2")</f>
        <v>2.2</v>
      </c>
      <c r="DP96" s="33"/>
      <c r="EB96" s="33">
        <v>3140</v>
      </c>
      <c r="EC96">
        <v>1</v>
      </c>
      <c r="ED96" s="33">
        <v>3797</v>
      </c>
      <c r="EE96">
        <v>1</v>
      </c>
      <c r="EF96" s="33">
        <v>4137</v>
      </c>
      <c r="EG96">
        <v>1</v>
      </c>
      <c r="EH96" s="33">
        <v>4385</v>
      </c>
      <c r="EI96">
        <v>1</v>
      </c>
      <c r="EJ96" s="33">
        <v>4644</v>
      </c>
      <c r="EK96">
        <v>1</v>
      </c>
      <c r="EL96" s="33">
        <v>4821</v>
      </c>
      <c r="EM96">
        <v>1</v>
      </c>
      <c r="EN96" s="33">
        <v>5031</v>
      </c>
      <c r="EO96">
        <v>1</v>
      </c>
      <c r="EP96" s="33">
        <v>5183</v>
      </c>
      <c r="EQ96">
        <v>1</v>
      </c>
      <c r="ER96" s="33">
        <v>5302</v>
      </c>
      <c r="ES96">
        <v>1</v>
      </c>
      <c r="ET96" s="33">
        <v>5377</v>
      </c>
      <c r="EU96">
        <v>1</v>
      </c>
      <c r="EV96" s="33">
        <v>5406</v>
      </c>
      <c r="EW96">
        <v>1</v>
      </c>
      <c r="EX96" s="33">
        <v>5442</v>
      </c>
      <c r="EY96">
        <v>1</v>
      </c>
      <c r="EZ96" s="33">
        <v>5427</v>
      </c>
      <c r="FA96">
        <v>1</v>
      </c>
      <c r="FB96" s="33">
        <v>5396</v>
      </c>
      <c r="FC96">
        <v>1</v>
      </c>
      <c r="FD96" s="33">
        <v>5359</v>
      </c>
      <c r="FE96">
        <v>1</v>
      </c>
      <c r="FF96" t="s">
        <v>1126</v>
      </c>
      <c r="FG96">
        <v>4437</v>
      </c>
      <c r="FH96" s="38" t="str">
        <f>HYPERLINK("http://exon.niaid.nih.gov/transcriptome/S_calcitrans/S1/links/SG_male-stripped_temp-95-h10-1gap/4437-SG_male-stripped_temp-95-h10-1gap.txt","241")</f>
        <v>241</v>
      </c>
      <c r="FI96" s="39">
        <v>90.303030303030297</v>
      </c>
      <c r="FJ96" s="39">
        <v>90.436363636363595</v>
      </c>
      <c r="FK96" s="39">
        <v>0</v>
      </c>
      <c r="FL96" s="39">
        <v>175</v>
      </c>
      <c r="FM96" s="39">
        <v>61.921161825726102</v>
      </c>
      <c r="FN96" s="38" t="str">
        <f>HYPERLINK("http://exon.niaid.nih.gov/transcriptome/S_calcitrans/S1/links/SG_female-stripped_temp-95-h10-1gap/4437-SG_female-stripped_temp-95-h10-1gap.txt","275")</f>
        <v>275</v>
      </c>
      <c r="FO96" s="39">
        <v>100</v>
      </c>
      <c r="FP96" s="39">
        <v>103.24848484848501</v>
      </c>
      <c r="FQ96" s="39">
        <v>3</v>
      </c>
      <c r="FR96" s="39">
        <v>201</v>
      </c>
      <c r="FS96" s="39">
        <v>61.949090909090899</v>
      </c>
      <c r="FT96" s="38" t="str">
        <f>HYPERLINK("http://exon.niaid.nih.gov/transcriptome/S_calcitrans/S1/links/SRR694289-stripped_temp-95-h10-1gap/4437-SRR694289-stripped_temp-95-h10-1gap.txt","5")</f>
        <v>5</v>
      </c>
      <c r="FU96" s="39">
        <v>89.696969696969703</v>
      </c>
      <c r="FV96" s="39">
        <v>2.8121212121212098</v>
      </c>
      <c r="FW96" s="39">
        <v>0</v>
      </c>
      <c r="FX96" s="39">
        <v>4</v>
      </c>
      <c r="FY96" s="39">
        <v>92.8</v>
      </c>
      <c r="FZ96" s="38" t="str">
        <f>HYPERLINK("http://exon.niaid.nih.gov/transcriptome/S_calcitrans/S1/links/SRR694925-stripped_temp-95-h10-1gap/4437-SRR694925-stripped_temp-95-h10-1gap.txt","4")</f>
        <v>4</v>
      </c>
      <c r="GA96" s="39">
        <v>93.3333333333333</v>
      </c>
      <c r="GB96" s="39">
        <v>1.9696969696969699</v>
      </c>
      <c r="GC96" s="39">
        <v>0</v>
      </c>
      <c r="GD96" s="39">
        <v>3</v>
      </c>
      <c r="GE96" s="39">
        <v>81.25</v>
      </c>
      <c r="GF96">
        <f t="shared" si="100"/>
        <v>241</v>
      </c>
      <c r="GG96">
        <f t="shared" si="101"/>
        <v>275</v>
      </c>
      <c r="GH96">
        <f t="shared" si="102"/>
        <v>5</v>
      </c>
      <c r="GI96">
        <f t="shared" si="103"/>
        <v>4</v>
      </c>
      <c r="GJ96">
        <f t="shared" si="93"/>
        <v>516</v>
      </c>
      <c r="GK96" s="34">
        <v>2.0042263540617335E-3</v>
      </c>
      <c r="GL96">
        <v>47.778783534387991</v>
      </c>
      <c r="GM96">
        <v>24.792595189644487</v>
      </c>
      <c r="GN96">
        <v>0.17418814699808446</v>
      </c>
      <c r="GO96">
        <v>0.14365470031129565</v>
      </c>
      <c r="GP96">
        <f t="shared" si="104"/>
        <v>47.778783534387991</v>
      </c>
      <c r="GQ96" t="s">
        <v>1090</v>
      </c>
      <c r="GR96">
        <v>37.262265028872427</v>
      </c>
      <c r="GS96">
        <v>20.348923988984634</v>
      </c>
      <c r="GT96">
        <v>0.31400162881323013</v>
      </c>
      <c r="GU96">
        <v>0.27197773039784578</v>
      </c>
      <c r="GV96">
        <f t="shared" si="105"/>
        <v>37.262265028872427</v>
      </c>
      <c r="GW96">
        <v>73.29860300108146</v>
      </c>
      <c r="GX96">
        <v>516</v>
      </c>
      <c r="GY96">
        <v>9</v>
      </c>
      <c r="GZ96">
        <v>525</v>
      </c>
      <c r="HA96">
        <v>116.54983914034734</v>
      </c>
      <c r="HB96">
        <v>408.45016085965267</v>
      </c>
      <c r="HC96">
        <v>1369.0317566089682</v>
      </c>
      <c r="HD96">
        <v>390.64847146829464</v>
      </c>
      <c r="HE96">
        <v>1759.6802280772629</v>
      </c>
      <c r="HF96">
        <v>0</v>
      </c>
      <c r="HG96">
        <v>116.54983914034734</v>
      </c>
      <c r="HH96">
        <v>1</v>
      </c>
      <c r="HI96">
        <v>1</v>
      </c>
      <c r="HJ96">
        <v>2</v>
      </c>
      <c r="HK96">
        <v>0</v>
      </c>
      <c r="HL96" s="30" t="s">
        <v>262</v>
      </c>
      <c r="HM96">
        <v>180.83275323081898</v>
      </c>
      <c r="HN96">
        <v>4.967347848065619E-3</v>
      </c>
      <c r="HO96">
        <v>241</v>
      </c>
      <c r="HP96">
        <v>275</v>
      </c>
      <c r="HQ96">
        <v>516</v>
      </c>
      <c r="HR96">
        <v>161.29950749609228</v>
      </c>
      <c r="HS96">
        <v>354.70049250390775</v>
      </c>
      <c r="HT96">
        <v>39.381202112593819</v>
      </c>
      <c r="HU96">
        <v>17.908541543103368</v>
      </c>
      <c r="HV96">
        <v>57.289743655697187</v>
      </c>
      <c r="HW96">
        <v>3.7611147046665299E-14</v>
      </c>
      <c r="HX96">
        <v>161.29950749609228</v>
      </c>
      <c r="HY96">
        <v>1</v>
      </c>
      <c r="HZ96">
        <v>1</v>
      </c>
      <c r="IA96">
        <v>2</v>
      </c>
      <c r="IB96" s="37">
        <v>1.0052014226190501E-12</v>
      </c>
      <c r="IC96" s="30" t="s">
        <v>262</v>
      </c>
      <c r="ID96">
        <v>1.9201568708598653</v>
      </c>
      <c r="IE96">
        <v>0.51675962891397353</v>
      </c>
      <c r="IF96">
        <v>1.9201568708598653</v>
      </c>
      <c r="IG96" t="str">
        <f t="shared" si="84"/>
        <v/>
      </c>
    </row>
    <row r="97" spans="1:241">
      <c r="A97" t="str">
        <f>HYPERLINK("http://exon.niaid.nih.gov/transcriptome/S_calcitrans/S1/links/pep/XP_013103368.1-pep.txt","XP_013103368.1")</f>
        <v>XP_013103368.1</v>
      </c>
      <c r="B97" s="30" t="s">
        <v>232</v>
      </c>
      <c r="C97">
        <v>82</v>
      </c>
      <c r="D97" t="s">
        <v>1127</v>
      </c>
      <c r="E97">
        <v>0</v>
      </c>
      <c r="F97" t="s">
        <v>1128</v>
      </c>
      <c r="G97" t="str">
        <f>HYPERLINK("http://exon.niaid.nih.gov/transcriptome/S_calcitrans/S1/links/cds/XM_013247914_1-cds.txt","XM_013247914_1")</f>
        <v>XM_013247914_1</v>
      </c>
      <c r="H97">
        <v>249</v>
      </c>
      <c r="I97" t="s">
        <v>1129</v>
      </c>
      <c r="J97" s="30" t="s">
        <v>236</v>
      </c>
      <c r="K97" s="30" t="s">
        <v>91</v>
      </c>
      <c r="L97" s="31" t="s">
        <v>760</v>
      </c>
      <c r="M97" s="30">
        <v>459887</v>
      </c>
      <c r="N97" s="30">
        <v>460135</v>
      </c>
      <c r="O97" s="30" t="s">
        <v>276</v>
      </c>
      <c r="P97" s="30">
        <v>1</v>
      </c>
      <c r="Q97" s="31" t="s">
        <v>1130</v>
      </c>
      <c r="R97" s="32" t="str">
        <f>HYPERLINK("http://exon.niaid.nih.gov/transcriptome/S_calcitrans/S1/links/Sigp/XP_013103368.1-SigP.txt","CYT")</f>
        <v>CYT</v>
      </c>
      <c r="S97" t="s">
        <v>242</v>
      </c>
      <c r="T97">
        <v>10.06</v>
      </c>
      <c r="U97">
        <v>8.86</v>
      </c>
      <c r="V97" t="s">
        <v>242</v>
      </c>
      <c r="W97" t="s">
        <v>242</v>
      </c>
      <c r="X97" t="s">
        <v>1131</v>
      </c>
      <c r="Y97" s="32">
        <v>0</v>
      </c>
      <c r="Z97" t="s">
        <v>242</v>
      </c>
      <c r="AA97" t="s">
        <v>242</v>
      </c>
      <c r="AB97" t="s">
        <v>242</v>
      </c>
      <c r="AC97" t="s">
        <v>242</v>
      </c>
      <c r="AD97" t="s">
        <v>242</v>
      </c>
      <c r="AE97" s="32" t="str">
        <f>HYPERLINK("http://exon.niaid.nih.gov/transcriptome/S_calcitrans/S1/links/netoglyc/XP_013103368.1-netoglyc.txt","0")</f>
        <v>0</v>
      </c>
      <c r="AF97">
        <v>6.1</v>
      </c>
      <c r="AG97">
        <v>2.4</v>
      </c>
      <c r="AH97">
        <v>4.9000000000000004</v>
      </c>
      <c r="AI97" t="s">
        <v>243</v>
      </c>
      <c r="AJ97" t="s">
        <v>242</v>
      </c>
      <c r="AK97">
        <v>405.7444635368505</v>
      </c>
      <c r="AL97" s="33">
        <v>7837</v>
      </c>
      <c r="AM97">
        <v>1</v>
      </c>
      <c r="AN97" s="30">
        <f t="shared" si="83"/>
        <v>1</v>
      </c>
      <c r="AO97" s="30" t="s">
        <v>244</v>
      </c>
      <c r="AP97">
        <v>1042</v>
      </c>
      <c r="AQ97" s="34">
        <v>4.0472943041324153E-3</v>
      </c>
      <c r="AR97" s="35">
        <v>142.20629979385535</v>
      </c>
      <c r="AS97" t="s">
        <v>1132</v>
      </c>
      <c r="AT97" s="36" t="s">
        <v>1133</v>
      </c>
      <c r="AU97" t="s">
        <v>1090</v>
      </c>
      <c r="AV97" t="str">
        <f>HYPERLINK("http://exon.niaid.nih.gov/transcriptome/S_calcitrans/S1/links/DIPTERA/XP_013103368.1-DIPTERA.txt","DIPTERA")</f>
        <v>DIPTERA</v>
      </c>
      <c r="AW97" s="37">
        <v>6.9999999999999999E-43</v>
      </c>
      <c r="AX97">
        <v>100</v>
      </c>
      <c r="AY97" s="33"/>
      <c r="BG97" s="31"/>
      <c r="BJ97" s="33"/>
      <c r="BK97" s="33"/>
      <c r="BL97" s="33" t="str">
        <f>HYPERLINK("http://exon.niaid.nih.gov/transcriptome/S_calcitrans/S1/links/NR-LIGHT/XP_013103368.1-NR-LIGHT.txt","protein PET100 homolog, mitochondrial")</f>
        <v>protein PET100 homolog, mitochondrial</v>
      </c>
      <c r="BM97" t="str">
        <f>HYPERLINK("http://www.ncbi.nlm.nih.gov/sutils/blink.cgi?pid=557765596","4E-039")</f>
        <v>4E-039</v>
      </c>
      <c r="BN97" t="str">
        <f>HYPERLINK("http://www.ncbi.nlm.nih.gov/protein/557765596","gi|557765596")</f>
        <v>gi|557765596</v>
      </c>
      <c r="BO97">
        <v>91</v>
      </c>
      <c r="BP97">
        <v>97</v>
      </c>
      <c r="BQ97">
        <v>100</v>
      </c>
      <c r="BR97" t="s">
        <v>251</v>
      </c>
      <c r="BS97" s="33" t="str">
        <f>HYPERLINK("http://exon.niaid.nih.gov/transcriptome/S_calcitrans/S1/links/SWISSP/XP_013103368.1-SWISSP.txt","Protein PET100 homolog, mitochondrial")</f>
        <v>Protein PET100 homolog, mitochondrial</v>
      </c>
      <c r="BT97" t="str">
        <f>HYPERLINK("http://www.uniprot.org/uniprot/E1BHC3","1E-012")</f>
        <v>1E-012</v>
      </c>
      <c r="BU97" t="str">
        <f>HYPERLINK("http://www.uniprot.org/uniprot/E1BHC3#expression","E1BHC3")</f>
        <v>E1BHC3</v>
      </c>
      <c r="BV97">
        <v>44</v>
      </c>
      <c r="BW97">
        <v>75</v>
      </c>
      <c r="BX97">
        <v>91</v>
      </c>
      <c r="BY97" t="s">
        <v>896</v>
      </c>
      <c r="BZ97" s="33" t="str">
        <f>HYPERLINK("http://exon.niaid.nih.gov/transcriptome/S_calcitrans/S1/links/REFSEQ-INVERTEBRATE/XP_013103368.1-REFSEQ-INVERTEBRATE.txt","protein PET100 homolog, mitochondrial")</f>
        <v>protein PET100 homolog, mitochondrial</v>
      </c>
      <c r="CA97" t="str">
        <f>HYPERLINK("http://www.ncbi.nlm.nih.gov/sutils/blink.cgi?pid=907664557","1E-042")</f>
        <v>1E-042</v>
      </c>
      <c r="CB97" t="str">
        <f>HYPERLINK("http://www.ncbi.nlm.nih.gov/protein/907664557","gi|907664557")</f>
        <v>gi|907664557</v>
      </c>
      <c r="CC97">
        <v>100</v>
      </c>
      <c r="CD97">
        <v>100</v>
      </c>
      <c r="CE97">
        <v>100</v>
      </c>
      <c r="CF97" t="s">
        <v>253</v>
      </c>
      <c r="CG97" s="33" t="str">
        <f>HYPERLINK("http://exon.niaid.nih.gov/transcriptome/S_calcitrans/S1/links/DIPTERA/XP_013103368.1-DIPTERA.txt","protein PET100 homolog, mitochondrial")</f>
        <v>protein PET100 homolog, mitochondrial</v>
      </c>
      <c r="CH97" t="str">
        <f>HYPERLINK("http://www.ncbi.nlm.nih.gov/sutils/blink.cgi?pid=907664557","7E-043")</f>
        <v>7E-043</v>
      </c>
      <c r="CI97" t="str">
        <f>HYPERLINK("http://www.ncbi.nlm.nih.gov/protein/907664557","gi|907664557")</f>
        <v>gi|907664557</v>
      </c>
      <c r="CJ97">
        <v>100</v>
      </c>
      <c r="CK97">
        <v>100</v>
      </c>
      <c r="CL97">
        <v>100</v>
      </c>
      <c r="CM97" t="s">
        <v>253</v>
      </c>
      <c r="CN97" s="33" t="s">
        <v>242</v>
      </c>
      <c r="CO97" t="s">
        <v>242</v>
      </c>
      <c r="CP97" t="s">
        <v>242</v>
      </c>
      <c r="CQ97" t="s">
        <v>242</v>
      </c>
      <c r="CR97" t="s">
        <v>242</v>
      </c>
      <c r="CS97" t="s">
        <v>242</v>
      </c>
      <c r="CT97" t="s">
        <v>242</v>
      </c>
      <c r="CU97" s="33" t="s">
        <v>1134</v>
      </c>
      <c r="CV97">
        <f>HYPERLINK("http://exon.niaid.nih.gov/transcriptome/S_calcitrans/S1/links/GO/XP_013103368.1-GO.txt",6E-28)</f>
        <v>6.0000000000000001E-28</v>
      </c>
      <c r="CW97" t="str">
        <f>HYPERLINK("http://amigo.geneontology.org/cgi-bin/amigo/term_details?term=GO:0003674","GO:0003674")</f>
        <v>GO:0003674</v>
      </c>
      <c r="CX97" t="s">
        <v>255</v>
      </c>
      <c r="CY97" t="s">
        <v>256</v>
      </c>
      <c r="CZ97" t="s">
        <v>257</v>
      </c>
      <c r="DA97" t="s">
        <v>242</v>
      </c>
      <c r="DC97" t="s">
        <v>258</v>
      </c>
      <c r="DD97" s="37">
        <v>6.0000000000000001E-28</v>
      </c>
      <c r="DE97" s="33" t="str">
        <f>HYPERLINK("http://exon.niaid.nih.gov/transcriptome/S_calcitrans/S1/links/CDD/XP_013103368.1-CDD.txt","DUF2346")</f>
        <v>DUF2346</v>
      </c>
      <c r="DF97" t="str">
        <f>HYPERLINK("http://www.ncbi.nlm.nih.gov/Structure/cdd/cddsrv.cgi?uid=pfam09803&amp;version=v4.0","5E-022")</f>
        <v>5E-022</v>
      </c>
      <c r="DG97" t="s">
        <v>1135</v>
      </c>
      <c r="DH97" s="33" t="str">
        <f>HYPERLINK("http://exon.niaid.nih.gov/transcriptome/S_calcitrans/S1/links/KOG/XP_013103368.1-KOG.txt","Uncharacterized conserved protein")</f>
        <v>Uncharacterized conserved protein</v>
      </c>
      <c r="DI97" t="str">
        <f>HYPERLINK("http://www.ncbi.nlm.nih.gov/Structure/cdd/cddsrv.cgi?uid=KOG4702","1E-019")</f>
        <v>1E-019</v>
      </c>
      <c r="DJ97" t="s">
        <v>260</v>
      </c>
      <c r="DK97" t="str">
        <f>HYPERLINK("http://exon.niaid.nih.gov/transcriptome/S_calcitrans/S1/links/KOG/XP_013103368.1-KOG.txt","KOG4702")</f>
        <v>KOG4702</v>
      </c>
      <c r="DL97" s="33" t="str">
        <f>HYPERLINK("http://exon.niaid.nih.gov/transcriptome/S_calcitrans/S1/links/PFAM/XP_013103368.1-PFAM.txt","DUF2346")</f>
        <v>DUF2346</v>
      </c>
      <c r="DM97" t="str">
        <f>HYPERLINK("http://pfam.sanger.ac.uk/family?acc=PF09803","1E-022")</f>
        <v>1E-022</v>
      </c>
      <c r="DN97" s="33" t="str">
        <f>HYPERLINK("http://exon.niaid.nih.gov/transcriptome/S_calcitrans/S1/links/SMART/XP_013103368.1-SMART.txt","Citrate_ly_lig")</f>
        <v>Citrate_ly_lig</v>
      </c>
      <c r="DO97" t="str">
        <f>HYPERLINK("http://smart.embl-heidelberg.de/smart/do_annotation.pl?DOMAIN=Citrate_ly_lig&amp;BLAST=DUMMY","1.1")</f>
        <v>1.1</v>
      </c>
      <c r="DP97" s="33"/>
      <c r="EB97" s="33">
        <v>3870</v>
      </c>
      <c r="EC97">
        <v>1</v>
      </c>
      <c r="ED97" s="33">
        <v>4692</v>
      </c>
      <c r="EE97">
        <v>1</v>
      </c>
      <c r="EF97" s="33">
        <v>5161</v>
      </c>
      <c r="EG97">
        <v>1</v>
      </c>
      <c r="EH97" s="33">
        <v>5523</v>
      </c>
      <c r="EI97">
        <v>1</v>
      </c>
      <c r="EJ97" s="33">
        <v>5888</v>
      </c>
      <c r="EK97">
        <v>1</v>
      </c>
      <c r="EL97" s="33">
        <v>6168</v>
      </c>
      <c r="EM97">
        <v>1</v>
      </c>
      <c r="EN97" s="33">
        <v>6503</v>
      </c>
      <c r="EO97">
        <v>1</v>
      </c>
      <c r="EP97" s="33">
        <v>6750</v>
      </c>
      <c r="EQ97">
        <v>1</v>
      </c>
      <c r="ER97" s="33">
        <v>6950</v>
      </c>
      <c r="ES97">
        <v>1</v>
      </c>
      <c r="ET97" s="33">
        <v>7103</v>
      </c>
      <c r="EU97">
        <v>1</v>
      </c>
      <c r="EV97" s="33">
        <v>7251</v>
      </c>
      <c r="EW97">
        <v>1</v>
      </c>
      <c r="EX97" s="33">
        <v>7388</v>
      </c>
      <c r="EY97">
        <v>1</v>
      </c>
      <c r="EZ97" s="33">
        <v>7520</v>
      </c>
      <c r="FA97">
        <v>1</v>
      </c>
      <c r="FB97" s="33">
        <v>7647</v>
      </c>
      <c r="FC97">
        <v>1</v>
      </c>
      <c r="FD97" s="33">
        <v>7837</v>
      </c>
      <c r="FE97">
        <v>1</v>
      </c>
      <c r="FF97" t="s">
        <v>1136</v>
      </c>
      <c r="FG97">
        <v>9210</v>
      </c>
      <c r="FH97" s="38" t="str">
        <f>HYPERLINK("http://exon.niaid.nih.gov/transcriptome/S_calcitrans/S1/links/SG_male-stripped_temp-95-h10-1gap/9210-SG_male-stripped_temp-95-h10-1gap.txt","508")</f>
        <v>508</v>
      </c>
      <c r="FI97" s="39">
        <v>100</v>
      </c>
      <c r="FJ97" s="39">
        <v>137.63052208835299</v>
      </c>
      <c r="FK97" s="39">
        <v>1</v>
      </c>
      <c r="FL97" s="39">
        <v>259</v>
      </c>
      <c r="FM97" s="39">
        <v>67.460629921259795</v>
      </c>
      <c r="FN97" s="38" t="str">
        <f>HYPERLINK("http://exon.niaid.nih.gov/transcriptome/S_calcitrans/S1/links/SG_female-stripped_temp-95-h10-1gap/9210-SG_female-stripped_temp-95-h10-1gap.txt","534")</f>
        <v>534</v>
      </c>
      <c r="FO97" s="39">
        <v>100</v>
      </c>
      <c r="FP97" s="39">
        <v>140.36947791164701</v>
      </c>
      <c r="FQ97" s="39">
        <v>1</v>
      </c>
      <c r="FR97" s="39">
        <v>239</v>
      </c>
      <c r="FS97" s="39">
        <v>65.453183520599296</v>
      </c>
      <c r="FT97" s="38" t="str">
        <f>HYPERLINK("http://exon.niaid.nih.gov/transcriptome/S_calcitrans/S1/links/SRR694289-stripped_temp-95-h10-1gap/9210-SRR694289-stripped_temp-95-h10-1gap.txt","3")</f>
        <v>3</v>
      </c>
      <c r="FU97" s="39">
        <v>66.265060240963905</v>
      </c>
      <c r="FV97" s="39">
        <v>1.20883534136546</v>
      </c>
      <c r="FW97" s="39">
        <v>0</v>
      </c>
      <c r="FX97" s="39">
        <v>3</v>
      </c>
      <c r="FY97" s="39">
        <v>100.333333333333</v>
      </c>
      <c r="FZ97" s="38" t="str">
        <f>HYPERLINK("http://exon.niaid.nih.gov/transcriptome/S_calcitrans/S1/links/SRR694925-stripped_temp-95-h10-1gap/9210-SRR694925-stripped_temp-95-h10-1gap.txt","5")</f>
        <v>5</v>
      </c>
      <c r="GA97" s="39">
        <v>96.385542168674704</v>
      </c>
      <c r="GB97" s="39">
        <v>1.9598393574297199</v>
      </c>
      <c r="GC97" s="39">
        <v>0</v>
      </c>
      <c r="GD97" s="39">
        <v>3</v>
      </c>
      <c r="GE97" s="39">
        <v>97.6</v>
      </c>
      <c r="GF97">
        <f t="shared" si="100"/>
        <v>508</v>
      </c>
      <c r="GG97">
        <f t="shared" si="101"/>
        <v>534</v>
      </c>
      <c r="GH97">
        <f t="shared" si="102"/>
        <v>3</v>
      </c>
      <c r="GI97">
        <f t="shared" si="103"/>
        <v>5</v>
      </c>
      <c r="GJ97">
        <f t="shared" si="93"/>
        <v>1042</v>
      </c>
      <c r="GK97" s="34">
        <v>4.0472943041324153E-3</v>
      </c>
      <c r="GL97">
        <v>66.73695005503177</v>
      </c>
      <c r="GM97">
        <v>31.901797183783508</v>
      </c>
      <c r="GN97">
        <v>6.92555283245396E-2</v>
      </c>
      <c r="GO97">
        <v>0.11899109212532019</v>
      </c>
      <c r="GP97">
        <f t="shared" si="104"/>
        <v>66.73695005503177</v>
      </c>
      <c r="GQ97" t="s">
        <v>1090</v>
      </c>
      <c r="GR97">
        <v>52.047577108768465</v>
      </c>
      <c r="GS97">
        <v>26.183916650886253</v>
      </c>
      <c r="GT97">
        <v>0.12484402109441679</v>
      </c>
      <c r="GU97">
        <v>0.22528275861267347</v>
      </c>
      <c r="GV97">
        <f t="shared" si="105"/>
        <v>52.047577108768465</v>
      </c>
      <c r="GW97">
        <v>142.20629979385535</v>
      </c>
      <c r="GX97">
        <v>1042</v>
      </c>
      <c r="GY97">
        <v>8</v>
      </c>
      <c r="GZ97">
        <v>1050</v>
      </c>
      <c r="HA97">
        <v>233.09967828069469</v>
      </c>
      <c r="HB97">
        <v>816.90032171930534</v>
      </c>
      <c r="HC97">
        <v>2807.0383249936317</v>
      </c>
      <c r="HD97">
        <v>800.97866665111451</v>
      </c>
      <c r="HE97">
        <v>3608.0169916447462</v>
      </c>
      <c r="HF97">
        <v>0</v>
      </c>
      <c r="HG97">
        <v>233.09967828069469</v>
      </c>
      <c r="HH97">
        <v>1</v>
      </c>
      <c r="HI97">
        <v>1</v>
      </c>
      <c r="HJ97">
        <v>2</v>
      </c>
      <c r="HK97">
        <v>0</v>
      </c>
      <c r="HL97" s="30" t="s">
        <v>262</v>
      </c>
      <c r="HM97">
        <v>405.7444635368505</v>
      </c>
      <c r="HN97">
        <v>2.1886599232555023E-3</v>
      </c>
      <c r="HO97">
        <v>508</v>
      </c>
      <c r="HP97">
        <v>534</v>
      </c>
      <c r="HQ97">
        <v>1042</v>
      </c>
      <c r="HR97">
        <v>325.72497443978324</v>
      </c>
      <c r="HS97">
        <v>716.27502556021682</v>
      </c>
      <c r="HT97">
        <v>102.0007292966104</v>
      </c>
      <c r="HU97">
        <v>46.384675937838566</v>
      </c>
      <c r="HV97">
        <v>148.38540523444897</v>
      </c>
      <c r="HW97">
        <v>3.9073657835832688E-34</v>
      </c>
      <c r="HX97">
        <v>325.72497443978324</v>
      </c>
      <c r="HY97">
        <v>1</v>
      </c>
      <c r="HZ97">
        <v>1</v>
      </c>
      <c r="IA97">
        <v>2</v>
      </c>
      <c r="IB97" s="37">
        <v>2.3454667513369001E-32</v>
      </c>
      <c r="IC97" s="30" t="s">
        <v>262</v>
      </c>
      <c r="ID97">
        <v>2.0880393574244387</v>
      </c>
      <c r="IE97">
        <v>0.4770838601557062</v>
      </c>
      <c r="IF97">
        <v>2.0880393574244387</v>
      </c>
      <c r="IG97" t="str">
        <f t="shared" si="84"/>
        <v/>
      </c>
    </row>
    <row r="98" spans="1:241">
      <c r="A98" t="str">
        <f>HYPERLINK("http://exon.niaid.nih.gov/transcriptome/S_calcitrans/S1/links/pep/XP_013111481.1-pep.txt","XP_013111481.1")</f>
        <v>XP_013111481.1</v>
      </c>
      <c r="B98" s="30" t="s">
        <v>232</v>
      </c>
      <c r="C98">
        <v>50</v>
      </c>
      <c r="D98" t="s">
        <v>1137</v>
      </c>
      <c r="E98">
        <v>1</v>
      </c>
      <c r="F98" t="s">
        <v>1138</v>
      </c>
      <c r="G98" t="str">
        <f>HYPERLINK("http://exon.niaid.nih.gov/transcriptome/S_calcitrans/S1/links/cds/XM_013256027_1-cds.txt","XM_013256027_1")</f>
        <v>XM_013256027_1</v>
      </c>
      <c r="H98">
        <v>153</v>
      </c>
      <c r="I98" t="s">
        <v>1139</v>
      </c>
      <c r="J98" s="30" t="s">
        <v>236</v>
      </c>
      <c r="K98" s="30" t="s">
        <v>91</v>
      </c>
      <c r="L98" s="31" t="s">
        <v>1140</v>
      </c>
      <c r="M98" s="30">
        <v>228651</v>
      </c>
      <c r="N98" s="30">
        <v>228868</v>
      </c>
      <c r="O98" s="30" t="s">
        <v>276</v>
      </c>
      <c r="P98" s="30">
        <v>2</v>
      </c>
      <c r="Q98" s="31" t="s">
        <v>1141</v>
      </c>
      <c r="R98" s="32" t="str">
        <f>HYPERLINK("http://exon.niaid.nih.gov/transcriptome/S_calcitrans/S1/links/Sigp/XP_013111481.1-SigP.txt","CYT")</f>
        <v>CYT</v>
      </c>
      <c r="S98" t="s">
        <v>242</v>
      </c>
      <c r="T98">
        <v>5.7140000000000004</v>
      </c>
      <c r="U98">
        <v>9.3800000000000008</v>
      </c>
      <c r="V98" t="s">
        <v>242</v>
      </c>
      <c r="W98" t="s">
        <v>242</v>
      </c>
      <c r="X98" t="s">
        <v>1142</v>
      </c>
      <c r="Y98" s="32" t="str">
        <f>HYPERLINK("http://exon.niaid.nih.gov/transcriptome/S_calcitrans/S1/links/tmhmm/XP_013111481.1-tmhmm.txt","1")</f>
        <v>1</v>
      </c>
      <c r="Z98">
        <v>44</v>
      </c>
      <c r="AA98">
        <v>14</v>
      </c>
      <c r="AB98">
        <v>42</v>
      </c>
      <c r="AC98" t="s">
        <v>242</v>
      </c>
      <c r="AD98">
        <v>7</v>
      </c>
      <c r="AE98" s="32" t="str">
        <f>HYPERLINK("http://exon.niaid.nih.gov/transcriptome/S_calcitrans/S1/links/netoglyc/XP_013111481.1-netoglyc.txt","0")</f>
        <v>0</v>
      </c>
      <c r="AF98">
        <v>4</v>
      </c>
      <c r="AG98">
        <v>2</v>
      </c>
      <c r="AH98">
        <v>8</v>
      </c>
      <c r="AI98" t="s">
        <v>243</v>
      </c>
      <c r="AJ98" t="s">
        <v>242</v>
      </c>
      <c r="AK98">
        <v>177.12381271720238</v>
      </c>
      <c r="AL98" s="33">
        <v>11920</v>
      </c>
      <c r="AM98">
        <v>1</v>
      </c>
      <c r="AN98" s="30">
        <f t="shared" si="83"/>
        <v>1</v>
      </c>
      <c r="AO98" s="30" t="s">
        <v>244</v>
      </c>
      <c r="AP98">
        <v>1213</v>
      </c>
      <c r="AQ98" s="34">
        <v>4.7114855958854318E-3</v>
      </c>
      <c r="AR98" s="35">
        <v>79.966914086759232</v>
      </c>
      <c r="AS98" t="s">
        <v>1143</v>
      </c>
      <c r="AT98" s="36" t="s">
        <v>1144</v>
      </c>
      <c r="AU98" t="s">
        <v>1090</v>
      </c>
      <c r="AV98" t="str">
        <f>HYPERLINK("http://exon.niaid.nih.gov/transcriptome/S_calcitrans/S1/links/DIPTERA/XP_013111481.1-DIPTERA.txt","DIPTERA")</f>
        <v>DIPTERA</v>
      </c>
      <c r="AW98">
        <v>2E-14</v>
      </c>
      <c r="AX98">
        <v>93.6</v>
      </c>
      <c r="AY98" s="33"/>
      <c r="BG98" s="31"/>
      <c r="BJ98" s="33"/>
      <c r="BK98" s="33"/>
      <c r="BL98" s="33" t="str">
        <f>HYPERLINK("http://exon.niaid.nih.gov/transcriptome/S_calcitrans/S1/links/NR-LIGHT/XP_013111481.1-NR-LIGHT.txt","uncharacterized protein LOC101887321")</f>
        <v>uncharacterized protein LOC101887321</v>
      </c>
      <c r="BM98" t="str">
        <f>HYPERLINK("http://www.ncbi.nlm.nih.gov/sutils/blink.cgi?pid=557754823","1E-017")</f>
        <v>1E-017</v>
      </c>
      <c r="BN98" t="str">
        <f>HYPERLINK("http://www.ncbi.nlm.nih.gov/protein/557754823","gi|557754823")</f>
        <v>gi|557754823</v>
      </c>
      <c r="BO98">
        <v>80</v>
      </c>
      <c r="BP98">
        <v>94</v>
      </c>
      <c r="BQ98">
        <v>100</v>
      </c>
      <c r="BR98" t="s">
        <v>251</v>
      </c>
      <c r="BS98" s="33" t="str">
        <f>HYPERLINK("http://exon.niaid.nih.gov/transcriptome/S_calcitrans/S1/links/SWISSP/XP_013111481.1-SWISSP.txt","Mitochondrial import receptor subunit TOM5 homolog")</f>
        <v>Mitochondrial import receptor subunit TOM5 homolog</v>
      </c>
      <c r="BT98" t="str">
        <f>HYPERLINK("http://www.uniprot.org/uniprot/B1AXP6","0.14")</f>
        <v>0.14</v>
      </c>
      <c r="BU98" t="str">
        <f>HYPERLINK("http://www.uniprot.org/uniprot/B1AXP6#expression","B1AXP6")</f>
        <v>B1AXP6</v>
      </c>
      <c r="BV98">
        <v>36</v>
      </c>
      <c r="BW98">
        <v>61</v>
      </c>
      <c r="BX98">
        <v>92</v>
      </c>
      <c r="BY98" t="s">
        <v>620</v>
      </c>
      <c r="BZ98" s="33" t="str">
        <f>HYPERLINK("http://exon.niaid.nih.gov/transcriptome/S_calcitrans/S1/links/REFSEQ-INVERTEBRATE/XP_013111481.1-REFSEQ-INVERTEBRATE.txt","uncharacterized protein LOC106089999")</f>
        <v>uncharacterized protein LOC106089999</v>
      </c>
      <c r="CA98" t="str">
        <f>HYPERLINK("http://www.ncbi.nlm.nih.gov/sutils/blink.cgi?pid=907711962","1E-021")</f>
        <v>1E-021</v>
      </c>
      <c r="CB98" t="str">
        <f>HYPERLINK("http://www.ncbi.nlm.nih.gov/protein/907711962","gi|907711962")</f>
        <v>gi|907711962</v>
      </c>
      <c r="CC98">
        <v>100</v>
      </c>
      <c r="CD98">
        <v>100</v>
      </c>
      <c r="CE98">
        <v>100</v>
      </c>
      <c r="CF98" t="s">
        <v>253</v>
      </c>
      <c r="CG98" s="33" t="str">
        <f>HYPERLINK("http://exon.niaid.nih.gov/transcriptome/S_calcitrans/S1/links/DIPTERA/XP_013111481.1-DIPTERA.txt","uncharacterized protein LOC106089999")</f>
        <v>uncharacterized protein LOC106089999</v>
      </c>
      <c r="CH98" t="str">
        <f>HYPERLINK("http://www.ncbi.nlm.nih.gov/sutils/blink.cgi?pid=907711962","6E-022")</f>
        <v>6E-022</v>
      </c>
      <c r="CI98" t="str">
        <f>HYPERLINK("http://www.ncbi.nlm.nih.gov/protein/907711962","gi|907711962")</f>
        <v>gi|907711962</v>
      </c>
      <c r="CJ98">
        <v>100</v>
      </c>
      <c r="CK98">
        <v>100</v>
      </c>
      <c r="CL98">
        <v>100</v>
      </c>
      <c r="CM98" t="s">
        <v>253</v>
      </c>
      <c r="CN98" s="33" t="s">
        <v>242</v>
      </c>
      <c r="CO98" t="s">
        <v>242</v>
      </c>
      <c r="CP98" t="s">
        <v>242</v>
      </c>
      <c r="CQ98" t="s">
        <v>242</v>
      </c>
      <c r="CR98" t="s">
        <v>242</v>
      </c>
      <c r="CS98" t="s">
        <v>242</v>
      </c>
      <c r="CT98" t="s">
        <v>242</v>
      </c>
      <c r="CU98" s="33" t="s">
        <v>874</v>
      </c>
      <c r="CV98">
        <f>HYPERLINK("http://exon.niaid.nih.gov/transcriptome/S_calcitrans/S1/links/GO/XP_013111481.1-GO.txt",0.00003)</f>
        <v>3.0000000000000001E-5</v>
      </c>
      <c r="CW98" t="str">
        <f>HYPERLINK("http://amigo.geneontology.org/cgi-bin/amigo/term_details?term=GO:0003674","GO:0003674")</f>
        <v>GO:0003674</v>
      </c>
      <c r="CX98" t="s">
        <v>255</v>
      </c>
      <c r="CY98" t="s">
        <v>256</v>
      </c>
      <c r="CZ98" t="s">
        <v>257</v>
      </c>
      <c r="DA98" t="s">
        <v>242</v>
      </c>
      <c r="DC98" t="s">
        <v>258</v>
      </c>
      <c r="DD98">
        <v>3.0000000000000001E-5</v>
      </c>
      <c r="DE98" s="33" t="str">
        <f>HYPERLINK("http://exon.niaid.nih.gov/transcriptome/S_calcitrans/S1/links/CDD/XP_013111481.1-CDD.txt","TOM_sub5")</f>
        <v>TOM_sub5</v>
      </c>
      <c r="DF98" t="str">
        <f>HYPERLINK("http://www.ncbi.nlm.nih.gov/Structure/cdd/cddsrv.cgi?uid=pfam15178&amp;version=v4.0","0.15")</f>
        <v>0.15</v>
      </c>
      <c r="DG98" t="s">
        <v>1145</v>
      </c>
      <c r="DH98" s="33" t="str">
        <f>HYPERLINK("http://exon.niaid.nih.gov/transcriptome/S_calcitrans/S1/links/KOG/XP_013111481.1-KOG.txt","Predicted membrane protein")</f>
        <v>Predicted membrane protein</v>
      </c>
      <c r="DI98" t="str">
        <f>HYPERLINK("http://www.ncbi.nlm.nih.gov/Structure/cdd/cddsrv.cgi?uid=KOG2890","4.0")</f>
        <v>4.0</v>
      </c>
      <c r="DJ98" t="s">
        <v>260</v>
      </c>
      <c r="DK98" t="str">
        <f>HYPERLINK("http://exon.niaid.nih.gov/transcriptome/S_calcitrans/S1/links/KOG/XP_013111481.1-KOG.txt","KOG2890")</f>
        <v>KOG2890</v>
      </c>
      <c r="DL98" s="33" t="str">
        <f>HYPERLINK("http://exon.niaid.nih.gov/transcriptome/S_calcitrans/S1/links/PFAM/XP_013111481.1-PFAM.txt","TOM_sub5")</f>
        <v>TOM_sub5</v>
      </c>
      <c r="DM98" t="str">
        <f>HYPERLINK("http://pfam.sanger.ac.uk/family?acc=PF15178","0.034")</f>
        <v>0.034</v>
      </c>
      <c r="DN98" s="33" t="s">
        <v>242</v>
      </c>
      <c r="DO98" t="s">
        <v>242</v>
      </c>
      <c r="DP98" s="33"/>
      <c r="EB98" s="33">
        <v>5115</v>
      </c>
      <c r="EC98">
        <v>1</v>
      </c>
      <c r="ED98" s="33">
        <v>6183</v>
      </c>
      <c r="EE98">
        <v>1</v>
      </c>
      <c r="EF98" s="33">
        <v>6883</v>
      </c>
      <c r="EG98">
        <v>1</v>
      </c>
      <c r="EH98" s="33">
        <v>7422</v>
      </c>
      <c r="EI98">
        <v>1</v>
      </c>
      <c r="EJ98" s="33">
        <v>7982</v>
      </c>
      <c r="EK98">
        <v>1</v>
      </c>
      <c r="EL98" s="33">
        <v>8422</v>
      </c>
      <c r="EM98">
        <v>1</v>
      </c>
      <c r="EN98" s="33">
        <v>8910</v>
      </c>
      <c r="EO98">
        <v>1</v>
      </c>
      <c r="EP98" s="33">
        <v>9309</v>
      </c>
      <c r="EQ98">
        <v>1</v>
      </c>
      <c r="ER98" s="33">
        <v>9668</v>
      </c>
      <c r="ES98">
        <v>1</v>
      </c>
      <c r="ET98" s="33">
        <v>9972</v>
      </c>
      <c r="EU98">
        <v>1</v>
      </c>
      <c r="EV98" s="33">
        <v>10315</v>
      </c>
      <c r="EW98">
        <v>1</v>
      </c>
      <c r="EX98" s="33">
        <v>10618</v>
      </c>
      <c r="EY98">
        <v>1</v>
      </c>
      <c r="EZ98" s="33">
        <v>10970</v>
      </c>
      <c r="FA98">
        <v>1</v>
      </c>
      <c r="FB98" s="33">
        <v>11351</v>
      </c>
      <c r="FC98">
        <v>1</v>
      </c>
      <c r="FD98" s="33">
        <v>11920</v>
      </c>
      <c r="FE98">
        <v>1</v>
      </c>
      <c r="FF98" t="s">
        <v>1146</v>
      </c>
      <c r="FG98">
        <v>16461</v>
      </c>
      <c r="FH98" s="38" t="str">
        <f>HYPERLINK("http://exon.niaid.nih.gov/transcriptome/S_calcitrans/S1/links/SG_male-stripped_temp-95-h10-1gap/16461-SG_male-stripped_temp-95-h10-1gap.txt","560")</f>
        <v>560</v>
      </c>
      <c r="FI98" s="39">
        <v>100</v>
      </c>
      <c r="FJ98" s="39">
        <v>217.73202614379099</v>
      </c>
      <c r="FK98" s="39">
        <v>20</v>
      </c>
      <c r="FL98" s="39">
        <v>396</v>
      </c>
      <c r="FM98" s="39">
        <v>59.487499999999997</v>
      </c>
      <c r="FN98" s="38" t="str">
        <f>HYPERLINK("http://exon.niaid.nih.gov/transcriptome/S_calcitrans/S1/links/SG_female-stripped_temp-95-h10-1gap/16461-SG_female-stripped_temp-95-h10-1gap.txt","653")</f>
        <v>653</v>
      </c>
      <c r="FO98" s="39">
        <v>100</v>
      </c>
      <c r="FP98" s="39">
        <v>246.66013071895401</v>
      </c>
      <c r="FQ98" s="39">
        <v>40</v>
      </c>
      <c r="FR98" s="39">
        <v>470</v>
      </c>
      <c r="FS98" s="39">
        <v>57.793261868300199</v>
      </c>
      <c r="FT98" s="38" t="str">
        <f>HYPERLINK("http://exon.niaid.nih.gov/transcriptome/S_calcitrans/S1/links/SRR694289-stripped_temp-95-h10-1gap/16461-SRR694289-stripped_temp-95-h10-1gap.txt","12")</f>
        <v>12</v>
      </c>
      <c r="FU98" s="39">
        <v>100</v>
      </c>
      <c r="FV98" s="39">
        <v>6.1960784313725501</v>
      </c>
      <c r="FW98" s="39">
        <v>4</v>
      </c>
      <c r="FX98" s="39">
        <v>8</v>
      </c>
      <c r="FY98" s="39">
        <v>79</v>
      </c>
      <c r="FZ98" s="38" t="str">
        <f>HYPERLINK("http://exon.niaid.nih.gov/transcriptome/S_calcitrans/S1/links/SRR694925-stripped_temp-95-h10-1gap/16461-SRR694925-stripped_temp-95-h10-1gap.txt","11")</f>
        <v>11</v>
      </c>
      <c r="GA98" s="39">
        <v>100</v>
      </c>
      <c r="GB98" s="39">
        <v>5.4640522875817004</v>
      </c>
      <c r="GC98" s="39">
        <v>4</v>
      </c>
      <c r="GD98" s="39">
        <v>7</v>
      </c>
      <c r="GE98" s="39">
        <v>76</v>
      </c>
      <c r="GF98">
        <f t="shared" si="100"/>
        <v>560</v>
      </c>
      <c r="GG98">
        <f t="shared" si="101"/>
        <v>653</v>
      </c>
      <c r="GH98">
        <f t="shared" si="102"/>
        <v>12</v>
      </c>
      <c r="GI98">
        <f t="shared" si="103"/>
        <v>11</v>
      </c>
      <c r="GJ98">
        <f t="shared" si="93"/>
        <v>1213</v>
      </c>
      <c r="GK98" s="34">
        <v>4.7114855958854318E-3</v>
      </c>
      <c r="GL98">
        <v>119.72878796348142</v>
      </c>
      <c r="GM98">
        <v>63.488488858187644</v>
      </c>
      <c r="GN98">
        <v>0.45083990987739508</v>
      </c>
      <c r="GO98">
        <v>0.42603477298202874</v>
      </c>
      <c r="GP98">
        <f t="shared" si="104"/>
        <v>119.72878796348142</v>
      </c>
      <c r="GQ98" t="s">
        <v>1090</v>
      </c>
      <c r="GR98">
        <v>93.375458700615965</v>
      </c>
      <c r="GS98">
        <v>52.109205352184183</v>
      </c>
      <c r="GT98">
        <v>0.81271009810483097</v>
      </c>
      <c r="GU98">
        <v>0.80660062201321892</v>
      </c>
      <c r="GV98">
        <f t="shared" si="105"/>
        <v>93.375458700615965</v>
      </c>
      <c r="GW98">
        <v>79.966914086759232</v>
      </c>
      <c r="GX98">
        <v>1213</v>
      </c>
      <c r="GY98">
        <v>23</v>
      </c>
      <c r="GZ98">
        <v>1236</v>
      </c>
      <c r="HA98">
        <v>274.39162129041773</v>
      </c>
      <c r="HB98">
        <v>961.60837870958221</v>
      </c>
      <c r="HC98">
        <v>3210.6872813415466</v>
      </c>
      <c r="HD98">
        <v>916.15849870823479</v>
      </c>
      <c r="HE98">
        <v>4126.8457800497818</v>
      </c>
      <c r="HF98">
        <v>0</v>
      </c>
      <c r="HG98">
        <v>274.39162129041773</v>
      </c>
      <c r="HH98">
        <v>1</v>
      </c>
      <c r="HI98">
        <v>1</v>
      </c>
      <c r="HJ98">
        <v>2</v>
      </c>
      <c r="HK98">
        <v>0</v>
      </c>
      <c r="HL98" s="30" t="s">
        <v>262</v>
      </c>
      <c r="HM98">
        <v>177.12381271720238</v>
      </c>
      <c r="HN98">
        <v>5.406071138691953E-3</v>
      </c>
      <c r="HO98">
        <v>560</v>
      </c>
      <c r="HP98">
        <v>653</v>
      </c>
      <c r="HQ98">
        <v>1213</v>
      </c>
      <c r="HR98">
        <v>379.17888099372078</v>
      </c>
      <c r="HS98">
        <v>833.82111900627922</v>
      </c>
      <c r="HT98">
        <v>86.229161795602337</v>
      </c>
      <c r="HU98">
        <v>39.212579692931442</v>
      </c>
      <c r="HV98">
        <v>125.44174148853378</v>
      </c>
      <c r="HW98">
        <v>4.073758392165405E-29</v>
      </c>
      <c r="HX98">
        <v>379.17888099372078</v>
      </c>
      <c r="HY98">
        <v>1</v>
      </c>
      <c r="HZ98">
        <v>1</v>
      </c>
      <c r="IA98">
        <v>2</v>
      </c>
      <c r="IB98" s="37">
        <v>2.0928126315789499E-27</v>
      </c>
      <c r="IC98" s="30" t="s">
        <v>262</v>
      </c>
      <c r="ID98">
        <v>1.8829510447047901</v>
      </c>
      <c r="IE98">
        <v>0.52932398067580355</v>
      </c>
      <c r="IF98">
        <v>1.8829510447047901</v>
      </c>
      <c r="IG98" t="str">
        <f t="shared" si="84"/>
        <v/>
      </c>
    </row>
    <row r="99" spans="1:241">
      <c r="A99" t="str">
        <f>HYPERLINK("http://exon.niaid.nih.gov/transcriptome/S_calcitrans/S1/links/pep/XP_013116525.1-pep.txt","XP_013116525.1")</f>
        <v>XP_013116525.1</v>
      </c>
      <c r="B99" s="30" t="s">
        <v>232</v>
      </c>
      <c r="C99">
        <v>90</v>
      </c>
      <c r="D99" t="s">
        <v>1147</v>
      </c>
      <c r="E99">
        <v>0</v>
      </c>
      <c r="F99" t="s">
        <v>1148</v>
      </c>
      <c r="G99" t="str">
        <f>HYPERLINK("http://exon.niaid.nih.gov/transcriptome/S_calcitrans/S1/links/cds/XM_013261071_1-cds.txt","XM_013261071_1")</f>
        <v>XM_013261071_1</v>
      </c>
      <c r="H99">
        <v>273</v>
      </c>
      <c r="I99" t="s">
        <v>1149</v>
      </c>
      <c r="J99" s="30" t="s">
        <v>236</v>
      </c>
      <c r="K99" s="30" t="s">
        <v>91</v>
      </c>
      <c r="L99" s="31" t="s">
        <v>1150</v>
      </c>
      <c r="M99" s="30">
        <v>75909</v>
      </c>
      <c r="N99" s="30">
        <v>76244</v>
      </c>
      <c r="O99" s="30" t="s">
        <v>238</v>
      </c>
      <c r="P99" s="30">
        <v>2</v>
      </c>
      <c r="Q99" s="31" t="s">
        <v>1151</v>
      </c>
      <c r="R99" s="32" t="str">
        <f>HYPERLINK("http://exon.niaid.nih.gov/transcriptome/S_calcitrans/S1/links/Sigp/XP_013116525.1-SigP.txt","BL")</f>
        <v>BL</v>
      </c>
      <c r="S99" t="s">
        <v>336</v>
      </c>
      <c r="T99">
        <v>10.406000000000001</v>
      </c>
      <c r="U99">
        <v>5.08</v>
      </c>
      <c r="V99">
        <v>8.3970000000000002</v>
      </c>
      <c r="W99">
        <v>4.76</v>
      </c>
      <c r="X99" t="s">
        <v>720</v>
      </c>
      <c r="Y99" s="32">
        <v>0</v>
      </c>
      <c r="Z99" t="s">
        <v>242</v>
      </c>
      <c r="AA99" t="s">
        <v>242</v>
      </c>
      <c r="AB99" t="s">
        <v>242</v>
      </c>
      <c r="AC99" t="s">
        <v>242</v>
      </c>
      <c r="AD99" t="s">
        <v>242</v>
      </c>
      <c r="AE99" s="32" t="str">
        <f>HYPERLINK("http://exon.niaid.nih.gov/transcriptome/S_calcitrans/S1/links/netoglyc/XP_013116525.1-netoglyc.txt","0")</f>
        <v>0</v>
      </c>
      <c r="AF99">
        <v>15.6</v>
      </c>
      <c r="AG99">
        <v>2.2000000000000002</v>
      </c>
      <c r="AH99">
        <v>1.1000000000000001</v>
      </c>
      <c r="AI99" t="s">
        <v>243</v>
      </c>
      <c r="AJ99" t="s">
        <v>242</v>
      </c>
      <c r="AK99">
        <v>120.64158141367955</v>
      </c>
      <c r="AL99" s="33">
        <v>14732</v>
      </c>
      <c r="AM99">
        <v>1</v>
      </c>
      <c r="AN99" s="30">
        <f t="shared" si="83"/>
        <v>1</v>
      </c>
      <c r="AO99" s="30" t="s">
        <v>244</v>
      </c>
      <c r="AP99">
        <v>7539</v>
      </c>
      <c r="AQ99" s="34">
        <v>2.9282679231146143E-2</v>
      </c>
      <c r="AR99" s="35">
        <v>57.683325313232011</v>
      </c>
      <c r="AS99" t="s">
        <v>1152</v>
      </c>
      <c r="AT99" s="36" t="s">
        <v>1153</v>
      </c>
      <c r="AU99" t="s">
        <v>1090</v>
      </c>
      <c r="AV99" t="str">
        <f>HYPERLINK("http://exon.niaid.nih.gov/transcriptome/S_calcitrans/S1/links/DIPTERA/XP_013116525.1-DIPTERA.txt","DIPTERA")</f>
        <v>DIPTERA</v>
      </c>
      <c r="AW99" s="37">
        <v>3.0000000000000002E-47</v>
      </c>
      <c r="AX99">
        <v>100</v>
      </c>
      <c r="AY99" s="33"/>
      <c r="BG99" s="31"/>
      <c r="BJ99" s="33"/>
      <c r="BK99" s="33"/>
      <c r="BL99" s="33" t="str">
        <f>HYPERLINK("http://exon.niaid.nih.gov/transcriptome/S_calcitrans/S1/links/NR-LIGHT/XP_013116525.1-NR-LIGHT.txt","cytochrome b-c1 complex subunit 6, mitochondrial")</f>
        <v>cytochrome b-c1 complex subunit 6, mitochondrial</v>
      </c>
      <c r="BM99" t="str">
        <f>HYPERLINK("http://www.ncbi.nlm.nih.gov/sutils/blink.cgi?pid=557782111","2E-037")</f>
        <v>2E-037</v>
      </c>
      <c r="BN99" t="str">
        <f>HYPERLINK("http://www.ncbi.nlm.nih.gov/protein/557782111","gi|557782111")</f>
        <v>gi|557782111</v>
      </c>
      <c r="BO99">
        <v>81</v>
      </c>
      <c r="BP99">
        <v>91</v>
      </c>
      <c r="BQ99">
        <v>100</v>
      </c>
      <c r="BR99" t="s">
        <v>251</v>
      </c>
      <c r="BS99" s="33" t="str">
        <f>HYPERLINK("http://exon.niaid.nih.gov/transcriptome/S_calcitrans/S1/links/SWISSP/XP_013116525.1-SWISSP.txt","Cytochrome b-c1 complex subunit 6, mitochondrial")</f>
        <v>Cytochrome b-c1 complex subunit 6, mitochondrial</v>
      </c>
      <c r="BT99" t="str">
        <f>HYPERLINK("http://www.uniprot.org/uniprot/P99028","2E-015")</f>
        <v>2E-015</v>
      </c>
      <c r="BU99" t="str">
        <f>HYPERLINK("http://www.uniprot.org/uniprot/P99028#expression","P99028")</f>
        <v>P99028</v>
      </c>
      <c r="BV99">
        <v>50</v>
      </c>
      <c r="BW99">
        <v>69</v>
      </c>
      <c r="BX99">
        <v>81</v>
      </c>
      <c r="BY99" t="s">
        <v>620</v>
      </c>
      <c r="BZ99" s="33" t="str">
        <f>HYPERLINK("http://exon.niaid.nih.gov/transcriptome/S_calcitrans/S1/links/REFSEQ-INVERTEBRATE/XP_013116525.1-REFSEQ-INVERTEBRATE.txt","cytochrome b-c1 complex subunit 6, mitochondrial")</f>
        <v>cytochrome b-c1 complex subunit 6, mitochondrial</v>
      </c>
      <c r="CA99" t="str">
        <f>HYPERLINK("http://www.ncbi.nlm.nih.gov/sutils/blink.cgi?pid=907742151","5E-047")</f>
        <v>5E-047</v>
      </c>
      <c r="CB99" t="str">
        <f>HYPERLINK("http://www.ncbi.nlm.nih.gov/protein/907742151","gi|907742151")</f>
        <v>gi|907742151</v>
      </c>
      <c r="CC99">
        <v>100</v>
      </c>
      <c r="CD99">
        <v>100</v>
      </c>
      <c r="CE99">
        <v>100</v>
      </c>
      <c r="CF99" t="s">
        <v>253</v>
      </c>
      <c r="CG99" s="33" t="str">
        <f>HYPERLINK("http://exon.niaid.nih.gov/transcriptome/S_calcitrans/S1/links/DIPTERA/XP_013116525.1-DIPTERA.txt","cytochrome b-c1 complex subunit 6, mitochondrial")</f>
        <v>cytochrome b-c1 complex subunit 6, mitochondrial</v>
      </c>
      <c r="CH99" t="str">
        <f>HYPERLINK("http://www.ncbi.nlm.nih.gov/sutils/blink.cgi?pid=907742151","3E-047")</f>
        <v>3E-047</v>
      </c>
      <c r="CI99" t="str">
        <f>HYPERLINK("http://www.ncbi.nlm.nih.gov/protein/907742151","gi|907742151")</f>
        <v>gi|907742151</v>
      </c>
      <c r="CJ99">
        <v>100</v>
      </c>
      <c r="CK99">
        <v>100</v>
      </c>
      <c r="CL99">
        <v>100</v>
      </c>
      <c r="CM99" t="s">
        <v>253</v>
      </c>
      <c r="CN99" s="33" t="s">
        <v>242</v>
      </c>
      <c r="CO99" t="s">
        <v>242</v>
      </c>
      <c r="CP99" t="s">
        <v>242</v>
      </c>
      <c r="CQ99" t="s">
        <v>242</v>
      </c>
      <c r="CR99" t="s">
        <v>242</v>
      </c>
      <c r="CS99" t="s">
        <v>242</v>
      </c>
      <c r="CT99" t="s">
        <v>242</v>
      </c>
      <c r="CU99" s="33" t="s">
        <v>1154</v>
      </c>
      <c r="CV99">
        <f>HYPERLINK("http://exon.niaid.nih.gov/transcriptome/S_calcitrans/S1/links/GO/XP_013116525.1-GO.txt",2E-29)</f>
        <v>1.9999999999999999E-29</v>
      </c>
      <c r="CW99" t="str">
        <f>HYPERLINK("http://amigo.geneontology.org/cgi-bin/amigo/term_details?term=GO:0008121","GO:0008121")</f>
        <v>GO:0008121</v>
      </c>
      <c r="CX99" t="s">
        <v>1155</v>
      </c>
      <c r="CY99" t="s">
        <v>1156</v>
      </c>
      <c r="CZ99" t="s">
        <v>1157</v>
      </c>
      <c r="DA99" t="str">
        <f>HYPERLINK("http://www.genome.jp/dbget-bin/www_bfind_sub?mode=bfind&amp;max_hit=1000&amp;dbkey=kegg&amp;keywords=EC:1.10.2.2","EC:1.10.2.2")</f>
        <v>EC:1.10.2.2</v>
      </c>
      <c r="DC99" t="s">
        <v>1158</v>
      </c>
      <c r="DD99" s="37">
        <v>1.9999999999999999E-29</v>
      </c>
      <c r="DE99" s="33" t="str">
        <f>HYPERLINK("http://exon.niaid.nih.gov/transcriptome/S_calcitrans/S1/links/CDD/XP_013116525.1-CDD.txt","UCR_hinge")</f>
        <v>UCR_hinge</v>
      </c>
      <c r="DF99" t="str">
        <f>HYPERLINK("http://www.ncbi.nlm.nih.gov/Structure/cdd/cddsrv.cgi?uid=pfam02320&amp;version=v4.0","4E-020")</f>
        <v>4E-020</v>
      </c>
      <c r="DG99" t="s">
        <v>1159</v>
      </c>
      <c r="DH99" s="33" t="str">
        <f>HYPERLINK("http://exon.niaid.nih.gov/transcriptome/S_calcitrans/S1/links/KOG/XP_013116525.1-KOG.txt","Ubiquinol-cytochrome c reductase hinge protein")</f>
        <v>Ubiquinol-cytochrome c reductase hinge protein</v>
      </c>
      <c r="DI99" t="str">
        <f>HYPERLINK("http://www.ncbi.nlm.nih.gov/Structure/cdd/cddsrv.cgi?uid=KOG4763","1E-015")</f>
        <v>1E-015</v>
      </c>
      <c r="DJ99" t="s">
        <v>865</v>
      </c>
      <c r="DK99" t="str">
        <f>HYPERLINK("http://exon.niaid.nih.gov/transcriptome/S_calcitrans/S1/links/KOG/XP_013116525.1-KOG.txt","KOG4763")</f>
        <v>KOG4763</v>
      </c>
      <c r="DL99" s="33" t="str">
        <f>HYPERLINK("http://exon.niaid.nih.gov/transcriptome/S_calcitrans/S1/links/PFAM/XP_013116525.1-PFAM.txt","UCR_hinge")</f>
        <v>UCR_hinge</v>
      </c>
      <c r="DM99" t="str">
        <f>HYPERLINK("http://pfam.sanger.ac.uk/family?acc=PF02320","8E-021")</f>
        <v>8E-021</v>
      </c>
      <c r="DN99" s="33" t="str">
        <f>HYPERLINK("http://exon.niaid.nih.gov/transcriptome/S_calcitrans/S1/links/SMART/XP_013116525.1-SMART.txt","TOPEUc")</f>
        <v>TOPEUc</v>
      </c>
      <c r="DO99" t="str">
        <f>HYPERLINK("http://smart.embl-heidelberg.de/smart/do_annotation.pl?DOMAIN=TOPEUc&amp;BLAST=DUMMY","1.5")</f>
        <v>1.5</v>
      </c>
      <c r="DP99" s="33"/>
      <c r="EB99" s="33">
        <v>6019</v>
      </c>
      <c r="EC99">
        <v>1</v>
      </c>
      <c r="ED99" s="33">
        <v>7292</v>
      </c>
      <c r="EE99">
        <v>1</v>
      </c>
      <c r="EF99" s="33">
        <v>8162</v>
      </c>
      <c r="EG99">
        <v>1</v>
      </c>
      <c r="EH99" s="33">
        <v>8864</v>
      </c>
      <c r="EI99">
        <v>1</v>
      </c>
      <c r="EJ99" s="33">
        <v>9570</v>
      </c>
      <c r="EK99">
        <v>1</v>
      </c>
      <c r="EL99" s="33">
        <v>10107</v>
      </c>
      <c r="EM99">
        <v>1</v>
      </c>
      <c r="EN99" s="33">
        <v>10716</v>
      </c>
      <c r="EO99">
        <v>1</v>
      </c>
      <c r="EP99" s="33">
        <v>11211</v>
      </c>
      <c r="EQ99">
        <v>1</v>
      </c>
      <c r="ER99" s="33">
        <v>11674</v>
      </c>
      <c r="ES99">
        <v>1</v>
      </c>
      <c r="ET99" s="33">
        <v>12085</v>
      </c>
      <c r="EU99">
        <v>1</v>
      </c>
      <c r="EV99" s="33">
        <v>12514</v>
      </c>
      <c r="EW99">
        <v>1</v>
      </c>
      <c r="EX99" s="33">
        <v>12914</v>
      </c>
      <c r="EY99">
        <v>1</v>
      </c>
      <c r="EZ99" s="33">
        <v>13412</v>
      </c>
      <c r="FA99">
        <v>1</v>
      </c>
      <c r="FB99" s="33">
        <v>13943</v>
      </c>
      <c r="FC99">
        <v>1</v>
      </c>
      <c r="FD99" s="33">
        <v>14732</v>
      </c>
      <c r="FE99">
        <v>1</v>
      </c>
      <c r="FF99" t="s">
        <v>1160</v>
      </c>
      <c r="FG99">
        <v>20947</v>
      </c>
      <c r="FH99" s="38" t="str">
        <f>HYPERLINK("http://exon.niaid.nih.gov/transcriptome/S_calcitrans/S1/links/SG_male-stripped_temp-95-h10-1gap/20947-SG_male-stripped_temp-95-h10-1gap.txt","3384")</f>
        <v>3384</v>
      </c>
      <c r="FI99" s="39">
        <v>100</v>
      </c>
      <c r="FJ99" s="39">
        <v>861.19047619047603</v>
      </c>
      <c r="FK99" s="39">
        <v>165</v>
      </c>
      <c r="FL99" s="39">
        <v>1468</v>
      </c>
      <c r="FM99" s="39">
        <v>69.481382978723403</v>
      </c>
      <c r="FN99" s="38" t="str">
        <f>HYPERLINK("http://exon.niaid.nih.gov/transcriptome/S_calcitrans/S1/links/SG_female-stripped_temp-95-h10-1gap/20947-SG_female-stripped_temp-95-h10-1gap.txt","4155")</f>
        <v>4155</v>
      </c>
      <c r="FO99" s="39">
        <v>100</v>
      </c>
      <c r="FP99" s="39">
        <v>1049.98534798535</v>
      </c>
      <c r="FQ99" s="39">
        <v>215</v>
      </c>
      <c r="FR99" s="39">
        <v>1690</v>
      </c>
      <c r="FS99" s="39">
        <v>68.995667870036101</v>
      </c>
      <c r="FT99" s="38" t="str">
        <f>HYPERLINK("http://exon.niaid.nih.gov/transcriptome/S_calcitrans/S1/links/SRR694289-stripped_temp-95-h10-1gap/20947-SRR694289-stripped_temp-95-h10-1gap.txt","145")</f>
        <v>145</v>
      </c>
      <c r="FU99" s="39">
        <v>100</v>
      </c>
      <c r="FV99" s="39">
        <v>49.146520146520103</v>
      </c>
      <c r="FW99" s="39">
        <v>12</v>
      </c>
      <c r="FX99" s="39">
        <v>77</v>
      </c>
      <c r="FY99" s="39">
        <v>92.531034482758599</v>
      </c>
      <c r="FZ99" s="38" t="str">
        <f>HYPERLINK("http://exon.niaid.nih.gov/transcriptome/S_calcitrans/S1/links/SRR694925-stripped_temp-95-h10-1gap/20947-SRR694925-stripped_temp-95-h10-1gap.txt","73")</f>
        <v>73</v>
      </c>
      <c r="GA99" s="39">
        <v>100</v>
      </c>
      <c r="GB99" s="39">
        <v>23.5091575091575</v>
      </c>
      <c r="GC99" s="39">
        <v>6</v>
      </c>
      <c r="GD99" s="39">
        <v>35</v>
      </c>
      <c r="GE99" s="39">
        <v>87.917808219178099</v>
      </c>
      <c r="GF99">
        <f t="shared" si="100"/>
        <v>3384</v>
      </c>
      <c r="GG99">
        <f t="shared" si="101"/>
        <v>4155</v>
      </c>
      <c r="GH99">
        <f t="shared" si="102"/>
        <v>145</v>
      </c>
      <c r="GI99">
        <f t="shared" si="103"/>
        <v>73</v>
      </c>
      <c r="GJ99">
        <f t="shared" si="93"/>
        <v>7539</v>
      </c>
      <c r="GK99" s="34">
        <v>2.9282679231146143E-2</v>
      </c>
      <c r="GL99">
        <v>405.48024218778409</v>
      </c>
      <c r="GM99">
        <v>226.40270991862164</v>
      </c>
      <c r="GN99">
        <v>3.0530779611202714</v>
      </c>
      <c r="GO99">
        <v>1.5845429168951979</v>
      </c>
      <c r="GP99">
        <f t="shared" si="104"/>
        <v>405.48024218778409</v>
      </c>
      <c r="GQ99" t="s">
        <v>1090</v>
      </c>
      <c r="GR99">
        <v>316.23057622423676</v>
      </c>
      <c r="GS99">
        <v>185.82369049281573</v>
      </c>
      <c r="GT99">
        <v>5.5036549226055174</v>
      </c>
      <c r="GU99">
        <v>2.9999741416136012</v>
      </c>
      <c r="GV99">
        <f t="shared" si="105"/>
        <v>316.23057622423676</v>
      </c>
      <c r="GW99">
        <v>57.683325313232011</v>
      </c>
      <c r="GX99">
        <v>7539</v>
      </c>
      <c r="GY99">
        <v>218</v>
      </c>
      <c r="GZ99">
        <v>7757</v>
      </c>
      <c r="HA99">
        <v>1722.051623260332</v>
      </c>
      <c r="HB99">
        <v>6034.9483767396678</v>
      </c>
      <c r="HC99">
        <v>19649.171929928227</v>
      </c>
      <c r="HD99">
        <v>5606.8231748378867</v>
      </c>
      <c r="HE99">
        <v>25255.995104766112</v>
      </c>
      <c r="HF99">
        <v>0</v>
      </c>
      <c r="HG99">
        <v>1722.051623260332</v>
      </c>
      <c r="HH99">
        <v>1</v>
      </c>
      <c r="HI99">
        <v>1</v>
      </c>
      <c r="HJ99">
        <v>2</v>
      </c>
      <c r="HK99">
        <v>0</v>
      </c>
      <c r="HL99" s="30" t="s">
        <v>262</v>
      </c>
      <c r="HM99">
        <v>120.64158141367955</v>
      </c>
      <c r="HN99">
        <v>8.2500723042157921E-3</v>
      </c>
      <c r="HO99">
        <v>3384</v>
      </c>
      <c r="HP99">
        <v>4155</v>
      </c>
      <c r="HQ99">
        <v>7539</v>
      </c>
      <c r="HR99">
        <v>2356.6608275446506</v>
      </c>
      <c r="HS99">
        <v>5182.3391724553494</v>
      </c>
      <c r="HT99">
        <v>447.84797325326844</v>
      </c>
      <c r="HU99">
        <v>203.65818217204611</v>
      </c>
      <c r="HV99">
        <v>651.50615542531455</v>
      </c>
      <c r="HW99">
        <v>1.0508787840754328E-143</v>
      </c>
      <c r="HX99">
        <v>2356.6608275446506</v>
      </c>
      <c r="HY99">
        <v>1</v>
      </c>
      <c r="HZ99">
        <v>1</v>
      </c>
      <c r="IA99">
        <v>2</v>
      </c>
      <c r="IB99" s="37">
        <v>1.73475772058824E-141</v>
      </c>
      <c r="IC99" s="30" t="s">
        <v>262</v>
      </c>
      <c r="ID99">
        <v>1.7905380960718498</v>
      </c>
      <c r="IE99">
        <v>0.5581919962071058</v>
      </c>
      <c r="IF99">
        <v>1.7905380960718498</v>
      </c>
      <c r="IG99" t="str">
        <f t="shared" si="84"/>
        <v/>
      </c>
    </row>
    <row r="100" spans="1:241">
      <c r="A100" s="22" t="s">
        <v>1161</v>
      </c>
      <c r="B100" s="23"/>
      <c r="C100" s="24"/>
      <c r="D100" s="24"/>
      <c r="E100" s="24"/>
      <c r="F100" s="24"/>
      <c r="G100" s="24"/>
      <c r="H100" s="24"/>
      <c r="I100" s="24"/>
      <c r="J100" s="23"/>
      <c r="K100" s="23"/>
      <c r="L100" s="25"/>
      <c r="M100" s="23"/>
      <c r="N100" s="23"/>
      <c r="O100" s="23"/>
      <c r="P100" s="23"/>
      <c r="Q100" s="25"/>
      <c r="R100" s="23"/>
      <c r="S100" s="24"/>
      <c r="T100" s="24"/>
      <c r="U100" s="24"/>
      <c r="V100" s="24"/>
      <c r="W100" s="24"/>
      <c r="X100" s="24"/>
      <c r="Y100" s="23"/>
      <c r="Z100" s="24"/>
      <c r="AA100" s="24"/>
      <c r="AB100" s="24"/>
      <c r="AC100" s="24"/>
      <c r="AD100" s="24"/>
      <c r="AE100" s="23"/>
      <c r="AF100" s="24"/>
      <c r="AG100" s="24"/>
      <c r="AH100" s="24"/>
      <c r="AI100" s="24"/>
      <c r="AJ100" s="24"/>
      <c r="AK100" s="24"/>
      <c r="AL100" s="24"/>
      <c r="AM100" s="24"/>
      <c r="AN100" s="23" t="str">
        <f t="shared" si="83"/>
        <v/>
      </c>
      <c r="AO100" s="23" t="s">
        <v>244</v>
      </c>
      <c r="AP100" s="24" t="s">
        <v>244</v>
      </c>
      <c r="AQ100" s="26"/>
      <c r="AR100" s="27"/>
      <c r="AS100" s="24"/>
      <c r="AT100" s="24"/>
      <c r="AU100" s="24"/>
      <c r="AV100" s="24"/>
      <c r="AW100" s="28"/>
      <c r="AX100" s="24"/>
      <c r="AY100" s="24"/>
      <c r="AZ100" s="24"/>
      <c r="BA100" s="24"/>
      <c r="BB100" s="24"/>
      <c r="BC100" s="24"/>
      <c r="BD100" s="24"/>
      <c r="BE100" s="24"/>
      <c r="BF100" s="24"/>
      <c r="BG100" s="25"/>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8"/>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9"/>
      <c r="FI100" s="29"/>
      <c r="FJ100" s="29"/>
      <c r="FK100" s="29"/>
      <c r="FL100" s="29"/>
      <c r="FM100" s="29"/>
      <c r="FN100" s="29"/>
      <c r="FO100" s="29"/>
      <c r="FP100" s="29"/>
      <c r="FQ100" s="29"/>
      <c r="FR100" s="29"/>
      <c r="FS100" s="29"/>
      <c r="FT100" s="29"/>
      <c r="FU100" s="29"/>
      <c r="FV100" s="29"/>
      <c r="FW100" s="29"/>
      <c r="FX100" s="29"/>
      <c r="FY100" s="29"/>
      <c r="FZ100" s="29"/>
      <c r="GA100" s="29"/>
      <c r="GB100" s="29"/>
      <c r="GC100" s="29"/>
      <c r="GD100" s="29"/>
      <c r="GE100" s="29"/>
      <c r="GF100" s="24"/>
      <c r="GG100" s="24"/>
      <c r="GH100" s="24"/>
      <c r="GI100" s="24"/>
      <c r="GJ100" s="24" t="str">
        <f t="shared" si="93"/>
        <v/>
      </c>
      <c r="GK100" s="26"/>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3"/>
      <c r="HM100" s="24"/>
      <c r="HN100" s="24"/>
      <c r="HO100" s="24"/>
      <c r="HP100" s="24"/>
      <c r="HQ100" s="24"/>
      <c r="HR100" s="24"/>
      <c r="HS100" s="24"/>
      <c r="HT100" s="24"/>
      <c r="HU100" s="24"/>
      <c r="HV100" s="24"/>
      <c r="HW100" s="24"/>
      <c r="HX100" s="24"/>
      <c r="HY100" s="24"/>
      <c r="HZ100" s="24"/>
      <c r="IA100" s="24"/>
      <c r="IB100" s="28"/>
      <c r="IC100" s="23"/>
      <c r="ID100" s="24"/>
      <c r="IE100" s="24"/>
      <c r="IF100" s="24"/>
      <c r="IG100" s="24" t="str">
        <f t="shared" si="84"/>
        <v/>
      </c>
    </row>
    <row r="101" spans="1:241">
      <c r="A101" t="str">
        <f>HYPERLINK("http://exon.niaid.nih.gov/transcriptome/S_calcitrans/S1/links/pep/XP_013105085.1-pep.txt","XP_013105085.1")</f>
        <v>XP_013105085.1</v>
      </c>
      <c r="B101" s="30" t="s">
        <v>232</v>
      </c>
      <c r="C101">
        <v>425</v>
      </c>
      <c r="D101" t="s">
        <v>1162</v>
      </c>
      <c r="E101">
        <v>2</v>
      </c>
      <c r="F101" t="s">
        <v>1163</v>
      </c>
      <c r="G101" t="str">
        <f>HYPERLINK("http://exon.niaid.nih.gov/transcriptome/S_calcitrans/S1/links/cds/XM_013249631_1-cds.txt","XM_013249631_1")</f>
        <v>XM_013249631_1</v>
      </c>
      <c r="H101">
        <v>1278</v>
      </c>
      <c r="I101" t="s">
        <v>1164</v>
      </c>
      <c r="J101" s="30" t="s">
        <v>236</v>
      </c>
      <c r="K101" s="30" t="s">
        <v>91</v>
      </c>
      <c r="L101" s="31" t="s">
        <v>1165</v>
      </c>
      <c r="M101" s="30">
        <v>519730</v>
      </c>
      <c r="N101" s="30">
        <v>528177</v>
      </c>
      <c r="O101" s="30" t="s">
        <v>238</v>
      </c>
      <c r="P101" s="30">
        <v>7</v>
      </c>
      <c r="Q101" s="31" t="s">
        <v>1166</v>
      </c>
      <c r="R101" s="32" t="str">
        <f>HYPERLINK("http://exon.niaid.nih.gov/transcriptome/S_calcitrans/S1/links/Sigp/XP_013105085.1-SigP.txt","CYT")</f>
        <v>CYT</v>
      </c>
      <c r="S101" t="s">
        <v>242</v>
      </c>
      <c r="T101">
        <v>49.984000000000002</v>
      </c>
      <c r="U101">
        <v>9.0299999999999994</v>
      </c>
      <c r="V101" t="s">
        <v>242</v>
      </c>
      <c r="W101" t="s">
        <v>242</v>
      </c>
      <c r="X101" t="s">
        <v>1167</v>
      </c>
      <c r="Y101" s="32">
        <v>0</v>
      </c>
      <c r="Z101" t="s">
        <v>242</v>
      </c>
      <c r="AA101" t="s">
        <v>242</v>
      </c>
      <c r="AB101" t="s">
        <v>242</v>
      </c>
      <c r="AC101" t="s">
        <v>242</v>
      </c>
      <c r="AD101" t="s">
        <v>242</v>
      </c>
      <c r="AE101" s="32" t="str">
        <f>HYPERLINK("http://exon.niaid.nih.gov/transcriptome/S_calcitrans/S1/links/netoglyc/XP_013105085.1-netoglyc.txt","1")</f>
        <v>1</v>
      </c>
      <c r="AF101">
        <v>11.8</v>
      </c>
      <c r="AG101">
        <v>3.5</v>
      </c>
      <c r="AH101">
        <v>2.4</v>
      </c>
      <c r="AI101" t="s">
        <v>243</v>
      </c>
      <c r="AJ101" t="s">
        <v>242</v>
      </c>
      <c r="AK101">
        <v>308.04055257358669</v>
      </c>
      <c r="AL101" s="33">
        <f>HYPERLINK("http://exon.niaid.nih.gov/transcriptome/S_calcitrans/S1/links/cluster-b/Scalc-pep95-50SimCLU2237.txt", 2237)</f>
        <v>2237</v>
      </c>
      <c r="AM101">
        <f>HYPERLINK("http://exon.niaid.nih.gov/transcriptome/S_calcitrans/S1/links/cluster-b/Scalc-pep95-50SimCLTL2237.txt", 2)</f>
        <v>2</v>
      </c>
      <c r="AN101" s="30">
        <f t="shared" si="83"/>
        <v>1</v>
      </c>
      <c r="AO101" s="30" t="s">
        <v>244</v>
      </c>
      <c r="AP101">
        <v>5186</v>
      </c>
      <c r="AQ101" s="34">
        <v>2.0143251690240602E-2</v>
      </c>
      <c r="AR101" s="35">
        <v>97.133934982100712</v>
      </c>
      <c r="AS101" t="s">
        <v>1168</v>
      </c>
      <c r="AT101" s="36" t="s">
        <v>1169</v>
      </c>
      <c r="AU101" t="s">
        <v>1170</v>
      </c>
      <c r="AV101" t="str">
        <f>HYPERLINK("http://exon.niaid.nih.gov/transcriptome/S_calcitrans/S1/links/KOG/XP_013105085.1-KOG.txt","KOG")</f>
        <v>KOG</v>
      </c>
      <c r="AW101" s="37">
        <v>4.9999999999999997E-89</v>
      </c>
      <c r="AX101">
        <v>100.2</v>
      </c>
      <c r="AY101" s="33"/>
      <c r="BG101" s="31"/>
      <c r="BJ101" s="33"/>
      <c r="BK101" s="33"/>
      <c r="BL101" s="33" t="str">
        <f>HYPERLINK("http://exon.niaid.nih.gov/transcriptome/S_calcitrans/S1/links/NR-LIGHT/XP_013105085.1-NR-LIGHT.txt","farnesyl pyrophosphate synthase")</f>
        <v>farnesyl pyrophosphate synthase</v>
      </c>
      <c r="BM101" t="str">
        <f>HYPERLINK("http://www.ncbi.nlm.nih.gov/sutils/blink.cgi?pid=557765471","1E-106")</f>
        <v>1E-106</v>
      </c>
      <c r="BN101" t="str">
        <f t="shared" ref="BN101:BN106" si="106">HYPERLINK("http://www.ncbi.nlm.nih.gov/protein/557765471","gi|557765471")</f>
        <v>gi|557765471</v>
      </c>
      <c r="BO101">
        <v>50</v>
      </c>
      <c r="BP101">
        <v>70</v>
      </c>
      <c r="BQ101">
        <v>81</v>
      </c>
      <c r="BR101" t="s">
        <v>251</v>
      </c>
      <c r="BS101" s="33" t="str">
        <f>HYPERLINK("http://exon.niaid.nih.gov/transcriptome/S_calcitrans/S1/links/SWISSP/XP_013105085.1-SWISSP.txt","Farnesyl pyrophosphate synthase")</f>
        <v>Farnesyl pyrophosphate synthase</v>
      </c>
      <c r="BT101" t="str">
        <f>HYPERLINK("http://www.uniprot.org/uniprot/P08836","1E-072")</f>
        <v>1E-072</v>
      </c>
      <c r="BU101" t="str">
        <f>HYPERLINK("http://www.uniprot.org/uniprot/P08836#expression","P08836")</f>
        <v>P08836</v>
      </c>
      <c r="BV101">
        <v>37</v>
      </c>
      <c r="BW101">
        <v>61</v>
      </c>
      <c r="BX101">
        <v>96</v>
      </c>
      <c r="BY101" t="s">
        <v>1171</v>
      </c>
      <c r="BZ101" s="33" t="str">
        <f>HYPERLINK("http://exon.niaid.nih.gov/transcriptome/S_calcitrans/S1/links/REFSEQ-INVERTEBRATE/XP_013105085.1-REFSEQ-INVERTEBRATE.txt","farnesyl pyrophosphate synthase-like isoform X1")</f>
        <v>farnesyl pyrophosphate synthase-like isoform X1</v>
      </c>
      <c r="CA101" t="str">
        <f>HYPERLINK("http://www.ncbi.nlm.nih.gov/sutils/blink.cgi?pid=907673879","0.0")</f>
        <v>0.0</v>
      </c>
      <c r="CB101" t="str">
        <f>HYPERLINK("http://www.ncbi.nlm.nih.gov/protein/907673879","gi|907673879")</f>
        <v>gi|907673879</v>
      </c>
      <c r="CC101">
        <v>100</v>
      </c>
      <c r="CD101">
        <v>100</v>
      </c>
      <c r="CE101">
        <v>100</v>
      </c>
      <c r="CF101" t="s">
        <v>253</v>
      </c>
      <c r="CG101" s="33" t="str">
        <f>HYPERLINK("http://exon.niaid.nih.gov/transcriptome/S_calcitrans/S1/links/DIPTERA/XP_013105085.1-DIPTERA.txt","farnesyl pyrophosphate synthase-like isoform X1")</f>
        <v>farnesyl pyrophosphate synthase-like isoform X1</v>
      </c>
      <c r="CH101" t="str">
        <f>HYPERLINK("http://www.ncbi.nlm.nih.gov/sutils/blink.cgi?pid=907673879","0.0")</f>
        <v>0.0</v>
      </c>
      <c r="CI101" t="str">
        <f>HYPERLINK("http://www.ncbi.nlm.nih.gov/protein/907673879","gi|907673879")</f>
        <v>gi|907673879</v>
      </c>
      <c r="CJ101">
        <v>100</v>
      </c>
      <c r="CK101">
        <v>100</v>
      </c>
      <c r="CL101">
        <v>100</v>
      </c>
      <c r="CM101" t="s">
        <v>253</v>
      </c>
      <c r="CN101" s="33" t="s">
        <v>242</v>
      </c>
      <c r="CO101" t="s">
        <v>242</v>
      </c>
      <c r="CP101" t="s">
        <v>242</v>
      </c>
      <c r="CQ101" t="s">
        <v>242</v>
      </c>
      <c r="CR101" t="s">
        <v>242</v>
      </c>
      <c r="CS101" t="s">
        <v>242</v>
      </c>
      <c r="CT101" t="s">
        <v>242</v>
      </c>
      <c r="CU101" s="33" t="s">
        <v>1172</v>
      </c>
      <c r="CV101">
        <f>HYPERLINK("http://exon.niaid.nih.gov/transcriptome/S_calcitrans/S1/links/GO/XP_013105085.1-GO.txt",0)</f>
        <v>0</v>
      </c>
      <c r="CW101" t="str">
        <f t="shared" ref="CW101:CW106" si="107">HYPERLINK("http://amigo.geneontology.org/cgi-bin/amigo/term_details?term=GO:0004161","GO:0004161")</f>
        <v>GO:0004161</v>
      </c>
      <c r="CX101" t="s">
        <v>1173</v>
      </c>
      <c r="CY101" t="s">
        <v>1174</v>
      </c>
      <c r="CZ101" t="s">
        <v>1175</v>
      </c>
      <c r="DA101" t="str">
        <f t="shared" ref="DA101:DA106" si="108">HYPERLINK("http://www.genome.jp/dbget-bin/www_bfind_sub?mode=bfind&amp;max_hit=1000&amp;dbkey=kegg&amp;keywords=EC:2.5.1.1","EC:2.5.1.1")</f>
        <v>EC:2.5.1.1</v>
      </c>
      <c r="DC101" t="s">
        <v>1176</v>
      </c>
      <c r="DD101" s="37">
        <v>7.0000000000000004E-86</v>
      </c>
      <c r="DE101" s="33" t="str">
        <f>HYPERLINK("http://exon.niaid.nih.gov/transcriptome/S_calcitrans/S1/links/CDD/XP_013105085.1-CDD.txt","polyprenyl_synt")</f>
        <v>polyprenyl_synt</v>
      </c>
      <c r="DF101" t="str">
        <f>HYPERLINK("http://www.ncbi.nlm.nih.gov/Structure/cdd/cddsrv.cgi?uid=pfam00348&amp;version=v4.0","1E-045")</f>
        <v>1E-045</v>
      </c>
      <c r="DG101" t="s">
        <v>1177</v>
      </c>
      <c r="DH101" s="33" t="str">
        <f>HYPERLINK("http://exon.niaid.nih.gov/transcriptome/S_calcitrans/S1/links/KOG/XP_013105085.1-KOG.txt","Polyprenyl synthetase")</f>
        <v>Polyprenyl synthetase</v>
      </c>
      <c r="DI101" t="str">
        <f>HYPERLINK("http://www.ncbi.nlm.nih.gov/Structure/cdd/cddsrv.cgi?uid=KOG0711","5E-089")</f>
        <v>5E-089</v>
      </c>
      <c r="DJ101" t="s">
        <v>1178</v>
      </c>
      <c r="DK101" t="str">
        <f>HYPERLINK("http://exon.niaid.nih.gov/transcriptome/S_calcitrans/S1/links/KOG/XP_013105085.1-KOG.txt","KOG0711")</f>
        <v>KOG0711</v>
      </c>
      <c r="DL101" s="33" t="str">
        <f>HYPERLINK("http://exon.niaid.nih.gov/transcriptome/S_calcitrans/S1/links/PFAM/XP_013105085.1-PFAM.txt","polyprenyl_synt")</f>
        <v>polyprenyl_synt</v>
      </c>
      <c r="DM101" t="str">
        <f>HYPERLINK("http://pfam.sanger.ac.uk/family?acc=PF00348","3E-046")</f>
        <v>3E-046</v>
      </c>
      <c r="DN101" s="33" t="str">
        <f>HYPERLINK("http://exon.niaid.nih.gov/transcriptome/S_calcitrans/S1/links/SMART/XP_013105085.1-SMART.txt","VPS10")</f>
        <v>VPS10</v>
      </c>
      <c r="DO101" t="str">
        <f>HYPERLINK("http://smart.embl-heidelberg.de/smart/do_annotation.pl?DOMAIN=VPS10&amp;BLAST=DUMMY","0.37")</f>
        <v>0.37</v>
      </c>
      <c r="DP101" s="33"/>
      <c r="EB101" s="33">
        <f t="shared" ref="EB101:EB106" si="109">HYPERLINK("http://exon.niaid.nih.gov/transcriptome/S_calcitrans/S1/links/cluster-b/Scalc-pep25-50SimCLU56.txt", 56)</f>
        <v>56</v>
      </c>
      <c r="EC101">
        <f t="shared" ref="EC101:EC106" si="110">HYPERLINK("http://exon.niaid.nih.gov/transcriptome/S_calcitrans/S1/links/cluster-b/Scalc-pep25-50SimCLTL56.txt", 22)</f>
        <v>22</v>
      </c>
      <c r="ED101" s="33">
        <f t="shared" ref="ED101:ED106" si="111">HYPERLINK("http://exon.niaid.nih.gov/transcriptome/S_calcitrans/S1/links/cluster-b/Scalc-pep30-50SimCLU96.txt", 96)</f>
        <v>96</v>
      </c>
      <c r="EE101">
        <f t="shared" ref="EE101:EE106" si="112">HYPERLINK("http://exon.niaid.nih.gov/transcriptome/S_calcitrans/S1/links/cluster-b/Scalc-pep30-50SimCLTL96.txt", 19)</f>
        <v>19</v>
      </c>
      <c r="EF101" s="33">
        <f t="shared" ref="EF101:EF106" si="113">HYPERLINK("http://exon.niaid.nih.gov/transcriptome/S_calcitrans/S1/links/cluster-b/Scalc-pep35-50SimCLU92.txt", 92)</f>
        <v>92</v>
      </c>
      <c r="EG101">
        <f t="shared" ref="EG101:EG106" si="114">HYPERLINK("http://exon.niaid.nih.gov/transcriptome/S_calcitrans/S1/links/cluster-b/Scalc-pep35-50SimCLTL92.txt", 19)</f>
        <v>19</v>
      </c>
      <c r="EH101" s="33">
        <f t="shared" ref="EH101:EH106" si="115">HYPERLINK("http://exon.niaid.nih.gov/transcriptome/S_calcitrans/S1/links/cluster-b/Scalc-pep40-50SimCLU127.txt", 127)</f>
        <v>127</v>
      </c>
      <c r="EI101">
        <f t="shared" ref="EI101:EI106" si="116">HYPERLINK("http://exon.niaid.nih.gov/transcriptome/S_calcitrans/S1/links/cluster-b/Scalc-pep40-50SimCLTL127.txt", 14)</f>
        <v>14</v>
      </c>
      <c r="EJ101" s="33">
        <f t="shared" ref="EJ101:EJ106" si="117">HYPERLINK("http://exon.niaid.nih.gov/transcriptome/S_calcitrans/S1/links/cluster-b/Scalc-pep45-50SimCLU111.txt", 111)</f>
        <v>111</v>
      </c>
      <c r="EK101">
        <f t="shared" ref="EK101:EK106" si="118">HYPERLINK("http://exon.niaid.nih.gov/transcriptome/S_calcitrans/S1/links/cluster-b/Scalc-pep45-50SimCLTL111.txt", 14)</f>
        <v>14</v>
      </c>
      <c r="EL101" s="33">
        <f t="shared" ref="EL101:EL106" si="119">HYPERLINK("http://exon.niaid.nih.gov/transcriptome/S_calcitrans/S1/links/cluster-b/Scalc-pep50-50SimCLU92.txt", 92)</f>
        <v>92</v>
      </c>
      <c r="EM101">
        <f t="shared" ref="EM101:EM106" si="120">HYPERLINK("http://exon.niaid.nih.gov/transcriptome/S_calcitrans/S1/links/cluster-b/Scalc-pep50-50SimCLTL92.txt", 14)</f>
        <v>14</v>
      </c>
      <c r="EN101" s="33">
        <f t="shared" ref="EN101:EN106" si="121">HYPERLINK("http://exon.niaid.nih.gov/transcriptome/S_calcitrans/S1/links/cluster-b/Scalc-pep55-50SimCLU79.txt", 79)</f>
        <v>79</v>
      </c>
      <c r="EO101">
        <f t="shared" ref="EO101:EO106" si="122">HYPERLINK("http://exon.niaid.nih.gov/transcriptome/S_calcitrans/S1/links/cluster-b/Scalc-pep55-50SimCLTL79.txt", 14)</f>
        <v>14</v>
      </c>
      <c r="EP101" s="33">
        <f t="shared" ref="EP101:EP106" si="123">HYPERLINK("http://exon.niaid.nih.gov/transcriptome/S_calcitrans/S1/links/cluster-b/Scalc-pep60-50SimCLU95.txt", 95)</f>
        <v>95</v>
      </c>
      <c r="EQ101">
        <f t="shared" ref="EQ101:EQ106" si="124">HYPERLINK("http://exon.niaid.nih.gov/transcriptome/S_calcitrans/S1/links/cluster-b/Scalc-pep60-50SimCLTL95.txt", 12)</f>
        <v>12</v>
      </c>
      <c r="ER101" s="33">
        <f>HYPERLINK("http://exon.niaid.nih.gov/transcriptome/S_calcitrans/S1/links/cluster-b/Scalc-pep65-50SimCLU173.txt", 173)</f>
        <v>173</v>
      </c>
      <c r="ES101">
        <f>HYPERLINK("http://exon.niaid.nih.gov/transcriptome/S_calcitrans/S1/links/cluster-b/Scalc-pep65-50SimCLTL173.txt", 9)</f>
        <v>9</v>
      </c>
      <c r="ET101" s="33">
        <f>HYPERLINK("http://exon.niaid.nih.gov/transcriptome/S_calcitrans/S1/links/cluster-b/Scalc-pep70-50SimCLU283.txt", 283)</f>
        <v>283</v>
      </c>
      <c r="EU101">
        <f>HYPERLINK("http://exon.niaid.nih.gov/transcriptome/S_calcitrans/S1/links/cluster-b/Scalc-pep70-50SimCLTL283.txt", 7)</f>
        <v>7</v>
      </c>
      <c r="EV101" s="33">
        <f>HYPERLINK("http://exon.niaid.nih.gov/transcriptome/S_calcitrans/S1/links/cluster-b/Scalc-pep75-50SimCLU884.txt", 884)</f>
        <v>884</v>
      </c>
      <c r="EW101">
        <f>HYPERLINK("http://exon.niaid.nih.gov/transcriptome/S_calcitrans/S1/links/cluster-b/Scalc-pep75-50SimCLTL884.txt", 4)</f>
        <v>4</v>
      </c>
      <c r="EX101" s="33">
        <f>HYPERLINK("http://exon.niaid.nih.gov/transcriptome/S_calcitrans/S1/links/cluster-b/Scalc-pep80-50SimCLU842.txt", 842)</f>
        <v>842</v>
      </c>
      <c r="EY101">
        <f>HYPERLINK("http://exon.niaid.nih.gov/transcriptome/S_calcitrans/S1/links/cluster-b/Scalc-pep80-50SimCLTL842.txt", 4)</f>
        <v>4</v>
      </c>
      <c r="EZ101" s="33">
        <f>HYPERLINK("http://exon.niaid.nih.gov/transcriptome/S_calcitrans/S1/links/cluster-b/Scalc-pep85-50SimCLU778.txt", 778)</f>
        <v>778</v>
      </c>
      <c r="FA101">
        <f>HYPERLINK("http://exon.niaid.nih.gov/transcriptome/S_calcitrans/S1/links/cluster-b/Scalc-pep85-50SimCLTL778.txt", 4)</f>
        <v>4</v>
      </c>
      <c r="FB101" s="33">
        <f>HYPERLINK("http://exon.niaid.nih.gov/transcriptome/S_calcitrans/S1/links/cluster-b/Scalc-pep90-50SimCLU2438.txt", 2438)</f>
        <v>2438</v>
      </c>
      <c r="FC101">
        <f>HYPERLINK("http://exon.niaid.nih.gov/transcriptome/S_calcitrans/S1/links/cluster-b/Scalc-pep90-50SimCLTL2438.txt", 2)</f>
        <v>2</v>
      </c>
      <c r="FD101" s="33">
        <f>HYPERLINK("http://exon.niaid.nih.gov/transcriptome/S_calcitrans/S1/links/cluster-b/Scalc-pep95-50SimCLU2237.txt", 2237)</f>
        <v>2237</v>
      </c>
      <c r="FE101">
        <f>HYPERLINK("http://exon.niaid.nih.gov/transcriptome/S_calcitrans/S1/links/cluster-b/Scalc-pep95-50SimCLTL2237.txt", 2)</f>
        <v>2</v>
      </c>
      <c r="FF101" t="s">
        <v>1179</v>
      </c>
      <c r="FG101">
        <v>10724</v>
      </c>
      <c r="FH101" s="38" t="str">
        <f>HYPERLINK("http://exon.niaid.nih.gov/transcriptome/S_calcitrans/S1/links/SG_male-stripped_temp-95-h10-1gap/10724-SG_male-stripped_temp-95-h10-1gap.txt","1664")</f>
        <v>1664</v>
      </c>
      <c r="FI101" s="39">
        <v>96.087636932707397</v>
      </c>
      <c r="FJ101" s="39">
        <v>95.268388106416296</v>
      </c>
      <c r="FK101" s="39">
        <v>0</v>
      </c>
      <c r="FL101" s="39">
        <v>299</v>
      </c>
      <c r="FM101" s="39">
        <v>73.169471153846203</v>
      </c>
      <c r="FN101" s="38" t="str">
        <f>HYPERLINK("http://exon.niaid.nih.gov/transcriptome/S_calcitrans/S1/links/SG_female-stripped_temp-95-h10-1gap/10724-SG_female-stripped_temp-95-h10-1gap.txt","3522")</f>
        <v>3522</v>
      </c>
      <c r="FO101" s="39">
        <v>100</v>
      </c>
      <c r="FP101" s="39">
        <v>201.20109546165901</v>
      </c>
      <c r="FQ101" s="39">
        <v>1</v>
      </c>
      <c r="FR101" s="39">
        <v>518</v>
      </c>
      <c r="FS101" s="39">
        <v>73.008517887563897</v>
      </c>
      <c r="FT101" s="38" t="str">
        <f>HYPERLINK("http://exon.niaid.nih.gov/transcriptome/S_calcitrans/S1/links/SRR694289-stripped_temp-95-h10-1gap/10724-SRR694289-stripped_temp-95-h10-1gap.txt","31")</f>
        <v>31</v>
      </c>
      <c r="FU101" s="39">
        <v>72.691705790297306</v>
      </c>
      <c r="FV101" s="39">
        <v>2.2981220657276999</v>
      </c>
      <c r="FW101" s="39">
        <v>0</v>
      </c>
      <c r="FX101" s="39">
        <v>7</v>
      </c>
      <c r="FY101" s="39">
        <v>94.741935483871003</v>
      </c>
      <c r="FZ101" s="38" t="str">
        <f>HYPERLINK("http://exon.niaid.nih.gov/transcriptome/S_calcitrans/S1/links/SRR694925-stripped_temp-95-h10-1gap/10724-SRR694925-stripped_temp-95-h10-1gap.txt","27")</f>
        <v>27</v>
      </c>
      <c r="GA101" s="39">
        <v>85.133020344287999</v>
      </c>
      <c r="GB101" s="39">
        <v>2</v>
      </c>
      <c r="GC101" s="39">
        <v>0</v>
      </c>
      <c r="GD101" s="39">
        <v>6</v>
      </c>
      <c r="GE101" s="39">
        <v>94.6666666666667</v>
      </c>
      <c r="GF101">
        <f t="shared" ref="GF101:GF106" si="125">1*FH101</f>
        <v>1664</v>
      </c>
      <c r="GG101">
        <f t="shared" ref="GG101:GG106" si="126">1*FN101</f>
        <v>3522</v>
      </c>
      <c r="GH101">
        <f t="shared" ref="GH101:GH106" si="127">1*FT101</f>
        <v>31</v>
      </c>
      <c r="GI101">
        <f t="shared" ref="GI101:GI106" si="128">1*FZ101</f>
        <v>27</v>
      </c>
      <c r="GJ101">
        <f t="shared" si="93"/>
        <v>5186</v>
      </c>
      <c r="GK101" s="34">
        <v>2.0143251690240602E-2</v>
      </c>
      <c r="GL101">
        <v>42.591649319805867</v>
      </c>
      <c r="GM101">
        <v>40.995079933299472</v>
      </c>
      <c r="GN101">
        <v>0.13943229607123661</v>
      </c>
      <c r="GO101">
        <v>0.12519203636283688</v>
      </c>
      <c r="GP101">
        <f t="shared" ref="GP101:GP106" si="129">MAX(GL101:GO101)</f>
        <v>42.591649319805867</v>
      </c>
      <c r="GQ101" t="s">
        <v>1170</v>
      </c>
      <c r="GR101">
        <v>33.216863376798599</v>
      </c>
      <c r="GS101">
        <v>33.647375722630933</v>
      </c>
      <c r="GT101">
        <v>0.25134872165566069</v>
      </c>
      <c r="GU101">
        <v>0.2370228460333339</v>
      </c>
      <c r="GV101">
        <f t="shared" ref="GV101:GV106" si="130">MAX(GR101:GU101)</f>
        <v>33.647375722630933</v>
      </c>
      <c r="GW101">
        <v>97.133934982100712</v>
      </c>
      <c r="GX101">
        <v>5186</v>
      </c>
      <c r="GY101">
        <v>58</v>
      </c>
      <c r="GZ101">
        <v>5244</v>
      </c>
      <c r="HA101">
        <v>1164.1663932418694</v>
      </c>
      <c r="HB101">
        <v>4079.8336067581304</v>
      </c>
      <c r="HC101">
        <v>13894.186994529169</v>
      </c>
      <c r="HD101">
        <v>3964.6581501891242</v>
      </c>
      <c r="HE101">
        <v>17858.845144718292</v>
      </c>
      <c r="HF101">
        <v>0</v>
      </c>
      <c r="HG101">
        <v>1164.1663932418694</v>
      </c>
      <c r="HH101">
        <v>1</v>
      </c>
      <c r="HI101">
        <v>1</v>
      </c>
      <c r="HJ101">
        <v>2</v>
      </c>
      <c r="HK101">
        <v>0</v>
      </c>
      <c r="HL101" s="30" t="s">
        <v>262</v>
      </c>
      <c r="HM101">
        <v>308.04055257358669</v>
      </c>
      <c r="HN101">
        <v>3.190688099995623E-3</v>
      </c>
      <c r="HO101">
        <v>1664</v>
      </c>
      <c r="HP101">
        <v>3522</v>
      </c>
      <c r="HQ101">
        <v>5186</v>
      </c>
      <c r="HR101">
        <v>1621.1225695246792</v>
      </c>
      <c r="HS101">
        <v>3564.8774304753206</v>
      </c>
      <c r="HT101">
        <v>1.1340746706802181</v>
      </c>
      <c r="HU101">
        <v>0.51571872526366735</v>
      </c>
      <c r="HV101">
        <v>1.6497933959438855</v>
      </c>
      <c r="HW101">
        <v>0.19898705333934175</v>
      </c>
      <c r="HX101">
        <v>1621.1225695246792</v>
      </c>
      <c r="HY101">
        <v>1</v>
      </c>
      <c r="HZ101" t="s">
        <v>244</v>
      </c>
      <c r="IA101">
        <v>1</v>
      </c>
      <c r="IB101">
        <v>0.460732192641295</v>
      </c>
      <c r="IC101" s="30" t="s">
        <v>244</v>
      </c>
      <c r="ID101">
        <v>1.0386504866521309</v>
      </c>
      <c r="IE101">
        <v>0.96193641049298084</v>
      </c>
      <c r="IF101">
        <v>1.0386504866521309</v>
      </c>
      <c r="IG101" t="str">
        <f t="shared" si="84"/>
        <v/>
      </c>
    </row>
    <row r="102" spans="1:241">
      <c r="A102" t="str">
        <f>HYPERLINK("http://exon.niaid.nih.gov/transcriptome/S_calcitrans/S1/links/pep/XP_013105086.1-pep.txt","XP_013105086.1")</f>
        <v>XP_013105086.1</v>
      </c>
      <c r="B102" s="30" t="s">
        <v>232</v>
      </c>
      <c r="C102">
        <v>405</v>
      </c>
      <c r="D102" t="s">
        <v>1180</v>
      </c>
      <c r="E102">
        <v>2</v>
      </c>
      <c r="F102" t="s">
        <v>1181</v>
      </c>
      <c r="G102" t="str">
        <f>HYPERLINK("http://exon.niaid.nih.gov/transcriptome/S_calcitrans/S1/links/cds/XM_013249632_1-cds.txt","XM_013249632_1")</f>
        <v>XM_013249632_1</v>
      </c>
      <c r="H102">
        <v>1218</v>
      </c>
      <c r="I102" t="s">
        <v>1164</v>
      </c>
      <c r="J102" s="30" t="s">
        <v>236</v>
      </c>
      <c r="K102" s="30" t="s">
        <v>91</v>
      </c>
      <c r="L102" s="31" t="s">
        <v>1165</v>
      </c>
      <c r="M102" s="30">
        <v>519730</v>
      </c>
      <c r="N102" s="30">
        <v>527996</v>
      </c>
      <c r="O102" s="30" t="s">
        <v>238</v>
      </c>
      <c r="P102" s="30">
        <v>6</v>
      </c>
      <c r="Q102" s="31" t="s">
        <v>1182</v>
      </c>
      <c r="R102" s="32" t="str">
        <f>HYPERLINK("http://exon.niaid.nih.gov/transcriptome/S_calcitrans/S1/links/Sigp/XP_013105086.1-SigP.txt","CYT")</f>
        <v>CYT</v>
      </c>
      <c r="S102" t="s">
        <v>242</v>
      </c>
      <c r="T102">
        <v>47.54</v>
      </c>
      <c r="U102">
        <v>8.89</v>
      </c>
      <c r="V102" t="s">
        <v>242</v>
      </c>
      <c r="W102" t="s">
        <v>242</v>
      </c>
      <c r="X102" t="s">
        <v>1183</v>
      </c>
      <c r="Y102" s="32">
        <v>0</v>
      </c>
      <c r="Z102" t="s">
        <v>242</v>
      </c>
      <c r="AA102" t="s">
        <v>242</v>
      </c>
      <c r="AB102" t="s">
        <v>242</v>
      </c>
      <c r="AC102" t="s">
        <v>242</v>
      </c>
      <c r="AD102" t="s">
        <v>242</v>
      </c>
      <c r="AE102" s="32" t="str">
        <f>HYPERLINK("http://exon.niaid.nih.gov/transcriptome/S_calcitrans/S1/links/netoglyc/XP_013105086.1-netoglyc.txt","1")</f>
        <v>1</v>
      </c>
      <c r="AF102">
        <v>12.1</v>
      </c>
      <c r="AG102">
        <v>3.7</v>
      </c>
      <c r="AH102">
        <v>2.2000000000000002</v>
      </c>
      <c r="AI102" t="s">
        <v>243</v>
      </c>
      <c r="AJ102" t="s">
        <v>242</v>
      </c>
      <c r="AK102">
        <v>307.56536467914225</v>
      </c>
      <c r="AL102" s="33">
        <f>HYPERLINK("http://exon.niaid.nih.gov/transcriptome/S_calcitrans/S1/links/cluster-b/Scalc-pep95-50SimCLU2237.txt", 2237)</f>
        <v>2237</v>
      </c>
      <c r="AM102">
        <f>HYPERLINK("http://exon.niaid.nih.gov/transcriptome/S_calcitrans/S1/links/cluster-b/Scalc-pep95-50SimCLTL2237.txt", 2)</f>
        <v>2</v>
      </c>
      <c r="AN102" s="30">
        <f t="shared" si="83"/>
        <v>1</v>
      </c>
      <c r="AO102" s="30">
        <v>1</v>
      </c>
      <c r="AP102">
        <v>5178</v>
      </c>
      <c r="AQ102" s="34">
        <v>2.0112178413433445E-2</v>
      </c>
      <c r="AR102" s="35">
        <v>98.364642087142158</v>
      </c>
      <c r="AS102" t="s">
        <v>1184</v>
      </c>
      <c r="AT102" s="36" t="s">
        <v>1169</v>
      </c>
      <c r="AU102" t="s">
        <v>1170</v>
      </c>
      <c r="AV102" t="str">
        <f>HYPERLINK("http://exon.niaid.nih.gov/transcriptome/S_calcitrans/S1/links/KOG/XP_013105086.1-KOG.txt","KOG")</f>
        <v>KOG</v>
      </c>
      <c r="AW102" s="37">
        <v>2.9999999999999999E-89</v>
      </c>
      <c r="AX102">
        <v>100.2</v>
      </c>
      <c r="AY102" s="33"/>
      <c r="BG102" s="31"/>
      <c r="BJ102" s="33"/>
      <c r="BK102" s="33"/>
      <c r="BL102" s="33" t="str">
        <f>HYPERLINK("http://exon.niaid.nih.gov/transcriptome/S_calcitrans/S1/links/NR-LIGHT/XP_013105086.1-NR-LIGHT.txt","farnesyl pyrophosphate synthase")</f>
        <v>farnesyl pyrophosphate synthase</v>
      </c>
      <c r="BM102" t="str">
        <f>HYPERLINK("http://www.ncbi.nlm.nih.gov/sutils/blink.cgi?pid=557765471","1E-106")</f>
        <v>1E-106</v>
      </c>
      <c r="BN102" t="str">
        <f t="shared" si="106"/>
        <v>gi|557765471</v>
      </c>
      <c r="BO102">
        <v>50</v>
      </c>
      <c r="BP102">
        <v>70</v>
      </c>
      <c r="BQ102">
        <v>81</v>
      </c>
      <c r="BR102" t="s">
        <v>251</v>
      </c>
      <c r="BS102" s="33" t="str">
        <f>HYPERLINK("http://exon.niaid.nih.gov/transcriptome/S_calcitrans/S1/links/SWISSP/XP_013105086.1-SWISSP.txt","Farnesyl pyrophosphate synthase")</f>
        <v>Farnesyl pyrophosphate synthase</v>
      </c>
      <c r="BT102" t="str">
        <f>HYPERLINK("http://www.uniprot.org/uniprot/P08836","1E-072")</f>
        <v>1E-072</v>
      </c>
      <c r="BU102" t="str">
        <f>HYPERLINK("http://www.uniprot.org/uniprot/P08836#expression","P08836")</f>
        <v>P08836</v>
      </c>
      <c r="BV102">
        <v>37</v>
      </c>
      <c r="BW102">
        <v>61</v>
      </c>
      <c r="BX102">
        <v>96</v>
      </c>
      <c r="BY102" t="s">
        <v>1171</v>
      </c>
      <c r="BZ102" s="33" t="str">
        <f>HYPERLINK("http://exon.niaid.nih.gov/transcriptome/S_calcitrans/S1/links/REFSEQ-INVERTEBRATE/XP_013105086.1-REFSEQ-INVERTEBRATE.txt","farnesyl pyrophosphate synthase-like isoform X2")</f>
        <v>farnesyl pyrophosphate synthase-like isoform X2</v>
      </c>
      <c r="CA102" t="str">
        <f>HYPERLINK("http://www.ncbi.nlm.nih.gov/sutils/blink.cgi?pid=907673882","0.0")</f>
        <v>0.0</v>
      </c>
      <c r="CB102" t="str">
        <f>HYPERLINK("http://www.ncbi.nlm.nih.gov/protein/907673882","gi|907673882")</f>
        <v>gi|907673882</v>
      </c>
      <c r="CC102">
        <v>100</v>
      </c>
      <c r="CD102">
        <v>100</v>
      </c>
      <c r="CE102">
        <v>100</v>
      </c>
      <c r="CF102" t="s">
        <v>253</v>
      </c>
      <c r="CG102" s="33" t="str">
        <f>HYPERLINK("http://exon.niaid.nih.gov/transcriptome/S_calcitrans/S1/links/DIPTERA/XP_013105086.1-DIPTERA.txt","farnesyl pyrophosphate synthase-like isoform X1")</f>
        <v>farnesyl pyrophosphate synthase-like isoform X1</v>
      </c>
      <c r="CH102" t="str">
        <f>HYPERLINK("http://www.ncbi.nlm.nih.gov/sutils/blink.cgi?pid=907673879","0.0")</f>
        <v>0.0</v>
      </c>
      <c r="CI102" t="str">
        <f>HYPERLINK("http://www.ncbi.nlm.nih.gov/protein/907673879","gi|907673879")</f>
        <v>gi|907673879</v>
      </c>
      <c r="CJ102">
        <v>100</v>
      </c>
      <c r="CK102">
        <v>100</v>
      </c>
      <c r="CL102">
        <v>95</v>
      </c>
      <c r="CM102" t="s">
        <v>253</v>
      </c>
      <c r="CN102" s="33" t="s">
        <v>242</v>
      </c>
      <c r="CO102" t="s">
        <v>242</v>
      </c>
      <c r="CP102" t="s">
        <v>242</v>
      </c>
      <c r="CQ102" t="s">
        <v>242</v>
      </c>
      <c r="CR102" t="s">
        <v>242</v>
      </c>
      <c r="CS102" t="s">
        <v>242</v>
      </c>
      <c r="CT102" t="s">
        <v>242</v>
      </c>
      <c r="CU102" s="33" t="s">
        <v>1172</v>
      </c>
      <c r="CV102">
        <f>HYPERLINK("http://exon.niaid.nih.gov/transcriptome/S_calcitrans/S1/links/GO/XP_013105086.1-GO.txt",0)</f>
        <v>0</v>
      </c>
      <c r="CW102" t="str">
        <f t="shared" si="107"/>
        <v>GO:0004161</v>
      </c>
      <c r="CX102" t="s">
        <v>1173</v>
      </c>
      <c r="CY102" t="s">
        <v>1174</v>
      </c>
      <c r="CZ102" t="s">
        <v>1175</v>
      </c>
      <c r="DA102" t="str">
        <f t="shared" si="108"/>
        <v>EC:2.5.1.1</v>
      </c>
      <c r="DC102" t="s">
        <v>1176</v>
      </c>
      <c r="DD102" s="37">
        <v>7.0000000000000004E-86</v>
      </c>
      <c r="DE102" s="33" t="str">
        <f>HYPERLINK("http://exon.niaid.nih.gov/transcriptome/S_calcitrans/S1/links/CDD/XP_013105086.1-CDD.txt","polyprenyl_synt")</f>
        <v>polyprenyl_synt</v>
      </c>
      <c r="DF102" t="str">
        <f>HYPERLINK("http://www.ncbi.nlm.nih.gov/Structure/cdd/cddsrv.cgi?uid=pfam00348&amp;version=v4.0","2E-045")</f>
        <v>2E-045</v>
      </c>
      <c r="DG102" t="s">
        <v>1185</v>
      </c>
      <c r="DH102" s="33" t="str">
        <f>HYPERLINK("http://exon.niaid.nih.gov/transcriptome/S_calcitrans/S1/links/KOG/XP_013105086.1-KOG.txt","Polyprenyl synthetase")</f>
        <v>Polyprenyl synthetase</v>
      </c>
      <c r="DI102" t="str">
        <f>HYPERLINK("http://www.ncbi.nlm.nih.gov/Structure/cdd/cddsrv.cgi?uid=KOG0711","3E-089")</f>
        <v>3E-089</v>
      </c>
      <c r="DJ102" t="s">
        <v>1178</v>
      </c>
      <c r="DK102" t="str">
        <f>HYPERLINK("http://exon.niaid.nih.gov/transcriptome/S_calcitrans/S1/links/KOG/XP_013105086.1-KOG.txt","KOG0711")</f>
        <v>KOG0711</v>
      </c>
      <c r="DL102" s="33" t="str">
        <f>HYPERLINK("http://exon.niaid.nih.gov/transcriptome/S_calcitrans/S1/links/PFAM/XP_013105086.1-PFAM.txt","polyprenyl_synt")</f>
        <v>polyprenyl_synt</v>
      </c>
      <c r="DM102" t="str">
        <f>HYPERLINK("http://pfam.sanger.ac.uk/family?acc=PF00348","3E-046")</f>
        <v>3E-046</v>
      </c>
      <c r="DN102" s="33" t="str">
        <f>HYPERLINK("http://exon.niaid.nih.gov/transcriptome/S_calcitrans/S1/links/SMART/XP_013105086.1-SMART.txt","ADEAMc")</f>
        <v>ADEAMc</v>
      </c>
      <c r="DO102" t="str">
        <f>HYPERLINK("http://smart.embl-heidelberg.de/smart/do_annotation.pl?DOMAIN=ADEAMc&amp;BLAST=DUMMY","0.47")</f>
        <v>0.47</v>
      </c>
      <c r="DP102" s="33"/>
      <c r="EB102" s="33">
        <f t="shared" si="109"/>
        <v>56</v>
      </c>
      <c r="EC102">
        <f t="shared" si="110"/>
        <v>22</v>
      </c>
      <c r="ED102" s="33">
        <f t="shared" si="111"/>
        <v>96</v>
      </c>
      <c r="EE102">
        <f t="shared" si="112"/>
        <v>19</v>
      </c>
      <c r="EF102" s="33">
        <f t="shared" si="113"/>
        <v>92</v>
      </c>
      <c r="EG102">
        <f t="shared" si="114"/>
        <v>19</v>
      </c>
      <c r="EH102" s="33">
        <f t="shared" si="115"/>
        <v>127</v>
      </c>
      <c r="EI102">
        <f t="shared" si="116"/>
        <v>14</v>
      </c>
      <c r="EJ102" s="33">
        <f t="shared" si="117"/>
        <v>111</v>
      </c>
      <c r="EK102">
        <f t="shared" si="118"/>
        <v>14</v>
      </c>
      <c r="EL102" s="33">
        <f t="shared" si="119"/>
        <v>92</v>
      </c>
      <c r="EM102">
        <f t="shared" si="120"/>
        <v>14</v>
      </c>
      <c r="EN102" s="33">
        <f t="shared" si="121"/>
        <v>79</v>
      </c>
      <c r="EO102">
        <f t="shared" si="122"/>
        <v>14</v>
      </c>
      <c r="EP102" s="33">
        <f t="shared" si="123"/>
        <v>95</v>
      </c>
      <c r="EQ102">
        <f t="shared" si="124"/>
        <v>12</v>
      </c>
      <c r="ER102" s="33">
        <f>HYPERLINK("http://exon.niaid.nih.gov/transcriptome/S_calcitrans/S1/links/cluster-b/Scalc-pep65-50SimCLU173.txt", 173)</f>
        <v>173</v>
      </c>
      <c r="ES102">
        <f>HYPERLINK("http://exon.niaid.nih.gov/transcriptome/S_calcitrans/S1/links/cluster-b/Scalc-pep65-50SimCLTL173.txt", 9)</f>
        <v>9</v>
      </c>
      <c r="ET102" s="33">
        <f>HYPERLINK("http://exon.niaid.nih.gov/transcriptome/S_calcitrans/S1/links/cluster-b/Scalc-pep70-50SimCLU283.txt", 283)</f>
        <v>283</v>
      </c>
      <c r="EU102">
        <f>HYPERLINK("http://exon.niaid.nih.gov/transcriptome/S_calcitrans/S1/links/cluster-b/Scalc-pep70-50SimCLTL283.txt", 7)</f>
        <v>7</v>
      </c>
      <c r="EV102" s="33">
        <f>HYPERLINK("http://exon.niaid.nih.gov/transcriptome/S_calcitrans/S1/links/cluster-b/Scalc-pep75-50SimCLU884.txt", 884)</f>
        <v>884</v>
      </c>
      <c r="EW102">
        <f>HYPERLINK("http://exon.niaid.nih.gov/transcriptome/S_calcitrans/S1/links/cluster-b/Scalc-pep75-50SimCLTL884.txt", 4)</f>
        <v>4</v>
      </c>
      <c r="EX102" s="33">
        <f>HYPERLINK("http://exon.niaid.nih.gov/transcriptome/S_calcitrans/S1/links/cluster-b/Scalc-pep80-50SimCLU842.txt", 842)</f>
        <v>842</v>
      </c>
      <c r="EY102">
        <f>HYPERLINK("http://exon.niaid.nih.gov/transcriptome/S_calcitrans/S1/links/cluster-b/Scalc-pep80-50SimCLTL842.txt", 4)</f>
        <v>4</v>
      </c>
      <c r="EZ102" s="33">
        <f>HYPERLINK("http://exon.niaid.nih.gov/transcriptome/S_calcitrans/S1/links/cluster-b/Scalc-pep85-50SimCLU778.txt", 778)</f>
        <v>778</v>
      </c>
      <c r="FA102">
        <f>HYPERLINK("http://exon.niaid.nih.gov/transcriptome/S_calcitrans/S1/links/cluster-b/Scalc-pep85-50SimCLTL778.txt", 4)</f>
        <v>4</v>
      </c>
      <c r="FB102" s="33">
        <f>HYPERLINK("http://exon.niaid.nih.gov/transcriptome/S_calcitrans/S1/links/cluster-b/Scalc-pep90-50SimCLU2438.txt", 2438)</f>
        <v>2438</v>
      </c>
      <c r="FC102">
        <f>HYPERLINK("http://exon.niaid.nih.gov/transcriptome/S_calcitrans/S1/links/cluster-b/Scalc-pep90-50SimCLTL2438.txt", 2)</f>
        <v>2</v>
      </c>
      <c r="FD102" s="33">
        <f>HYPERLINK("http://exon.niaid.nih.gov/transcriptome/S_calcitrans/S1/links/cluster-b/Scalc-pep95-50SimCLU2237.txt", 2237)</f>
        <v>2237</v>
      </c>
      <c r="FE102">
        <f>HYPERLINK("http://exon.niaid.nih.gov/transcriptome/S_calcitrans/S1/links/cluster-b/Scalc-pep95-50SimCLTL2237.txt", 2)</f>
        <v>2</v>
      </c>
      <c r="FF102" t="s">
        <v>1186</v>
      </c>
      <c r="FG102">
        <v>10725</v>
      </c>
      <c r="FH102" s="38" t="str">
        <f>HYPERLINK("http://exon.niaid.nih.gov/transcriptome/S_calcitrans/S1/links/SG_male-stripped_temp-95-h10-1gap/10725-SG_male-stripped_temp-95-h10-1gap.txt","1664")</f>
        <v>1664</v>
      </c>
      <c r="FI102" s="39">
        <v>100</v>
      </c>
      <c r="FJ102" s="39">
        <v>99.953201970443303</v>
      </c>
      <c r="FK102" s="39">
        <v>1</v>
      </c>
      <c r="FL102" s="39">
        <v>299</v>
      </c>
      <c r="FM102" s="39">
        <v>73.163461538461505</v>
      </c>
      <c r="FN102" s="38" t="str">
        <f>HYPERLINK("http://exon.niaid.nih.gov/transcriptome/S_calcitrans/S1/links/SG_female-stripped_temp-95-h10-1gap/10725-SG_female-stripped_temp-95-h10-1gap.txt","3514")</f>
        <v>3514</v>
      </c>
      <c r="FO102" s="39">
        <v>100</v>
      </c>
      <c r="FP102" s="39">
        <v>210.60919540229901</v>
      </c>
      <c r="FQ102" s="39">
        <v>8</v>
      </c>
      <c r="FR102" s="39">
        <v>518</v>
      </c>
      <c r="FS102" s="39">
        <v>73.000284575981794</v>
      </c>
      <c r="FT102" s="38" t="str">
        <f>HYPERLINK("http://exon.niaid.nih.gov/transcriptome/S_calcitrans/S1/links/SRR694289-stripped_temp-95-h10-1gap/10725-SRR694289-stripped_temp-95-h10-1gap.txt","31")</f>
        <v>31</v>
      </c>
      <c r="FU102" s="39">
        <v>73.809523809523796</v>
      </c>
      <c r="FV102" s="39">
        <v>2.3866995073891601</v>
      </c>
      <c r="FW102" s="39">
        <v>0</v>
      </c>
      <c r="FX102" s="39">
        <v>7</v>
      </c>
      <c r="FY102" s="39">
        <v>93.774193548387103</v>
      </c>
      <c r="FZ102" s="38" t="str">
        <f>HYPERLINK("http://exon.niaid.nih.gov/transcriptome/S_calcitrans/S1/links/SRR694925-stripped_temp-95-h10-1gap/10725-SRR694925-stripped_temp-95-h10-1gap.txt","27")</f>
        <v>27</v>
      </c>
      <c r="GA102" s="39">
        <v>85.878489326765205</v>
      </c>
      <c r="GB102" s="39">
        <v>2.0353037766830901</v>
      </c>
      <c r="GC102" s="39">
        <v>0</v>
      </c>
      <c r="GD102" s="39">
        <v>6</v>
      </c>
      <c r="GE102" s="39">
        <v>91.814814814814795</v>
      </c>
      <c r="GF102">
        <f t="shared" si="125"/>
        <v>1664</v>
      </c>
      <c r="GG102">
        <f t="shared" si="126"/>
        <v>3514</v>
      </c>
      <c r="GH102">
        <f t="shared" si="127"/>
        <v>31</v>
      </c>
      <c r="GI102">
        <f t="shared" si="128"/>
        <v>27</v>
      </c>
      <c r="GJ102">
        <f t="shared" si="93"/>
        <v>5178</v>
      </c>
      <c r="GK102" s="34">
        <v>2.0112178413433445E-2</v>
      </c>
      <c r="GL102">
        <v>44.689760123737187</v>
      </c>
      <c r="GM102">
        <v>42.916837190350108</v>
      </c>
      <c r="GN102">
        <v>0.14630088208459802</v>
      </c>
      <c r="GO102">
        <v>0.13135913175016872</v>
      </c>
      <c r="GP102">
        <f t="shared" si="129"/>
        <v>44.689760123737187</v>
      </c>
      <c r="GQ102" t="s">
        <v>1170</v>
      </c>
      <c r="GR102">
        <v>34.85316206531084</v>
      </c>
      <c r="GS102">
        <v>35.224689111966505</v>
      </c>
      <c r="GT102">
        <v>0.26373043208204794</v>
      </c>
      <c r="GU102">
        <v>0.24869884830098576</v>
      </c>
      <c r="GV102">
        <f t="shared" si="130"/>
        <v>35.224689111966505</v>
      </c>
      <c r="GW102">
        <v>98.364642087142158</v>
      </c>
      <c r="GX102">
        <v>5178</v>
      </c>
      <c r="GY102">
        <v>58</v>
      </c>
      <c r="GZ102">
        <v>5236</v>
      </c>
      <c r="HA102">
        <v>1162.3903956930642</v>
      </c>
      <c r="HB102">
        <v>4073.609604306936</v>
      </c>
      <c r="HC102">
        <v>13872.379326213939</v>
      </c>
      <c r="HD102">
        <v>3958.4354075445472</v>
      </c>
      <c r="HE102">
        <v>17830.814733758485</v>
      </c>
      <c r="HF102">
        <v>0</v>
      </c>
      <c r="HG102">
        <v>1162.3903956930642</v>
      </c>
      <c r="HH102">
        <v>1</v>
      </c>
      <c r="HI102">
        <v>1</v>
      </c>
      <c r="HJ102">
        <v>2</v>
      </c>
      <c r="HK102">
        <v>0</v>
      </c>
      <c r="HL102" s="30" t="s">
        <v>262</v>
      </c>
      <c r="HM102">
        <v>307.56536467914225</v>
      </c>
      <c r="HN102">
        <v>3.1956167551027799E-3</v>
      </c>
      <c r="HO102">
        <v>1664</v>
      </c>
      <c r="HP102">
        <v>3514</v>
      </c>
      <c r="HQ102">
        <v>5178</v>
      </c>
      <c r="HR102">
        <v>1618.6218019666003</v>
      </c>
      <c r="HS102">
        <v>3559.3781980333997</v>
      </c>
      <c r="HT102">
        <v>1.2721815894587414</v>
      </c>
      <c r="HU102">
        <v>0.57852263575030172</v>
      </c>
      <c r="HV102">
        <v>1.8507042252090431</v>
      </c>
      <c r="HW102">
        <v>0.17370151101151626</v>
      </c>
      <c r="HX102">
        <v>1618.6218019666003</v>
      </c>
      <c r="HY102">
        <v>1</v>
      </c>
      <c r="HZ102" t="s">
        <v>244</v>
      </c>
      <c r="IA102">
        <v>1</v>
      </c>
      <c r="IB102">
        <v>0.424700383571117</v>
      </c>
      <c r="IC102" s="30" t="s">
        <v>244</v>
      </c>
      <c r="ID102">
        <v>1.0410144137910262</v>
      </c>
      <c r="IE102">
        <v>0.95975143284279796</v>
      </c>
      <c r="IF102">
        <v>1.0410144137910262</v>
      </c>
      <c r="IG102" t="str">
        <f t="shared" si="84"/>
        <v/>
      </c>
    </row>
    <row r="103" spans="1:241">
      <c r="A103" t="str">
        <f>HYPERLINK("http://exon.niaid.nih.gov/transcriptome/S_calcitrans/S1/links/pep/XP_013105087.1-pep.txt","XP_013105087.1")</f>
        <v>XP_013105087.1</v>
      </c>
      <c r="B103" s="30" t="s">
        <v>232</v>
      </c>
      <c r="C103">
        <v>358</v>
      </c>
      <c r="D103" t="s">
        <v>1187</v>
      </c>
      <c r="E103">
        <v>2</v>
      </c>
      <c r="F103" t="s">
        <v>1188</v>
      </c>
      <c r="G103" t="str">
        <f>HYPERLINK("http://exon.niaid.nih.gov/transcriptome/S_calcitrans/S1/links/cds/XM_013249633_1-cds.txt","XM_013249633_1")</f>
        <v>XM_013249633_1</v>
      </c>
      <c r="H103">
        <v>1077</v>
      </c>
      <c r="I103" t="s">
        <v>1164</v>
      </c>
      <c r="J103" s="30" t="s">
        <v>236</v>
      </c>
      <c r="K103" s="30" t="s">
        <v>91</v>
      </c>
      <c r="L103" s="31" t="s">
        <v>1165</v>
      </c>
      <c r="M103" s="30">
        <v>519730</v>
      </c>
      <c r="N103" s="30">
        <v>526181</v>
      </c>
      <c r="O103" s="30" t="s">
        <v>238</v>
      </c>
      <c r="P103" s="30">
        <v>6</v>
      </c>
      <c r="Q103" s="31" t="s">
        <v>1189</v>
      </c>
      <c r="R103" s="32" t="str">
        <f>HYPERLINK("http://exon.niaid.nih.gov/transcriptome/S_calcitrans/S1/links/Sigp/XP_013105087.1-SigP.txt","CYT")</f>
        <v>CYT</v>
      </c>
      <c r="S103" t="s">
        <v>242</v>
      </c>
      <c r="T103">
        <v>41.924999999999997</v>
      </c>
      <c r="U103">
        <v>7.98</v>
      </c>
      <c r="V103" t="s">
        <v>242</v>
      </c>
      <c r="W103" t="s">
        <v>242</v>
      </c>
      <c r="X103" t="s">
        <v>1190</v>
      </c>
      <c r="Y103" s="32">
        <v>0</v>
      </c>
      <c r="Z103" t="s">
        <v>242</v>
      </c>
      <c r="AA103" t="s">
        <v>242</v>
      </c>
      <c r="AB103" t="s">
        <v>242</v>
      </c>
      <c r="AC103" t="s">
        <v>242</v>
      </c>
      <c r="AD103" t="s">
        <v>242</v>
      </c>
      <c r="AE103" s="32" t="str">
        <f>HYPERLINK("http://exon.niaid.nih.gov/transcriptome/S_calcitrans/S1/links/netoglyc/XP_013105087.1-netoglyc.txt","1")</f>
        <v>1</v>
      </c>
      <c r="AF103">
        <v>10.3</v>
      </c>
      <c r="AG103">
        <v>4.2</v>
      </c>
      <c r="AH103">
        <v>2.5</v>
      </c>
      <c r="AI103" t="s">
        <v>243</v>
      </c>
      <c r="AJ103" t="s">
        <v>242</v>
      </c>
      <c r="AK103">
        <v>368.25970826826722</v>
      </c>
      <c r="AL103" s="33">
        <v>8609</v>
      </c>
      <c r="AM103">
        <v>1</v>
      </c>
      <c r="AN103" s="30">
        <f t="shared" si="83"/>
        <v>1</v>
      </c>
      <c r="AO103" s="30">
        <v>1</v>
      </c>
      <c r="AP103">
        <v>5149</v>
      </c>
      <c r="AQ103" s="34">
        <v>1.9999537785007494E-2</v>
      </c>
      <c r="AR103" s="35">
        <v>115.89825013749015</v>
      </c>
      <c r="AS103" t="s">
        <v>1191</v>
      </c>
      <c r="AT103" s="36" t="s">
        <v>1169</v>
      </c>
      <c r="AU103" t="s">
        <v>1170</v>
      </c>
      <c r="AV103" t="str">
        <f>HYPERLINK("http://exon.niaid.nih.gov/transcriptome/S_calcitrans/S1/links/KOG/XP_013105087.1-KOG.txt","KOG")</f>
        <v>KOG</v>
      </c>
      <c r="AW103" s="37">
        <v>4.0000000000000002E-89</v>
      </c>
      <c r="AX103">
        <v>100.2</v>
      </c>
      <c r="AY103" s="33"/>
      <c r="BG103" s="31"/>
      <c r="BJ103" s="33"/>
      <c r="BK103" s="33"/>
      <c r="BL103" s="33" t="str">
        <f>HYPERLINK("http://exon.niaid.nih.gov/transcriptome/S_calcitrans/S1/links/NR-LIGHT/XP_013105087.1-NR-LIGHT.txt","farnesyl pyrophosphate synthase")</f>
        <v>farnesyl pyrophosphate synthase</v>
      </c>
      <c r="BM103" t="str">
        <f>HYPERLINK("http://www.ncbi.nlm.nih.gov/sutils/blink.cgi?pid=557765471","1E-105")</f>
        <v>1E-105</v>
      </c>
      <c r="BN103" t="str">
        <f t="shared" si="106"/>
        <v>gi|557765471</v>
      </c>
      <c r="BO103">
        <v>50</v>
      </c>
      <c r="BP103">
        <v>70</v>
      </c>
      <c r="BQ103">
        <v>81</v>
      </c>
      <c r="BR103" t="s">
        <v>251</v>
      </c>
      <c r="BS103" s="33" t="str">
        <f>HYPERLINK("http://exon.niaid.nih.gov/transcriptome/S_calcitrans/S1/links/SWISSP/XP_013105087.1-SWISSP.txt","Farnesyl pyrophosphate synthase")</f>
        <v>Farnesyl pyrophosphate synthase</v>
      </c>
      <c r="BT103" t="str">
        <f>HYPERLINK("http://www.uniprot.org/uniprot/P08836","1E-072")</f>
        <v>1E-072</v>
      </c>
      <c r="BU103" t="str">
        <f>HYPERLINK("http://www.uniprot.org/uniprot/P08836#expression","P08836")</f>
        <v>P08836</v>
      </c>
      <c r="BV103">
        <v>37</v>
      </c>
      <c r="BW103">
        <v>61</v>
      </c>
      <c r="BX103">
        <v>96</v>
      </c>
      <c r="BY103" t="s">
        <v>1171</v>
      </c>
      <c r="BZ103" s="33" t="str">
        <f>HYPERLINK("http://exon.niaid.nih.gov/transcriptome/S_calcitrans/S1/links/REFSEQ-INVERTEBRATE/XP_013105087.1-REFSEQ-INVERTEBRATE.txt","farnesyl pyrophosphate synthase-like isoform X3")</f>
        <v>farnesyl pyrophosphate synthase-like isoform X3</v>
      </c>
      <c r="CA103" t="str">
        <f>HYPERLINK("http://www.ncbi.nlm.nih.gov/sutils/blink.cgi?pid=907673885","0.0")</f>
        <v>0.0</v>
      </c>
      <c r="CB103" t="str">
        <f>HYPERLINK("http://www.ncbi.nlm.nih.gov/protein/907673885","gi|907673885")</f>
        <v>gi|907673885</v>
      </c>
      <c r="CC103">
        <v>100</v>
      </c>
      <c r="CD103">
        <v>100</v>
      </c>
      <c r="CE103">
        <v>100</v>
      </c>
      <c r="CF103" t="s">
        <v>253</v>
      </c>
      <c r="CG103" s="33" t="str">
        <f>HYPERLINK("http://exon.niaid.nih.gov/transcriptome/S_calcitrans/S1/links/DIPTERA/XP_013105087.1-DIPTERA.txt","farnesyl pyrophosphate synthase-like isoform X3")</f>
        <v>farnesyl pyrophosphate synthase-like isoform X3</v>
      </c>
      <c r="CH103" t="str">
        <f>HYPERLINK("http://www.ncbi.nlm.nih.gov/sutils/blink.cgi?pid=907673885","0.0")</f>
        <v>0.0</v>
      </c>
      <c r="CI103" t="str">
        <f>HYPERLINK("http://www.ncbi.nlm.nih.gov/protein/907673885","gi|907673885")</f>
        <v>gi|907673885</v>
      </c>
      <c r="CJ103">
        <v>100</v>
      </c>
      <c r="CK103">
        <v>100</v>
      </c>
      <c r="CL103">
        <v>100</v>
      </c>
      <c r="CM103" t="s">
        <v>253</v>
      </c>
      <c r="CN103" s="33" t="s">
        <v>242</v>
      </c>
      <c r="CO103" t="s">
        <v>242</v>
      </c>
      <c r="CP103" t="s">
        <v>242</v>
      </c>
      <c r="CQ103" t="s">
        <v>242</v>
      </c>
      <c r="CR103" t="s">
        <v>242</v>
      </c>
      <c r="CS103" t="s">
        <v>242</v>
      </c>
      <c r="CT103" t="s">
        <v>242</v>
      </c>
      <c r="CU103" s="33" t="s">
        <v>1172</v>
      </c>
      <c r="CV103">
        <f>HYPERLINK("http://exon.niaid.nih.gov/transcriptome/S_calcitrans/S1/links/GO/XP_013105087.1-GO.txt",0)</f>
        <v>0</v>
      </c>
      <c r="CW103" t="str">
        <f t="shared" si="107"/>
        <v>GO:0004161</v>
      </c>
      <c r="CX103" t="s">
        <v>1173</v>
      </c>
      <c r="CY103" t="s">
        <v>1174</v>
      </c>
      <c r="CZ103" t="s">
        <v>1175</v>
      </c>
      <c r="DA103" t="str">
        <f t="shared" si="108"/>
        <v>EC:2.5.1.1</v>
      </c>
      <c r="DC103" t="s">
        <v>1176</v>
      </c>
      <c r="DD103" s="37">
        <v>2.0000000000000001E-83</v>
      </c>
      <c r="DE103" s="33" t="str">
        <f>HYPERLINK("http://exon.niaid.nih.gov/transcriptome/S_calcitrans/S1/links/CDD/XP_013105087.1-CDD.txt","polyprenyl_synt")</f>
        <v>polyprenyl_synt</v>
      </c>
      <c r="DF103" t="str">
        <f>HYPERLINK("http://www.ncbi.nlm.nih.gov/Structure/cdd/cddsrv.cgi?uid=pfam00348&amp;version=v4.0","2E-045")</f>
        <v>2E-045</v>
      </c>
      <c r="DG103" t="s">
        <v>1192</v>
      </c>
      <c r="DH103" s="33" t="str">
        <f>HYPERLINK("http://exon.niaid.nih.gov/transcriptome/S_calcitrans/S1/links/KOG/XP_013105087.1-KOG.txt","Polyprenyl synthetase")</f>
        <v>Polyprenyl synthetase</v>
      </c>
      <c r="DI103" t="str">
        <f>HYPERLINK("http://www.ncbi.nlm.nih.gov/Structure/cdd/cddsrv.cgi?uid=KOG0711","4E-089")</f>
        <v>4E-089</v>
      </c>
      <c r="DJ103" t="s">
        <v>1178</v>
      </c>
      <c r="DK103" t="str">
        <f>HYPERLINK("http://exon.niaid.nih.gov/transcriptome/S_calcitrans/S1/links/KOG/XP_013105087.1-KOG.txt","KOG0711")</f>
        <v>KOG0711</v>
      </c>
      <c r="DL103" s="33" t="str">
        <f>HYPERLINK("http://exon.niaid.nih.gov/transcriptome/S_calcitrans/S1/links/PFAM/XP_013105087.1-PFAM.txt","polyprenyl_synt")</f>
        <v>polyprenyl_synt</v>
      </c>
      <c r="DM103" t="str">
        <f>HYPERLINK("http://pfam.sanger.ac.uk/family?acc=PF00348","4E-046")</f>
        <v>4E-046</v>
      </c>
      <c r="DN103" s="33" t="str">
        <f>HYPERLINK("http://exon.niaid.nih.gov/transcriptome/S_calcitrans/S1/links/SMART/XP_013105087.1-SMART.txt","ADEAMc")</f>
        <v>ADEAMc</v>
      </c>
      <c r="DO103" t="str">
        <f>HYPERLINK("http://smart.embl-heidelberg.de/smart/do_annotation.pl?DOMAIN=ADEAMc&amp;BLAST=DUMMY","0.38")</f>
        <v>0.38</v>
      </c>
      <c r="DP103" s="33"/>
      <c r="EB103" s="33">
        <f t="shared" si="109"/>
        <v>56</v>
      </c>
      <c r="EC103">
        <f t="shared" si="110"/>
        <v>22</v>
      </c>
      <c r="ED103" s="33">
        <f t="shared" si="111"/>
        <v>96</v>
      </c>
      <c r="EE103">
        <f t="shared" si="112"/>
        <v>19</v>
      </c>
      <c r="EF103" s="33">
        <f t="shared" si="113"/>
        <v>92</v>
      </c>
      <c r="EG103">
        <f t="shared" si="114"/>
        <v>19</v>
      </c>
      <c r="EH103" s="33">
        <f t="shared" si="115"/>
        <v>127</v>
      </c>
      <c r="EI103">
        <f t="shared" si="116"/>
        <v>14</v>
      </c>
      <c r="EJ103" s="33">
        <f t="shared" si="117"/>
        <v>111</v>
      </c>
      <c r="EK103">
        <f t="shared" si="118"/>
        <v>14</v>
      </c>
      <c r="EL103" s="33">
        <f t="shared" si="119"/>
        <v>92</v>
      </c>
      <c r="EM103">
        <f t="shared" si="120"/>
        <v>14</v>
      </c>
      <c r="EN103" s="33">
        <f t="shared" si="121"/>
        <v>79</v>
      </c>
      <c r="EO103">
        <f t="shared" si="122"/>
        <v>14</v>
      </c>
      <c r="EP103" s="33">
        <f t="shared" si="123"/>
        <v>95</v>
      </c>
      <c r="EQ103">
        <f t="shared" si="124"/>
        <v>12</v>
      </c>
      <c r="ER103" s="33">
        <f>HYPERLINK("http://exon.niaid.nih.gov/transcriptome/S_calcitrans/S1/links/cluster-b/Scalc-pep65-50SimCLU173.txt", 173)</f>
        <v>173</v>
      </c>
      <c r="ES103">
        <f>HYPERLINK("http://exon.niaid.nih.gov/transcriptome/S_calcitrans/S1/links/cluster-b/Scalc-pep65-50SimCLTL173.txt", 9)</f>
        <v>9</v>
      </c>
      <c r="ET103" s="33">
        <f>HYPERLINK("http://exon.niaid.nih.gov/transcriptome/S_calcitrans/S1/links/cluster-b/Scalc-pep70-50SimCLU283.txt", 283)</f>
        <v>283</v>
      </c>
      <c r="EU103">
        <f>HYPERLINK("http://exon.niaid.nih.gov/transcriptome/S_calcitrans/S1/links/cluster-b/Scalc-pep70-50SimCLTL283.txt", 7)</f>
        <v>7</v>
      </c>
      <c r="EV103" s="33">
        <f>HYPERLINK("http://exon.niaid.nih.gov/transcriptome/S_calcitrans/S1/links/cluster-b/Scalc-pep75-50SimCLU884.txt", 884)</f>
        <v>884</v>
      </c>
      <c r="EW103">
        <f>HYPERLINK("http://exon.niaid.nih.gov/transcriptome/S_calcitrans/S1/links/cluster-b/Scalc-pep75-50SimCLTL884.txt", 4)</f>
        <v>4</v>
      </c>
      <c r="EX103" s="33">
        <f>HYPERLINK("http://exon.niaid.nih.gov/transcriptome/S_calcitrans/S1/links/cluster-b/Scalc-pep80-50SimCLU842.txt", 842)</f>
        <v>842</v>
      </c>
      <c r="EY103">
        <f>HYPERLINK("http://exon.niaid.nih.gov/transcriptome/S_calcitrans/S1/links/cluster-b/Scalc-pep80-50SimCLTL842.txt", 4)</f>
        <v>4</v>
      </c>
      <c r="EZ103" s="33">
        <f>HYPERLINK("http://exon.niaid.nih.gov/transcriptome/S_calcitrans/S1/links/cluster-b/Scalc-pep85-50SimCLU778.txt", 778)</f>
        <v>778</v>
      </c>
      <c r="FA103">
        <f>HYPERLINK("http://exon.niaid.nih.gov/transcriptome/S_calcitrans/S1/links/cluster-b/Scalc-pep85-50SimCLTL778.txt", 4)</f>
        <v>4</v>
      </c>
      <c r="FB103" s="33">
        <f>HYPERLINK("http://exon.niaid.nih.gov/transcriptome/S_calcitrans/S1/links/cluster-b/Scalc-pep90-50SimCLU2439.txt", 2439)</f>
        <v>2439</v>
      </c>
      <c r="FC103">
        <f>HYPERLINK("http://exon.niaid.nih.gov/transcriptome/S_calcitrans/S1/links/cluster-b/Scalc-pep90-50SimCLTL2439.txt", 2)</f>
        <v>2</v>
      </c>
      <c r="FD103" s="33">
        <v>8609</v>
      </c>
      <c r="FE103">
        <v>1</v>
      </c>
      <c r="FF103" t="s">
        <v>1193</v>
      </c>
      <c r="FG103">
        <v>10726</v>
      </c>
      <c r="FH103" s="38" t="str">
        <f>HYPERLINK("http://exon.niaid.nih.gov/transcriptome/S_calcitrans/S1/links/SG_male-stripped_temp-95-h10-1gap/10726-SG_male-stripped_temp-95-h10-1gap.txt","1656")</f>
        <v>1656</v>
      </c>
      <c r="FI103" s="39">
        <v>100</v>
      </c>
      <c r="FJ103" s="39">
        <v>112.47910863509701</v>
      </c>
      <c r="FK103" s="39">
        <v>14</v>
      </c>
      <c r="FL103" s="39">
        <v>299</v>
      </c>
      <c r="FM103" s="39">
        <v>73.1527777777778</v>
      </c>
      <c r="FN103" s="38" t="str">
        <f>HYPERLINK("http://exon.niaid.nih.gov/transcriptome/S_calcitrans/S1/links/SG_female-stripped_temp-95-h10-1gap/10726-SG_female-stripped_temp-95-h10-1gap.txt","3493")</f>
        <v>3493</v>
      </c>
      <c r="FO103" s="39">
        <v>100</v>
      </c>
      <c r="FP103" s="39">
        <v>236.831940575673</v>
      </c>
      <c r="FQ103" s="39">
        <v>48</v>
      </c>
      <c r="FR103" s="39">
        <v>518</v>
      </c>
      <c r="FS103" s="39">
        <v>73.022902948754606</v>
      </c>
      <c r="FT103" s="38" t="str">
        <f>HYPERLINK("http://exon.niaid.nih.gov/transcriptome/S_calcitrans/S1/links/SRR694289-stripped_temp-95-h10-1gap/10726-SRR694289-stripped_temp-95-h10-1gap.txt","25")</f>
        <v>25</v>
      </c>
      <c r="FU103" s="39">
        <v>70.380687093779002</v>
      </c>
      <c r="FV103" s="39">
        <v>2.25533890436397</v>
      </c>
      <c r="FW103" s="39">
        <v>0</v>
      </c>
      <c r="FX103" s="39">
        <v>7</v>
      </c>
      <c r="FY103" s="39">
        <v>97.16</v>
      </c>
      <c r="FZ103" s="38" t="str">
        <f>HYPERLINK("http://exon.niaid.nih.gov/transcriptome/S_calcitrans/S1/links/SRR694925-stripped_temp-95-h10-1gap/10726-SRR694925-stripped_temp-95-h10-1gap.txt","23")</f>
        <v>23</v>
      </c>
      <c r="GA103" s="39">
        <v>84.029712163416903</v>
      </c>
      <c r="GB103" s="39">
        <v>2.0445682451253502</v>
      </c>
      <c r="GC103" s="39">
        <v>0</v>
      </c>
      <c r="GD103" s="39">
        <v>6</v>
      </c>
      <c r="GE103" s="39">
        <v>95.739130434782595</v>
      </c>
      <c r="GF103">
        <f t="shared" si="125"/>
        <v>1656</v>
      </c>
      <c r="GG103">
        <f t="shared" si="126"/>
        <v>3493</v>
      </c>
      <c r="GH103">
        <f t="shared" si="127"/>
        <v>25</v>
      </c>
      <c r="GI103">
        <f t="shared" si="128"/>
        <v>23</v>
      </c>
      <c r="GJ103">
        <f t="shared" si="93"/>
        <v>5149</v>
      </c>
      <c r="GK103" s="34">
        <v>1.9999537785007494E-2</v>
      </c>
      <c r="GL103">
        <v>50.297525448884734</v>
      </c>
      <c r="GM103">
        <v>48.24542339689593</v>
      </c>
      <c r="GN103">
        <v>0.13343103182304519</v>
      </c>
      <c r="GO103">
        <v>0.12654818655556335</v>
      </c>
      <c r="GP103">
        <f t="shared" si="129"/>
        <v>50.297525448884734</v>
      </c>
      <c r="GQ103" t="s">
        <v>1170</v>
      </c>
      <c r="GR103">
        <v>39.226610326398834</v>
      </c>
      <c r="GS103">
        <v>39.59821253121077</v>
      </c>
      <c r="GT103">
        <v>0.24053049560902029</v>
      </c>
      <c r="GU103">
        <v>0.23959041013459251</v>
      </c>
      <c r="GV103">
        <f t="shared" si="130"/>
        <v>39.59821253121077</v>
      </c>
      <c r="GW103">
        <v>115.89825013749015</v>
      </c>
      <c r="GX103">
        <v>5149</v>
      </c>
      <c r="GY103">
        <v>48</v>
      </c>
      <c r="GZ103">
        <v>5197</v>
      </c>
      <c r="HA103">
        <v>1153.7324076426385</v>
      </c>
      <c r="HB103">
        <v>4043.2675923573615</v>
      </c>
      <c r="HC103">
        <v>13835.238595018447</v>
      </c>
      <c r="HD103">
        <v>3947.8374284979018</v>
      </c>
      <c r="HE103">
        <v>17783.076023516347</v>
      </c>
      <c r="HF103">
        <v>0</v>
      </c>
      <c r="HG103">
        <v>1153.7324076426385</v>
      </c>
      <c r="HH103">
        <v>1</v>
      </c>
      <c r="HI103">
        <v>1</v>
      </c>
      <c r="HJ103">
        <v>2</v>
      </c>
      <c r="HK103">
        <v>0</v>
      </c>
      <c r="HL103" s="30" t="s">
        <v>262</v>
      </c>
      <c r="HM103">
        <v>368.25970826826722</v>
      </c>
      <c r="HN103">
        <v>2.6595405436374625E-3</v>
      </c>
      <c r="HO103">
        <v>1656</v>
      </c>
      <c r="HP103">
        <v>3493</v>
      </c>
      <c r="HQ103">
        <v>5149</v>
      </c>
      <c r="HR103">
        <v>1609.5565195685642</v>
      </c>
      <c r="HS103">
        <v>3539.443480431436</v>
      </c>
      <c r="HT103">
        <v>1.3401187521910276</v>
      </c>
      <c r="HU103">
        <v>0.6094169567929516</v>
      </c>
      <c r="HV103">
        <v>1.9495357089839791</v>
      </c>
      <c r="HW103">
        <v>0.16263689128917513</v>
      </c>
      <c r="HX103">
        <v>1609.5565195685642</v>
      </c>
      <c r="HY103">
        <v>1</v>
      </c>
      <c r="HZ103" t="s">
        <v>244</v>
      </c>
      <c r="IA103">
        <v>1</v>
      </c>
      <c r="IB103">
        <v>0.40618513771832199</v>
      </c>
      <c r="IC103" s="30" t="s">
        <v>244</v>
      </c>
      <c r="ID103">
        <v>1.0422362684195154</v>
      </c>
      <c r="IE103">
        <v>0.9586218574175791</v>
      </c>
      <c r="IF103">
        <v>1.0422362684195154</v>
      </c>
      <c r="IG103" t="str">
        <f t="shared" si="84"/>
        <v/>
      </c>
    </row>
    <row r="104" spans="1:241">
      <c r="A104" t="str">
        <f>HYPERLINK("http://exon.niaid.nih.gov/transcriptome/S_calcitrans/S1/links/pep/XP_013105088.1-pep.txt","XP_013105088.1")</f>
        <v>XP_013105088.1</v>
      </c>
      <c r="B104" s="30" t="s">
        <v>232</v>
      </c>
      <c r="C104">
        <v>332</v>
      </c>
      <c r="D104" t="s">
        <v>1194</v>
      </c>
      <c r="E104">
        <v>2</v>
      </c>
      <c r="F104" t="s">
        <v>1195</v>
      </c>
      <c r="G104" t="str">
        <f>HYPERLINK("http://exon.niaid.nih.gov/transcriptome/S_calcitrans/S1/links/cds/XM_013249634_1-cds.txt","XM_013249634_1")</f>
        <v>XM_013249634_1</v>
      </c>
      <c r="H104">
        <v>999</v>
      </c>
      <c r="I104" t="s">
        <v>1164</v>
      </c>
      <c r="J104" s="30" t="s">
        <v>236</v>
      </c>
      <c r="K104" s="30" t="s">
        <v>91</v>
      </c>
      <c r="L104" s="31" t="s">
        <v>1165</v>
      </c>
      <c r="M104" s="30">
        <v>519730</v>
      </c>
      <c r="N104" s="30">
        <v>525931</v>
      </c>
      <c r="O104" s="30" t="s">
        <v>238</v>
      </c>
      <c r="P104" s="30">
        <v>5</v>
      </c>
      <c r="Q104" s="31" t="s">
        <v>1196</v>
      </c>
      <c r="R104" s="32" t="str">
        <f>HYPERLINK("http://exon.niaid.nih.gov/transcriptome/S_calcitrans/S1/links/Sigp/XP_013105088.1-SigP.txt","CYT")</f>
        <v>CYT</v>
      </c>
      <c r="S104" t="s">
        <v>242</v>
      </c>
      <c r="T104">
        <v>38.845999999999997</v>
      </c>
      <c r="U104">
        <v>7.99</v>
      </c>
      <c r="V104" t="s">
        <v>242</v>
      </c>
      <c r="W104" t="s">
        <v>242</v>
      </c>
      <c r="X104" t="s">
        <v>1197</v>
      </c>
      <c r="Y104" s="32">
        <v>0</v>
      </c>
      <c r="Z104" t="s">
        <v>242</v>
      </c>
      <c r="AA104" t="s">
        <v>242</v>
      </c>
      <c r="AB104" t="s">
        <v>242</v>
      </c>
      <c r="AC104" t="s">
        <v>242</v>
      </c>
      <c r="AD104" t="s">
        <v>242</v>
      </c>
      <c r="AE104" s="32" t="str">
        <f>HYPERLINK("http://exon.niaid.nih.gov/transcriptome/S_calcitrans/S1/links/netoglyc/XP_013105088.1-netoglyc.txt","1")</f>
        <v>1</v>
      </c>
      <c r="AF104">
        <v>9.9</v>
      </c>
      <c r="AG104">
        <v>4.2</v>
      </c>
      <c r="AH104">
        <v>2.4</v>
      </c>
      <c r="AI104" t="s">
        <v>243</v>
      </c>
      <c r="AJ104" t="s">
        <v>242</v>
      </c>
      <c r="AK104">
        <v>387.91039786507724</v>
      </c>
      <c r="AL104" s="33">
        <v>8610</v>
      </c>
      <c r="AM104">
        <v>1</v>
      </c>
      <c r="AN104" s="30">
        <f t="shared" si="83"/>
        <v>1</v>
      </c>
      <c r="AO104" s="30">
        <v>1</v>
      </c>
      <c r="AP104">
        <v>4981</v>
      </c>
      <c r="AQ104" s="34">
        <v>1.9346998972057161E-2</v>
      </c>
      <c r="AR104" s="35">
        <v>122.52587513822694</v>
      </c>
      <c r="AS104" t="s">
        <v>1198</v>
      </c>
      <c r="AT104" s="36" t="s">
        <v>1169</v>
      </c>
      <c r="AU104" t="s">
        <v>1170</v>
      </c>
      <c r="AV104" t="str">
        <f>HYPERLINK("http://exon.niaid.nih.gov/transcriptome/S_calcitrans/S1/links/KOG/XP_013105088.1-KOG.txt","KOG")</f>
        <v>KOG</v>
      </c>
      <c r="AW104" s="37">
        <v>6.0000000000000003E-87</v>
      </c>
      <c r="AX104">
        <v>96.8</v>
      </c>
      <c r="AY104" s="33"/>
      <c r="BG104" s="31"/>
      <c r="BJ104" s="33"/>
      <c r="BK104" s="33"/>
      <c r="BL104" s="33" t="str">
        <f>HYPERLINK("http://exon.niaid.nih.gov/transcriptome/S_calcitrans/S1/links/NR-LIGHT/XP_013105088.1-NR-LIGHT.txt","farnesyl pyrophosphate synthase")</f>
        <v>farnesyl pyrophosphate synthase</v>
      </c>
      <c r="BM104" t="str">
        <f>HYPERLINK("http://www.ncbi.nlm.nih.gov/sutils/blink.cgi?pid=557765471","1E-103")</f>
        <v>1E-103</v>
      </c>
      <c r="BN104" t="str">
        <f t="shared" si="106"/>
        <v>gi|557765471</v>
      </c>
      <c r="BO104">
        <v>51</v>
      </c>
      <c r="BP104">
        <v>72</v>
      </c>
      <c r="BQ104">
        <v>75</v>
      </c>
      <c r="BR104" t="s">
        <v>251</v>
      </c>
      <c r="BS104" s="33" t="str">
        <f>HYPERLINK("http://exon.niaid.nih.gov/transcriptome/S_calcitrans/S1/links/SWISSP/XP_013105088.1-SWISSP.txt","Farnesyl pyrophosphate synthase")</f>
        <v>Farnesyl pyrophosphate synthase</v>
      </c>
      <c r="BT104" t="str">
        <f>HYPERLINK("http://www.uniprot.org/uniprot/P08836","6E-071")</f>
        <v>6E-071</v>
      </c>
      <c r="BU104" t="str">
        <f>HYPERLINK("http://www.uniprot.org/uniprot/P08836#expression","P08836")</f>
        <v>P08836</v>
      </c>
      <c r="BV104">
        <v>38</v>
      </c>
      <c r="BW104">
        <v>62</v>
      </c>
      <c r="BX104">
        <v>92</v>
      </c>
      <c r="BY104" t="s">
        <v>1171</v>
      </c>
      <c r="BZ104" s="33" t="str">
        <f>HYPERLINK("http://exon.niaid.nih.gov/transcriptome/S_calcitrans/S1/links/REFSEQ-INVERTEBRATE/XP_013105088.1-REFSEQ-INVERTEBRATE.txt","farnesyl pyrophosphate synthase-like isoform X4")</f>
        <v>farnesyl pyrophosphate synthase-like isoform X4</v>
      </c>
      <c r="CA104" t="str">
        <f>HYPERLINK("http://www.ncbi.nlm.nih.gov/sutils/blink.cgi?pid=907673888","0.0")</f>
        <v>0.0</v>
      </c>
      <c r="CB104" t="str">
        <f>HYPERLINK("http://www.ncbi.nlm.nih.gov/protein/907673888","gi|907673888")</f>
        <v>gi|907673888</v>
      </c>
      <c r="CC104">
        <v>100</v>
      </c>
      <c r="CD104">
        <v>100</v>
      </c>
      <c r="CE104">
        <v>100</v>
      </c>
      <c r="CF104" t="s">
        <v>253</v>
      </c>
      <c r="CG104" s="33" t="str">
        <f>HYPERLINK("http://exon.niaid.nih.gov/transcriptome/S_calcitrans/S1/links/DIPTERA/XP_013105088.1-DIPTERA.txt","farnesyl pyrophosphate synthase-like isoform X1")</f>
        <v>farnesyl pyrophosphate synthase-like isoform X1</v>
      </c>
      <c r="CH104" t="str">
        <f>HYPERLINK("http://www.ncbi.nlm.nih.gov/sutils/blink.cgi?pid=907673879","0.0")</f>
        <v>0.0</v>
      </c>
      <c r="CI104" t="str">
        <f>HYPERLINK("http://www.ncbi.nlm.nih.gov/protein/907673879","gi|907673879")</f>
        <v>gi|907673879</v>
      </c>
      <c r="CJ104">
        <v>100</v>
      </c>
      <c r="CK104">
        <v>100</v>
      </c>
      <c r="CL104">
        <v>78</v>
      </c>
      <c r="CM104" t="s">
        <v>253</v>
      </c>
      <c r="CN104" s="33" t="s">
        <v>242</v>
      </c>
      <c r="CO104" t="s">
        <v>242</v>
      </c>
      <c r="CP104" t="s">
        <v>242</v>
      </c>
      <c r="CQ104" t="s">
        <v>242</v>
      </c>
      <c r="CR104" t="s">
        <v>242</v>
      </c>
      <c r="CS104" t="s">
        <v>242</v>
      </c>
      <c r="CT104" t="s">
        <v>242</v>
      </c>
      <c r="CU104" s="33" t="s">
        <v>1172</v>
      </c>
      <c r="CV104">
        <f>HYPERLINK("http://exon.niaid.nih.gov/transcriptome/S_calcitrans/S1/links/GO/XP_013105088.1-GO.txt",0)</f>
        <v>0</v>
      </c>
      <c r="CW104" t="str">
        <f t="shared" si="107"/>
        <v>GO:0004161</v>
      </c>
      <c r="CX104" t="s">
        <v>1173</v>
      </c>
      <c r="CY104" t="s">
        <v>1174</v>
      </c>
      <c r="CZ104" t="s">
        <v>1175</v>
      </c>
      <c r="DA104" t="str">
        <f t="shared" si="108"/>
        <v>EC:2.5.1.1</v>
      </c>
      <c r="DC104" t="s">
        <v>1199</v>
      </c>
      <c r="DD104" s="37">
        <v>5.9999999999999998E-81</v>
      </c>
      <c r="DE104" s="33" t="str">
        <f>HYPERLINK("http://exon.niaid.nih.gov/transcriptome/S_calcitrans/S1/links/CDD/XP_013105088.1-CDD.txt","polyprenyl_synt")</f>
        <v>polyprenyl_synt</v>
      </c>
      <c r="DF104" t="str">
        <f>HYPERLINK("http://www.ncbi.nlm.nih.gov/Structure/cdd/cddsrv.cgi?uid=pfam00348&amp;version=v4.0","2E-045")</f>
        <v>2E-045</v>
      </c>
      <c r="DG104" t="s">
        <v>1200</v>
      </c>
      <c r="DH104" s="33" t="str">
        <f>HYPERLINK("http://exon.niaid.nih.gov/transcriptome/S_calcitrans/S1/links/KOG/XP_013105088.1-KOG.txt","Polyprenyl synthetase")</f>
        <v>Polyprenyl synthetase</v>
      </c>
      <c r="DI104" t="str">
        <f>HYPERLINK("http://www.ncbi.nlm.nih.gov/Structure/cdd/cddsrv.cgi?uid=KOG0711","6E-087")</f>
        <v>6E-087</v>
      </c>
      <c r="DJ104" t="s">
        <v>1178</v>
      </c>
      <c r="DK104" t="str">
        <f>HYPERLINK("http://exon.niaid.nih.gov/transcriptome/S_calcitrans/S1/links/KOG/XP_013105088.1-KOG.txt","KOG0711")</f>
        <v>KOG0711</v>
      </c>
      <c r="DL104" s="33" t="str">
        <f>HYPERLINK("http://exon.niaid.nih.gov/transcriptome/S_calcitrans/S1/links/PFAM/XP_013105088.1-PFAM.txt","polyprenyl_synt")</f>
        <v>polyprenyl_synt</v>
      </c>
      <c r="DM104" t="str">
        <f>HYPERLINK("http://pfam.sanger.ac.uk/family?acc=PF00348","4E-046")</f>
        <v>4E-046</v>
      </c>
      <c r="DN104" s="33" t="str">
        <f>HYPERLINK("http://exon.niaid.nih.gov/transcriptome/S_calcitrans/S1/links/SMART/XP_013105088.1-SMART.txt","ADEAMc")</f>
        <v>ADEAMc</v>
      </c>
      <c r="DO104" t="str">
        <f>HYPERLINK("http://smart.embl-heidelberg.de/smart/do_annotation.pl?DOMAIN=ADEAMc&amp;BLAST=DUMMY","0.35")</f>
        <v>0.35</v>
      </c>
      <c r="DP104" s="33"/>
      <c r="EB104" s="33">
        <f t="shared" si="109"/>
        <v>56</v>
      </c>
      <c r="EC104">
        <f t="shared" si="110"/>
        <v>22</v>
      </c>
      <c r="ED104" s="33">
        <f t="shared" si="111"/>
        <v>96</v>
      </c>
      <c r="EE104">
        <f t="shared" si="112"/>
        <v>19</v>
      </c>
      <c r="EF104" s="33">
        <f t="shared" si="113"/>
        <v>92</v>
      </c>
      <c r="EG104">
        <f t="shared" si="114"/>
        <v>19</v>
      </c>
      <c r="EH104" s="33">
        <f t="shared" si="115"/>
        <v>127</v>
      </c>
      <c r="EI104">
        <f t="shared" si="116"/>
        <v>14</v>
      </c>
      <c r="EJ104" s="33">
        <f t="shared" si="117"/>
        <v>111</v>
      </c>
      <c r="EK104">
        <f t="shared" si="118"/>
        <v>14</v>
      </c>
      <c r="EL104" s="33">
        <f t="shared" si="119"/>
        <v>92</v>
      </c>
      <c r="EM104">
        <f t="shared" si="120"/>
        <v>14</v>
      </c>
      <c r="EN104" s="33">
        <f t="shared" si="121"/>
        <v>79</v>
      </c>
      <c r="EO104">
        <f t="shared" si="122"/>
        <v>14</v>
      </c>
      <c r="EP104" s="33">
        <f t="shared" si="123"/>
        <v>95</v>
      </c>
      <c r="EQ104">
        <f t="shared" si="124"/>
        <v>12</v>
      </c>
      <c r="ER104" s="33">
        <f>HYPERLINK("http://exon.niaid.nih.gov/transcriptome/S_calcitrans/S1/links/cluster-b/Scalc-pep65-50SimCLU173.txt", 173)</f>
        <v>173</v>
      </c>
      <c r="ES104">
        <f>HYPERLINK("http://exon.niaid.nih.gov/transcriptome/S_calcitrans/S1/links/cluster-b/Scalc-pep65-50SimCLTL173.txt", 9)</f>
        <v>9</v>
      </c>
      <c r="ET104" s="33">
        <f>HYPERLINK("http://exon.niaid.nih.gov/transcriptome/S_calcitrans/S1/links/cluster-b/Scalc-pep70-50SimCLU283.txt", 283)</f>
        <v>283</v>
      </c>
      <c r="EU104">
        <f>HYPERLINK("http://exon.niaid.nih.gov/transcriptome/S_calcitrans/S1/links/cluster-b/Scalc-pep70-50SimCLTL283.txt", 7)</f>
        <v>7</v>
      </c>
      <c r="EV104" s="33">
        <f>HYPERLINK("http://exon.niaid.nih.gov/transcriptome/S_calcitrans/S1/links/cluster-b/Scalc-pep75-50SimCLU884.txt", 884)</f>
        <v>884</v>
      </c>
      <c r="EW104">
        <f>HYPERLINK("http://exon.niaid.nih.gov/transcriptome/S_calcitrans/S1/links/cluster-b/Scalc-pep75-50SimCLTL884.txt", 4)</f>
        <v>4</v>
      </c>
      <c r="EX104" s="33">
        <f>HYPERLINK("http://exon.niaid.nih.gov/transcriptome/S_calcitrans/S1/links/cluster-b/Scalc-pep80-50SimCLU842.txt", 842)</f>
        <v>842</v>
      </c>
      <c r="EY104">
        <f>HYPERLINK("http://exon.niaid.nih.gov/transcriptome/S_calcitrans/S1/links/cluster-b/Scalc-pep80-50SimCLTL842.txt", 4)</f>
        <v>4</v>
      </c>
      <c r="EZ104" s="33">
        <f>HYPERLINK("http://exon.niaid.nih.gov/transcriptome/S_calcitrans/S1/links/cluster-b/Scalc-pep85-50SimCLU778.txt", 778)</f>
        <v>778</v>
      </c>
      <c r="FA104">
        <f>HYPERLINK("http://exon.niaid.nih.gov/transcriptome/S_calcitrans/S1/links/cluster-b/Scalc-pep85-50SimCLTL778.txt", 4)</f>
        <v>4</v>
      </c>
      <c r="FB104" s="33">
        <f>HYPERLINK("http://exon.niaid.nih.gov/transcriptome/S_calcitrans/S1/links/cluster-b/Scalc-pep90-50SimCLU2439.txt", 2439)</f>
        <v>2439</v>
      </c>
      <c r="FC104">
        <f>HYPERLINK("http://exon.niaid.nih.gov/transcriptome/S_calcitrans/S1/links/cluster-b/Scalc-pep90-50SimCLTL2439.txt", 2)</f>
        <v>2</v>
      </c>
      <c r="FD104" s="33">
        <v>8610</v>
      </c>
      <c r="FE104">
        <v>1</v>
      </c>
      <c r="FF104" t="s">
        <v>1201</v>
      </c>
      <c r="FG104">
        <v>10727</v>
      </c>
      <c r="FH104" s="38" t="str">
        <f>HYPERLINK("http://exon.niaid.nih.gov/transcriptome/S_calcitrans/S1/links/SG_male-stripped_temp-95-h10-1gap/10727-SG_male-stripped_temp-95-h10-1gap.txt","1626")</f>
        <v>1626</v>
      </c>
      <c r="FI104" s="39">
        <v>100</v>
      </c>
      <c r="FJ104" s="39">
        <v>118.96696696696699</v>
      </c>
      <c r="FK104" s="39">
        <v>38</v>
      </c>
      <c r="FL104" s="39">
        <v>299</v>
      </c>
      <c r="FM104" s="39">
        <v>73.092865928659293</v>
      </c>
      <c r="FN104" s="38" t="str">
        <f>HYPERLINK("http://exon.niaid.nih.gov/transcriptome/S_calcitrans/S1/links/SG_female-stripped_temp-95-h10-1gap/10727-SG_female-stripped_temp-95-h10-1gap.txt","3355")</f>
        <v>3355</v>
      </c>
      <c r="FO104" s="39">
        <v>100</v>
      </c>
      <c r="FP104" s="39">
        <v>244.96496496496499</v>
      </c>
      <c r="FQ104" s="39">
        <v>75</v>
      </c>
      <c r="FR104" s="39">
        <v>518</v>
      </c>
      <c r="FS104" s="39">
        <v>72.942175856930007</v>
      </c>
      <c r="FT104" s="38" t="str">
        <f>HYPERLINK("http://exon.niaid.nih.gov/transcriptome/S_calcitrans/S1/links/SRR694289-stripped_temp-95-h10-1gap/10727-SRR694289-stripped_temp-95-h10-1gap.txt","24")</f>
        <v>24</v>
      </c>
      <c r="FU104" s="39">
        <v>68.068068068068101</v>
      </c>
      <c r="FV104" s="39">
        <v>2.2082082082082102</v>
      </c>
      <c r="FW104" s="39">
        <v>0</v>
      </c>
      <c r="FX104" s="39">
        <v>7</v>
      </c>
      <c r="FY104" s="39">
        <v>91.9166666666667</v>
      </c>
      <c r="FZ104" s="38" t="str">
        <f>HYPERLINK("http://exon.niaid.nih.gov/transcriptome/S_calcitrans/S1/links/SRR694925-stripped_temp-95-h10-1gap/10727-SRR694925-stripped_temp-95-h10-1gap.txt","20")</f>
        <v>20</v>
      </c>
      <c r="GA104" s="39">
        <v>82.782782782782803</v>
      </c>
      <c r="GB104" s="39">
        <v>1.998998998999</v>
      </c>
      <c r="GC104" s="39">
        <v>0</v>
      </c>
      <c r="GD104" s="39">
        <v>6</v>
      </c>
      <c r="GE104" s="39">
        <v>99.85</v>
      </c>
      <c r="GF104">
        <f t="shared" si="125"/>
        <v>1626</v>
      </c>
      <c r="GG104">
        <f t="shared" si="126"/>
        <v>3355</v>
      </c>
      <c r="GH104">
        <f t="shared" si="127"/>
        <v>24</v>
      </c>
      <c r="GI104">
        <f t="shared" si="128"/>
        <v>20</v>
      </c>
      <c r="GJ104">
        <f t="shared" si="93"/>
        <v>4981</v>
      </c>
      <c r="GK104" s="34">
        <v>1.9346998972057161E-2</v>
      </c>
      <c r="GL104">
        <v>53.242328778741204</v>
      </c>
      <c r="GM104">
        <v>49.957451568322675</v>
      </c>
      <c r="GN104">
        <v>0.13809510753001289</v>
      </c>
      <c r="GO104">
        <v>0.11863376151833724</v>
      </c>
      <c r="GP104">
        <f t="shared" si="129"/>
        <v>53.242328778741204</v>
      </c>
      <c r="GQ104" t="s">
        <v>1170</v>
      </c>
      <c r="GR104">
        <v>41.523237281248811</v>
      </c>
      <c r="GS104">
        <v>41.003387377203275</v>
      </c>
      <c r="GT104">
        <v>0.24893822824832659</v>
      </c>
      <c r="GU104">
        <v>0.22460623381203476</v>
      </c>
      <c r="GV104">
        <f t="shared" si="130"/>
        <v>41.523237281248811</v>
      </c>
      <c r="GW104">
        <v>122.52587513822694</v>
      </c>
      <c r="GX104">
        <v>4981</v>
      </c>
      <c r="GY104">
        <v>44</v>
      </c>
      <c r="GZ104">
        <v>5025</v>
      </c>
      <c r="HA104">
        <v>1115.5484603433247</v>
      </c>
      <c r="HB104">
        <v>3909.4515396566753</v>
      </c>
      <c r="HC104">
        <v>13394.053361729937</v>
      </c>
      <c r="HD104">
        <v>3821.9467497853498</v>
      </c>
      <c r="HE104">
        <v>17216.000111515288</v>
      </c>
      <c r="HF104">
        <v>0</v>
      </c>
      <c r="HG104">
        <v>1115.5484603433247</v>
      </c>
      <c r="HH104">
        <v>1</v>
      </c>
      <c r="HI104">
        <v>1</v>
      </c>
      <c r="HJ104">
        <v>2</v>
      </c>
      <c r="HK104">
        <v>0</v>
      </c>
      <c r="HL104" s="30" t="s">
        <v>262</v>
      </c>
      <c r="HM104">
        <v>387.91039786507724</v>
      </c>
      <c r="HN104">
        <v>2.5201219690395805E-3</v>
      </c>
      <c r="HO104">
        <v>1626</v>
      </c>
      <c r="HP104">
        <v>3355</v>
      </c>
      <c r="HQ104">
        <v>4981</v>
      </c>
      <c r="HR104">
        <v>1557.0404008489061</v>
      </c>
      <c r="HS104">
        <v>3423.9595991510937</v>
      </c>
      <c r="HT104">
        <v>3.0541444605335046</v>
      </c>
      <c r="HU104">
        <v>1.3888675311059571</v>
      </c>
      <c r="HV104">
        <v>4.4430119916394615</v>
      </c>
      <c r="HW104">
        <v>3.5044369243305076E-2</v>
      </c>
      <c r="HX104">
        <v>1557.0404008489061</v>
      </c>
      <c r="HY104">
        <v>1</v>
      </c>
      <c r="HZ104">
        <v>1</v>
      </c>
      <c r="IA104">
        <v>2</v>
      </c>
      <c r="IB104">
        <v>0.13202652862057401</v>
      </c>
      <c r="IC104" s="30" t="s">
        <v>262</v>
      </c>
      <c r="ID104">
        <v>1.0654359317763775</v>
      </c>
      <c r="IE104">
        <v>0.93772656939496968</v>
      </c>
      <c r="IF104">
        <v>1.0654359317763775</v>
      </c>
      <c r="IG104" t="str">
        <f t="shared" si="84"/>
        <v/>
      </c>
    </row>
    <row r="105" spans="1:241">
      <c r="A105" t="str">
        <f>HYPERLINK("http://exon.niaid.nih.gov/transcriptome/S_calcitrans/S1/links/pep/XP_013105090.1-pep.txt","XP_013105090.1")</f>
        <v>XP_013105090.1</v>
      </c>
      <c r="B105" s="30" t="s">
        <v>232</v>
      </c>
      <c r="C105">
        <v>302</v>
      </c>
      <c r="D105" t="s">
        <v>1202</v>
      </c>
      <c r="E105">
        <v>2</v>
      </c>
      <c r="F105" t="s">
        <v>1203</v>
      </c>
      <c r="G105" t="str">
        <f>HYPERLINK("http://exon.niaid.nih.gov/transcriptome/S_calcitrans/S1/links/cds/XM_013249636_1-cds.txt","XM_013249636_1")</f>
        <v>XM_013249636_1</v>
      </c>
      <c r="H105">
        <v>909</v>
      </c>
      <c r="I105" t="s">
        <v>1204</v>
      </c>
      <c r="J105" s="30" t="s">
        <v>236</v>
      </c>
      <c r="K105" s="30" t="s">
        <v>91</v>
      </c>
      <c r="L105" s="31" t="s">
        <v>1165</v>
      </c>
      <c r="M105" s="30">
        <v>533888</v>
      </c>
      <c r="N105" s="30">
        <v>534926</v>
      </c>
      <c r="O105" s="30" t="s">
        <v>238</v>
      </c>
      <c r="P105" s="30">
        <v>3</v>
      </c>
      <c r="Q105" s="31" t="s">
        <v>1205</v>
      </c>
      <c r="R105" s="32" t="str">
        <f>HYPERLINK("http://exon.niaid.nih.gov/transcriptome/S_calcitrans/S1/links/Sigp/XP_013105090.1-SigP.txt","CYT")</f>
        <v>CYT</v>
      </c>
      <c r="S105" t="s">
        <v>242</v>
      </c>
      <c r="T105">
        <v>35.165999999999997</v>
      </c>
      <c r="U105">
        <v>6.46</v>
      </c>
      <c r="V105" t="s">
        <v>242</v>
      </c>
      <c r="W105" t="s">
        <v>242</v>
      </c>
      <c r="X105" t="s">
        <v>1206</v>
      </c>
      <c r="Y105" s="32">
        <v>0</v>
      </c>
      <c r="Z105" t="s">
        <v>242</v>
      </c>
      <c r="AA105" t="s">
        <v>242</v>
      </c>
      <c r="AB105" t="s">
        <v>242</v>
      </c>
      <c r="AC105" t="s">
        <v>242</v>
      </c>
      <c r="AD105" t="s">
        <v>242</v>
      </c>
      <c r="AE105" s="32" t="str">
        <f>HYPERLINK("http://exon.niaid.nih.gov/transcriptome/S_calcitrans/S1/links/netoglyc/XP_013105090.1-netoglyc.txt","0")</f>
        <v>0</v>
      </c>
      <c r="AF105">
        <v>8.9</v>
      </c>
      <c r="AG105">
        <v>4.5999999999999996</v>
      </c>
      <c r="AH105">
        <v>2</v>
      </c>
      <c r="AI105" t="s">
        <v>243</v>
      </c>
      <c r="AJ105" t="s">
        <v>242</v>
      </c>
      <c r="AK105">
        <v>217.27966473470497</v>
      </c>
      <c r="AL105" s="33">
        <v>8611</v>
      </c>
      <c r="AM105">
        <v>1</v>
      </c>
      <c r="AN105" s="30">
        <f t="shared" si="83"/>
        <v>1</v>
      </c>
      <c r="AO105" s="30" t="s">
        <v>244</v>
      </c>
      <c r="AP105">
        <v>62</v>
      </c>
      <c r="AQ105" s="34">
        <v>2.4081789525547963E-4</v>
      </c>
      <c r="AR105" s="35">
        <v>5.2613437583682909</v>
      </c>
      <c r="AS105" t="s">
        <v>1207</v>
      </c>
      <c r="AT105" s="36" t="s">
        <v>1169</v>
      </c>
      <c r="AU105" t="s">
        <v>1170</v>
      </c>
      <c r="AV105" t="str">
        <f>HYPERLINK("http://exon.niaid.nih.gov/transcriptome/S_calcitrans/S1/links/KOG/XP_013105090.1-KOG.txt","KOG")</f>
        <v>KOG</v>
      </c>
      <c r="AW105" s="37">
        <v>2E-87</v>
      </c>
      <c r="AX105">
        <v>87.6</v>
      </c>
      <c r="AY105" s="33"/>
      <c r="BG105" s="31"/>
      <c r="BJ105" s="33"/>
      <c r="BK105" s="33"/>
      <c r="BL105" s="33" t="str">
        <f>HYPERLINK("http://exon.niaid.nih.gov/transcriptome/S_calcitrans/S1/links/NR-LIGHT/XP_013105090.1-NR-LIGHT.txt","farnesyl pyrophosphate synthase")</f>
        <v>farnesyl pyrophosphate synthase</v>
      </c>
      <c r="BM105" t="str">
        <f>HYPERLINK("http://www.ncbi.nlm.nih.gov/sutils/blink.cgi?pid=557765471","1E-096")</f>
        <v>1E-096</v>
      </c>
      <c r="BN105" t="str">
        <f t="shared" si="106"/>
        <v>gi|557765471</v>
      </c>
      <c r="BO105">
        <v>55</v>
      </c>
      <c r="BP105">
        <v>73</v>
      </c>
      <c r="BQ105">
        <v>68</v>
      </c>
      <c r="BR105" t="s">
        <v>251</v>
      </c>
      <c r="BS105" s="33" t="str">
        <f>HYPERLINK("http://exon.niaid.nih.gov/transcriptome/S_calcitrans/S1/links/SWISSP/XP_013105090.1-SWISSP.txt","Farnesyl pyrophosphate synthase")</f>
        <v>Farnesyl pyrophosphate synthase</v>
      </c>
      <c r="BT105" t="str">
        <f>HYPERLINK("http://www.uniprot.org/uniprot/P08836","1E-070")</f>
        <v>1E-070</v>
      </c>
      <c r="BU105" t="str">
        <f>HYPERLINK("http://www.uniprot.org/uniprot/P08836#expression","P08836")</f>
        <v>P08836</v>
      </c>
      <c r="BV105">
        <v>41</v>
      </c>
      <c r="BW105">
        <v>65</v>
      </c>
      <c r="BX105">
        <v>83</v>
      </c>
      <c r="BY105" t="s">
        <v>1171</v>
      </c>
      <c r="BZ105" s="33" t="str">
        <f>HYPERLINK("http://exon.niaid.nih.gov/transcriptome/S_calcitrans/S1/links/REFSEQ-INVERTEBRATE/XP_013105090.1-REFSEQ-INVERTEBRATE.txt","farnesyl pyrophosphate synthase-like")</f>
        <v>farnesyl pyrophosphate synthase-like</v>
      </c>
      <c r="CA105" t="str">
        <f>HYPERLINK("http://www.ncbi.nlm.nih.gov/sutils/blink.cgi?pid=907673894","1E-176")</f>
        <v>1E-176</v>
      </c>
      <c r="CB105" t="str">
        <f>HYPERLINK("http://www.ncbi.nlm.nih.gov/protein/907673894","gi|907673894")</f>
        <v>gi|907673894</v>
      </c>
      <c r="CC105">
        <v>100</v>
      </c>
      <c r="CD105">
        <v>100</v>
      </c>
      <c r="CE105">
        <v>100</v>
      </c>
      <c r="CF105" t="s">
        <v>253</v>
      </c>
      <c r="CG105" s="33" t="str">
        <f>HYPERLINK("http://exon.niaid.nih.gov/transcriptome/S_calcitrans/S1/links/DIPTERA/XP_013105090.1-DIPTERA.txt","farnesyl pyrophosphate synthase-like")</f>
        <v>farnesyl pyrophosphate synthase-like</v>
      </c>
      <c r="CH105" t="str">
        <f>HYPERLINK("http://www.ncbi.nlm.nih.gov/sutils/blink.cgi?pid=907673894","1E-176")</f>
        <v>1E-176</v>
      </c>
      <c r="CI105" t="str">
        <f>HYPERLINK("http://www.ncbi.nlm.nih.gov/protein/907673894","gi|907673894")</f>
        <v>gi|907673894</v>
      </c>
      <c r="CJ105">
        <v>100</v>
      </c>
      <c r="CK105">
        <v>100</v>
      </c>
      <c r="CL105">
        <v>100</v>
      </c>
      <c r="CM105" t="s">
        <v>253</v>
      </c>
      <c r="CN105" s="33" t="s">
        <v>242</v>
      </c>
      <c r="CO105" t="s">
        <v>242</v>
      </c>
      <c r="CP105" t="s">
        <v>242</v>
      </c>
      <c r="CQ105" t="s">
        <v>242</v>
      </c>
      <c r="CR105" t="s">
        <v>242</v>
      </c>
      <c r="CS105" t="s">
        <v>242</v>
      </c>
      <c r="CT105" t="s">
        <v>242</v>
      </c>
      <c r="CU105" s="33" t="s">
        <v>1172</v>
      </c>
      <c r="CV105">
        <f>HYPERLINK("http://exon.niaid.nih.gov/transcriptome/S_calcitrans/S1/links/GO/XP_013105090.1-GO.txt",3E-94)</f>
        <v>3.0000000000000001E-94</v>
      </c>
      <c r="CW105" t="str">
        <f t="shared" si="107"/>
        <v>GO:0004161</v>
      </c>
      <c r="CX105" t="s">
        <v>1173</v>
      </c>
      <c r="CY105" t="s">
        <v>1174</v>
      </c>
      <c r="CZ105" t="s">
        <v>1175</v>
      </c>
      <c r="DA105" t="str">
        <f t="shared" si="108"/>
        <v>EC:2.5.1.1</v>
      </c>
      <c r="DD105" s="37">
        <v>4.9999999999999996E-72</v>
      </c>
      <c r="DE105" s="33" t="str">
        <f>HYPERLINK("http://exon.niaid.nih.gov/transcriptome/S_calcitrans/S1/links/CDD/XP_013105090.1-CDD.txt","polyprenyl_synt")</f>
        <v>polyprenyl_synt</v>
      </c>
      <c r="DF105" t="str">
        <f>HYPERLINK("http://www.ncbi.nlm.nih.gov/Structure/cdd/cddsrv.cgi?uid=pfam00348&amp;version=v4.0","3E-045")</f>
        <v>3E-045</v>
      </c>
      <c r="DG105" t="s">
        <v>1208</v>
      </c>
      <c r="DH105" s="33" t="str">
        <f>HYPERLINK("http://exon.niaid.nih.gov/transcriptome/S_calcitrans/S1/links/KOG/XP_013105090.1-KOG.txt","Polyprenyl synthetase")</f>
        <v>Polyprenyl synthetase</v>
      </c>
      <c r="DI105" t="str">
        <f>HYPERLINK("http://www.ncbi.nlm.nih.gov/Structure/cdd/cddsrv.cgi?uid=KOG0711","2E-087")</f>
        <v>2E-087</v>
      </c>
      <c r="DJ105" t="s">
        <v>1178</v>
      </c>
      <c r="DK105" t="str">
        <f>HYPERLINK("http://exon.niaid.nih.gov/transcriptome/S_calcitrans/S1/links/KOG/XP_013105090.1-KOG.txt","KOG0711")</f>
        <v>KOG0711</v>
      </c>
      <c r="DL105" s="33" t="str">
        <f>HYPERLINK("http://exon.niaid.nih.gov/transcriptome/S_calcitrans/S1/links/PFAM/XP_013105090.1-PFAM.txt","polyprenyl_synt")</f>
        <v>polyprenyl_synt</v>
      </c>
      <c r="DM105" t="str">
        <f>HYPERLINK("http://pfam.sanger.ac.uk/family?acc=PF00348","5E-046")</f>
        <v>5E-046</v>
      </c>
      <c r="DN105" s="33" t="str">
        <f>HYPERLINK("http://exon.niaid.nih.gov/transcriptome/S_calcitrans/S1/links/SMART/XP_013105090.1-SMART.txt","KIND")</f>
        <v>KIND</v>
      </c>
      <c r="DO105" t="str">
        <f>HYPERLINK("http://smart.embl-heidelberg.de/smart/do_annotation.pl?DOMAIN=KIND&amp;BLAST=DUMMY","1.4")</f>
        <v>1.4</v>
      </c>
      <c r="DP105" s="33"/>
      <c r="EB105" s="33">
        <f t="shared" si="109"/>
        <v>56</v>
      </c>
      <c r="EC105">
        <f t="shared" si="110"/>
        <v>22</v>
      </c>
      <c r="ED105" s="33">
        <f t="shared" si="111"/>
        <v>96</v>
      </c>
      <c r="EE105">
        <f t="shared" si="112"/>
        <v>19</v>
      </c>
      <c r="EF105" s="33">
        <f t="shared" si="113"/>
        <v>92</v>
      </c>
      <c r="EG105">
        <f t="shared" si="114"/>
        <v>19</v>
      </c>
      <c r="EH105" s="33">
        <f t="shared" si="115"/>
        <v>127</v>
      </c>
      <c r="EI105">
        <f t="shared" si="116"/>
        <v>14</v>
      </c>
      <c r="EJ105" s="33">
        <f t="shared" si="117"/>
        <v>111</v>
      </c>
      <c r="EK105">
        <f t="shared" si="118"/>
        <v>14</v>
      </c>
      <c r="EL105" s="33">
        <f t="shared" si="119"/>
        <v>92</v>
      </c>
      <c r="EM105">
        <f t="shared" si="120"/>
        <v>14</v>
      </c>
      <c r="EN105" s="33">
        <f t="shared" si="121"/>
        <v>79</v>
      </c>
      <c r="EO105">
        <f t="shared" si="122"/>
        <v>14</v>
      </c>
      <c r="EP105" s="33">
        <f t="shared" si="123"/>
        <v>95</v>
      </c>
      <c r="EQ105">
        <f t="shared" si="124"/>
        <v>12</v>
      </c>
      <c r="ER105" s="33">
        <f>HYPERLINK("http://exon.niaid.nih.gov/transcriptome/S_calcitrans/S1/links/cluster-b/Scalc-pep65-50SimCLU173.txt", 173)</f>
        <v>173</v>
      </c>
      <c r="ES105">
        <f>HYPERLINK("http://exon.niaid.nih.gov/transcriptome/S_calcitrans/S1/links/cluster-b/Scalc-pep65-50SimCLTL173.txt", 9)</f>
        <v>9</v>
      </c>
      <c r="ET105" s="33">
        <v>7643</v>
      </c>
      <c r="EU105">
        <v>1</v>
      </c>
      <c r="EV105" s="33">
        <v>7820</v>
      </c>
      <c r="EW105">
        <v>1</v>
      </c>
      <c r="EX105" s="33">
        <v>7983</v>
      </c>
      <c r="EY105">
        <v>1</v>
      </c>
      <c r="EZ105" s="33">
        <v>8152</v>
      </c>
      <c r="FA105">
        <v>1</v>
      </c>
      <c r="FB105" s="33">
        <v>8332</v>
      </c>
      <c r="FC105">
        <v>1</v>
      </c>
      <c r="FD105" s="33">
        <v>8611</v>
      </c>
      <c r="FE105">
        <v>1</v>
      </c>
      <c r="FF105" t="s">
        <v>1209</v>
      </c>
      <c r="FG105">
        <v>10728</v>
      </c>
      <c r="FH105" s="38" t="str">
        <f>HYPERLINK("http://exon.niaid.nih.gov/transcriptome/S_calcitrans/S1/links/SG_male-stripped_temp-95-h10-1gap/10728-SG_male-stripped_temp-95-h10-1gap.txt","15")</f>
        <v>15</v>
      </c>
      <c r="FI105" s="39">
        <v>51.925192519251901</v>
      </c>
      <c r="FJ105" s="39">
        <v>1.2288228822882299</v>
      </c>
      <c r="FK105" s="39">
        <v>0</v>
      </c>
      <c r="FL105" s="39">
        <v>5</v>
      </c>
      <c r="FM105" s="39">
        <v>74.466666666666697</v>
      </c>
      <c r="FN105" s="38" t="str">
        <f>HYPERLINK("http://exon.niaid.nih.gov/transcriptome/S_calcitrans/S1/links/SG_female-stripped_temp-95-h10-1gap/10728-SG_female-stripped_temp-95-h10-1gap.txt","47")</f>
        <v>47</v>
      </c>
      <c r="FO105" s="39">
        <v>69.636963696369605</v>
      </c>
      <c r="FP105" s="39">
        <v>3.8151815181518201</v>
      </c>
      <c r="FQ105" s="39">
        <v>0</v>
      </c>
      <c r="FR105" s="39">
        <v>10</v>
      </c>
      <c r="FS105" s="39">
        <v>73.808510638297903</v>
      </c>
      <c r="FT105" s="38">
        <v>0</v>
      </c>
      <c r="FU105" s="39" t="s">
        <v>242</v>
      </c>
      <c r="FV105" s="39" t="s">
        <v>242</v>
      </c>
      <c r="FW105" s="39" t="s">
        <v>242</v>
      </c>
      <c r="FX105" s="39" t="s">
        <v>242</v>
      </c>
      <c r="FY105" s="39" t="s">
        <v>242</v>
      </c>
      <c r="FZ105" s="38">
        <v>0</v>
      </c>
      <c r="GA105" s="39" t="s">
        <v>242</v>
      </c>
      <c r="GB105" s="39" t="s">
        <v>242</v>
      </c>
      <c r="GC105" s="39" t="s">
        <v>242</v>
      </c>
      <c r="GD105" s="39" t="s">
        <v>242</v>
      </c>
      <c r="GE105" s="39" t="s">
        <v>242</v>
      </c>
      <c r="GF105">
        <f t="shared" si="125"/>
        <v>15</v>
      </c>
      <c r="GG105">
        <f t="shared" si="126"/>
        <v>47</v>
      </c>
      <c r="GH105">
        <f t="shared" si="127"/>
        <v>0</v>
      </c>
      <c r="GI105">
        <f t="shared" si="128"/>
        <v>0</v>
      </c>
      <c r="GJ105">
        <f t="shared" si="93"/>
        <v>62</v>
      </c>
      <c r="GK105" s="34">
        <v>2.4081789525547963E-4</v>
      </c>
      <c r="GL105">
        <v>0.5397956317306889</v>
      </c>
      <c r="GM105">
        <v>0.76914321710448241</v>
      </c>
      <c r="GN105">
        <v>0</v>
      </c>
      <c r="GO105">
        <v>0</v>
      </c>
      <c r="GP105">
        <f t="shared" si="129"/>
        <v>0.76914321710448241</v>
      </c>
      <c r="GQ105" t="s">
        <v>1170</v>
      </c>
      <c r="GR105">
        <v>0.42098200086027354</v>
      </c>
      <c r="GS105">
        <v>0.6312867508133847</v>
      </c>
      <c r="GT105">
        <v>0</v>
      </c>
      <c r="GU105">
        <v>0</v>
      </c>
      <c r="GV105">
        <f t="shared" si="130"/>
        <v>0.6312867508133847</v>
      </c>
      <c r="GW105">
        <v>5.2613437583682909</v>
      </c>
      <c r="GX105">
        <v>62</v>
      </c>
      <c r="GY105">
        <v>0</v>
      </c>
      <c r="GZ105">
        <v>62</v>
      </c>
      <c r="HA105">
        <v>13.763981003241019</v>
      </c>
      <c r="HB105">
        <v>48.236018996758979</v>
      </c>
      <c r="HC105">
        <v>169.04364573794598</v>
      </c>
      <c r="HD105">
        <v>48.236018996758979</v>
      </c>
      <c r="HE105">
        <v>217.27966473470497</v>
      </c>
      <c r="HF105">
        <v>3.5462922198490086E-49</v>
      </c>
      <c r="HG105">
        <v>13.763981003241019</v>
      </c>
      <c r="HH105">
        <v>1</v>
      </c>
      <c r="HI105">
        <v>1</v>
      </c>
      <c r="HJ105">
        <v>2</v>
      </c>
      <c r="HK105" s="37">
        <v>6.70040485608483E-49</v>
      </c>
      <c r="HL105" s="30" t="s">
        <v>262</v>
      </c>
      <c r="HM105">
        <v>217.27966473470497</v>
      </c>
      <c r="HN105">
        <v>0</v>
      </c>
      <c r="HO105">
        <v>15</v>
      </c>
      <c r="HP105">
        <v>47</v>
      </c>
      <c r="HQ105">
        <v>62</v>
      </c>
      <c r="HR105">
        <v>19.380948575111862</v>
      </c>
      <c r="HS105">
        <v>42.619051424888141</v>
      </c>
      <c r="HT105">
        <v>0.99028746417608615</v>
      </c>
      <c r="HU105">
        <v>0.45033171260509813</v>
      </c>
      <c r="HV105">
        <v>1.4406191767811842</v>
      </c>
      <c r="HW105">
        <v>0.23003917047070618</v>
      </c>
      <c r="HX105">
        <v>19.380948575111862</v>
      </c>
      <c r="HY105">
        <v>1</v>
      </c>
      <c r="HZ105" t="s">
        <v>244</v>
      </c>
      <c r="IA105">
        <v>1</v>
      </c>
      <c r="IB105">
        <v>0.51320474674550298</v>
      </c>
      <c r="IC105" s="30" t="s">
        <v>244</v>
      </c>
      <c r="ID105">
        <v>0.68719307100275273</v>
      </c>
      <c r="IE105">
        <v>1.3358236407426216</v>
      </c>
      <c r="IF105">
        <v>1.3358236407426216</v>
      </c>
      <c r="IG105" t="str">
        <f t="shared" si="84"/>
        <v/>
      </c>
    </row>
    <row r="106" spans="1:241">
      <c r="A106" t="str">
        <f>HYPERLINK("http://exon.niaid.nih.gov/transcriptome/S_calcitrans/S1/links/pep/XP_013108311.1-pep.txt","XP_013108311.1")</f>
        <v>XP_013108311.1</v>
      </c>
      <c r="B106" s="30" t="s">
        <v>232</v>
      </c>
      <c r="C106">
        <v>351</v>
      </c>
      <c r="D106" t="s">
        <v>1202</v>
      </c>
      <c r="E106">
        <v>1</v>
      </c>
      <c r="F106" t="s">
        <v>1210</v>
      </c>
      <c r="G106" t="str">
        <f>HYPERLINK("http://exon.niaid.nih.gov/transcriptome/S_calcitrans/S1/links/cds/XM_013252857_1-cds.txt","XM_013252857_1")</f>
        <v>XM_013252857_1</v>
      </c>
      <c r="H106">
        <v>1056</v>
      </c>
      <c r="I106" t="s">
        <v>1211</v>
      </c>
      <c r="J106" s="30" t="s">
        <v>236</v>
      </c>
      <c r="K106" s="30" t="s">
        <v>91</v>
      </c>
      <c r="L106" s="31" t="s">
        <v>1212</v>
      </c>
      <c r="M106" s="30">
        <v>209183</v>
      </c>
      <c r="N106" s="30">
        <v>216914</v>
      </c>
      <c r="O106" s="30" t="s">
        <v>238</v>
      </c>
      <c r="P106" s="30">
        <v>5</v>
      </c>
      <c r="Q106" s="31" t="s">
        <v>1213</v>
      </c>
      <c r="R106" s="32" t="str">
        <f>HYPERLINK("http://exon.niaid.nih.gov/transcriptome/S_calcitrans/S1/links/Sigp/XP_013108311.1-SigP.txt","CYT")</f>
        <v>CYT</v>
      </c>
      <c r="S106" t="s">
        <v>242</v>
      </c>
      <c r="T106">
        <v>40.485999999999997</v>
      </c>
      <c r="U106">
        <v>5.63</v>
      </c>
      <c r="V106" t="s">
        <v>242</v>
      </c>
      <c r="W106" t="s">
        <v>242</v>
      </c>
      <c r="X106" t="s">
        <v>1214</v>
      </c>
      <c r="Y106" s="32">
        <v>0</v>
      </c>
      <c r="Z106" t="s">
        <v>242</v>
      </c>
      <c r="AA106" t="s">
        <v>242</v>
      </c>
      <c r="AB106" t="s">
        <v>242</v>
      </c>
      <c r="AC106" t="s">
        <v>242</v>
      </c>
      <c r="AD106" t="s">
        <v>242</v>
      </c>
      <c r="AE106" s="32" t="s">
        <v>242</v>
      </c>
      <c r="AF106" t="s">
        <v>242</v>
      </c>
      <c r="AG106" t="s">
        <v>242</v>
      </c>
      <c r="AH106" t="s">
        <v>242</v>
      </c>
      <c r="AI106" t="s">
        <v>242</v>
      </c>
      <c r="AJ106" t="s">
        <v>242</v>
      </c>
      <c r="AK106">
        <v>211.67244758026098</v>
      </c>
      <c r="AL106" s="33">
        <v>10296</v>
      </c>
      <c r="AM106">
        <v>1</v>
      </c>
      <c r="AN106" s="30">
        <f t="shared" si="83"/>
        <v>1</v>
      </c>
      <c r="AO106" s="30" t="s">
        <v>244</v>
      </c>
      <c r="AP106">
        <v>906</v>
      </c>
      <c r="AQ106" s="34">
        <v>3.5190485984107184E-3</v>
      </c>
      <c r="AR106" s="35">
        <v>44.8064694734041</v>
      </c>
      <c r="AS106" t="s">
        <v>1215</v>
      </c>
      <c r="AT106" s="36" t="s">
        <v>1169</v>
      </c>
      <c r="AU106" t="s">
        <v>1170</v>
      </c>
      <c r="AV106" t="str">
        <f>HYPERLINK("http://exon.niaid.nih.gov/transcriptome/S_calcitrans/S1/links/KOG/XP_013108311.1-KOG.txt","KOG")</f>
        <v>KOG</v>
      </c>
      <c r="AW106" s="37">
        <v>9.9999999999999993E-77</v>
      </c>
      <c r="AX106">
        <v>98.8</v>
      </c>
      <c r="AY106" s="33"/>
      <c r="BG106" s="31"/>
      <c r="BJ106" s="33"/>
      <c r="BK106" s="33"/>
      <c r="BL106" s="33" t="str">
        <f>HYPERLINK("http://exon.niaid.nih.gov/transcriptome/S_calcitrans/S1/links/NR-LIGHT/XP_013108311.1-NR-LIGHT.txt","farnesyl pyrophosphate synthase")</f>
        <v>farnesyl pyrophosphate synthase</v>
      </c>
      <c r="BM106" t="str">
        <f>HYPERLINK("http://www.ncbi.nlm.nih.gov/sutils/blink.cgi?pid=557765471","8E-086")</f>
        <v>8E-086</v>
      </c>
      <c r="BN106" t="str">
        <f t="shared" si="106"/>
        <v>gi|557765471</v>
      </c>
      <c r="BO106">
        <v>46</v>
      </c>
      <c r="BP106">
        <v>68</v>
      </c>
      <c r="BQ106">
        <v>72</v>
      </c>
      <c r="BR106" t="s">
        <v>251</v>
      </c>
      <c r="BS106" s="33" t="str">
        <f>HYPERLINK("http://exon.niaid.nih.gov/transcriptome/S_calcitrans/S1/links/SWISSP/XP_013108311.1-SWISSP.txt","Farnesyl pyrophosphate synthase")</f>
        <v>Farnesyl pyrophosphate synthase</v>
      </c>
      <c r="BT106" t="str">
        <f>HYPERLINK("http://www.uniprot.org/uniprot/P05369","4E-062")</f>
        <v>4E-062</v>
      </c>
      <c r="BU106" t="str">
        <f>HYPERLINK("http://www.uniprot.org/uniprot/P05369#expression","P05369")</f>
        <v>P05369</v>
      </c>
      <c r="BV106">
        <v>36</v>
      </c>
      <c r="BW106">
        <v>58</v>
      </c>
      <c r="BX106">
        <v>95</v>
      </c>
      <c r="BY106" t="s">
        <v>1216</v>
      </c>
      <c r="BZ106" s="33" t="str">
        <f>HYPERLINK("http://exon.niaid.nih.gov/transcriptome/S_calcitrans/S1/links/REFSEQ-INVERTEBRATE/XP_013108311.1-REFSEQ-INVERTEBRATE.txt","farnesyl pyrophosphate synthase-like")</f>
        <v>farnesyl pyrophosphate synthase-like</v>
      </c>
      <c r="CA106" t="str">
        <f>HYPERLINK("http://www.ncbi.nlm.nih.gov/sutils/blink.cgi?pid=907691654","0.0")</f>
        <v>0.0</v>
      </c>
      <c r="CB106" t="str">
        <f>HYPERLINK("http://www.ncbi.nlm.nih.gov/protein/907691654","gi|907691654")</f>
        <v>gi|907691654</v>
      </c>
      <c r="CC106">
        <v>100</v>
      </c>
      <c r="CD106">
        <v>100</v>
      </c>
      <c r="CE106">
        <v>100</v>
      </c>
      <c r="CF106" t="s">
        <v>253</v>
      </c>
      <c r="CG106" s="33" t="str">
        <f>HYPERLINK("http://exon.niaid.nih.gov/transcriptome/S_calcitrans/S1/links/DIPTERA/XP_013108311.1-DIPTERA.txt","farnesyl pyrophosphate synthase-like")</f>
        <v>farnesyl pyrophosphate synthase-like</v>
      </c>
      <c r="CH106" t="str">
        <f>HYPERLINK("http://www.ncbi.nlm.nih.gov/sutils/blink.cgi?pid=907691654","0.0")</f>
        <v>0.0</v>
      </c>
      <c r="CI106" t="str">
        <f>HYPERLINK("http://www.ncbi.nlm.nih.gov/protein/907691654","gi|907691654")</f>
        <v>gi|907691654</v>
      </c>
      <c r="CJ106">
        <v>100</v>
      </c>
      <c r="CK106">
        <v>100</v>
      </c>
      <c r="CL106">
        <v>100</v>
      </c>
      <c r="CM106" t="s">
        <v>253</v>
      </c>
      <c r="CN106" s="33" t="s">
        <v>242</v>
      </c>
      <c r="CO106" t="s">
        <v>242</v>
      </c>
      <c r="CP106" t="s">
        <v>242</v>
      </c>
      <c r="CQ106" t="s">
        <v>242</v>
      </c>
      <c r="CR106" t="s">
        <v>242</v>
      </c>
      <c r="CS106" t="s">
        <v>242</v>
      </c>
      <c r="CT106" t="s">
        <v>242</v>
      </c>
      <c r="CU106" s="33" t="s">
        <v>1172</v>
      </c>
      <c r="CV106">
        <f>HYPERLINK("http://exon.niaid.nih.gov/transcriptome/S_calcitrans/S1/links/GO/XP_013108311.1-GO.txt",1E-85)</f>
        <v>9.9999999999999998E-86</v>
      </c>
      <c r="CW106" t="str">
        <f t="shared" si="107"/>
        <v>GO:0004161</v>
      </c>
      <c r="CX106" t="s">
        <v>1173</v>
      </c>
      <c r="CY106" t="s">
        <v>1174</v>
      </c>
      <c r="CZ106" t="s">
        <v>1175</v>
      </c>
      <c r="DA106" t="str">
        <f t="shared" si="108"/>
        <v>EC:2.5.1.1</v>
      </c>
      <c r="DD106" s="37">
        <v>5.0000000000000002E-63</v>
      </c>
      <c r="DE106" s="33" t="str">
        <f>HYPERLINK("http://exon.niaid.nih.gov/transcriptome/S_calcitrans/S1/links/CDD/XP_013108311.1-CDD.txt","polyprenyl_synt")</f>
        <v>polyprenyl_synt</v>
      </c>
      <c r="DF106" t="str">
        <f>HYPERLINK("http://www.ncbi.nlm.nih.gov/Structure/cdd/cddsrv.cgi?uid=pfam00348&amp;version=v4.0","2E-037")</f>
        <v>2E-037</v>
      </c>
      <c r="DG106" t="s">
        <v>1217</v>
      </c>
      <c r="DH106" s="33" t="str">
        <f>HYPERLINK("http://exon.niaid.nih.gov/transcriptome/S_calcitrans/S1/links/KOG/XP_013108311.1-KOG.txt","Polyprenyl synthetase")</f>
        <v>Polyprenyl synthetase</v>
      </c>
      <c r="DI106" t="str">
        <f>HYPERLINK("http://www.ncbi.nlm.nih.gov/Structure/cdd/cddsrv.cgi?uid=KOG0711","1E-076")</f>
        <v>1E-076</v>
      </c>
      <c r="DJ106" t="s">
        <v>1178</v>
      </c>
      <c r="DK106" t="str">
        <f>HYPERLINK("http://exon.niaid.nih.gov/transcriptome/S_calcitrans/S1/links/KOG/XP_013108311.1-KOG.txt","KOG0711")</f>
        <v>KOG0711</v>
      </c>
      <c r="DL106" s="33" t="str">
        <f>HYPERLINK("http://exon.niaid.nih.gov/transcriptome/S_calcitrans/S1/links/PFAM/XP_013108311.1-PFAM.txt","polyprenyl_synt")</f>
        <v>polyprenyl_synt</v>
      </c>
      <c r="DM106" t="str">
        <f>HYPERLINK("http://pfam.sanger.ac.uk/family?acc=PF00348","6E-045")</f>
        <v>6E-045</v>
      </c>
      <c r="DN106" s="33" t="str">
        <f>HYPERLINK("http://exon.niaid.nih.gov/transcriptome/S_calcitrans/S1/links/SMART/XP_013108311.1-SMART.txt","Aerolysin")</f>
        <v>Aerolysin</v>
      </c>
      <c r="DO106" t="str">
        <f>HYPERLINK("http://smart.embl-heidelberg.de/smart/do_annotation.pl?DOMAIN=Aerolysin&amp;BLAST=DUMMY","0.34")</f>
        <v>0.34</v>
      </c>
      <c r="DP106" s="33"/>
      <c r="EB106" s="33">
        <f t="shared" si="109"/>
        <v>56</v>
      </c>
      <c r="EC106">
        <f t="shared" si="110"/>
        <v>22</v>
      </c>
      <c r="ED106" s="33">
        <f t="shared" si="111"/>
        <v>96</v>
      </c>
      <c r="EE106">
        <f t="shared" si="112"/>
        <v>19</v>
      </c>
      <c r="EF106" s="33">
        <f t="shared" si="113"/>
        <v>92</v>
      </c>
      <c r="EG106">
        <f t="shared" si="114"/>
        <v>19</v>
      </c>
      <c r="EH106" s="33">
        <f t="shared" si="115"/>
        <v>127</v>
      </c>
      <c r="EI106">
        <f t="shared" si="116"/>
        <v>14</v>
      </c>
      <c r="EJ106" s="33">
        <f t="shared" si="117"/>
        <v>111</v>
      </c>
      <c r="EK106">
        <f t="shared" si="118"/>
        <v>14</v>
      </c>
      <c r="EL106" s="33">
        <f t="shared" si="119"/>
        <v>92</v>
      </c>
      <c r="EM106">
        <f t="shared" si="120"/>
        <v>14</v>
      </c>
      <c r="EN106" s="33">
        <f t="shared" si="121"/>
        <v>79</v>
      </c>
      <c r="EO106">
        <f t="shared" si="122"/>
        <v>14</v>
      </c>
      <c r="EP106" s="33">
        <f t="shared" si="123"/>
        <v>95</v>
      </c>
      <c r="EQ106">
        <f t="shared" si="124"/>
        <v>12</v>
      </c>
      <c r="ER106" s="33">
        <f>HYPERLINK("http://exon.niaid.nih.gov/transcriptome/S_calcitrans/S1/links/cluster-b/Scalc-pep65-50SimCLU1699.txt", 1699)</f>
        <v>1699</v>
      </c>
      <c r="ES106">
        <f>HYPERLINK("http://exon.niaid.nih.gov/transcriptome/S_calcitrans/S1/links/cluster-b/Scalc-pep65-50SimCLTL1699.txt", 3)</f>
        <v>3</v>
      </c>
      <c r="ET106" s="33">
        <f>HYPERLINK("http://exon.niaid.nih.gov/transcriptome/S_calcitrans/S1/links/cluster-b/Scalc-pep70-50SimCLU3053.txt", 3053)</f>
        <v>3053</v>
      </c>
      <c r="EU106">
        <f>HYPERLINK("http://exon.niaid.nih.gov/transcriptome/S_calcitrans/S1/links/cluster-b/Scalc-pep70-50SimCLTL3053.txt", 2)</f>
        <v>2</v>
      </c>
      <c r="EV106" s="33">
        <f>HYPERLINK("http://exon.niaid.nih.gov/transcriptome/S_calcitrans/S1/links/cluster-b/Scalc-pep75-50SimCLU3011.txt", 3011)</f>
        <v>3011</v>
      </c>
      <c r="EW106">
        <f>HYPERLINK("http://exon.niaid.nih.gov/transcriptome/S_calcitrans/S1/links/cluster-b/Scalc-pep75-50SimCLTL3011.txt", 2)</f>
        <v>2</v>
      </c>
      <c r="EX106" s="33">
        <v>9314</v>
      </c>
      <c r="EY106">
        <v>1</v>
      </c>
      <c r="EZ106" s="33">
        <v>9596</v>
      </c>
      <c r="FA106">
        <v>1</v>
      </c>
      <c r="FB106" s="33">
        <v>9886</v>
      </c>
      <c r="FC106">
        <v>1</v>
      </c>
      <c r="FD106" s="33">
        <v>10296</v>
      </c>
      <c r="FE106">
        <v>1</v>
      </c>
      <c r="FF106" t="s">
        <v>1218</v>
      </c>
      <c r="FG106">
        <v>13578</v>
      </c>
      <c r="FH106" s="38" t="str">
        <f>HYPERLINK("http://exon.niaid.nih.gov/transcriptome/S_calcitrans/S1/links/SG_male-stripped_temp-95-h10-1gap/13578-SG_male-stripped_temp-95-h10-1gap.txt","406")</f>
        <v>406</v>
      </c>
      <c r="FI106" s="39">
        <v>99.431818181818201</v>
      </c>
      <c r="FJ106" s="39">
        <v>28.146780303030301</v>
      </c>
      <c r="FK106" s="39">
        <v>0</v>
      </c>
      <c r="FL106" s="39">
        <v>70</v>
      </c>
      <c r="FM106" s="39">
        <v>73.209359605911303</v>
      </c>
      <c r="FN106" s="38" t="str">
        <f>HYPERLINK("http://exon.niaid.nih.gov/transcriptome/S_calcitrans/S1/links/SG_female-stripped_temp-95-h10-1gap/13578-SG_female-stripped_temp-95-h10-1gap.txt","500")</f>
        <v>500</v>
      </c>
      <c r="FO106" s="39">
        <v>100</v>
      </c>
      <c r="FP106" s="39">
        <v>34.9611742424242</v>
      </c>
      <c r="FQ106" s="39">
        <v>1</v>
      </c>
      <c r="FR106" s="39">
        <v>79</v>
      </c>
      <c r="FS106" s="39">
        <v>73.837999999999994</v>
      </c>
      <c r="FT106" s="38" t="str">
        <f>HYPERLINK("http://exon.niaid.nih.gov/transcriptome/S_calcitrans/S1/links/SRR694289-stripped_temp-95-h10-1gap/13578-SRR694289-stripped_temp-95-h10-1gap.txt","1")</f>
        <v>1</v>
      </c>
      <c r="FU106" s="39">
        <v>9.5643939393939394</v>
      </c>
      <c r="FV106" s="39">
        <v>9.5643939393939406E-2</v>
      </c>
      <c r="FW106" s="39">
        <v>0</v>
      </c>
      <c r="FX106" s="39">
        <v>1</v>
      </c>
      <c r="FY106" s="39">
        <v>101</v>
      </c>
      <c r="FZ106" s="38" t="str">
        <f>HYPERLINK("http://exon.niaid.nih.gov/transcriptome/S_calcitrans/S1/links/SRR694925-stripped_temp-95-h10-1gap/13578-SRR694925-stripped_temp-95-h10-1gap.txt","13")</f>
        <v>13</v>
      </c>
      <c r="GA106" s="39">
        <v>60.511363636363598</v>
      </c>
      <c r="GB106" s="39">
        <v>1.23484848484848</v>
      </c>
      <c r="GC106" s="39">
        <v>0</v>
      </c>
      <c r="GD106" s="39">
        <v>5</v>
      </c>
      <c r="GE106" s="39">
        <v>100.30769230769199</v>
      </c>
      <c r="GF106">
        <f t="shared" si="125"/>
        <v>406</v>
      </c>
      <c r="GG106">
        <f t="shared" si="126"/>
        <v>500</v>
      </c>
      <c r="GH106">
        <f t="shared" si="127"/>
        <v>1</v>
      </c>
      <c r="GI106">
        <f t="shared" si="128"/>
        <v>13</v>
      </c>
      <c r="GJ106">
        <f t="shared" si="93"/>
        <v>906</v>
      </c>
      <c r="GK106" s="34">
        <v>3.5190485984107184E-3</v>
      </c>
      <c r="GL106">
        <v>12.576624815198084</v>
      </c>
      <c r="GM106">
        <v>7.0433509061490014</v>
      </c>
      <c r="GN106">
        <v>5.4433795936901395E-3</v>
      </c>
      <c r="GO106">
        <v>7.2949652501829818E-2</v>
      </c>
      <c r="GP106">
        <f t="shared" si="129"/>
        <v>12.576624815198084</v>
      </c>
      <c r="GQ106" t="s">
        <v>1170</v>
      </c>
      <c r="GR106">
        <v>9.8084022314070332</v>
      </c>
      <c r="GS106">
        <v>5.7809443150524524</v>
      </c>
      <c r="GT106">
        <v>9.8125509004134415E-3</v>
      </c>
      <c r="GU106">
        <v>0.13811369121765604</v>
      </c>
      <c r="GV106">
        <f t="shared" si="130"/>
        <v>9.8084022314070332</v>
      </c>
      <c r="GW106">
        <v>44.8064694734041</v>
      </c>
      <c r="GX106">
        <v>906</v>
      </c>
      <c r="GY106">
        <v>14</v>
      </c>
      <c r="GZ106">
        <v>920</v>
      </c>
      <c r="HA106">
        <v>204.23971811260867</v>
      </c>
      <c r="HB106">
        <v>715.76028188739133</v>
      </c>
      <c r="HC106">
        <v>2411.2229383471158</v>
      </c>
      <c r="HD106">
        <v>688.03411658450977</v>
      </c>
      <c r="HE106">
        <v>3099.2570549316256</v>
      </c>
      <c r="HF106">
        <v>0</v>
      </c>
      <c r="HG106">
        <v>204.23971811260867</v>
      </c>
      <c r="HH106">
        <v>1</v>
      </c>
      <c r="HI106">
        <v>1</v>
      </c>
      <c r="HJ106">
        <v>2</v>
      </c>
      <c r="HK106">
        <v>0</v>
      </c>
      <c r="HL106" s="30" t="s">
        <v>262</v>
      </c>
      <c r="HM106">
        <v>211.67244758026098</v>
      </c>
      <c r="HN106">
        <v>4.4044669514025419E-3</v>
      </c>
      <c r="HO106">
        <v>406</v>
      </c>
      <c r="HP106">
        <v>500</v>
      </c>
      <c r="HQ106">
        <v>906</v>
      </c>
      <c r="HR106">
        <v>283.21192595244105</v>
      </c>
      <c r="HS106">
        <v>622.78807404755889</v>
      </c>
      <c r="HT106">
        <v>53.235438718215001</v>
      </c>
      <c r="HU106">
        <v>24.208734490245657</v>
      </c>
      <c r="HV106">
        <v>77.444173208460654</v>
      </c>
      <c r="HW106">
        <v>1.3652738093249068E-18</v>
      </c>
      <c r="HX106">
        <v>283.21192595244105</v>
      </c>
      <c r="HY106">
        <v>1</v>
      </c>
      <c r="HZ106">
        <v>1</v>
      </c>
      <c r="IA106">
        <v>2</v>
      </c>
      <c r="IB106" s="37">
        <v>4.67943687022901E-17</v>
      </c>
      <c r="IC106" s="30" t="s">
        <v>262</v>
      </c>
      <c r="ID106">
        <v>1.7820383988957609</v>
      </c>
      <c r="IE106">
        <v>0.55865905828537687</v>
      </c>
      <c r="IF106">
        <v>1.7820383988957609</v>
      </c>
      <c r="IG106" t="str">
        <f t="shared" si="84"/>
        <v/>
      </c>
    </row>
    <row r="107" spans="1:241">
      <c r="A107" s="22" t="s">
        <v>1219</v>
      </c>
      <c r="B107" s="23"/>
      <c r="C107" s="24"/>
      <c r="D107" s="24"/>
      <c r="E107" s="24"/>
      <c r="F107" s="24"/>
      <c r="G107" s="24"/>
      <c r="H107" s="24"/>
      <c r="I107" s="24"/>
      <c r="J107" s="23"/>
      <c r="K107" s="23"/>
      <c r="L107" s="25"/>
      <c r="M107" s="23"/>
      <c r="N107" s="23"/>
      <c r="O107" s="23"/>
      <c r="P107" s="23"/>
      <c r="Q107" s="25"/>
      <c r="R107" s="23"/>
      <c r="S107" s="24"/>
      <c r="T107" s="24"/>
      <c r="U107" s="24"/>
      <c r="V107" s="24"/>
      <c r="W107" s="24"/>
      <c r="X107" s="24"/>
      <c r="Y107" s="23"/>
      <c r="Z107" s="24"/>
      <c r="AA107" s="24"/>
      <c r="AB107" s="24"/>
      <c r="AC107" s="24"/>
      <c r="AD107" s="24"/>
      <c r="AE107" s="23"/>
      <c r="AF107" s="24"/>
      <c r="AG107" s="24"/>
      <c r="AH107" s="24"/>
      <c r="AI107" s="24"/>
      <c r="AJ107" s="24"/>
      <c r="AK107" s="24"/>
      <c r="AL107" s="24"/>
      <c r="AM107" s="24"/>
      <c r="AN107" s="23" t="str">
        <f t="shared" si="83"/>
        <v/>
      </c>
      <c r="AO107" s="23" t="s">
        <v>244</v>
      </c>
      <c r="AP107" s="24" t="s">
        <v>244</v>
      </c>
      <c r="AQ107" s="26"/>
      <c r="AR107" s="27"/>
      <c r="AS107" s="24"/>
      <c r="AT107" s="24"/>
      <c r="AU107" s="24"/>
      <c r="AV107" s="24"/>
      <c r="AW107" s="28"/>
      <c r="AX107" s="24"/>
      <c r="AY107" s="24"/>
      <c r="AZ107" s="24"/>
      <c r="BA107" s="24"/>
      <c r="BB107" s="24"/>
      <c r="BC107" s="24"/>
      <c r="BD107" s="24"/>
      <c r="BE107" s="24"/>
      <c r="BF107" s="24"/>
      <c r="BG107" s="25"/>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8"/>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9"/>
      <c r="FI107" s="29"/>
      <c r="FJ107" s="29"/>
      <c r="FK107" s="29"/>
      <c r="FL107" s="29"/>
      <c r="FM107" s="29"/>
      <c r="FN107" s="29"/>
      <c r="FO107" s="29"/>
      <c r="FP107" s="29"/>
      <c r="FQ107" s="29"/>
      <c r="FR107" s="29"/>
      <c r="FS107" s="29"/>
      <c r="FT107" s="29"/>
      <c r="FU107" s="29"/>
      <c r="FV107" s="29"/>
      <c r="FW107" s="29"/>
      <c r="FX107" s="29"/>
      <c r="FY107" s="29"/>
      <c r="FZ107" s="29"/>
      <c r="GA107" s="29"/>
      <c r="GB107" s="29"/>
      <c r="GC107" s="29"/>
      <c r="GD107" s="29"/>
      <c r="GE107" s="29"/>
      <c r="GF107" s="24"/>
      <c r="GG107" s="24"/>
      <c r="GH107" s="24"/>
      <c r="GI107" s="24"/>
      <c r="GJ107" s="24" t="str">
        <f t="shared" si="93"/>
        <v/>
      </c>
      <c r="GK107" s="26"/>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8"/>
      <c r="HL107" s="23"/>
      <c r="HM107" s="24"/>
      <c r="HN107" s="24"/>
      <c r="HO107" s="24"/>
      <c r="HP107" s="24"/>
      <c r="HQ107" s="24"/>
      <c r="HR107" s="24"/>
      <c r="HS107" s="24"/>
      <c r="HT107" s="24"/>
      <c r="HU107" s="24"/>
      <c r="HV107" s="24"/>
      <c r="HW107" s="24"/>
      <c r="HX107" s="24"/>
      <c r="HY107" s="24"/>
      <c r="HZ107" s="24"/>
      <c r="IA107" s="24"/>
      <c r="IB107" s="24"/>
      <c r="IC107" s="23"/>
      <c r="ID107" s="24"/>
      <c r="IE107" s="24"/>
      <c r="IF107" s="24"/>
      <c r="IG107" s="24" t="str">
        <f t="shared" si="84"/>
        <v/>
      </c>
    </row>
    <row r="108" spans="1:241">
      <c r="A108" t="str">
        <f>HYPERLINK("http://exon.niaid.nih.gov/transcriptome/S_calcitrans/S1/links/pep/XP_013105068.1-pep.txt","XP_013105068.1")</f>
        <v>XP_013105068.1</v>
      </c>
      <c r="B108" s="30" t="s">
        <v>232</v>
      </c>
      <c r="C108">
        <v>105</v>
      </c>
      <c r="D108" t="s">
        <v>1220</v>
      </c>
      <c r="E108">
        <v>0</v>
      </c>
      <c r="F108" t="s">
        <v>1221</v>
      </c>
      <c r="G108" t="str">
        <f>HYPERLINK("http://exon.niaid.nih.gov/transcriptome/S_calcitrans/S1/links/cds/XM_013249614_1-cds.txt","XM_013249614_1")</f>
        <v>XM_013249614_1</v>
      </c>
      <c r="H108">
        <v>318</v>
      </c>
      <c r="I108" t="s">
        <v>1222</v>
      </c>
      <c r="J108" s="30" t="s">
        <v>236</v>
      </c>
      <c r="K108" s="30" t="s">
        <v>91</v>
      </c>
      <c r="L108" s="31" t="s">
        <v>1165</v>
      </c>
      <c r="M108" s="30">
        <v>415738</v>
      </c>
      <c r="N108" s="30">
        <v>416121</v>
      </c>
      <c r="O108" s="30" t="s">
        <v>276</v>
      </c>
      <c r="P108" s="30">
        <v>2</v>
      </c>
      <c r="Q108" s="31" t="s">
        <v>1223</v>
      </c>
      <c r="R108" s="32" t="str">
        <f>HYPERLINK("http://exon.niaid.nih.gov/transcriptome/S_calcitrans/S1/links/Sigp/XP_013105068.1-SigP.txt","CYT")</f>
        <v>CYT</v>
      </c>
      <c r="S108" t="s">
        <v>242</v>
      </c>
      <c r="T108">
        <v>12.015000000000001</v>
      </c>
      <c r="U108">
        <v>5.68</v>
      </c>
      <c r="V108" t="s">
        <v>242</v>
      </c>
      <c r="W108" t="s">
        <v>242</v>
      </c>
      <c r="X108" t="s">
        <v>300</v>
      </c>
      <c r="Y108" s="32">
        <v>0</v>
      </c>
      <c r="Z108" t="s">
        <v>242</v>
      </c>
      <c r="AA108" t="s">
        <v>242</v>
      </c>
      <c r="AB108" t="s">
        <v>242</v>
      </c>
      <c r="AC108" t="s">
        <v>242</v>
      </c>
      <c r="AD108" t="s">
        <v>242</v>
      </c>
      <c r="AE108" s="32" t="str">
        <f>HYPERLINK("http://exon.niaid.nih.gov/transcriptome/S_calcitrans/S1/links/netoglyc/XP_013105068.1-netoglyc.txt","4")</f>
        <v>4</v>
      </c>
      <c r="AF108">
        <v>19</v>
      </c>
      <c r="AG108">
        <v>1.9</v>
      </c>
      <c r="AH108">
        <v>2.9</v>
      </c>
      <c r="AI108" t="s">
        <v>243</v>
      </c>
      <c r="AJ108" t="s">
        <v>242</v>
      </c>
      <c r="AK108">
        <v>352.20332751351373</v>
      </c>
      <c r="AL108" s="33">
        <v>8602</v>
      </c>
      <c r="AM108">
        <v>1</v>
      </c>
      <c r="AN108" s="30">
        <f t="shared" si="83"/>
        <v>1</v>
      </c>
      <c r="AO108" s="30" t="s">
        <v>244</v>
      </c>
      <c r="AP108">
        <v>402</v>
      </c>
      <c r="AQ108" s="34">
        <v>1.5614321595597228E-3</v>
      </c>
      <c r="AR108" s="35">
        <v>76.718327951716958</v>
      </c>
      <c r="AS108" t="s">
        <v>1224</v>
      </c>
      <c r="AT108" s="36" t="s">
        <v>1225</v>
      </c>
      <c r="AU108" t="s">
        <v>1226</v>
      </c>
      <c r="AV108" t="str">
        <f>HYPERLINK("http://exon.niaid.nih.gov/transcriptome/S_calcitrans/S1/links/DIPTERA/XP_013105068.1-DIPTERA.txt","DIPTERA")</f>
        <v>DIPTERA</v>
      </c>
      <c r="AW108" s="37">
        <v>2E-52</v>
      </c>
      <c r="AX108">
        <v>100</v>
      </c>
      <c r="AY108" s="33"/>
      <c r="BG108" s="31"/>
      <c r="BJ108" s="33"/>
      <c r="BK108" s="33"/>
      <c r="BL108" s="33" t="str">
        <f>HYPERLINK("http://exon.niaid.nih.gov/transcriptome/S_calcitrans/S1/links/NR-LIGHT/XP_013105068.1-NR-LIGHT.txt","chromatin accessibility complex protein 1")</f>
        <v>chromatin accessibility complex protein 1</v>
      </c>
      <c r="BM108" t="str">
        <f>HYPERLINK("http://www.ncbi.nlm.nih.gov/sutils/blink.cgi?pid=557765487","3E-043")</f>
        <v>3E-043</v>
      </c>
      <c r="BN108" t="str">
        <f>HYPERLINK("http://www.ncbi.nlm.nih.gov/protein/557765487","gi|557765487")</f>
        <v>gi|557765487</v>
      </c>
      <c r="BO108">
        <v>81</v>
      </c>
      <c r="BP108">
        <v>93</v>
      </c>
      <c r="BQ108">
        <v>100</v>
      </c>
      <c r="BR108" t="s">
        <v>251</v>
      </c>
      <c r="BS108" s="33" t="str">
        <f>HYPERLINK("http://exon.niaid.nih.gov/transcriptome/S_calcitrans/S1/links/SWISSP/XP_013105068.1-SWISSP.txt","Chromatin accessibility complex protein 1")</f>
        <v>Chromatin accessibility complex protein 1</v>
      </c>
      <c r="BT108" t="str">
        <f>HYPERLINK("http://www.uniprot.org/uniprot/Q9JKP8","5E-014")</f>
        <v>5E-014</v>
      </c>
      <c r="BU108" t="str">
        <f>HYPERLINK("http://www.uniprot.org/uniprot/Q9JKP8#expression","Q9JKP8")</f>
        <v>Q9JKP8</v>
      </c>
      <c r="BV108">
        <v>41</v>
      </c>
      <c r="BW108">
        <v>59</v>
      </c>
      <c r="BX108">
        <v>79</v>
      </c>
      <c r="BY108" t="s">
        <v>620</v>
      </c>
      <c r="BZ108" s="33" t="str">
        <f>HYPERLINK("http://exon.niaid.nih.gov/transcriptome/S_calcitrans/S1/links/REFSEQ-INVERTEBRATE/XP_013105068.1-REFSEQ-INVERTEBRATE.txt","chromatin accessibility complex protein 1")</f>
        <v>chromatin accessibility complex protein 1</v>
      </c>
      <c r="CA108" t="str">
        <f>HYPERLINK("http://www.ncbi.nlm.nih.gov/sutils/blink.cgi?pid=907673833","4E-052")</f>
        <v>4E-052</v>
      </c>
      <c r="CB108" t="str">
        <f>HYPERLINK("http://www.ncbi.nlm.nih.gov/protein/907673833","gi|907673833")</f>
        <v>gi|907673833</v>
      </c>
      <c r="CC108">
        <v>100</v>
      </c>
      <c r="CD108">
        <v>100</v>
      </c>
      <c r="CE108">
        <v>100</v>
      </c>
      <c r="CF108" t="s">
        <v>253</v>
      </c>
      <c r="CG108" s="33" t="str">
        <f>HYPERLINK("http://exon.niaid.nih.gov/transcriptome/S_calcitrans/S1/links/DIPTERA/XP_013105068.1-DIPTERA.txt","chromatin accessibility complex protein 1")</f>
        <v>chromatin accessibility complex protein 1</v>
      </c>
      <c r="CH108" t="str">
        <f>HYPERLINK("http://www.ncbi.nlm.nih.gov/sutils/blink.cgi?pid=907673833","2E-052")</f>
        <v>2E-052</v>
      </c>
      <c r="CI108" t="str">
        <f>HYPERLINK("http://www.ncbi.nlm.nih.gov/protein/907673833","gi|907673833")</f>
        <v>gi|907673833</v>
      </c>
      <c r="CJ108">
        <v>100</v>
      </c>
      <c r="CK108">
        <v>100</v>
      </c>
      <c r="CL108">
        <v>100</v>
      </c>
      <c r="CM108" t="s">
        <v>253</v>
      </c>
      <c r="CN108" s="33" t="s">
        <v>242</v>
      </c>
      <c r="CO108" t="s">
        <v>242</v>
      </c>
      <c r="CP108" t="s">
        <v>242</v>
      </c>
      <c r="CQ108" t="s">
        <v>242</v>
      </c>
      <c r="CR108" t="s">
        <v>242</v>
      </c>
      <c r="CS108" t="s">
        <v>242</v>
      </c>
      <c r="CT108" t="s">
        <v>242</v>
      </c>
      <c r="CU108" s="33" t="s">
        <v>1227</v>
      </c>
      <c r="CV108">
        <f>HYPERLINK("http://exon.niaid.nih.gov/transcriptome/S_calcitrans/S1/links/GO/XP_013105068.1-GO.txt",5E-23)</f>
        <v>5.0000000000000002E-23</v>
      </c>
      <c r="CW108" t="str">
        <f>HYPERLINK("http://amigo.geneontology.org/cgi-bin/amigo/term_details?term=GO:0046982","GO:0046982")</f>
        <v>GO:0046982</v>
      </c>
      <c r="CX108" t="s">
        <v>1228</v>
      </c>
      <c r="CY108" t="s">
        <v>1229</v>
      </c>
      <c r="CZ108" t="s">
        <v>242</v>
      </c>
      <c r="DA108" t="s">
        <v>242</v>
      </c>
      <c r="DC108" t="s">
        <v>1230</v>
      </c>
      <c r="DD108" s="37">
        <v>5.0000000000000002E-23</v>
      </c>
      <c r="DE108" s="33" t="str">
        <f>HYPERLINK("http://exon.niaid.nih.gov/transcriptome/S_calcitrans/S1/links/CDD/XP_013105068.1-CDD.txt","CBFD_NFYB_HMF")</f>
        <v>CBFD_NFYB_HMF</v>
      </c>
      <c r="DF108" t="str">
        <f>HYPERLINK("http://www.ncbi.nlm.nih.gov/Structure/cdd/cddsrv.cgi?uid=pfam00808&amp;version=v4.0","5E-009")</f>
        <v>5E-009</v>
      </c>
      <c r="DG108" t="s">
        <v>1231</v>
      </c>
      <c r="DH108" s="33" t="str">
        <f>HYPERLINK("http://exon.niaid.nih.gov/transcriptome/S_calcitrans/S1/links/KOG/XP_013105068.1-KOG.txt","CCAAT-binding factor, subunit C (HAP5)")</f>
        <v>CCAAT-binding factor, subunit C (HAP5)</v>
      </c>
      <c r="DI108" t="str">
        <f>HYPERLINK("http://www.ncbi.nlm.nih.gov/Structure/cdd/cddsrv.cgi?uid=KOG1657","1E-015")</f>
        <v>1E-015</v>
      </c>
      <c r="DJ108" t="s">
        <v>392</v>
      </c>
      <c r="DK108" t="str">
        <f>HYPERLINK("http://exon.niaid.nih.gov/transcriptome/S_calcitrans/S1/links/KOG/XP_013105068.1-KOG.txt","KOG1657")</f>
        <v>KOG1657</v>
      </c>
      <c r="DL108" s="33" t="str">
        <f>HYPERLINK("http://exon.niaid.nih.gov/transcriptome/S_calcitrans/S1/links/PFAM/XP_013105068.1-PFAM.txt","CBFD_NFYB_HMF")</f>
        <v>CBFD_NFYB_HMF</v>
      </c>
      <c r="DM108" t="str">
        <f>HYPERLINK("http://pfam.sanger.ac.uk/family?acc=PF00808","1E-009")</f>
        <v>1E-009</v>
      </c>
      <c r="DN108" s="33" t="str">
        <f>HYPERLINK("http://exon.niaid.nih.gov/transcriptome/S_calcitrans/S1/links/SMART/XP_013105068.1-SMART.txt","RhoGAP")</f>
        <v>RhoGAP</v>
      </c>
      <c r="DO108" t="str">
        <f>HYPERLINK("http://smart.embl-heidelberg.de/smart/do_annotation.pl?DOMAIN=RhoGAP&amp;BLAST=DUMMY","0.95")</f>
        <v>0.95</v>
      </c>
      <c r="DP108" s="33"/>
      <c r="EB108" s="33">
        <v>4112</v>
      </c>
      <c r="EC108">
        <v>1</v>
      </c>
      <c r="ED108" s="33">
        <v>4987</v>
      </c>
      <c r="EE108">
        <v>1</v>
      </c>
      <c r="EF108" s="33">
        <v>5498</v>
      </c>
      <c r="EG108">
        <v>1</v>
      </c>
      <c r="EH108" s="33">
        <v>5888</v>
      </c>
      <c r="EI108">
        <v>1</v>
      </c>
      <c r="EJ108" s="33">
        <v>6280</v>
      </c>
      <c r="EK108">
        <v>1</v>
      </c>
      <c r="EL108" s="33">
        <v>6587</v>
      </c>
      <c r="EM108">
        <v>1</v>
      </c>
      <c r="EN108" s="33">
        <v>6950</v>
      </c>
      <c r="EO108">
        <v>1</v>
      </c>
      <c r="EP108" s="33">
        <v>7227</v>
      </c>
      <c r="EQ108">
        <v>1</v>
      </c>
      <c r="ER108" s="33">
        <v>7459</v>
      </c>
      <c r="ES108">
        <v>1</v>
      </c>
      <c r="ET108" s="33">
        <v>7640</v>
      </c>
      <c r="EU108">
        <v>1</v>
      </c>
      <c r="EV108" s="33">
        <v>7817</v>
      </c>
      <c r="EW108">
        <v>1</v>
      </c>
      <c r="EX108" s="33">
        <v>7979</v>
      </c>
      <c r="EY108">
        <v>1</v>
      </c>
      <c r="EZ108" s="33">
        <v>8145</v>
      </c>
      <c r="FA108">
        <v>1</v>
      </c>
      <c r="FB108" s="33">
        <v>8325</v>
      </c>
      <c r="FC108">
        <v>1</v>
      </c>
      <c r="FD108" s="33">
        <v>8602</v>
      </c>
      <c r="FE108">
        <v>1</v>
      </c>
      <c r="FF108" t="s">
        <v>1232</v>
      </c>
      <c r="FG108">
        <v>10717</v>
      </c>
      <c r="FH108" s="38" t="str">
        <f>HYPERLINK("http://exon.niaid.nih.gov/transcriptome/S_calcitrans/S1/links/SG_male-stripped_temp-95-h10-1gap/10717-SG_male-stripped_temp-95-h10-1gap.txt","187")</f>
        <v>187</v>
      </c>
      <c r="FI108" s="39">
        <v>100</v>
      </c>
      <c r="FJ108" s="39">
        <v>41.468553459119498</v>
      </c>
      <c r="FK108" s="39">
        <v>18</v>
      </c>
      <c r="FL108" s="39">
        <v>71</v>
      </c>
      <c r="FM108" s="39">
        <v>70.545454545454504</v>
      </c>
      <c r="FN108" s="38" t="str">
        <f>HYPERLINK("http://exon.niaid.nih.gov/transcriptome/S_calcitrans/S1/links/SG_female-stripped_temp-95-h10-1gap/10717-SG_female-stripped_temp-95-h10-1gap.txt","215")</f>
        <v>215</v>
      </c>
      <c r="FO108" s="39">
        <v>100</v>
      </c>
      <c r="FP108" s="39">
        <v>48.698113207547202</v>
      </c>
      <c r="FQ108" s="39">
        <v>16</v>
      </c>
      <c r="FR108" s="39">
        <v>80</v>
      </c>
      <c r="FS108" s="39">
        <v>72.041860465116301</v>
      </c>
      <c r="FT108" s="38" t="str">
        <f>HYPERLINK("http://exon.niaid.nih.gov/transcriptome/S_calcitrans/S1/links/SRR694289-stripped_temp-95-h10-1gap/10717-SRR694289-stripped_temp-95-h10-1gap.txt","1")</f>
        <v>1</v>
      </c>
      <c r="FU108" s="39">
        <v>31.4465408805031</v>
      </c>
      <c r="FV108" s="39">
        <v>0.31446540880503099</v>
      </c>
      <c r="FW108" s="39">
        <v>0</v>
      </c>
      <c r="FX108" s="39">
        <v>1</v>
      </c>
      <c r="FY108" s="39">
        <v>100</v>
      </c>
      <c r="FZ108" s="38" t="str">
        <f>HYPERLINK("http://exon.niaid.nih.gov/transcriptome/S_calcitrans/S1/links/SRR694925-stripped_temp-95-h10-1gap/10717-SRR694925-stripped_temp-95-h10-1gap.txt","2")</f>
        <v>2</v>
      </c>
      <c r="GA108" s="39">
        <v>46.540880503144699</v>
      </c>
      <c r="GB108" s="39">
        <v>0.62893081761006298</v>
      </c>
      <c r="GC108" s="39">
        <v>0</v>
      </c>
      <c r="GD108" s="39">
        <v>2</v>
      </c>
      <c r="GE108" s="39">
        <v>100</v>
      </c>
      <c r="GF108">
        <f t="shared" ref="GF108" si="131">1*FH108</f>
        <v>187</v>
      </c>
      <c r="GG108">
        <f t="shared" ref="GG108" si="132">1*FN108</f>
        <v>215</v>
      </c>
      <c r="GH108">
        <f t="shared" ref="GH108" si="133">1*FT108</f>
        <v>1</v>
      </c>
      <c r="GI108">
        <f t="shared" ref="GI108" si="134">1*FZ108</f>
        <v>2</v>
      </c>
      <c r="GJ108">
        <f t="shared" si="93"/>
        <v>402</v>
      </c>
      <c r="GK108" s="34">
        <v>1.5614321595597228E-3</v>
      </c>
      <c r="GL108">
        <v>19.236075653768907</v>
      </c>
      <c r="GM108">
        <v>10.057373520327481</v>
      </c>
      <c r="GN108">
        <v>1.8076128462065369E-2</v>
      </c>
      <c r="GO108">
        <v>3.7268908099628587E-2</v>
      </c>
      <c r="GP108">
        <f t="shared" ref="GP108" si="135">MAX(GL108:GO108)</f>
        <v>19.236075653768907</v>
      </c>
      <c r="GQ108" t="s">
        <v>1226</v>
      </c>
      <c r="GR108">
        <v>15.002051038203749</v>
      </c>
      <c r="GS108">
        <v>8.2547521842107479</v>
      </c>
      <c r="GT108">
        <v>3.2585074688165391E-2</v>
      </c>
      <c r="GU108">
        <v>7.0560260244724129E-2</v>
      </c>
      <c r="GV108">
        <f t="shared" ref="GV108" si="136">MAX(GR108:GU108)</f>
        <v>15.002051038203749</v>
      </c>
      <c r="GW108">
        <v>76.718327951716958</v>
      </c>
      <c r="GX108">
        <v>402</v>
      </c>
      <c r="GY108">
        <v>3</v>
      </c>
      <c r="GZ108">
        <v>405</v>
      </c>
      <c r="HA108">
        <v>89.909875908267949</v>
      </c>
      <c r="HB108">
        <v>315.09012409173204</v>
      </c>
      <c r="HC108">
        <v>1083.3097540359963</v>
      </c>
      <c r="HD108">
        <v>309.11868734812077</v>
      </c>
      <c r="HE108">
        <v>1392.4284413841171</v>
      </c>
      <c r="HF108">
        <v>9.2842753140335596E-305</v>
      </c>
      <c r="HG108">
        <v>89.909875908267949</v>
      </c>
      <c r="HH108">
        <v>1</v>
      </c>
      <c r="HI108">
        <v>1</v>
      </c>
      <c r="HJ108">
        <v>2</v>
      </c>
      <c r="HK108" s="37">
        <v>3.7773203153316403E-304</v>
      </c>
      <c r="HL108" s="30" t="s">
        <v>262</v>
      </c>
      <c r="HM108">
        <v>352.20332751351373</v>
      </c>
      <c r="HN108">
        <v>2.1241677729114351E-3</v>
      </c>
      <c r="HO108">
        <v>187</v>
      </c>
      <c r="HP108">
        <v>215</v>
      </c>
      <c r="HQ108">
        <v>402</v>
      </c>
      <c r="HR108">
        <v>125.66356979346723</v>
      </c>
      <c r="HS108">
        <v>276.33643020653278</v>
      </c>
      <c r="HT108">
        <v>29.938331981688187</v>
      </c>
      <c r="HU108">
        <v>13.614410766141276</v>
      </c>
      <c r="HV108">
        <v>43.552742747829463</v>
      </c>
      <c r="HW108">
        <v>4.1268538597383854E-11</v>
      </c>
      <c r="HX108">
        <v>125.66356979346723</v>
      </c>
      <c r="HY108">
        <v>1</v>
      </c>
      <c r="HZ108">
        <v>1</v>
      </c>
      <c r="IA108">
        <v>2</v>
      </c>
      <c r="IB108" s="37">
        <v>8.8075916825095099E-10</v>
      </c>
      <c r="IC108" s="30" t="s">
        <v>262</v>
      </c>
      <c r="ID108">
        <v>1.9037793226298481</v>
      </c>
      <c r="IE108">
        <v>0.52005809463044572</v>
      </c>
      <c r="IF108">
        <v>1.9037793226298481</v>
      </c>
      <c r="IG108" t="str">
        <f t="shared" si="84"/>
        <v/>
      </c>
    </row>
    <row r="109" spans="1:241">
      <c r="A109" s="22" t="s">
        <v>1233</v>
      </c>
      <c r="B109" s="23"/>
      <c r="C109" s="24"/>
      <c r="D109" s="24"/>
      <c r="E109" s="24"/>
      <c r="F109" s="24"/>
      <c r="G109" s="24"/>
      <c r="H109" s="24"/>
      <c r="I109" s="24"/>
      <c r="J109" s="23"/>
      <c r="K109" s="23"/>
      <c r="L109" s="25"/>
      <c r="M109" s="23"/>
      <c r="N109" s="23"/>
      <c r="O109" s="23"/>
      <c r="P109" s="23"/>
      <c r="Q109" s="25"/>
      <c r="R109" s="23"/>
      <c r="S109" s="24"/>
      <c r="T109" s="24"/>
      <c r="U109" s="24"/>
      <c r="V109" s="24"/>
      <c r="W109" s="24"/>
      <c r="X109" s="24"/>
      <c r="Y109" s="23"/>
      <c r="Z109" s="24"/>
      <c r="AA109" s="24"/>
      <c r="AB109" s="24"/>
      <c r="AC109" s="24"/>
      <c r="AD109" s="24"/>
      <c r="AE109" s="23"/>
      <c r="AF109" s="24"/>
      <c r="AG109" s="24"/>
      <c r="AH109" s="24"/>
      <c r="AI109" s="24"/>
      <c r="AJ109" s="24"/>
      <c r="AK109" s="24"/>
      <c r="AL109" s="24"/>
      <c r="AM109" s="24"/>
      <c r="AN109" s="23" t="str">
        <f t="shared" si="83"/>
        <v/>
      </c>
      <c r="AO109" s="23" t="s">
        <v>244</v>
      </c>
      <c r="AP109" s="24" t="s">
        <v>244</v>
      </c>
      <c r="AQ109" s="26"/>
      <c r="AR109" s="27"/>
      <c r="AS109" s="24"/>
      <c r="AT109" s="24"/>
      <c r="AU109" s="24"/>
      <c r="AV109" s="24"/>
      <c r="AW109" s="28"/>
      <c r="AX109" s="24"/>
      <c r="AY109" s="24"/>
      <c r="AZ109" s="24"/>
      <c r="BA109" s="24"/>
      <c r="BB109" s="24"/>
      <c r="BC109" s="24"/>
      <c r="BD109" s="24"/>
      <c r="BE109" s="24"/>
      <c r="BF109" s="24"/>
      <c r="BG109" s="25"/>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8"/>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9"/>
      <c r="FI109" s="29"/>
      <c r="FJ109" s="29"/>
      <c r="FK109" s="29"/>
      <c r="FL109" s="29"/>
      <c r="FM109" s="29"/>
      <c r="FN109" s="29"/>
      <c r="FO109" s="29"/>
      <c r="FP109" s="29"/>
      <c r="FQ109" s="29"/>
      <c r="FR109" s="29"/>
      <c r="FS109" s="29"/>
      <c r="FT109" s="29"/>
      <c r="FU109" s="29"/>
      <c r="FV109" s="29"/>
      <c r="FW109" s="29"/>
      <c r="FX109" s="29"/>
      <c r="FY109" s="29"/>
      <c r="FZ109" s="29"/>
      <c r="GA109" s="29"/>
      <c r="GB109" s="29"/>
      <c r="GC109" s="29"/>
      <c r="GD109" s="29"/>
      <c r="GE109" s="29"/>
      <c r="GF109" s="24"/>
      <c r="GG109" s="24"/>
      <c r="GH109" s="24"/>
      <c r="GI109" s="24"/>
      <c r="GJ109" s="24" t="str">
        <f t="shared" si="93"/>
        <v/>
      </c>
      <c r="GK109" s="26"/>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8"/>
      <c r="HL109" s="23"/>
      <c r="HM109" s="24"/>
      <c r="HN109" s="24"/>
      <c r="HO109" s="24"/>
      <c r="HP109" s="24"/>
      <c r="HQ109" s="24"/>
      <c r="HR109" s="24"/>
      <c r="HS109" s="24"/>
      <c r="HT109" s="24"/>
      <c r="HU109" s="24"/>
      <c r="HV109" s="24"/>
      <c r="HW109" s="24"/>
      <c r="HX109" s="24"/>
      <c r="HY109" s="24"/>
      <c r="HZ109" s="24"/>
      <c r="IA109" s="24"/>
      <c r="IB109" s="28"/>
      <c r="IC109" s="23"/>
      <c r="ID109" s="24"/>
      <c r="IE109" s="24"/>
      <c r="IF109" s="24"/>
      <c r="IG109" s="24" t="str">
        <f t="shared" si="84"/>
        <v/>
      </c>
    </row>
    <row r="110" spans="1:241">
      <c r="A110" t="str">
        <f>HYPERLINK("http://exon.niaid.nih.gov/transcriptome/S_calcitrans/S1/links/pep/XP_013119346.1-pep.txt","XP_013119346.1")</f>
        <v>XP_013119346.1</v>
      </c>
      <c r="B110" s="30" t="s">
        <v>232</v>
      </c>
      <c r="C110">
        <v>109</v>
      </c>
      <c r="D110" t="s">
        <v>1234</v>
      </c>
      <c r="E110">
        <v>0</v>
      </c>
      <c r="F110" t="s">
        <v>1235</v>
      </c>
      <c r="G110" t="str">
        <f>HYPERLINK("http://exon.niaid.nih.gov/transcriptome/S_calcitrans/S1/links/cds/XM_013263892_1-cds.txt","XM_013263892_1")</f>
        <v>XM_013263892_1</v>
      </c>
      <c r="H110">
        <v>330</v>
      </c>
      <c r="I110" t="s">
        <v>1236</v>
      </c>
      <c r="J110" s="30" t="s">
        <v>236</v>
      </c>
      <c r="K110" s="30" t="s">
        <v>91</v>
      </c>
      <c r="L110" s="31" t="s">
        <v>1237</v>
      </c>
      <c r="M110" s="30">
        <v>536989</v>
      </c>
      <c r="N110" s="30">
        <v>543712</v>
      </c>
      <c r="O110" s="30" t="s">
        <v>238</v>
      </c>
      <c r="P110" s="30">
        <v>4</v>
      </c>
      <c r="Q110" s="31" t="s">
        <v>1238</v>
      </c>
      <c r="R110" s="32" t="str">
        <f>HYPERLINK("http://exon.niaid.nih.gov/transcriptome/S_calcitrans/S1/links/Sigp/XP_013119346.1-SigP.txt","CYT")</f>
        <v>CYT</v>
      </c>
      <c r="S110" t="s">
        <v>242</v>
      </c>
      <c r="T110">
        <v>12.372</v>
      </c>
      <c r="U110">
        <v>10.119999999999999</v>
      </c>
      <c r="V110" t="s">
        <v>242</v>
      </c>
      <c r="W110" t="s">
        <v>242</v>
      </c>
      <c r="X110" t="s">
        <v>720</v>
      </c>
      <c r="Y110" s="32">
        <v>0</v>
      </c>
      <c r="Z110" t="s">
        <v>242</v>
      </c>
      <c r="AA110" t="s">
        <v>242</v>
      </c>
      <c r="AB110" t="s">
        <v>242</v>
      </c>
      <c r="AC110" t="s">
        <v>242</v>
      </c>
      <c r="AD110" t="s">
        <v>242</v>
      </c>
      <c r="AE110" s="32" t="str">
        <f>HYPERLINK("http://exon.niaid.nih.gov/transcriptome/S_calcitrans/S1/links/netoglyc/XP_013119346.1-netoglyc.txt","0")</f>
        <v>0</v>
      </c>
      <c r="AF110">
        <v>13.8</v>
      </c>
      <c r="AG110">
        <v>3.7</v>
      </c>
      <c r="AH110">
        <v>5.5</v>
      </c>
      <c r="AI110" t="s">
        <v>243</v>
      </c>
      <c r="AJ110" t="s">
        <v>242</v>
      </c>
      <c r="AK110">
        <v>139.61720392371163</v>
      </c>
      <c r="AL110" s="33">
        <v>4797</v>
      </c>
      <c r="AM110">
        <v>1</v>
      </c>
      <c r="AN110" s="30">
        <f t="shared" si="83"/>
        <v>1</v>
      </c>
      <c r="AO110" s="30" t="s">
        <v>244</v>
      </c>
      <c r="AP110">
        <v>2231</v>
      </c>
      <c r="AQ110" s="34">
        <v>8.6655600695963713E-3</v>
      </c>
      <c r="AR110" s="35">
        <v>60.309695985439816</v>
      </c>
      <c r="AS110" t="s">
        <v>1239</v>
      </c>
      <c r="AT110" s="36" t="s">
        <v>1240</v>
      </c>
      <c r="AU110" t="s">
        <v>583</v>
      </c>
      <c r="AV110" t="str">
        <f>HYPERLINK("http://exon.niaid.nih.gov/transcriptome/S_calcitrans/S1/links/DIPTERA/XP_013119346.1-DIPTERA.txt","DIPTERA")</f>
        <v>DIPTERA</v>
      </c>
      <c r="AW110" s="37">
        <v>9.9999999999999999E-56</v>
      </c>
      <c r="AX110">
        <v>100</v>
      </c>
      <c r="AY110" s="33"/>
      <c r="BG110" s="31"/>
      <c r="BJ110" s="33"/>
      <c r="BK110" s="33"/>
      <c r="BL110" s="33" t="str">
        <f>HYPERLINK("http://exon.niaid.nih.gov/transcriptome/S_calcitrans/S1/links/NR-LIGHT/XP_013119346.1-NR-LIGHT.txt","signal recognition particle 14 kDa protein")</f>
        <v>signal recognition particle 14 kDa protein</v>
      </c>
      <c r="BM110" t="str">
        <f>HYPERLINK("http://www.ncbi.nlm.nih.gov/sutils/blink.cgi?pid=557760403","1E-051")</f>
        <v>1E-051</v>
      </c>
      <c r="BN110" t="str">
        <f>HYPERLINK("http://www.ncbi.nlm.nih.gov/protein/557760403","gi|557760403")</f>
        <v>gi|557760403</v>
      </c>
      <c r="BO110">
        <v>92</v>
      </c>
      <c r="BP110">
        <v>96</v>
      </c>
      <c r="BQ110">
        <v>100</v>
      </c>
      <c r="BR110" t="s">
        <v>251</v>
      </c>
      <c r="BS110" s="33" t="str">
        <f>HYPERLINK("http://exon.niaid.nih.gov/transcriptome/S_calcitrans/S1/links/SWISSP/XP_013119346.1-SWISSP.txt","Signal recognition particle 14 kDa protein")</f>
        <v>Signal recognition particle 14 kDa protein</v>
      </c>
      <c r="BT110" t="str">
        <f>HYPERLINK("http://www.uniprot.org/uniprot/P16255","2E-016")</f>
        <v>2E-016</v>
      </c>
      <c r="BU110" t="str">
        <f>HYPERLINK("http://www.uniprot.org/uniprot/P16255#expression","P16255")</f>
        <v>P16255</v>
      </c>
      <c r="BV110">
        <v>40</v>
      </c>
      <c r="BW110">
        <v>61</v>
      </c>
      <c r="BX110">
        <v>98</v>
      </c>
      <c r="BY110" t="s">
        <v>1241</v>
      </c>
      <c r="BZ110" s="33" t="str">
        <f>HYPERLINK("http://exon.niaid.nih.gov/transcriptome/S_calcitrans/S1/links/REFSEQ-INVERTEBRATE/XP_013119346.1-REFSEQ-INVERTEBRATE.txt","signal recognition particle 14 kDa protein")</f>
        <v>signal recognition particle 14 kDa protein</v>
      </c>
      <c r="CA110" t="str">
        <f>HYPERLINK("http://www.ncbi.nlm.nih.gov/sutils/blink.cgi?pid=907618557","2E-055")</f>
        <v>2E-055</v>
      </c>
      <c r="CB110" t="str">
        <f>HYPERLINK("http://www.ncbi.nlm.nih.gov/protein/907618557","gi|907618557")</f>
        <v>gi|907618557</v>
      </c>
      <c r="CC110">
        <v>100</v>
      </c>
      <c r="CD110">
        <v>100</v>
      </c>
      <c r="CE110">
        <v>100</v>
      </c>
      <c r="CF110" t="s">
        <v>253</v>
      </c>
      <c r="CG110" s="33" t="str">
        <f>HYPERLINK("http://exon.niaid.nih.gov/transcriptome/S_calcitrans/S1/links/DIPTERA/XP_013119346.1-DIPTERA.txt","signal recognition particle 14 kDa protein")</f>
        <v>signal recognition particle 14 kDa protein</v>
      </c>
      <c r="CH110" t="str">
        <f>HYPERLINK("http://www.ncbi.nlm.nih.gov/sutils/blink.cgi?pid=907618557","1E-055")</f>
        <v>1E-055</v>
      </c>
      <c r="CI110" t="str">
        <f>HYPERLINK("http://www.ncbi.nlm.nih.gov/protein/907618557","gi|907618557")</f>
        <v>gi|907618557</v>
      </c>
      <c r="CJ110">
        <v>100</v>
      </c>
      <c r="CK110">
        <v>100</v>
      </c>
      <c r="CL110">
        <v>100</v>
      </c>
      <c r="CM110" t="s">
        <v>253</v>
      </c>
      <c r="CN110" s="33" t="s">
        <v>242</v>
      </c>
      <c r="CO110" t="s">
        <v>242</v>
      </c>
      <c r="CP110" t="s">
        <v>242</v>
      </c>
      <c r="CQ110" t="s">
        <v>242</v>
      </c>
      <c r="CR110" t="s">
        <v>242</v>
      </c>
      <c r="CS110" t="s">
        <v>242</v>
      </c>
      <c r="CT110" t="s">
        <v>242</v>
      </c>
      <c r="CU110" s="33" t="s">
        <v>1242</v>
      </c>
      <c r="CV110">
        <f>HYPERLINK("http://exon.niaid.nih.gov/transcriptome/S_calcitrans/S1/links/GO/XP_013119346.1-GO.txt",4E-43)</f>
        <v>4.0000000000000003E-43</v>
      </c>
      <c r="CW110" t="str">
        <f>HYPERLINK("http://amigo.geneontology.org/cgi-bin/amigo/term_details?term=GO:0003729","GO:0003729")</f>
        <v>GO:0003729</v>
      </c>
      <c r="CX110" t="s">
        <v>1243</v>
      </c>
      <c r="CY110" t="s">
        <v>1244</v>
      </c>
      <c r="CZ110" t="s">
        <v>242</v>
      </c>
      <c r="DA110" t="s">
        <v>242</v>
      </c>
      <c r="DC110" t="s">
        <v>1245</v>
      </c>
      <c r="DD110" s="37">
        <v>4.0000000000000003E-43</v>
      </c>
      <c r="DE110" s="33" t="str">
        <f>HYPERLINK("http://exon.niaid.nih.gov/transcriptome/S_calcitrans/S1/links/CDD/XP_013119346.1-CDD.txt","SRP14")</f>
        <v>SRP14</v>
      </c>
      <c r="DF110" t="str">
        <f>HYPERLINK("http://www.ncbi.nlm.nih.gov/Structure/cdd/cddsrv.cgi?uid=pfam02290&amp;version=v4.0","2E-026")</f>
        <v>2E-026</v>
      </c>
      <c r="DG110" t="s">
        <v>1246</v>
      </c>
      <c r="DH110" s="33" t="str">
        <f>HYPERLINK("http://exon.niaid.nih.gov/transcriptome/S_calcitrans/S1/links/KOG/XP_013119346.1-KOG.txt","Signal recognition particle, subunit Srp14")</f>
        <v>Signal recognition particle, subunit Srp14</v>
      </c>
      <c r="DI110" t="str">
        <f>HYPERLINK("http://www.ncbi.nlm.nih.gov/Structure/cdd/cddsrv.cgi?uid=KOG1761","1E-023")</f>
        <v>1E-023</v>
      </c>
      <c r="DJ110" t="s">
        <v>310</v>
      </c>
      <c r="DK110" t="str">
        <f>HYPERLINK("http://exon.niaid.nih.gov/transcriptome/S_calcitrans/S1/links/KOG/XP_013119346.1-KOG.txt","KOG1761")</f>
        <v>KOG1761</v>
      </c>
      <c r="DL110" s="33" t="str">
        <f>HYPERLINK("http://exon.niaid.nih.gov/transcriptome/S_calcitrans/S1/links/PFAM/XP_013119346.1-PFAM.txt","SRP14")</f>
        <v>SRP14</v>
      </c>
      <c r="DM110" t="str">
        <f>HYPERLINK("http://pfam.sanger.ac.uk/family?acc=PF02290","5E-027")</f>
        <v>5E-027</v>
      </c>
      <c r="DN110" s="33" t="str">
        <f>HYPERLINK("http://exon.niaid.nih.gov/transcriptome/S_calcitrans/S1/links/SMART/XP_013119346.1-SMART.txt","AMA-1")</f>
        <v>AMA-1</v>
      </c>
      <c r="DO110" t="str">
        <f>HYPERLINK("http://smart.embl-heidelberg.de/smart/do_annotation.pl?DOMAIN=AMA-1&amp;BLAST=DUMMY","1.3")</f>
        <v>1.3</v>
      </c>
      <c r="DP110" s="33"/>
      <c r="EB110" s="33">
        <v>2973</v>
      </c>
      <c r="EC110">
        <v>1</v>
      </c>
      <c r="ED110" s="33">
        <v>3595</v>
      </c>
      <c r="EE110">
        <v>1</v>
      </c>
      <c r="EF110" s="33">
        <v>3910</v>
      </c>
      <c r="EG110">
        <v>1</v>
      </c>
      <c r="EH110" s="33">
        <v>4131</v>
      </c>
      <c r="EI110">
        <v>1</v>
      </c>
      <c r="EJ110" s="33">
        <v>4364</v>
      </c>
      <c r="EK110">
        <v>1</v>
      </c>
      <c r="EL110" s="33">
        <v>4524</v>
      </c>
      <c r="EM110">
        <v>1</v>
      </c>
      <c r="EN110" s="33">
        <v>4705</v>
      </c>
      <c r="EO110">
        <v>1</v>
      </c>
      <c r="EP110" s="33">
        <v>4831</v>
      </c>
      <c r="EQ110">
        <v>1</v>
      </c>
      <c r="ER110" s="33">
        <v>4925</v>
      </c>
      <c r="ES110">
        <v>1</v>
      </c>
      <c r="ET110" s="33">
        <v>4969</v>
      </c>
      <c r="EU110">
        <v>1</v>
      </c>
      <c r="EV110" s="33">
        <v>4987</v>
      </c>
      <c r="EW110">
        <v>1</v>
      </c>
      <c r="EX110" s="33">
        <v>4994</v>
      </c>
      <c r="EY110">
        <v>1</v>
      </c>
      <c r="EZ110" s="33">
        <v>4946</v>
      </c>
      <c r="FA110">
        <v>1</v>
      </c>
      <c r="FB110" s="33">
        <v>4883</v>
      </c>
      <c r="FC110">
        <v>1</v>
      </c>
      <c r="FD110" s="33">
        <v>4797</v>
      </c>
      <c r="FE110">
        <v>1</v>
      </c>
      <c r="FF110" t="s">
        <v>1247</v>
      </c>
      <c r="FG110">
        <v>3374</v>
      </c>
      <c r="FH110" s="38" t="str">
        <f>HYPERLINK("http://exon.niaid.nih.gov/transcriptome/S_calcitrans/S1/links/SG_male-stripped_temp-95-h10-1gap/3374-SG_male-stripped_temp-95-h10-1gap.txt","917")</f>
        <v>917</v>
      </c>
      <c r="FI110" s="39">
        <v>100</v>
      </c>
      <c r="FJ110" s="39">
        <v>195.815151515152</v>
      </c>
      <c r="FK110" s="39">
        <v>4</v>
      </c>
      <c r="FL110" s="39">
        <v>307</v>
      </c>
      <c r="FM110" s="39">
        <v>70.472191930207202</v>
      </c>
      <c r="FN110" s="38" t="str">
        <f>HYPERLINK("http://exon.niaid.nih.gov/transcriptome/S_calcitrans/S1/links/SG_female-stripped_temp-95-h10-1gap/3374-SG_female-stripped_temp-95-h10-1gap.txt","1314")</f>
        <v>1314</v>
      </c>
      <c r="FO110" s="39">
        <v>100</v>
      </c>
      <c r="FP110" s="39">
        <v>279.26969696969701</v>
      </c>
      <c r="FQ110" s="39">
        <v>5</v>
      </c>
      <c r="FR110" s="39">
        <v>441</v>
      </c>
      <c r="FS110" s="39">
        <v>70.144596651445994</v>
      </c>
      <c r="FT110" s="38" t="str">
        <f>HYPERLINK("http://exon.niaid.nih.gov/transcriptome/S_calcitrans/S1/links/SRR694289-stripped_temp-95-h10-1gap/3374-SRR694289-stripped_temp-95-h10-1gap.txt","34")</f>
        <v>34</v>
      </c>
      <c r="FU110" s="39">
        <v>100</v>
      </c>
      <c r="FV110" s="39">
        <v>9.3696969696969692</v>
      </c>
      <c r="FW110" s="39">
        <v>1</v>
      </c>
      <c r="FX110" s="39">
        <v>16</v>
      </c>
      <c r="FY110" s="39">
        <v>90.941176470588204</v>
      </c>
      <c r="FZ110" s="38" t="str">
        <f>HYPERLINK("http://exon.niaid.nih.gov/transcriptome/S_calcitrans/S1/links/SRR694925-stripped_temp-95-h10-1gap/3374-SRR694925-stripped_temp-95-h10-1gap.txt","21")</f>
        <v>21</v>
      </c>
      <c r="GA110" s="39">
        <v>94.545454545454504</v>
      </c>
      <c r="GB110" s="39">
        <v>5.9272727272727304</v>
      </c>
      <c r="GC110" s="39">
        <v>0</v>
      </c>
      <c r="GD110" s="39">
        <v>12</v>
      </c>
      <c r="GE110" s="39">
        <v>93.142857142857096</v>
      </c>
      <c r="GF110">
        <f>1*FH110</f>
        <v>917</v>
      </c>
      <c r="GG110">
        <f>1*FN110</f>
        <v>1314</v>
      </c>
      <c r="GH110">
        <f>1*FT110</f>
        <v>34</v>
      </c>
      <c r="GI110">
        <f>1*FZ110</f>
        <v>21</v>
      </c>
      <c r="GJ110">
        <f>IF(FZ110&lt;&gt;"",SUM(GF110:GG110),"")</f>
        <v>2231</v>
      </c>
      <c r="GK110" s="34">
        <v>8.6655600695963713E-3</v>
      </c>
      <c r="GL110">
        <v>90.898640043638565</v>
      </c>
      <c r="GM110">
        <v>59.231763780350647</v>
      </c>
      <c r="GN110">
        <v>0.59223969979348712</v>
      </c>
      <c r="GO110">
        <v>0.37709358831715106</v>
      </c>
      <c r="GP110">
        <f>MAX(GL110:GO110)</f>
        <v>90.898640043638565</v>
      </c>
      <c r="GQ110" t="s">
        <v>583</v>
      </c>
      <c r="GR110">
        <v>70.891072679410826</v>
      </c>
      <c r="GS110">
        <v>48.615429311865107</v>
      </c>
      <c r="GT110">
        <v>1.0676055379649823</v>
      </c>
      <c r="GU110">
        <v>0.71394154229434514</v>
      </c>
      <c r="GV110">
        <f>MAX(GR110:GU110)</f>
        <v>70.891072679410826</v>
      </c>
      <c r="GW110">
        <v>60.309695985439816</v>
      </c>
      <c r="GX110">
        <v>2231</v>
      </c>
      <c r="GY110">
        <v>55</v>
      </c>
      <c r="GZ110">
        <v>2286</v>
      </c>
      <c r="HA110">
        <v>507.49129957111245</v>
      </c>
      <c r="HB110">
        <v>1778.5087004288876</v>
      </c>
      <c r="HC110">
        <v>5853.2673229363072</v>
      </c>
      <c r="HD110">
        <v>1670.2095636292029</v>
      </c>
      <c r="HE110">
        <v>7523.4768865655096</v>
      </c>
      <c r="HF110">
        <v>0</v>
      </c>
      <c r="HG110">
        <v>507.49129957111245</v>
      </c>
      <c r="HH110">
        <v>1</v>
      </c>
      <c r="HI110">
        <v>1</v>
      </c>
      <c r="HJ110">
        <v>2</v>
      </c>
      <c r="HK110">
        <v>0</v>
      </c>
      <c r="HL110" s="30" t="s">
        <v>262</v>
      </c>
      <c r="HM110">
        <v>139.61720392371163</v>
      </c>
      <c r="HN110">
        <v>7.0313886927392414E-3</v>
      </c>
      <c r="HO110">
        <v>917</v>
      </c>
      <c r="HP110">
        <v>1314</v>
      </c>
      <c r="HQ110">
        <v>2231</v>
      </c>
      <c r="HR110">
        <v>697.40155275926713</v>
      </c>
      <c r="HS110">
        <v>1533.5984472407329</v>
      </c>
      <c r="HT110">
        <v>69.147362577190847</v>
      </c>
      <c r="HU110">
        <v>31.444657574676832</v>
      </c>
      <c r="HV110">
        <v>100.59202015186767</v>
      </c>
      <c r="HW110">
        <v>1.1302217331894553E-23</v>
      </c>
      <c r="HX110">
        <v>697.40155275926713</v>
      </c>
      <c r="HY110">
        <v>1</v>
      </c>
      <c r="HZ110">
        <v>1</v>
      </c>
      <c r="IA110">
        <v>2</v>
      </c>
      <c r="IB110" s="37">
        <v>4.6301895985401498E-22</v>
      </c>
      <c r="IC110" s="30" t="s">
        <v>262</v>
      </c>
      <c r="ID110">
        <v>1.5334595798862947</v>
      </c>
      <c r="IE110">
        <v>0.65091448159673848</v>
      </c>
      <c r="IF110">
        <v>1.5334595798862947</v>
      </c>
      <c r="IG110" t="str">
        <f t="shared" si="84"/>
        <v/>
      </c>
    </row>
    <row r="111" spans="1:241">
      <c r="A111" t="str">
        <f>HYPERLINK("http://exon.niaid.nih.gov/transcriptome/S_calcitrans/S1/links/pep/XP_013104135.1-pep.txt","XP_013104135.1")</f>
        <v>XP_013104135.1</v>
      </c>
      <c r="B111" s="30" t="s">
        <v>232</v>
      </c>
      <c r="C111">
        <v>207</v>
      </c>
      <c r="D111" t="s">
        <v>1248</v>
      </c>
      <c r="E111">
        <v>0</v>
      </c>
      <c r="F111" t="s">
        <v>1249</v>
      </c>
      <c r="G111" t="str">
        <f>HYPERLINK("http://exon.niaid.nih.gov/transcriptome/S_calcitrans/S1/links/cds/XM_013248681_1-cds.txt","XM_013248681_1")</f>
        <v>XM_013248681_1</v>
      </c>
      <c r="H111">
        <v>624</v>
      </c>
      <c r="I111" t="s">
        <v>1250</v>
      </c>
      <c r="J111" s="30" t="s">
        <v>236</v>
      </c>
      <c r="K111" s="30" t="s">
        <v>91</v>
      </c>
      <c r="L111" s="31" t="s">
        <v>1251</v>
      </c>
      <c r="M111" s="30">
        <v>542442</v>
      </c>
      <c r="N111" s="30">
        <v>543141</v>
      </c>
      <c r="O111" s="30" t="s">
        <v>238</v>
      </c>
      <c r="P111" s="30">
        <v>2</v>
      </c>
      <c r="Q111" s="31" t="s">
        <v>1252</v>
      </c>
      <c r="R111" s="32" t="str">
        <f>HYPERLINK("http://exon.niaid.nih.gov/transcriptome/S_calcitrans/S1/links/Sigp/XP_013104135.1-SigP.txt","ANC")</f>
        <v>ANC</v>
      </c>
      <c r="S111" t="s">
        <v>242</v>
      </c>
      <c r="T111">
        <v>23.055</v>
      </c>
      <c r="U111">
        <v>9.5500000000000007</v>
      </c>
      <c r="V111" t="s">
        <v>242</v>
      </c>
      <c r="W111" t="s">
        <v>242</v>
      </c>
      <c r="X111" t="s">
        <v>1253</v>
      </c>
      <c r="Y111" s="32" t="str">
        <f>HYPERLINK("http://exon.niaid.nih.gov/transcriptome/S_calcitrans/S1/links/tmhmm/XP_013104135.1-tmhmm.txt","4")</f>
        <v>4</v>
      </c>
      <c r="Z111">
        <v>42.5</v>
      </c>
      <c r="AA111">
        <v>7.2</v>
      </c>
      <c r="AB111">
        <v>50.2</v>
      </c>
      <c r="AC111" t="s">
        <v>242</v>
      </c>
      <c r="AD111" t="s">
        <v>242</v>
      </c>
      <c r="AE111" s="32" t="str">
        <f>HYPERLINK("http://exon.niaid.nih.gov/transcriptome/S_calcitrans/S1/links/netoglyc/XP_013104135.1-netoglyc.txt","3")</f>
        <v>3</v>
      </c>
      <c r="AF111">
        <v>17.899999999999999</v>
      </c>
      <c r="AG111">
        <v>5.3</v>
      </c>
      <c r="AH111">
        <v>3.4</v>
      </c>
      <c r="AI111" t="s">
        <v>243</v>
      </c>
      <c r="AJ111" t="s">
        <v>1254</v>
      </c>
      <c r="AK111">
        <v>123.9720667740353</v>
      </c>
      <c r="AL111" s="33">
        <v>8143</v>
      </c>
      <c r="AM111">
        <v>1</v>
      </c>
      <c r="AN111" s="30">
        <f t="shared" si="83"/>
        <v>1</v>
      </c>
      <c r="AO111" s="30" t="s">
        <v>244</v>
      </c>
      <c r="AP111">
        <v>849</v>
      </c>
      <c r="AQ111" s="34">
        <v>3.2976515011597131E-3</v>
      </c>
      <c r="AR111" s="35">
        <v>56.259734209365909</v>
      </c>
      <c r="AS111" t="s">
        <v>1255</v>
      </c>
      <c r="AT111" s="36" t="s">
        <v>1256</v>
      </c>
      <c r="AU111" t="s">
        <v>1257</v>
      </c>
      <c r="AV111" t="str">
        <f>HYPERLINK("http://exon.niaid.nih.gov/transcriptome/S_calcitrans/S1/links/NR-LIGHT/XP_013104135.1-NR-LIGHT.txt","NR-LIGHT")</f>
        <v>NR-LIGHT</v>
      </c>
      <c r="AW111" s="37">
        <v>1.9999999999999999E-76</v>
      </c>
      <c r="AX111">
        <v>101.9</v>
      </c>
      <c r="AY111" s="33"/>
      <c r="BG111" s="31"/>
      <c r="BJ111" s="33"/>
      <c r="BK111" s="33"/>
      <c r="BL111" s="33" t="str">
        <f>HYPERLINK("http://exon.niaid.nih.gov/transcriptome/S_calcitrans/S1/links/NR-LIGHT/XP_013104135.1-NR-LIGHT.txt","protein transport protein SFT2")</f>
        <v>protein transport protein SFT2</v>
      </c>
      <c r="BM111" t="str">
        <f>HYPERLINK("http://www.ncbi.nlm.nih.gov/sutils/blink.cgi?pid=557766906","1E-105")</f>
        <v>1E-105</v>
      </c>
      <c r="BN111" t="str">
        <f>HYPERLINK("http://www.ncbi.nlm.nih.gov/protein/557766906","gi|557766906")</f>
        <v>gi|557766906</v>
      </c>
      <c r="BO111">
        <v>95</v>
      </c>
      <c r="BP111">
        <v>97</v>
      </c>
      <c r="BQ111">
        <v>101</v>
      </c>
      <c r="BR111" t="s">
        <v>251</v>
      </c>
      <c r="BS111" s="33" t="str">
        <f>HYPERLINK("http://exon.niaid.nih.gov/transcriptome/S_calcitrans/S1/links/SWISSP/XP_013104135.1-SWISSP.txt","Protein transport protein SFT2")</f>
        <v>Protein transport protein SFT2</v>
      </c>
      <c r="BT111" t="str">
        <f>HYPERLINK("http://www.uniprot.org/uniprot/P38166","6E-020")</f>
        <v>6E-020</v>
      </c>
      <c r="BU111" t="str">
        <f>HYPERLINK("http://www.uniprot.org/uniprot/P38166#expression","P38166")</f>
        <v>P38166</v>
      </c>
      <c r="BV111">
        <v>36</v>
      </c>
      <c r="BW111">
        <v>56</v>
      </c>
      <c r="BX111">
        <v>68</v>
      </c>
      <c r="BY111" t="s">
        <v>887</v>
      </c>
      <c r="BZ111" s="33" t="str">
        <f>HYPERLINK("http://exon.niaid.nih.gov/transcriptome/S_calcitrans/S1/links/REFSEQ-INVERTEBRATE/XP_013104135.1-REFSEQ-INVERTEBRATE.txt","protein transport protein SFT2")</f>
        <v>protein transport protein SFT2</v>
      </c>
      <c r="CA111" t="str">
        <f>HYPERLINK("http://www.ncbi.nlm.nih.gov/sutils/blink.cgi?pid=907669255","1E-113")</f>
        <v>1E-113</v>
      </c>
      <c r="CB111" t="str">
        <f>HYPERLINK("http://www.ncbi.nlm.nih.gov/protein/907669255","gi|907669255")</f>
        <v>gi|907669255</v>
      </c>
      <c r="CC111">
        <v>100</v>
      </c>
      <c r="CD111">
        <v>100</v>
      </c>
      <c r="CE111">
        <v>100</v>
      </c>
      <c r="CF111" t="s">
        <v>253</v>
      </c>
      <c r="CG111" s="33" t="str">
        <f>HYPERLINK("http://exon.niaid.nih.gov/transcriptome/S_calcitrans/S1/links/DIPTERA/XP_013104135.1-DIPTERA.txt","protein transport protein SFT2")</f>
        <v>protein transport protein SFT2</v>
      </c>
      <c r="CH111" t="str">
        <f>HYPERLINK("http://www.ncbi.nlm.nih.gov/sutils/blink.cgi?pid=907669255","1E-113")</f>
        <v>1E-113</v>
      </c>
      <c r="CI111" t="str">
        <f>HYPERLINK("http://www.ncbi.nlm.nih.gov/protein/907669255","gi|907669255")</f>
        <v>gi|907669255</v>
      </c>
      <c r="CJ111">
        <v>100</v>
      </c>
      <c r="CK111">
        <v>100</v>
      </c>
      <c r="CL111">
        <v>100</v>
      </c>
      <c r="CM111" t="s">
        <v>253</v>
      </c>
      <c r="CN111" s="33" t="s">
        <v>242</v>
      </c>
      <c r="CO111" t="s">
        <v>242</v>
      </c>
      <c r="CP111" t="s">
        <v>242</v>
      </c>
      <c r="CQ111" t="s">
        <v>242</v>
      </c>
      <c r="CR111" t="s">
        <v>242</v>
      </c>
      <c r="CS111" t="s">
        <v>242</v>
      </c>
      <c r="CT111" t="s">
        <v>242</v>
      </c>
      <c r="CU111" s="33" t="s">
        <v>1258</v>
      </c>
      <c r="CV111">
        <f>HYPERLINK("http://exon.niaid.nih.gov/transcriptome/S_calcitrans/S1/links/GO/XP_013104135.1-GO.txt",6E-74)</f>
        <v>6.0000000000000001E-74</v>
      </c>
      <c r="CW111" t="str">
        <f>HYPERLINK("http://amigo.geneontology.org/cgi-bin/amigo/term_details?term=GO:0042802","GO:0042802")</f>
        <v>GO:0042802</v>
      </c>
      <c r="CX111" t="s">
        <v>1259</v>
      </c>
      <c r="CY111" t="s">
        <v>1260</v>
      </c>
      <c r="CZ111" t="s">
        <v>1261</v>
      </c>
      <c r="DA111" t="s">
        <v>242</v>
      </c>
      <c r="DC111" t="s">
        <v>1262</v>
      </c>
      <c r="DD111" s="37">
        <v>6.0000000000000001E-74</v>
      </c>
      <c r="DE111" s="33" t="str">
        <f>HYPERLINK("http://exon.niaid.nih.gov/transcriptome/S_calcitrans/S1/links/CDD/XP_013104135.1-CDD.txt","SFT2")</f>
        <v>SFT2</v>
      </c>
      <c r="DF111" t="str">
        <f>HYPERLINK("http://www.ncbi.nlm.nih.gov/Structure/cdd/cddsrv.cgi?uid=COG5102&amp;version=v4.0","6E-023")</f>
        <v>6E-023</v>
      </c>
      <c r="DG111" t="s">
        <v>1263</v>
      </c>
      <c r="DH111" s="33" t="str">
        <f>HYPERLINK("http://exon.niaid.nih.gov/transcriptome/S_calcitrans/S1/links/KOG/XP_013104135.1-KOG.txt","Membrane protein involved in ER to Golgi transport")</f>
        <v>Membrane protein involved in ER to Golgi transport</v>
      </c>
      <c r="DI111" t="str">
        <f>HYPERLINK("http://www.ncbi.nlm.nih.gov/Structure/cdd/cddsrv.cgi?uid=KOG2887","1E-030")</f>
        <v>1E-030</v>
      </c>
      <c r="DJ111" t="s">
        <v>310</v>
      </c>
      <c r="DK111" t="str">
        <f>HYPERLINK("http://exon.niaid.nih.gov/transcriptome/S_calcitrans/S1/links/KOG/XP_013104135.1-KOG.txt","KOG2887")</f>
        <v>KOG2887</v>
      </c>
      <c r="DL111" s="33" t="str">
        <f>HYPERLINK("http://exon.niaid.nih.gov/transcriptome/S_calcitrans/S1/links/PFAM/XP_013104135.1-PFAM.txt","Got1")</f>
        <v>Got1</v>
      </c>
      <c r="DM111" t="str">
        <f>HYPERLINK("http://pfam.sanger.ac.uk/family?acc=PF04178","2E-022")</f>
        <v>2E-022</v>
      </c>
      <c r="DN111" s="33" t="str">
        <f>HYPERLINK("http://exon.niaid.nih.gov/transcriptome/S_calcitrans/S1/links/SMART/XP_013104135.1-SMART.txt","PSN")</f>
        <v>PSN</v>
      </c>
      <c r="DO111" t="str">
        <f>HYPERLINK("http://smart.embl-heidelberg.de/smart/do_annotation.pl?DOMAIN=PSN&amp;BLAST=DUMMY","0.003")</f>
        <v>0.003</v>
      </c>
      <c r="DP111" s="33"/>
      <c r="EB111" s="33">
        <v>3972</v>
      </c>
      <c r="EC111">
        <v>1</v>
      </c>
      <c r="ED111" s="33">
        <v>4817</v>
      </c>
      <c r="EE111">
        <v>1</v>
      </c>
      <c r="EF111" s="33">
        <v>5304</v>
      </c>
      <c r="EG111">
        <v>1</v>
      </c>
      <c r="EH111" s="33">
        <v>5675</v>
      </c>
      <c r="EI111">
        <v>1</v>
      </c>
      <c r="EJ111" s="33">
        <v>6054</v>
      </c>
      <c r="EK111">
        <v>1</v>
      </c>
      <c r="EL111" s="33">
        <v>6345</v>
      </c>
      <c r="EM111">
        <v>1</v>
      </c>
      <c r="EN111" s="33">
        <v>6692</v>
      </c>
      <c r="EO111">
        <v>1</v>
      </c>
      <c r="EP111" s="33">
        <v>6954</v>
      </c>
      <c r="EQ111">
        <v>1</v>
      </c>
      <c r="ER111" s="33">
        <v>7162</v>
      </c>
      <c r="ES111">
        <v>1</v>
      </c>
      <c r="ET111" s="33">
        <v>7330</v>
      </c>
      <c r="EU111">
        <v>1</v>
      </c>
      <c r="EV111" s="33">
        <v>7484</v>
      </c>
      <c r="EW111">
        <v>1</v>
      </c>
      <c r="EX111" s="33">
        <v>7625</v>
      </c>
      <c r="EY111">
        <v>1</v>
      </c>
      <c r="EZ111" s="33">
        <v>7767</v>
      </c>
      <c r="FA111">
        <v>1</v>
      </c>
      <c r="FB111" s="33">
        <v>7922</v>
      </c>
      <c r="FC111">
        <v>1</v>
      </c>
      <c r="FD111" s="33">
        <v>8143</v>
      </c>
      <c r="FE111">
        <v>1</v>
      </c>
      <c r="FF111" t="s">
        <v>1264</v>
      </c>
      <c r="FG111">
        <v>9882</v>
      </c>
      <c r="FH111" s="38" t="str">
        <f>HYPERLINK("http://exon.niaid.nih.gov/transcriptome/S_calcitrans/S1/links/SG_male-stripped_temp-95-h10-1gap/9882-SG_male-stripped_temp-95-h10-1gap.txt","325")</f>
        <v>325</v>
      </c>
      <c r="FI111" s="39">
        <v>100</v>
      </c>
      <c r="FJ111" s="39">
        <v>36.415064102564102</v>
      </c>
      <c r="FK111" s="39">
        <v>14</v>
      </c>
      <c r="FL111" s="39">
        <v>61</v>
      </c>
      <c r="FM111" s="39">
        <v>69.916923076923098</v>
      </c>
      <c r="FN111" s="38" t="str">
        <f>HYPERLINK("http://exon.niaid.nih.gov/transcriptome/S_calcitrans/S1/links/SG_female-stripped_temp-95-h10-1gap/9882-SG_female-stripped_temp-95-h10-1gap.txt","524")</f>
        <v>524</v>
      </c>
      <c r="FO111" s="39">
        <v>100</v>
      </c>
      <c r="FP111" s="39">
        <v>58.073717948717899</v>
      </c>
      <c r="FQ111" s="39">
        <v>29</v>
      </c>
      <c r="FR111" s="39">
        <v>91</v>
      </c>
      <c r="FS111" s="39">
        <v>69.160305343511496</v>
      </c>
      <c r="FT111" s="38" t="str">
        <f>HYPERLINK("http://exon.niaid.nih.gov/transcriptome/S_calcitrans/S1/links/SRR694289-stripped_temp-95-h10-1gap/9882-SRR694289-stripped_temp-95-h10-1gap.txt","11")</f>
        <v>11</v>
      </c>
      <c r="FU111" s="39">
        <v>73.717948717948701</v>
      </c>
      <c r="FV111" s="39">
        <v>1.67307692307692</v>
      </c>
      <c r="FW111" s="39">
        <v>0</v>
      </c>
      <c r="FX111" s="39">
        <v>5</v>
      </c>
      <c r="FY111" s="39">
        <v>94.909090909090907</v>
      </c>
      <c r="FZ111" s="38" t="str">
        <f>HYPERLINK("http://exon.niaid.nih.gov/transcriptome/S_calcitrans/S1/links/SRR694925-stripped_temp-95-h10-1gap/9882-SRR694925-stripped_temp-95-h10-1gap.txt","12")</f>
        <v>12</v>
      </c>
      <c r="GA111" s="39">
        <v>84.935897435897402</v>
      </c>
      <c r="GB111" s="39">
        <v>1.8878205128205101</v>
      </c>
      <c r="GC111" s="39">
        <v>0</v>
      </c>
      <c r="GD111" s="39">
        <v>5</v>
      </c>
      <c r="GE111" s="39">
        <v>98.1666666666667</v>
      </c>
      <c r="GF111">
        <f>1*FH111</f>
        <v>325</v>
      </c>
      <c r="GG111">
        <f>1*FN111</f>
        <v>524</v>
      </c>
      <c r="GH111">
        <f>1*FT111</f>
        <v>11</v>
      </c>
      <c r="GI111">
        <f>1*FZ111</f>
        <v>12</v>
      </c>
      <c r="GJ111">
        <f>IF(FZ111&lt;&gt;"",SUM(GF111:GG111),"")</f>
        <v>849</v>
      </c>
      <c r="GK111" s="34">
        <v>3.2976515011597131E-3</v>
      </c>
      <c r="GL111">
        <v>17.037299626499866</v>
      </c>
      <c r="GM111">
        <v>12.49165373016703</v>
      </c>
      <c r="GN111">
        <v>0.10133060474407797</v>
      </c>
      <c r="GO111">
        <v>0.11395685361232587</v>
      </c>
      <c r="GP111">
        <f>MAX(GL111:GO111)</f>
        <v>17.037299626499866</v>
      </c>
      <c r="GQ111" t="s">
        <v>1257</v>
      </c>
      <c r="GR111">
        <v>13.287244402152382</v>
      </c>
      <c r="GS111">
        <v>10.252727086757643</v>
      </c>
      <c r="GT111">
        <v>0.18266440906923481</v>
      </c>
      <c r="GU111">
        <v>0.21575156497906031</v>
      </c>
      <c r="GV111">
        <f>MAX(GR111:GU111)</f>
        <v>13.287244402152382</v>
      </c>
      <c r="GW111">
        <v>56.259734209365909</v>
      </c>
      <c r="GX111">
        <v>849</v>
      </c>
      <c r="GY111">
        <v>23</v>
      </c>
      <c r="GZ111">
        <v>872</v>
      </c>
      <c r="HA111">
        <v>193.58373281977691</v>
      </c>
      <c r="HB111">
        <v>678.41626718022303</v>
      </c>
      <c r="HC111">
        <v>2219.0422564295741</v>
      </c>
      <c r="HD111">
        <v>633.19602442601956</v>
      </c>
      <c r="HE111">
        <v>2852.2382808555935</v>
      </c>
      <c r="HF111">
        <v>0</v>
      </c>
      <c r="HG111">
        <v>193.58373281977691</v>
      </c>
      <c r="HH111">
        <v>1</v>
      </c>
      <c r="HI111">
        <v>1</v>
      </c>
      <c r="HJ111">
        <v>2</v>
      </c>
      <c r="HK111">
        <v>0</v>
      </c>
      <c r="HL111" s="30" t="s">
        <v>262</v>
      </c>
      <c r="HM111">
        <v>123.9720667740353</v>
      </c>
      <c r="HN111">
        <v>7.7211416027906246E-3</v>
      </c>
      <c r="HO111">
        <v>325</v>
      </c>
      <c r="HP111">
        <v>524</v>
      </c>
      <c r="HQ111">
        <v>849</v>
      </c>
      <c r="HR111">
        <v>265.39395710112854</v>
      </c>
      <c r="HS111">
        <v>583.60604289887146</v>
      </c>
      <c r="HT111">
        <v>13.387193848985333</v>
      </c>
      <c r="HU111">
        <v>6.0878059665289586</v>
      </c>
      <c r="HV111">
        <v>19.474999815514291</v>
      </c>
      <c r="HW111">
        <v>1.0192500488347452E-5</v>
      </c>
      <c r="HX111">
        <v>265.39395710112854</v>
      </c>
      <c r="HY111">
        <v>1</v>
      </c>
      <c r="HZ111">
        <v>1</v>
      </c>
      <c r="IA111">
        <v>2</v>
      </c>
      <c r="IB111">
        <v>1.05985004631774E-4</v>
      </c>
      <c r="IC111" s="30" t="s">
        <v>262</v>
      </c>
      <c r="ID111">
        <v>1.3612967501768816</v>
      </c>
      <c r="IE111">
        <v>0.73094539903316413</v>
      </c>
      <c r="IF111">
        <v>1.3612967501768816</v>
      </c>
      <c r="IG111" t="str">
        <f t="shared" si="84"/>
        <v/>
      </c>
    </row>
    <row r="112" spans="1:241">
      <c r="A112" t="str">
        <f>HYPERLINK("http://exon.niaid.nih.gov/transcriptome/S_calcitrans/S1/links/pep/XP_013113949.1-pep.txt","XP_013113949.1")</f>
        <v>XP_013113949.1</v>
      </c>
      <c r="B112" s="30" t="s">
        <v>232</v>
      </c>
      <c r="C112">
        <v>174</v>
      </c>
      <c r="D112" t="s">
        <v>1265</v>
      </c>
      <c r="E112">
        <v>1</v>
      </c>
      <c r="F112" t="s">
        <v>1266</v>
      </c>
      <c r="G112" t="str">
        <f>HYPERLINK("http://exon.niaid.nih.gov/transcriptome/S_calcitrans/S1/links/cds/XM_013258495_1-cds.txt","XM_013258495_1")</f>
        <v>XM_013258495_1</v>
      </c>
      <c r="H112">
        <v>525</v>
      </c>
      <c r="I112" t="s">
        <v>1267</v>
      </c>
      <c r="J112" s="30" t="s">
        <v>236</v>
      </c>
      <c r="K112" s="30" t="s">
        <v>91</v>
      </c>
      <c r="L112" s="31" t="s">
        <v>1268</v>
      </c>
      <c r="M112" s="30">
        <v>97762</v>
      </c>
      <c r="N112" s="30">
        <v>102892</v>
      </c>
      <c r="O112" s="30" t="s">
        <v>276</v>
      </c>
      <c r="P112" s="30">
        <v>4</v>
      </c>
      <c r="Q112" s="31" t="s">
        <v>1269</v>
      </c>
      <c r="R112" s="32" t="str">
        <f>HYPERLINK("http://exon.niaid.nih.gov/transcriptome/S_calcitrans/S1/links/Sigp/XP_013113949.1-SigP.txt","CYT")</f>
        <v>CYT</v>
      </c>
      <c r="S112" t="s">
        <v>242</v>
      </c>
      <c r="T112">
        <v>19.984999999999999</v>
      </c>
      <c r="U112">
        <v>4.87</v>
      </c>
      <c r="V112" t="s">
        <v>242</v>
      </c>
      <c r="W112" t="s">
        <v>242</v>
      </c>
      <c r="X112" t="s">
        <v>1270</v>
      </c>
      <c r="Y112" s="32">
        <v>0</v>
      </c>
      <c r="Z112" t="s">
        <v>242</v>
      </c>
      <c r="AA112" t="s">
        <v>242</v>
      </c>
      <c r="AB112" t="s">
        <v>242</v>
      </c>
      <c r="AC112" t="s">
        <v>242</v>
      </c>
      <c r="AD112" t="s">
        <v>242</v>
      </c>
      <c r="AE112" s="32" t="s">
        <v>242</v>
      </c>
      <c r="AF112" t="s">
        <v>242</v>
      </c>
      <c r="AG112" t="s">
        <v>242</v>
      </c>
      <c r="AH112" t="s">
        <v>242</v>
      </c>
      <c r="AI112" t="s">
        <v>242</v>
      </c>
      <c r="AJ112" t="s">
        <v>242</v>
      </c>
      <c r="AK112">
        <v>199.42334820120772</v>
      </c>
      <c r="AL112" s="33">
        <v>13262</v>
      </c>
      <c r="AM112">
        <v>1</v>
      </c>
      <c r="AN112" s="30">
        <f t="shared" si="83"/>
        <v>1</v>
      </c>
      <c r="AO112" s="30" t="s">
        <v>244</v>
      </c>
      <c r="AP112">
        <v>3585</v>
      </c>
      <c r="AQ112" s="34">
        <v>1.3924712169207975E-2</v>
      </c>
      <c r="AR112" s="35">
        <v>79.950374051189939</v>
      </c>
      <c r="AS112" t="s">
        <v>1271</v>
      </c>
      <c r="AT112" s="36" t="s">
        <v>1272</v>
      </c>
      <c r="AU112" t="s">
        <v>583</v>
      </c>
      <c r="AV112" t="str">
        <f>HYPERLINK("http://exon.niaid.nih.gov/transcriptome/S_calcitrans/S1/links/KOG/XP_013113949.1-KOG.txt","KOG")</f>
        <v>KOG</v>
      </c>
      <c r="AW112" s="37">
        <v>1.0000000000000001E-68</v>
      </c>
      <c r="AX112">
        <v>95.4</v>
      </c>
      <c r="AY112" s="33"/>
      <c r="BG112" s="31"/>
      <c r="BJ112" s="33"/>
      <c r="BK112" s="33"/>
      <c r="BL112" s="33" t="str">
        <f>HYPERLINK("http://exon.niaid.nih.gov/transcriptome/S_calcitrans/S1/links/NR-LIGHT/XP_013113949.1-NR-LIGHT.txt","coatomer subunit zeta-1")</f>
        <v>coatomer subunit zeta-1</v>
      </c>
      <c r="BM112" t="str">
        <f>HYPERLINK("http://www.ncbi.nlm.nih.gov/sutils/blink.cgi?pid=755893112","3E-092")</f>
        <v>3E-092</v>
      </c>
      <c r="BN112" t="str">
        <f>HYPERLINK("http://www.ncbi.nlm.nih.gov/protein/755893112","gi|755893112")</f>
        <v>gi|755893112</v>
      </c>
      <c r="BO112">
        <v>97</v>
      </c>
      <c r="BP112">
        <v>100</v>
      </c>
      <c r="BQ112">
        <v>100</v>
      </c>
      <c r="BR112" t="s">
        <v>251</v>
      </c>
      <c r="BS112" s="33" t="str">
        <f>HYPERLINK("http://exon.niaid.nih.gov/transcriptome/S_calcitrans/S1/links/SWISSP/XP_013113949.1-SWISSP.txt","Coatomer subunit zeta-1")</f>
        <v>Coatomer subunit zeta-1</v>
      </c>
      <c r="BT112" t="str">
        <f>HYPERLINK("http://www.uniprot.org/uniprot/Q5R5F2","4E-058")</f>
        <v>4E-058</v>
      </c>
      <c r="BU112" t="str">
        <f>HYPERLINK("http://www.uniprot.org/uniprot/Q5R5F2#expression","Q5R5F2")</f>
        <v>Q5R5F2</v>
      </c>
      <c r="BV112">
        <v>62</v>
      </c>
      <c r="BW112">
        <v>86</v>
      </c>
      <c r="BX112">
        <v>94</v>
      </c>
      <c r="BY112" t="s">
        <v>1273</v>
      </c>
      <c r="BZ112" s="33" t="str">
        <f>HYPERLINK("http://exon.niaid.nih.gov/transcriptome/S_calcitrans/S1/links/REFSEQ-INVERTEBRATE/XP_013113949.1-REFSEQ-INVERTEBRATE.txt","coatomer subunit zeta-1")</f>
        <v>coatomer subunit zeta-1</v>
      </c>
      <c r="CA112" t="str">
        <f>HYPERLINK("http://www.ncbi.nlm.nih.gov/sutils/blink.cgi?pid=907727045","1E-093")</f>
        <v>1E-093</v>
      </c>
      <c r="CB112" t="str">
        <f>HYPERLINK("http://www.ncbi.nlm.nih.gov/protein/907727045","gi|907727045")</f>
        <v>gi|907727045</v>
      </c>
      <c r="CC112">
        <v>100</v>
      </c>
      <c r="CD112">
        <v>100</v>
      </c>
      <c r="CE112">
        <v>100</v>
      </c>
      <c r="CF112" t="s">
        <v>253</v>
      </c>
      <c r="CG112" s="33" t="str">
        <f>HYPERLINK("http://exon.niaid.nih.gov/transcriptome/S_calcitrans/S1/links/DIPTERA/XP_013113949.1-DIPTERA.txt","coatomer subunit zeta-1")</f>
        <v>coatomer subunit zeta-1</v>
      </c>
      <c r="CH112" t="str">
        <f>HYPERLINK("http://www.ncbi.nlm.nih.gov/sutils/blink.cgi?pid=907727045","5E-094")</f>
        <v>5E-094</v>
      </c>
      <c r="CI112" t="str">
        <f>HYPERLINK("http://www.ncbi.nlm.nih.gov/protein/907727045","gi|907727045")</f>
        <v>gi|907727045</v>
      </c>
      <c r="CJ112">
        <v>100</v>
      </c>
      <c r="CK112">
        <v>100</v>
      </c>
      <c r="CL112">
        <v>100</v>
      </c>
      <c r="CM112" t="s">
        <v>253</v>
      </c>
      <c r="CN112" s="33" t="s">
        <v>242</v>
      </c>
      <c r="CO112" t="s">
        <v>242</v>
      </c>
      <c r="CP112" t="s">
        <v>242</v>
      </c>
      <c r="CQ112" t="s">
        <v>242</v>
      </c>
      <c r="CR112" t="s">
        <v>242</v>
      </c>
      <c r="CS112" t="s">
        <v>242</v>
      </c>
      <c r="CT112" t="s">
        <v>242</v>
      </c>
      <c r="CU112" s="33" t="s">
        <v>1274</v>
      </c>
      <c r="CV112">
        <f>HYPERLINK("http://exon.niaid.nih.gov/transcriptome/S_calcitrans/S1/links/GO/XP_013113949.1-GO.txt",2E-58)</f>
        <v>2.0000000000000001E-58</v>
      </c>
      <c r="CW112" t="s">
        <v>242</v>
      </c>
      <c r="CX112" t="s">
        <v>242</v>
      </c>
      <c r="CY112" t="s">
        <v>242</v>
      </c>
      <c r="CZ112" t="s">
        <v>242</v>
      </c>
      <c r="DA112" t="s">
        <v>242</v>
      </c>
      <c r="DC112" t="s">
        <v>242</v>
      </c>
      <c r="DD112" t="s">
        <v>242</v>
      </c>
      <c r="DE112" s="33" t="str">
        <f>HYPERLINK("http://exon.niaid.nih.gov/transcriptome/S_calcitrans/S1/links/CDD/XP_013113949.1-CDD.txt","Clat_adaptor_s")</f>
        <v>Clat_adaptor_s</v>
      </c>
      <c r="DF112" t="str">
        <f>HYPERLINK("http://www.ncbi.nlm.nih.gov/Structure/cdd/cddsrv.cgi?uid=pfam01217&amp;version=v4.0","3E-023")</f>
        <v>3E-023</v>
      </c>
      <c r="DG112" t="s">
        <v>1275</v>
      </c>
      <c r="DH112" s="33" t="str">
        <f>HYPERLINK("http://exon.niaid.nih.gov/transcriptome/S_calcitrans/S1/links/KOG/XP_013113949.1-KOG.txt","Vesicle coat complex COPI, zeta subunit")</f>
        <v>Vesicle coat complex COPI, zeta subunit</v>
      </c>
      <c r="DI112" t="str">
        <f>HYPERLINK("http://www.ncbi.nlm.nih.gov/Structure/cdd/cddsrv.cgi?uid=KOG3343","1E-068")</f>
        <v>1E-068</v>
      </c>
      <c r="DJ112" t="s">
        <v>310</v>
      </c>
      <c r="DK112" t="str">
        <f>HYPERLINK("http://exon.niaid.nih.gov/transcriptome/S_calcitrans/S1/links/KOG/XP_013113949.1-KOG.txt","KOG3343")</f>
        <v>KOG3343</v>
      </c>
      <c r="DL112" s="33" t="str">
        <f>HYPERLINK("http://exon.niaid.nih.gov/transcriptome/S_calcitrans/S1/links/PFAM/XP_013113949.1-PFAM.txt","Clat_adaptor_s")</f>
        <v>Clat_adaptor_s</v>
      </c>
      <c r="DM112" t="str">
        <f>HYPERLINK("http://pfam.sanger.ac.uk/family?acc=PF01217","8E-024")</f>
        <v>8E-024</v>
      </c>
      <c r="DN112" s="33" t="str">
        <f>HYPERLINK("http://exon.niaid.nih.gov/transcriptome/S_calcitrans/S1/links/SMART/XP_013113949.1-SMART.txt","AIP3")</f>
        <v>AIP3</v>
      </c>
      <c r="DO112" t="str">
        <f>HYPERLINK("http://smart.embl-heidelberg.de/smart/do_annotation.pl?DOMAIN=AIP3&amp;BLAST=DUMMY","0.84")</f>
        <v>0.84</v>
      </c>
      <c r="DP112" s="33"/>
      <c r="EB112" s="33">
        <f>HYPERLINK("http://exon.niaid.nih.gov/transcriptome/S_calcitrans/S1/links/cluster-b/Scalc-pep25-50SimCLU13.txt", 13)</f>
        <v>13</v>
      </c>
      <c r="EC112">
        <f>HYPERLINK("http://exon.niaid.nih.gov/transcriptome/S_calcitrans/S1/links/cluster-b/Scalc-pep25-50SimCLTL13.txt", 76)</f>
        <v>76</v>
      </c>
      <c r="ED112" s="33">
        <f>HYPERLINK("http://exon.niaid.nih.gov/transcriptome/S_calcitrans/S1/links/cluster-b/Scalc-pep30-50SimCLU19.txt", 19)</f>
        <v>19</v>
      </c>
      <c r="EE112">
        <f>HYPERLINK("http://exon.niaid.nih.gov/transcriptome/S_calcitrans/S1/links/cluster-b/Scalc-pep30-50SimCLTL19.txt", 69)</f>
        <v>69</v>
      </c>
      <c r="EF112" s="33">
        <v>7455</v>
      </c>
      <c r="EG112">
        <v>1</v>
      </c>
      <c r="EH112" s="33">
        <v>8059</v>
      </c>
      <c r="EI112">
        <v>1</v>
      </c>
      <c r="EJ112" s="33">
        <v>8692</v>
      </c>
      <c r="EK112">
        <v>1</v>
      </c>
      <c r="EL112" s="33">
        <v>9182</v>
      </c>
      <c r="EM112">
        <v>1</v>
      </c>
      <c r="EN112" s="33">
        <v>9727</v>
      </c>
      <c r="EO112">
        <v>1</v>
      </c>
      <c r="EP112" s="33">
        <v>10176</v>
      </c>
      <c r="EQ112">
        <v>1</v>
      </c>
      <c r="ER112" s="33">
        <v>10579</v>
      </c>
      <c r="ES112">
        <v>1</v>
      </c>
      <c r="ET112" s="33">
        <v>10931</v>
      </c>
      <c r="EU112">
        <v>1</v>
      </c>
      <c r="EV112" s="33">
        <v>11313</v>
      </c>
      <c r="EW112">
        <v>1</v>
      </c>
      <c r="EX112" s="33">
        <v>11654</v>
      </c>
      <c r="EY112">
        <v>1</v>
      </c>
      <c r="EZ112" s="33">
        <v>12093</v>
      </c>
      <c r="FA112">
        <v>1</v>
      </c>
      <c r="FB112" s="33">
        <v>12571</v>
      </c>
      <c r="FC112">
        <v>1</v>
      </c>
      <c r="FD112" s="33">
        <v>13262</v>
      </c>
      <c r="FE112">
        <v>1</v>
      </c>
      <c r="FF112" t="s">
        <v>1276</v>
      </c>
      <c r="FG112">
        <v>18645</v>
      </c>
      <c r="FH112" s="38" t="str">
        <f>HYPERLINK("http://exon.niaid.nih.gov/transcriptome/S_calcitrans/S1/links/SG_male-stripped_temp-95-h10-1gap/18645-SG_male-stripped_temp-95-h10-1gap.txt","1341")</f>
        <v>1341</v>
      </c>
      <c r="FI112" s="39">
        <v>100</v>
      </c>
      <c r="FJ112" s="39">
        <v>176.845714285714</v>
      </c>
      <c r="FK112" s="39">
        <v>2</v>
      </c>
      <c r="FL112" s="39">
        <v>315</v>
      </c>
      <c r="FM112" s="39">
        <v>69.2348993288591</v>
      </c>
      <c r="FN112" s="38" t="str">
        <f>HYPERLINK("http://exon.niaid.nih.gov/transcriptome/S_calcitrans/S1/links/SG_female-stripped_temp-95-h10-1gap/18645-SG_female-stripped_temp-95-h10-1gap.txt","2244")</f>
        <v>2244</v>
      </c>
      <c r="FO112" s="39">
        <v>100</v>
      </c>
      <c r="FP112" s="39">
        <v>299.792380952381</v>
      </c>
      <c r="FQ112" s="39">
        <v>7</v>
      </c>
      <c r="FR112" s="39">
        <v>463</v>
      </c>
      <c r="FS112" s="39">
        <v>70.138591800356494</v>
      </c>
      <c r="FT112" s="38" t="str">
        <f>HYPERLINK("http://exon.niaid.nih.gov/transcriptome/S_calcitrans/S1/links/SRR694289-stripped_temp-95-h10-1gap/18645-SRR694289-stripped_temp-95-h10-1gap.txt","35")</f>
        <v>35</v>
      </c>
      <c r="FU112" s="39">
        <v>92.761904761904802</v>
      </c>
      <c r="FV112" s="39">
        <v>5.8476190476190499</v>
      </c>
      <c r="FW112" s="39">
        <v>0</v>
      </c>
      <c r="FX112" s="39">
        <v>13</v>
      </c>
      <c r="FY112" s="39">
        <v>87.714285714285694</v>
      </c>
      <c r="FZ112" s="38" t="str">
        <f>HYPERLINK("http://exon.niaid.nih.gov/transcriptome/S_calcitrans/S1/links/SRR694925-stripped_temp-95-h10-1gap/18645-SRR694925-stripped_temp-95-h10-1gap.txt","27")</f>
        <v>27</v>
      </c>
      <c r="GA112" s="39">
        <v>99.619047619047606</v>
      </c>
      <c r="GB112" s="39">
        <v>5.1409523809523803</v>
      </c>
      <c r="GC112" s="39">
        <v>0</v>
      </c>
      <c r="GD112" s="39">
        <v>14</v>
      </c>
      <c r="GE112" s="39">
        <v>99.962962962963005</v>
      </c>
      <c r="GF112">
        <f>1*FH112</f>
        <v>1341</v>
      </c>
      <c r="GG112">
        <f>1*FN112</f>
        <v>2244</v>
      </c>
      <c r="GH112">
        <f>1*FT112</f>
        <v>35</v>
      </c>
      <c r="GI112">
        <f>1*FZ112</f>
        <v>27</v>
      </c>
      <c r="GJ112">
        <f>IF(FZ112&lt;&gt;"",SUM(GF112:GG112),"")</f>
        <v>3585</v>
      </c>
      <c r="GK112" s="34">
        <v>1.3924712169207975E-2</v>
      </c>
      <c r="GL112">
        <v>83.554811608269972</v>
      </c>
      <c r="GM112">
        <v>63.582381263499684</v>
      </c>
      <c r="GN112">
        <v>0.3832139233957858</v>
      </c>
      <c r="GO112">
        <v>0.30475318566039145</v>
      </c>
      <c r="GP112">
        <f>MAX(GL112:GO112)</f>
        <v>83.554811608269972</v>
      </c>
      <c r="GQ112" t="s">
        <v>583</v>
      </c>
      <c r="GR112">
        <v>65.163683632590065</v>
      </c>
      <c r="GS112">
        <v>52.186269064321735</v>
      </c>
      <c r="GT112">
        <v>0.6908035833891063</v>
      </c>
      <c r="GU112">
        <v>0.57698132805828706</v>
      </c>
      <c r="GV112">
        <f>MAX(GR112:GU112)</f>
        <v>65.163683632590065</v>
      </c>
      <c r="GW112">
        <v>79.950374051189939</v>
      </c>
      <c r="GX112">
        <v>3585</v>
      </c>
      <c r="GY112">
        <v>62</v>
      </c>
      <c r="GZ112">
        <v>3647</v>
      </c>
      <c r="HA112">
        <v>809.63288256161286</v>
      </c>
      <c r="HB112">
        <v>2837.3671174383871</v>
      </c>
      <c r="HC112">
        <v>9513.7719853814015</v>
      </c>
      <c r="HD112">
        <v>2714.7218945401501</v>
      </c>
      <c r="HE112">
        <v>12228.493879921552</v>
      </c>
      <c r="HF112">
        <v>0</v>
      </c>
      <c r="HG112">
        <v>809.63288256161286</v>
      </c>
      <c r="HH112">
        <v>1</v>
      </c>
      <c r="HI112">
        <v>1</v>
      </c>
      <c r="HJ112">
        <v>2</v>
      </c>
      <c r="HK112">
        <v>0</v>
      </c>
      <c r="HL112" s="30" t="s">
        <v>262</v>
      </c>
      <c r="HM112">
        <v>199.42334820120772</v>
      </c>
      <c r="HN112">
        <v>4.9334872628708981E-3</v>
      </c>
      <c r="HO112">
        <v>1341</v>
      </c>
      <c r="HP112">
        <v>2244</v>
      </c>
      <c r="HQ112">
        <v>3585</v>
      </c>
      <c r="HR112">
        <v>1120.6564619641294</v>
      </c>
      <c r="HS112">
        <v>2464.3435380358706</v>
      </c>
      <c r="HT112">
        <v>43.32395912755571</v>
      </c>
      <c r="HU112">
        <v>19.701504276819065</v>
      </c>
      <c r="HV112">
        <v>63.025463404374776</v>
      </c>
      <c r="HW112">
        <v>2.0405152037841594E-15</v>
      </c>
      <c r="HX112">
        <v>1120.6564619641294</v>
      </c>
      <c r="HY112">
        <v>1</v>
      </c>
      <c r="HZ112">
        <v>1</v>
      </c>
      <c r="IA112">
        <v>2</v>
      </c>
      <c r="IB112" s="37">
        <v>5.8356272611465001E-14</v>
      </c>
      <c r="IC112" s="30" t="s">
        <v>262</v>
      </c>
      <c r="ID112">
        <v>1.3135335885465533</v>
      </c>
      <c r="IE112">
        <v>0.76039908674292245</v>
      </c>
      <c r="IF112">
        <v>1.3135335885465533</v>
      </c>
      <c r="IG112" t="str">
        <f t="shared" si="84"/>
        <v/>
      </c>
    </row>
    <row r="113" spans="1:241">
      <c r="A113" t="str">
        <f>HYPERLINK("http://exon.niaid.nih.gov/transcriptome/S_calcitrans/S1/links/pep/XP_013117578.1-pep.txt","XP_013117578.1")</f>
        <v>XP_013117578.1</v>
      </c>
      <c r="B113" s="30" t="s">
        <v>232</v>
      </c>
      <c r="C113">
        <v>179</v>
      </c>
      <c r="D113" t="s">
        <v>1277</v>
      </c>
      <c r="E113">
        <v>0</v>
      </c>
      <c r="F113" t="s">
        <v>1278</v>
      </c>
      <c r="G113" t="str">
        <f>HYPERLINK("http://exon.niaid.nih.gov/transcriptome/S_calcitrans/S1/links/cds/XM_013262124_1-cds.txt","XM_013262124_1")</f>
        <v>XM_013262124_1</v>
      </c>
      <c r="H113">
        <v>540</v>
      </c>
      <c r="I113" t="s">
        <v>1279</v>
      </c>
      <c r="J113" s="30" t="s">
        <v>236</v>
      </c>
      <c r="K113" s="30" t="s">
        <v>91</v>
      </c>
      <c r="L113" s="31" t="s">
        <v>1280</v>
      </c>
      <c r="M113" s="30">
        <v>7406</v>
      </c>
      <c r="N113" s="30">
        <v>25972</v>
      </c>
      <c r="O113" s="30" t="s">
        <v>276</v>
      </c>
      <c r="P113" s="30">
        <v>3</v>
      </c>
      <c r="Q113" s="31" t="s">
        <v>1281</v>
      </c>
      <c r="R113" s="32" t="str">
        <f>HYPERLINK("http://exon.niaid.nih.gov/transcriptome/S_calcitrans/S1/links/Sigp/XP_013117578.1-SigP.txt","SIG")</f>
        <v>SIG</v>
      </c>
      <c r="S113" t="s">
        <v>1282</v>
      </c>
      <c r="T113">
        <v>20.472999999999999</v>
      </c>
      <c r="U113">
        <v>8.5</v>
      </c>
      <c r="V113">
        <v>16.946000000000002</v>
      </c>
      <c r="W113">
        <v>8.11</v>
      </c>
      <c r="X113" t="s">
        <v>1283</v>
      </c>
      <c r="Y113" s="32" t="str">
        <f>HYPERLINK("http://exon.niaid.nih.gov/transcriptome/S_calcitrans/S1/links/tmhmm/XP_013117578.1-tmhmm.txt","1")</f>
        <v>1</v>
      </c>
      <c r="Z113">
        <v>12.3</v>
      </c>
      <c r="AA113">
        <v>5.6</v>
      </c>
      <c r="AB113">
        <v>82.1</v>
      </c>
      <c r="AC113" t="s">
        <v>242</v>
      </c>
      <c r="AD113">
        <v>147</v>
      </c>
      <c r="AE113" s="32" t="str">
        <f>HYPERLINK("http://exon.niaid.nih.gov/transcriptome/S_calcitrans/S1/links/netoglyc/XP_013117578.1-netoglyc.txt","1")</f>
        <v>1</v>
      </c>
      <c r="AF113">
        <v>13.4</v>
      </c>
      <c r="AG113">
        <v>4.5</v>
      </c>
      <c r="AH113">
        <v>2.8</v>
      </c>
      <c r="AI113" t="s">
        <v>243</v>
      </c>
      <c r="AJ113" t="s">
        <v>242</v>
      </c>
      <c r="AK113">
        <v>291.0361365354683</v>
      </c>
      <c r="AL113" s="33">
        <v>15437</v>
      </c>
      <c r="AM113">
        <v>1</v>
      </c>
      <c r="AN113" s="30">
        <f t="shared" si="83"/>
        <v>1</v>
      </c>
      <c r="AO113" s="30" t="s">
        <v>244</v>
      </c>
      <c r="AP113">
        <v>5398</v>
      </c>
      <c r="AQ113" s="34">
        <v>2.0966693525630308E-2</v>
      </c>
      <c r="AR113" s="35">
        <v>118.52002819720506</v>
      </c>
      <c r="AS113" t="s">
        <v>1284</v>
      </c>
      <c r="AT113" s="36" t="s">
        <v>1285</v>
      </c>
      <c r="AU113" t="s">
        <v>583</v>
      </c>
      <c r="AV113" t="str">
        <f>HYPERLINK("http://exon.niaid.nih.gov/transcriptome/S_calcitrans/S1/links/NR-LIGHT/XP_013117578.1-NR-LIGHT.txt","NR-LIGHT")</f>
        <v>NR-LIGHT</v>
      </c>
      <c r="AW113" s="37">
        <v>3.0000000000000002E-87</v>
      </c>
      <c r="AX113">
        <v>100</v>
      </c>
      <c r="AY113" s="33"/>
      <c r="BG113" s="31"/>
      <c r="BJ113" s="33"/>
      <c r="BK113" s="33"/>
      <c r="BL113" s="33" t="str">
        <f>HYPERLINK("http://exon.niaid.nih.gov/transcriptome/S_calcitrans/S1/links/NR-LIGHT/XP_013117578.1-NR-LIGHT.txt","signal peptidase complex subunit 3")</f>
        <v>signal peptidase complex subunit 3</v>
      </c>
      <c r="BM113" t="str">
        <f>HYPERLINK("http://www.ncbi.nlm.nih.gov/sutils/blink.cgi?pid=557780306","3E-087")</f>
        <v>3E-087</v>
      </c>
      <c r="BN113" t="str">
        <f>HYPERLINK("http://www.ncbi.nlm.nih.gov/protein/557780306","gi|557780306")</f>
        <v>gi|557780306</v>
      </c>
      <c r="BO113">
        <v>85</v>
      </c>
      <c r="BP113">
        <v>92</v>
      </c>
      <c r="BQ113">
        <v>100</v>
      </c>
      <c r="BR113" t="s">
        <v>251</v>
      </c>
      <c r="BS113" s="33" t="str">
        <f>HYPERLINK("http://exon.niaid.nih.gov/transcriptome/S_calcitrans/S1/links/SWISSP/XP_013117578.1-SWISSP.txt","Signal peptidase complex subunit 3")</f>
        <v>Signal peptidase complex subunit 3</v>
      </c>
      <c r="BT113" t="str">
        <f>HYPERLINK("http://www.uniprot.org/uniprot/Q9VCA9","1E-080")</f>
        <v>1E-080</v>
      </c>
      <c r="BU113" t="str">
        <f>HYPERLINK("http://www.uniprot.org/uniprot/Q9VCA9#expression","Q9VCA9")</f>
        <v>Q9VCA9</v>
      </c>
      <c r="BV113">
        <v>75</v>
      </c>
      <c r="BW113">
        <v>90</v>
      </c>
      <c r="BX113">
        <v>100</v>
      </c>
      <c r="BY113" t="s">
        <v>304</v>
      </c>
      <c r="BZ113" s="33" t="str">
        <f>HYPERLINK("http://exon.niaid.nih.gov/transcriptome/S_calcitrans/S1/links/REFSEQ-INVERTEBRATE/XP_013117578.1-REFSEQ-INVERTEBRATE.txt","signal peptidase complex subunit 3")</f>
        <v>signal peptidase complex subunit 3</v>
      </c>
      <c r="CA113" t="str">
        <f>HYPERLINK("http://www.ncbi.nlm.nih.gov/sutils/blink.cgi?pid=907748456","1E-101")</f>
        <v>1E-101</v>
      </c>
      <c r="CB113" t="str">
        <f>HYPERLINK("http://www.ncbi.nlm.nih.gov/protein/907748456","gi|907748456")</f>
        <v>gi|907748456</v>
      </c>
      <c r="CC113">
        <v>100</v>
      </c>
      <c r="CD113">
        <v>100</v>
      </c>
      <c r="CE113">
        <v>100</v>
      </c>
      <c r="CF113" t="s">
        <v>253</v>
      </c>
      <c r="CG113" s="33" t="str">
        <f>HYPERLINK("http://exon.niaid.nih.gov/transcriptome/S_calcitrans/S1/links/DIPTERA/XP_013117578.1-DIPTERA.txt","signal peptidase complex subunit 3")</f>
        <v>signal peptidase complex subunit 3</v>
      </c>
      <c r="CH113" t="str">
        <f>HYPERLINK("http://www.ncbi.nlm.nih.gov/sutils/blink.cgi?pid=907748456","1E-101")</f>
        <v>1E-101</v>
      </c>
      <c r="CI113" t="str">
        <f>HYPERLINK("http://www.ncbi.nlm.nih.gov/protein/907748456","gi|907748456")</f>
        <v>gi|907748456</v>
      </c>
      <c r="CJ113">
        <v>100</v>
      </c>
      <c r="CK113">
        <v>100</v>
      </c>
      <c r="CL113">
        <v>100</v>
      </c>
      <c r="CM113" t="s">
        <v>253</v>
      </c>
      <c r="CN113" s="33" t="s">
        <v>242</v>
      </c>
      <c r="CO113" t="s">
        <v>242</v>
      </c>
      <c r="CP113" t="s">
        <v>242</v>
      </c>
      <c r="CQ113" t="s">
        <v>242</v>
      </c>
      <c r="CR113" t="s">
        <v>242</v>
      </c>
      <c r="CS113" t="s">
        <v>242</v>
      </c>
      <c r="CT113" t="s">
        <v>242</v>
      </c>
      <c r="CU113" s="33" t="s">
        <v>1286</v>
      </c>
      <c r="CV113">
        <f>HYPERLINK("http://exon.niaid.nih.gov/transcriptome/S_calcitrans/S1/links/GO/XP_013117578.1-GO.txt",2E-80)</f>
        <v>1.9999999999999999E-80</v>
      </c>
      <c r="CW113" t="str">
        <f>HYPERLINK("http://amigo.geneontology.org/cgi-bin/amigo/term_details?term=GO:0008233","GO:0008233")</f>
        <v>GO:0008233</v>
      </c>
      <c r="CX113" t="s">
        <v>1287</v>
      </c>
      <c r="CY113" t="s">
        <v>1288</v>
      </c>
      <c r="CZ113" t="s">
        <v>1289</v>
      </c>
      <c r="DA113" t="str">
        <f>HYPERLINK("http://www.genome.jp/dbget-bin/www_bfind_sub?mode=bfind&amp;max_hit=1000&amp;dbkey=kegg&amp;keywords=EC:3.4","EC:3.4")</f>
        <v>EC:3.4</v>
      </c>
      <c r="DC113" t="s">
        <v>1290</v>
      </c>
      <c r="DD113" s="37">
        <v>1.9999999999999999E-80</v>
      </c>
      <c r="DE113" s="33" t="str">
        <f>HYPERLINK("http://exon.niaid.nih.gov/transcriptome/S_calcitrans/S1/links/CDD/XP_013117578.1-CDD.txt","SPC22")</f>
        <v>SPC22</v>
      </c>
      <c r="DF113" t="str">
        <f>HYPERLINK("http://www.ncbi.nlm.nih.gov/Structure/cdd/cddsrv.cgi?uid=pfam04573&amp;version=v4.0","2E-068")</f>
        <v>2E-068</v>
      </c>
      <c r="DG113" t="s">
        <v>1291</v>
      </c>
      <c r="DH113" s="33" t="str">
        <f>HYPERLINK("http://exon.niaid.nih.gov/transcriptome/S_calcitrans/S1/links/KOG/XP_013117578.1-KOG.txt","Signal peptidase complex subunit")</f>
        <v>Signal peptidase complex subunit</v>
      </c>
      <c r="DI113" t="str">
        <f>HYPERLINK("http://www.ncbi.nlm.nih.gov/Structure/cdd/cddsrv.cgi?uid=KOG3372","6E-059")</f>
        <v>6E-059</v>
      </c>
      <c r="DJ113" t="s">
        <v>310</v>
      </c>
      <c r="DK113" t="str">
        <f>HYPERLINK("http://exon.niaid.nih.gov/transcriptome/S_calcitrans/S1/links/KOG/XP_013117578.1-KOG.txt","KOG3372")</f>
        <v>KOG3372</v>
      </c>
      <c r="DL113" s="33" t="str">
        <f>HYPERLINK("http://exon.niaid.nih.gov/transcriptome/S_calcitrans/S1/links/PFAM/XP_013117578.1-PFAM.txt","SPC22")</f>
        <v>SPC22</v>
      </c>
      <c r="DM113" t="str">
        <f>HYPERLINK("http://pfam.sanger.ac.uk/family?acc=PF04573","3E-069")</f>
        <v>3E-069</v>
      </c>
      <c r="DN113" s="33" t="str">
        <f>HYPERLINK("http://exon.niaid.nih.gov/transcriptome/S_calcitrans/S1/links/SMART/XP_013117578.1-SMART.txt","OLF")</f>
        <v>OLF</v>
      </c>
      <c r="DO113" t="str">
        <f>HYPERLINK("http://smart.embl-heidelberg.de/smart/do_annotation.pl?DOMAIN=OLF&amp;BLAST=DUMMY","2.5")</f>
        <v>2.5</v>
      </c>
      <c r="DP113" s="33"/>
      <c r="EB113" s="33">
        <v>6236</v>
      </c>
      <c r="EC113">
        <v>1</v>
      </c>
      <c r="ED113" s="33">
        <v>7557</v>
      </c>
      <c r="EE113">
        <v>1</v>
      </c>
      <c r="EF113" s="33">
        <v>8482</v>
      </c>
      <c r="EG113">
        <v>1</v>
      </c>
      <c r="EH113" s="33">
        <v>9218</v>
      </c>
      <c r="EI113">
        <v>1</v>
      </c>
      <c r="EJ113" s="33">
        <v>9958</v>
      </c>
      <c r="EK113">
        <v>1</v>
      </c>
      <c r="EL113" s="33">
        <v>10533</v>
      </c>
      <c r="EM113">
        <v>1</v>
      </c>
      <c r="EN113" s="33">
        <v>11172</v>
      </c>
      <c r="EO113">
        <v>1</v>
      </c>
      <c r="EP113" s="33">
        <v>11696</v>
      </c>
      <c r="EQ113">
        <v>1</v>
      </c>
      <c r="ER113" s="33">
        <v>12196</v>
      </c>
      <c r="ES113">
        <v>1</v>
      </c>
      <c r="ET113" s="33">
        <v>12628</v>
      </c>
      <c r="EU113">
        <v>1</v>
      </c>
      <c r="EV113" s="33">
        <v>13083</v>
      </c>
      <c r="EW113">
        <v>1</v>
      </c>
      <c r="EX113" s="33">
        <v>13504</v>
      </c>
      <c r="EY113">
        <v>1</v>
      </c>
      <c r="EZ113" s="33">
        <v>14036</v>
      </c>
      <c r="FA113">
        <v>1</v>
      </c>
      <c r="FB113" s="33">
        <v>14606</v>
      </c>
      <c r="FC113">
        <v>1</v>
      </c>
      <c r="FD113" s="33">
        <v>15437</v>
      </c>
      <c r="FE113">
        <v>1</v>
      </c>
      <c r="FF113" t="s">
        <v>1292</v>
      </c>
      <c r="FG113">
        <v>21881</v>
      </c>
      <c r="FH113" s="38" t="str">
        <f>HYPERLINK("http://exon.niaid.nih.gov/transcriptome/S_calcitrans/S1/links/SG_male-stripped_temp-95-h10-1gap/21881-SG_male-stripped_temp-95-h10-1gap.txt","2199")</f>
        <v>2199</v>
      </c>
      <c r="FI113" s="39">
        <v>98.518518518518505</v>
      </c>
      <c r="FJ113" s="39">
        <v>293.07222222222202</v>
      </c>
      <c r="FK113" s="39">
        <v>0</v>
      </c>
      <c r="FL113" s="39">
        <v>834</v>
      </c>
      <c r="FM113" s="39">
        <v>72.010004547521604</v>
      </c>
      <c r="FN113" s="38" t="str">
        <f>HYPERLINK("http://exon.niaid.nih.gov/transcriptome/S_calcitrans/S1/links/SG_female-stripped_temp-95-h10-1gap/21881-SG_female-stripped_temp-95-h10-1gap.txt","3199")</f>
        <v>3199</v>
      </c>
      <c r="FO113" s="39">
        <v>100</v>
      </c>
      <c r="FP113" s="39">
        <v>426.987037037037</v>
      </c>
      <c r="FQ113" s="39">
        <v>4</v>
      </c>
      <c r="FR113" s="39">
        <v>1037</v>
      </c>
      <c r="FS113" s="39">
        <v>72.113785557986901</v>
      </c>
      <c r="FT113" s="38" t="str">
        <f>HYPERLINK("http://exon.niaid.nih.gov/transcriptome/S_calcitrans/S1/links/SRR694289-stripped_temp-95-h10-1gap/21881-SRR694289-stripped_temp-95-h10-1gap.txt","27")</f>
        <v>27</v>
      </c>
      <c r="FU113" s="39">
        <v>91.481481481481495</v>
      </c>
      <c r="FV113" s="39">
        <v>4.9444444444444402</v>
      </c>
      <c r="FW113" s="39">
        <v>0</v>
      </c>
      <c r="FX113" s="39">
        <v>12</v>
      </c>
      <c r="FY113" s="39">
        <v>98.8888888888889</v>
      </c>
      <c r="FZ113" s="38" t="str">
        <f>HYPERLINK("http://exon.niaid.nih.gov/transcriptome/S_calcitrans/S1/links/SRR694925-stripped_temp-95-h10-1gap/21881-SRR694925-stripped_temp-95-h10-1gap.txt","37")</f>
        <v>37</v>
      </c>
      <c r="GA113" s="39">
        <v>94.259259259259295</v>
      </c>
      <c r="GB113" s="39">
        <v>6.5018518518518498</v>
      </c>
      <c r="GC113" s="39">
        <v>0</v>
      </c>
      <c r="GD113" s="39">
        <v>14</v>
      </c>
      <c r="GE113" s="39">
        <v>94.891891891891902</v>
      </c>
      <c r="GF113">
        <f>1*FH113</f>
        <v>2199</v>
      </c>
      <c r="GG113">
        <f>1*FN113</f>
        <v>3199</v>
      </c>
      <c r="GH113">
        <f>1*FT113</f>
        <v>27</v>
      </c>
      <c r="GI113">
        <f>1*FZ113</f>
        <v>37</v>
      </c>
      <c r="GJ113">
        <f>IF(FZ113&lt;&gt;"",SUM(GF113:GG113),"")</f>
        <v>5398</v>
      </c>
      <c r="GK113" s="34">
        <v>2.0966693525630308E-2</v>
      </c>
      <c r="GL113">
        <v>133.20896667972696</v>
      </c>
      <c r="GM113">
        <v>88.123902235191906</v>
      </c>
      <c r="GN113">
        <v>0.28741044254683934</v>
      </c>
      <c r="GO113">
        <v>0.40602404879650922</v>
      </c>
      <c r="GP113">
        <f>MAX(GL113:GO113)</f>
        <v>133.20896667972696</v>
      </c>
      <c r="GQ113" t="s">
        <v>583</v>
      </c>
      <c r="GR113">
        <v>103.88853489896209</v>
      </c>
      <c r="GS113">
        <v>72.329119823068723</v>
      </c>
      <c r="GT113">
        <v>0.51810268754182975</v>
      </c>
      <c r="GU113">
        <v>0.76871483522168904</v>
      </c>
      <c r="GV113">
        <f>MAX(GR113:GU113)</f>
        <v>103.88853489896209</v>
      </c>
      <c r="GW113">
        <v>118.52002819720506</v>
      </c>
      <c r="GX113">
        <v>5398</v>
      </c>
      <c r="GY113">
        <v>64</v>
      </c>
      <c r="GZ113">
        <v>5462</v>
      </c>
      <c r="HA113">
        <v>1212.5623264468136</v>
      </c>
      <c r="HB113">
        <v>4249.437673553186</v>
      </c>
      <c r="HC113">
        <v>14447.000485765702</v>
      </c>
      <c r="HD113">
        <v>4122.4015657936798</v>
      </c>
      <c r="HE113">
        <v>18569.40205155938</v>
      </c>
      <c r="HF113">
        <v>0</v>
      </c>
      <c r="HG113">
        <v>1212.5623264468136</v>
      </c>
      <c r="HH113">
        <v>1</v>
      </c>
      <c r="HI113">
        <v>1</v>
      </c>
      <c r="HJ113">
        <v>2</v>
      </c>
      <c r="HK113">
        <v>0</v>
      </c>
      <c r="HL113" s="30" t="s">
        <v>262</v>
      </c>
      <c r="HM113">
        <v>291.0361365354683</v>
      </c>
      <c r="HN113">
        <v>3.3825112798006873E-3</v>
      </c>
      <c r="HO113">
        <v>2199</v>
      </c>
      <c r="HP113">
        <v>3199</v>
      </c>
      <c r="HQ113">
        <v>5398</v>
      </c>
      <c r="HR113">
        <v>1687.3929098137714</v>
      </c>
      <c r="HS113">
        <v>3710.6070901862286</v>
      </c>
      <c r="HT113">
        <v>155.11610438004439</v>
      </c>
      <c r="HU113">
        <v>70.538811673451377</v>
      </c>
      <c r="HV113">
        <v>225.65491605349575</v>
      </c>
      <c r="HW113">
        <v>5.2841058447881294E-51</v>
      </c>
      <c r="HX113">
        <v>1687.3929098137714</v>
      </c>
      <c r="HY113">
        <v>1</v>
      </c>
      <c r="HZ113">
        <v>1</v>
      </c>
      <c r="IA113">
        <v>2</v>
      </c>
      <c r="IB113" s="37">
        <v>4.6520890000000002E-49</v>
      </c>
      <c r="IC113" s="30" t="s">
        <v>262</v>
      </c>
      <c r="ID113">
        <v>1.511137563135053</v>
      </c>
      <c r="IE113">
        <v>0.66124562115832053</v>
      </c>
      <c r="IF113">
        <v>1.511137563135053</v>
      </c>
      <c r="IG113" t="str">
        <f t="shared" si="84"/>
        <v/>
      </c>
    </row>
    <row r="114" spans="1:241">
      <c r="A114" s="22" t="s">
        <v>1293</v>
      </c>
      <c r="B114" s="23"/>
      <c r="C114" s="24"/>
      <c r="D114" s="24"/>
      <c r="E114" s="24"/>
      <c r="F114" s="24"/>
      <c r="G114" s="24"/>
      <c r="H114" s="24"/>
      <c r="I114" s="24"/>
      <c r="J114" s="23"/>
      <c r="K114" s="23"/>
      <c r="L114" s="25"/>
      <c r="M114" s="23"/>
      <c r="N114" s="23"/>
      <c r="O114" s="23"/>
      <c r="P114" s="23"/>
      <c r="Q114" s="25"/>
      <c r="R114" s="23"/>
      <c r="S114" s="24"/>
      <c r="T114" s="24"/>
      <c r="U114" s="24"/>
      <c r="V114" s="24"/>
      <c r="W114" s="24"/>
      <c r="X114" s="24"/>
      <c r="Y114" s="23"/>
      <c r="Z114" s="24"/>
      <c r="AA114" s="24"/>
      <c r="AB114" s="24"/>
      <c r="AC114" s="24"/>
      <c r="AD114" s="24"/>
      <c r="AE114" s="23"/>
      <c r="AF114" s="24"/>
      <c r="AG114" s="24"/>
      <c r="AH114" s="24"/>
      <c r="AI114" s="24"/>
      <c r="AJ114" s="24"/>
      <c r="AK114" s="24"/>
      <c r="AL114" s="24"/>
      <c r="AM114" s="24"/>
      <c r="AN114" s="23" t="str">
        <f t="shared" si="83"/>
        <v/>
      </c>
      <c r="AO114" s="23" t="s">
        <v>244</v>
      </c>
      <c r="AP114" s="24" t="s">
        <v>244</v>
      </c>
      <c r="AQ114" s="26"/>
      <c r="AR114" s="27"/>
      <c r="AS114" s="24"/>
      <c r="AT114" s="24"/>
      <c r="AU114" s="24"/>
      <c r="AV114" s="24"/>
      <c r="AW114" s="28"/>
      <c r="AX114" s="24"/>
      <c r="AY114" s="24"/>
      <c r="AZ114" s="24"/>
      <c r="BA114" s="24"/>
      <c r="BB114" s="24"/>
      <c r="BC114" s="24"/>
      <c r="BD114" s="24"/>
      <c r="BE114" s="24"/>
      <c r="BF114" s="24"/>
      <c r="BG114" s="25"/>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8"/>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9"/>
      <c r="FI114" s="29"/>
      <c r="FJ114" s="29"/>
      <c r="FK114" s="29"/>
      <c r="FL114" s="29"/>
      <c r="FM114" s="29"/>
      <c r="FN114" s="29"/>
      <c r="FO114" s="29"/>
      <c r="FP114" s="29"/>
      <c r="FQ114" s="29"/>
      <c r="FR114" s="29"/>
      <c r="FS114" s="29"/>
      <c r="FT114" s="29"/>
      <c r="FU114" s="29"/>
      <c r="FV114" s="29"/>
      <c r="FW114" s="29"/>
      <c r="FX114" s="29"/>
      <c r="FY114" s="29"/>
      <c r="FZ114" s="29"/>
      <c r="GA114" s="29"/>
      <c r="GB114" s="29"/>
      <c r="GC114" s="29"/>
      <c r="GD114" s="29"/>
      <c r="GE114" s="29"/>
      <c r="GF114" s="24"/>
      <c r="GG114" s="24"/>
      <c r="GH114" s="24"/>
      <c r="GI114" s="24"/>
      <c r="GJ114" s="24" t="str">
        <f t="shared" si="93"/>
        <v/>
      </c>
      <c r="GK114" s="26"/>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3"/>
      <c r="HM114" s="24"/>
      <c r="HN114" s="24"/>
      <c r="HO114" s="24"/>
      <c r="HP114" s="24"/>
      <c r="HQ114" s="24"/>
      <c r="HR114" s="24"/>
      <c r="HS114" s="24"/>
      <c r="HT114" s="24"/>
      <c r="HU114" s="24"/>
      <c r="HV114" s="24"/>
      <c r="HW114" s="24"/>
      <c r="HX114" s="24"/>
      <c r="HY114" s="24"/>
      <c r="HZ114" s="24"/>
      <c r="IA114" s="24"/>
      <c r="IB114" s="24"/>
      <c r="IC114" s="23"/>
      <c r="ID114" s="24"/>
      <c r="IE114" s="24"/>
      <c r="IF114" s="24"/>
      <c r="IG114" s="24" t="str">
        <f t="shared" si="84"/>
        <v/>
      </c>
    </row>
    <row r="115" spans="1:241">
      <c r="A115" t="str">
        <f>HYPERLINK("http://exon.niaid.nih.gov/transcriptome/S_calcitrans/S1/links/pep/XP_013119415.1-pep.txt","XP_013119415.1")</f>
        <v>XP_013119415.1</v>
      </c>
      <c r="B115" s="30" t="s">
        <v>232</v>
      </c>
      <c r="C115">
        <v>84</v>
      </c>
      <c r="D115" t="s">
        <v>1294</v>
      </c>
      <c r="E115">
        <v>1</v>
      </c>
      <c r="F115" t="s">
        <v>1295</v>
      </c>
      <c r="G115" t="str">
        <f>HYPERLINK("http://exon.niaid.nih.gov/transcriptome/S_calcitrans/S1/links/cds/XM_013263961_1-cds.txt","XM_013263961_1")</f>
        <v>XM_013263961_1</v>
      </c>
      <c r="H115">
        <v>255</v>
      </c>
      <c r="I115" t="s">
        <v>1296</v>
      </c>
      <c r="J115" s="30" t="s">
        <v>236</v>
      </c>
      <c r="K115" s="30" t="s">
        <v>91</v>
      </c>
      <c r="L115" s="31" t="s">
        <v>779</v>
      </c>
      <c r="M115" s="30">
        <v>378423</v>
      </c>
      <c r="N115" s="30">
        <v>378677</v>
      </c>
      <c r="O115" s="30" t="s">
        <v>276</v>
      </c>
      <c r="P115" s="30">
        <v>1</v>
      </c>
      <c r="Q115" s="31" t="s">
        <v>1297</v>
      </c>
      <c r="R115" s="32" t="str">
        <f>HYPERLINK("http://exon.niaid.nih.gov/transcriptome/S_calcitrans/S1/links/Sigp/XP_013119415.1-SigP.txt","CYT")</f>
        <v>CYT</v>
      </c>
      <c r="S115" t="s">
        <v>242</v>
      </c>
      <c r="T115">
        <v>9.0760000000000005</v>
      </c>
      <c r="U115">
        <v>9.2200000000000006</v>
      </c>
      <c r="V115" t="s">
        <v>242</v>
      </c>
      <c r="W115" t="s">
        <v>242</v>
      </c>
      <c r="X115" t="s">
        <v>720</v>
      </c>
      <c r="Y115" s="32">
        <v>0</v>
      </c>
      <c r="Z115" t="s">
        <v>242</v>
      </c>
      <c r="AA115" t="s">
        <v>242</v>
      </c>
      <c r="AB115" t="s">
        <v>242</v>
      </c>
      <c r="AC115" t="s">
        <v>242</v>
      </c>
      <c r="AD115" t="s">
        <v>242</v>
      </c>
      <c r="AE115" s="32" t="str">
        <f>HYPERLINK("http://exon.niaid.nih.gov/transcriptome/S_calcitrans/S1/links/netoglyc/XP_013119415.1-netoglyc.txt","3")</f>
        <v>3</v>
      </c>
      <c r="AF115">
        <v>16.7</v>
      </c>
      <c r="AG115">
        <v>7.1</v>
      </c>
      <c r="AH115">
        <v>8.3000000000000007</v>
      </c>
      <c r="AI115" t="s">
        <v>243</v>
      </c>
      <c r="AJ115" t="s">
        <v>242</v>
      </c>
      <c r="AK115">
        <v>210.68293867065321</v>
      </c>
      <c r="AL115" s="33">
        <v>4842</v>
      </c>
      <c r="AM115">
        <v>1</v>
      </c>
      <c r="AN115" s="30">
        <f t="shared" si="83"/>
        <v>1</v>
      </c>
      <c r="AO115" s="30" t="s">
        <v>244</v>
      </c>
      <c r="AP115">
        <v>1022</v>
      </c>
      <c r="AQ115" s="34">
        <v>3.9696111121145187E-3</v>
      </c>
      <c r="AR115" s="35">
        <v>104.21858908307364</v>
      </c>
      <c r="AS115" t="s">
        <v>1298</v>
      </c>
      <c r="AT115" s="36" t="s">
        <v>1299</v>
      </c>
      <c r="AU115" t="s">
        <v>1300</v>
      </c>
      <c r="AV115" t="str">
        <f>HYPERLINK("http://exon.niaid.nih.gov/transcriptome/S_calcitrans/S1/links/CDD/XP_013119415.1-CDD.txt","CDD")</f>
        <v>CDD</v>
      </c>
      <c r="AW115" s="37">
        <v>9.9999999999999997E-49</v>
      </c>
      <c r="AX115">
        <v>100</v>
      </c>
      <c r="AY115" s="33" t="str">
        <f>HYPERLINK("http://exon.niaid.nih.gov/transcriptome/S_calcitrans/S1/links/WANG/XP_013119415.1-WANG.txt","SC-4-33-3")</f>
        <v>SC-4-33-3</v>
      </c>
      <c r="AZ115">
        <v>9.9999999999999998E-46</v>
      </c>
      <c r="BA115">
        <v>84</v>
      </c>
      <c r="BB115">
        <v>84</v>
      </c>
      <c r="BC115">
        <v>100</v>
      </c>
      <c r="BD115">
        <v>100</v>
      </c>
      <c r="BE115">
        <v>100</v>
      </c>
      <c r="BF115" t="s">
        <v>248</v>
      </c>
      <c r="BG115" s="31" t="s">
        <v>1301</v>
      </c>
      <c r="BH115" t="s">
        <v>1302</v>
      </c>
      <c r="BI115">
        <v>51</v>
      </c>
      <c r="BJ115" s="33"/>
      <c r="BK115" s="33"/>
      <c r="BL115" s="33" t="str">
        <f>HYPERLINK("http://exon.niaid.nih.gov/transcriptome/S_calcitrans/S1/links/NR-LIGHT/XP_013119415.1-NR-LIGHT.txt","ubiquitin-fold modifier 1")</f>
        <v>ubiquitin-fold modifier 1</v>
      </c>
      <c r="BM115" t="str">
        <f>HYPERLINK("http://www.ncbi.nlm.nih.gov/sutils/blink.cgi?pid=557756512","6E-040")</f>
        <v>6E-040</v>
      </c>
      <c r="BN115" t="str">
        <f>HYPERLINK("http://www.ncbi.nlm.nih.gov/protein/557756512","gi|557756512")</f>
        <v>gi|557756512</v>
      </c>
      <c r="BO115">
        <v>98</v>
      </c>
      <c r="BP115">
        <v>98</v>
      </c>
      <c r="BQ115">
        <v>99</v>
      </c>
      <c r="BR115" t="s">
        <v>251</v>
      </c>
      <c r="BS115" s="33" t="str">
        <f>HYPERLINK("http://exon.niaid.nih.gov/transcriptome/S_calcitrans/S1/links/SWISSP/XP_013119415.1-SWISSP.txt","Ubiquitin-fold modifier 1")</f>
        <v>Ubiquitin-fold modifier 1</v>
      </c>
      <c r="BT115" t="str">
        <f>HYPERLINK("http://www.uniprot.org/uniprot/B5E0K3","1E-040")</f>
        <v>1E-040</v>
      </c>
      <c r="BU115" t="str">
        <f>HYPERLINK("http://www.uniprot.org/uniprot/B5E0K3#expression","B5E0K3")</f>
        <v>B5E0K3</v>
      </c>
      <c r="BV115">
        <v>97</v>
      </c>
      <c r="BW115">
        <v>98</v>
      </c>
      <c r="BX115">
        <v>100</v>
      </c>
      <c r="BY115" t="s">
        <v>1303</v>
      </c>
      <c r="BZ115" s="33" t="str">
        <f>HYPERLINK("http://exon.niaid.nih.gov/transcriptome/S_calcitrans/S1/links/REFSEQ-INVERTEBRATE/XP_013119415.1-REFSEQ-INVERTEBRATE.txt","ubiquitin-fold modifier 1")</f>
        <v>ubiquitin-fold modifier 1</v>
      </c>
      <c r="CA115" t="str">
        <f>HYPERLINK("http://www.ncbi.nlm.nih.gov/sutils/blink.cgi?pid=907618804","8E-041")</f>
        <v>8E-041</v>
      </c>
      <c r="CB115" t="str">
        <f>HYPERLINK("http://www.ncbi.nlm.nih.gov/protein/907618804","gi|907618804")</f>
        <v>gi|907618804</v>
      </c>
      <c r="CC115">
        <v>100</v>
      </c>
      <c r="CD115">
        <v>100</v>
      </c>
      <c r="CE115">
        <v>100</v>
      </c>
      <c r="CF115" t="s">
        <v>253</v>
      </c>
      <c r="CG115" s="33" t="str">
        <f>HYPERLINK("http://exon.niaid.nih.gov/transcriptome/S_calcitrans/S1/links/DIPTERA/XP_013119415.1-DIPTERA.txt","ubiquitin-fold modifier 1")</f>
        <v>ubiquitin-fold modifier 1</v>
      </c>
      <c r="CH115" t="str">
        <f>HYPERLINK("http://www.ncbi.nlm.nih.gov/sutils/blink.cgi?pid=224924398","4E-041")</f>
        <v>4E-041</v>
      </c>
      <c r="CI115" t="str">
        <f>HYPERLINK("http://www.ncbi.nlm.nih.gov/protein/224924398","gi|224924398")</f>
        <v>gi|224924398</v>
      </c>
      <c r="CJ115">
        <v>100</v>
      </c>
      <c r="CK115">
        <v>100</v>
      </c>
      <c r="CL115">
        <v>100</v>
      </c>
      <c r="CM115" t="s">
        <v>253</v>
      </c>
      <c r="CN115" s="33" t="s">
        <v>242</v>
      </c>
      <c r="CO115" t="s">
        <v>242</v>
      </c>
      <c r="CP115" t="s">
        <v>242</v>
      </c>
      <c r="CQ115" t="s">
        <v>242</v>
      </c>
      <c r="CR115" t="s">
        <v>242</v>
      </c>
      <c r="CS115" t="s">
        <v>242</v>
      </c>
      <c r="CT115" t="s">
        <v>242</v>
      </c>
      <c r="CU115" s="33" t="s">
        <v>1304</v>
      </c>
      <c r="CV115">
        <f>HYPERLINK("http://exon.niaid.nih.gov/transcriptome/S_calcitrans/S1/links/GO/XP_013119415.1-GO.txt",2E-40)</f>
        <v>1.9999999999999999E-40</v>
      </c>
      <c r="CW115" t="str">
        <f>HYPERLINK("http://amigo.geneontology.org/cgi-bin/amigo/term_details?term=GO:0003674","GO:0003674")</f>
        <v>GO:0003674</v>
      </c>
      <c r="CX115" t="s">
        <v>255</v>
      </c>
      <c r="CY115" t="s">
        <v>256</v>
      </c>
      <c r="CZ115" t="s">
        <v>257</v>
      </c>
      <c r="DA115" t="s">
        <v>242</v>
      </c>
      <c r="DC115" t="s">
        <v>258</v>
      </c>
      <c r="DD115" s="37">
        <v>1.9999999999999999E-40</v>
      </c>
      <c r="DE115" s="33" t="str">
        <f>HYPERLINK("http://exon.niaid.nih.gov/transcriptome/S_calcitrans/S1/links/CDD/XP_013119415.1-CDD.txt","Ufm1")</f>
        <v>Ufm1</v>
      </c>
      <c r="DF115" t="str">
        <f>HYPERLINK("http://www.ncbi.nlm.nih.gov/Structure/cdd/cddsrv.cgi?uid=cd01766&amp;version=v4.0","1E-048")</f>
        <v>1E-048</v>
      </c>
      <c r="DG115" t="s">
        <v>1305</v>
      </c>
      <c r="DH115" s="33" t="str">
        <f>HYPERLINK("http://exon.niaid.nih.gov/transcriptome/S_calcitrans/S1/links/KOG/XP_013119415.1-KOG.txt","Uncharacterized conserved protein")</f>
        <v>Uncharacterized conserved protein</v>
      </c>
      <c r="DI115" t="str">
        <f>HYPERLINK("http://www.ncbi.nlm.nih.gov/Structure/cdd/cddsrv.cgi?uid=KOG3483","2E-038")</f>
        <v>2E-038</v>
      </c>
      <c r="DJ115" t="s">
        <v>260</v>
      </c>
      <c r="DK115" t="str">
        <f>HYPERLINK("http://exon.niaid.nih.gov/transcriptome/S_calcitrans/S1/links/KOG/XP_013119415.1-KOG.txt","KOG3483")</f>
        <v>KOG3483</v>
      </c>
      <c r="DL115" s="33" t="str">
        <f>HYPERLINK("http://exon.niaid.nih.gov/transcriptome/S_calcitrans/S1/links/PFAM/XP_013119415.1-PFAM.txt","Ufm1")</f>
        <v>Ufm1</v>
      </c>
      <c r="DM115" t="str">
        <f>HYPERLINK("http://pfam.sanger.ac.uk/family?acc=PF03671","3E-032")</f>
        <v>3E-032</v>
      </c>
      <c r="DN115" s="33" t="str">
        <f>HYPERLINK("http://exon.niaid.nih.gov/transcriptome/S_calcitrans/S1/links/SMART/XP_013119415.1-SMART.txt","HATPase_c")</f>
        <v>HATPase_c</v>
      </c>
      <c r="DO115" t="str">
        <f>HYPERLINK("http://smart.embl-heidelberg.de/smart/do_annotation.pl?DOMAIN=HATPase_c&amp;BLAST=DUMMY","0.085")</f>
        <v>0.085</v>
      </c>
      <c r="DP115" s="33"/>
      <c r="EB115" s="33">
        <v>2986</v>
      </c>
      <c r="EC115">
        <v>1</v>
      </c>
      <c r="ED115" s="33">
        <v>3610</v>
      </c>
      <c r="EE115">
        <v>1</v>
      </c>
      <c r="EF115" s="33">
        <v>3930</v>
      </c>
      <c r="EG115">
        <v>1</v>
      </c>
      <c r="EH115" s="33">
        <v>4153</v>
      </c>
      <c r="EI115">
        <v>1</v>
      </c>
      <c r="EJ115" s="33">
        <v>4387</v>
      </c>
      <c r="EK115">
        <v>1</v>
      </c>
      <c r="EL115" s="33">
        <v>4547</v>
      </c>
      <c r="EM115">
        <v>1</v>
      </c>
      <c r="EN115" s="33">
        <v>4728</v>
      </c>
      <c r="EO115">
        <v>1</v>
      </c>
      <c r="EP115" s="33">
        <v>4861</v>
      </c>
      <c r="EQ115">
        <v>1</v>
      </c>
      <c r="ER115" s="33">
        <v>4960</v>
      </c>
      <c r="ES115">
        <v>1</v>
      </c>
      <c r="ET115" s="33">
        <v>5012</v>
      </c>
      <c r="EU115">
        <v>1</v>
      </c>
      <c r="EV115" s="33">
        <v>5031</v>
      </c>
      <c r="EW115">
        <v>1</v>
      </c>
      <c r="EX115" s="33">
        <v>5039</v>
      </c>
      <c r="EY115">
        <v>1</v>
      </c>
      <c r="EZ115" s="33">
        <v>4991</v>
      </c>
      <c r="FA115">
        <v>1</v>
      </c>
      <c r="FB115" s="33">
        <v>4928</v>
      </c>
      <c r="FC115">
        <v>1</v>
      </c>
      <c r="FD115" s="33">
        <v>4842</v>
      </c>
      <c r="FE115">
        <v>1</v>
      </c>
      <c r="FF115" t="s">
        <v>1306</v>
      </c>
      <c r="FG115">
        <v>3431</v>
      </c>
      <c r="FH115" s="38" t="str">
        <f>HYPERLINK("http://exon.niaid.nih.gov/transcriptome/S_calcitrans/S1/links/SG_male-stripped_temp-95-h10-1gap/3431-SG_male-stripped_temp-95-h10-1gap.txt","421")</f>
        <v>421</v>
      </c>
      <c r="FI115" s="39">
        <v>100</v>
      </c>
      <c r="FJ115" s="39">
        <v>109.937254901961</v>
      </c>
      <c r="FK115" s="39">
        <v>10</v>
      </c>
      <c r="FL115" s="39">
        <v>227</v>
      </c>
      <c r="FM115" s="39">
        <v>66.589073634204297</v>
      </c>
      <c r="FN115" s="38" t="str">
        <f>HYPERLINK("http://exon.niaid.nih.gov/transcriptome/S_calcitrans/S1/links/SG_female-stripped_temp-95-h10-1gap/3431-SG_female-stripped_temp-95-h10-1gap.txt","601")</f>
        <v>601</v>
      </c>
      <c r="FO115" s="39">
        <v>100</v>
      </c>
      <c r="FP115" s="39">
        <v>151.850980392157</v>
      </c>
      <c r="FQ115" s="39">
        <v>28</v>
      </c>
      <c r="FR115" s="39">
        <v>291</v>
      </c>
      <c r="FS115" s="39">
        <v>64.429284525790393</v>
      </c>
      <c r="FT115" s="38" t="str">
        <f>HYPERLINK("http://exon.niaid.nih.gov/transcriptome/S_calcitrans/S1/links/SRR694289-stripped_temp-95-h10-1gap/3431-SRR694289-stripped_temp-95-h10-1gap.txt","13")</f>
        <v>13</v>
      </c>
      <c r="FU115" s="39">
        <v>91.764705882352899</v>
      </c>
      <c r="FV115" s="39">
        <v>4.4588235294117604</v>
      </c>
      <c r="FW115" s="39">
        <v>0</v>
      </c>
      <c r="FX115" s="39">
        <v>10</v>
      </c>
      <c r="FY115" s="39">
        <v>87.461538461538495</v>
      </c>
      <c r="FZ115" s="38" t="str">
        <f>HYPERLINK("http://exon.niaid.nih.gov/transcriptome/S_calcitrans/S1/links/SRR694925-stripped_temp-95-h10-1gap/3431-SRR694925-stripped_temp-95-h10-1gap.txt","3")</f>
        <v>3</v>
      </c>
      <c r="GA115" s="39">
        <v>48.235294117647101</v>
      </c>
      <c r="GB115" s="39">
        <v>0.94901960784313699</v>
      </c>
      <c r="GC115" s="39">
        <v>0</v>
      </c>
      <c r="GD115" s="39">
        <v>3</v>
      </c>
      <c r="GE115" s="39">
        <v>80.6666666666667</v>
      </c>
      <c r="GF115">
        <f t="shared" ref="GF115:GF120" si="137">1*FH115</f>
        <v>421</v>
      </c>
      <c r="GG115">
        <f t="shared" ref="GG115:GG120" si="138">1*FN115</f>
        <v>601</v>
      </c>
      <c r="GH115">
        <f t="shared" ref="GH115:GH120" si="139">1*FT115</f>
        <v>13</v>
      </c>
      <c r="GI115">
        <f t="shared" ref="GI115:GI120" si="140">1*FZ115</f>
        <v>3</v>
      </c>
      <c r="GJ115">
        <f t="shared" si="93"/>
        <v>1022</v>
      </c>
      <c r="GK115" s="34">
        <v>3.9696111121145187E-3</v>
      </c>
      <c r="GL115">
        <v>54.006235427813223</v>
      </c>
      <c r="GM115">
        <v>35.05964637406197</v>
      </c>
      <c r="GN115">
        <v>0.29304594142030677</v>
      </c>
      <c r="GO115">
        <v>6.9714781033422879E-2</v>
      </c>
      <c r="GP115">
        <f t="shared" ref="GP115:GP120" si="141">MAX(GL115:GO115)</f>
        <v>54.006235427813223</v>
      </c>
      <c r="GQ115" t="s">
        <v>1300</v>
      </c>
      <c r="GR115">
        <v>42.119001549599268</v>
      </c>
      <c r="GS115">
        <v>28.775772511481804</v>
      </c>
      <c r="GT115">
        <v>0.52826156376814004</v>
      </c>
      <c r="GU115">
        <v>0.13198919269307219</v>
      </c>
      <c r="GV115">
        <f t="shared" ref="GV115:GV120" si="142">MAX(GR115:GU115)</f>
        <v>42.119001549599268</v>
      </c>
      <c r="GW115">
        <v>104.21858908307364</v>
      </c>
      <c r="GX115">
        <v>1022</v>
      </c>
      <c r="GY115">
        <v>16</v>
      </c>
      <c r="GZ115">
        <v>1038</v>
      </c>
      <c r="HA115">
        <v>230.43568195748674</v>
      </c>
      <c r="HB115">
        <v>807.56431804251326</v>
      </c>
      <c r="HC115">
        <v>2719.0844068745669</v>
      </c>
      <c r="HD115">
        <v>775.88132065677007</v>
      </c>
      <c r="HE115">
        <v>3494.9657275313371</v>
      </c>
      <c r="HF115">
        <v>0</v>
      </c>
      <c r="HG115">
        <v>230.43568195748674</v>
      </c>
      <c r="HH115">
        <v>1</v>
      </c>
      <c r="HI115">
        <v>1</v>
      </c>
      <c r="HJ115">
        <v>2</v>
      </c>
      <c r="HK115">
        <v>0</v>
      </c>
      <c r="HL115" s="30" t="s">
        <v>262</v>
      </c>
      <c r="HM115">
        <v>210.68293867065321</v>
      </c>
      <c r="HN115">
        <v>4.4628979471270551E-3</v>
      </c>
      <c r="HO115">
        <v>421</v>
      </c>
      <c r="HP115">
        <v>601</v>
      </c>
      <c r="HQ115">
        <v>1022</v>
      </c>
      <c r="HR115">
        <v>319.47305554458586</v>
      </c>
      <c r="HS115">
        <v>702.5269444554142</v>
      </c>
      <c r="HT115">
        <v>32.264756828652786</v>
      </c>
      <c r="HU115">
        <v>14.672348913881322</v>
      </c>
      <c r="HV115">
        <v>46.937105742534108</v>
      </c>
      <c r="HW115">
        <v>7.3301669743980168E-12</v>
      </c>
      <c r="HX115">
        <v>319.47305554458586</v>
      </c>
      <c r="HY115">
        <v>1</v>
      </c>
      <c r="HZ115">
        <v>1</v>
      </c>
      <c r="IA115">
        <v>2</v>
      </c>
      <c r="IB115" s="37">
        <v>1.66056827951564E-10</v>
      </c>
      <c r="IC115" s="30" t="s">
        <v>262</v>
      </c>
      <c r="ID115">
        <v>1.5378513376327381</v>
      </c>
      <c r="IE115">
        <v>0.64763941360194877</v>
      </c>
      <c r="IF115">
        <v>1.5378513376327381</v>
      </c>
      <c r="IG115" t="str">
        <f t="shared" si="84"/>
        <v/>
      </c>
    </row>
    <row r="116" spans="1:241">
      <c r="A116" t="str">
        <f>HYPERLINK("http://exon.niaid.nih.gov/transcriptome/S_calcitrans/S1/links/pep/XP_013100846.1-pep.txt","XP_013100846.1")</f>
        <v>XP_013100846.1</v>
      </c>
      <c r="B116" s="30" t="s">
        <v>232</v>
      </c>
      <c r="C116">
        <v>477</v>
      </c>
      <c r="D116" t="s">
        <v>1307</v>
      </c>
      <c r="E116">
        <v>3</v>
      </c>
      <c r="F116" t="s">
        <v>1308</v>
      </c>
      <c r="G116" t="str">
        <f>HYPERLINK("http://exon.niaid.nih.gov/transcriptome/S_calcitrans/S1/links/cds/XM_013245392_1-cds.txt","XM_013245392_1")</f>
        <v>XM_013245392_1</v>
      </c>
      <c r="H116">
        <v>1434</v>
      </c>
      <c r="I116" t="s">
        <v>1309</v>
      </c>
      <c r="J116" s="30" t="s">
        <v>236</v>
      </c>
      <c r="K116" s="30" t="s">
        <v>91</v>
      </c>
      <c r="L116" s="31" t="s">
        <v>1310</v>
      </c>
      <c r="M116" s="30">
        <v>932350</v>
      </c>
      <c r="N116" s="30">
        <v>938783</v>
      </c>
      <c r="O116" s="30" t="s">
        <v>276</v>
      </c>
      <c r="P116" s="30">
        <v>5</v>
      </c>
      <c r="Q116" s="31" t="s">
        <v>1311</v>
      </c>
      <c r="R116" s="32" t="str">
        <f>HYPERLINK("http://exon.niaid.nih.gov/transcriptome/S_calcitrans/S1/links/Sigp/XP_013100846.1-SigP.txt","CYT")</f>
        <v>CYT</v>
      </c>
      <c r="S116" t="s">
        <v>242</v>
      </c>
      <c r="T116">
        <v>54.735999999999997</v>
      </c>
      <c r="U116">
        <v>6.31</v>
      </c>
      <c r="V116" t="s">
        <v>242</v>
      </c>
      <c r="W116" t="s">
        <v>242</v>
      </c>
      <c r="X116" t="s">
        <v>1312</v>
      </c>
      <c r="Y116" s="32">
        <v>0</v>
      </c>
      <c r="Z116" t="s">
        <v>242</v>
      </c>
      <c r="AA116" t="s">
        <v>242</v>
      </c>
      <c r="AB116" t="s">
        <v>242</v>
      </c>
      <c r="AC116" t="s">
        <v>242</v>
      </c>
      <c r="AD116" t="s">
        <v>242</v>
      </c>
      <c r="AE116" s="32" t="str">
        <f>HYPERLINK("http://exon.niaid.nih.gov/transcriptome/S_calcitrans/S1/links/netoglyc/XP_013100846.1-netoglyc.txt","0")</f>
        <v>0</v>
      </c>
      <c r="AF116">
        <v>13.4</v>
      </c>
      <c r="AG116">
        <v>5.5</v>
      </c>
      <c r="AH116">
        <v>4</v>
      </c>
      <c r="AI116">
        <v>0.6</v>
      </c>
      <c r="AJ116" t="s">
        <v>1313</v>
      </c>
      <c r="AK116">
        <v>131.24957895785246</v>
      </c>
      <c r="AL116" s="33">
        <v>6645</v>
      </c>
      <c r="AM116">
        <v>1</v>
      </c>
      <c r="AN116" s="30">
        <f t="shared" si="83"/>
        <v>1</v>
      </c>
      <c r="AO116" s="30" t="s">
        <v>244</v>
      </c>
      <c r="AP116">
        <v>1161</v>
      </c>
      <c r="AQ116" s="34">
        <v>4.509509296638901E-3</v>
      </c>
      <c r="AR116" s="35">
        <v>57.286619645514477</v>
      </c>
      <c r="AS116" t="s">
        <v>1314</v>
      </c>
      <c r="AT116" s="36" t="s">
        <v>1315</v>
      </c>
      <c r="AU116" t="s">
        <v>619</v>
      </c>
      <c r="AV116" t="str">
        <f>HYPERLINK("http://exon.niaid.nih.gov/transcriptome/S_calcitrans/S1/links/NR-LIGHT/XP_013100846.1-NR-LIGHT.txt","NR-LIGHT")</f>
        <v>NR-LIGHT</v>
      </c>
      <c r="AW116">
        <v>0</v>
      </c>
      <c r="AX116">
        <v>85</v>
      </c>
      <c r="AY116" s="33"/>
      <c r="BG116" s="31"/>
      <c r="BJ116" s="33"/>
      <c r="BK116" s="33"/>
      <c r="BL116" s="33" t="str">
        <f>HYPERLINK("http://exon.niaid.nih.gov/transcriptome/S_calcitrans/S1/links/NR-LIGHT/XP_013100846.1-NR-LIGHT.txt","prolyl 4-hydroxylase subunit alpha-2")</f>
        <v>prolyl 4-hydroxylase subunit alpha-2</v>
      </c>
      <c r="BM116" t="str">
        <f>HYPERLINK("http://www.ncbi.nlm.nih.gov/sutils/blink.cgi?pid=557768319","1E-142")</f>
        <v>1E-142</v>
      </c>
      <c r="BN116" t="str">
        <f>HYPERLINK("http://www.ncbi.nlm.nih.gov/protein/557768319","gi|557768319")</f>
        <v>gi|557768319</v>
      </c>
      <c r="BO116">
        <v>54</v>
      </c>
      <c r="BP116">
        <v>71</v>
      </c>
      <c r="BQ116">
        <v>86</v>
      </c>
      <c r="BR116" t="s">
        <v>251</v>
      </c>
      <c r="BS116" s="33" t="str">
        <f>HYPERLINK("http://exon.niaid.nih.gov/transcriptome/S_calcitrans/S1/links/SWISSP/XP_013100846.1-SWISSP.txt","Prolyl 4-hydroxylase subunit alpha-2")</f>
        <v>Prolyl 4-hydroxylase subunit alpha-2</v>
      </c>
      <c r="BT116" t="str">
        <f>HYPERLINK("http://www.uniprot.org/uniprot/Q5ZLK5","2E-069")</f>
        <v>2E-069</v>
      </c>
      <c r="BU116" t="str">
        <f>HYPERLINK("http://www.uniprot.org/uniprot/Q5ZLK5#expression","Q5ZLK5")</f>
        <v>Q5ZLK5</v>
      </c>
      <c r="BV116">
        <v>33</v>
      </c>
      <c r="BW116">
        <v>53</v>
      </c>
      <c r="BX116">
        <v>89</v>
      </c>
      <c r="BY116" t="s">
        <v>1171</v>
      </c>
      <c r="BZ116" s="33" t="str">
        <f>HYPERLINK("http://exon.niaid.nih.gov/transcriptome/S_calcitrans/S1/links/REFSEQ-INVERTEBRATE/XP_013100846.1-REFSEQ-INVERTEBRATE.txt","prolyl 4-hydroxylase subunit alpha-2-like")</f>
        <v>prolyl 4-hydroxylase subunit alpha-2-like</v>
      </c>
      <c r="CA116" t="str">
        <f>HYPERLINK("http://www.ncbi.nlm.nih.gov/sutils/blink.cgi?pid=907643565","0.0")</f>
        <v>0.0</v>
      </c>
      <c r="CB116" t="str">
        <f>HYPERLINK("http://www.ncbi.nlm.nih.gov/protein/907643565","gi|907643565")</f>
        <v>gi|907643565</v>
      </c>
      <c r="CC116">
        <v>100</v>
      </c>
      <c r="CD116">
        <v>100</v>
      </c>
      <c r="CE116">
        <v>100</v>
      </c>
      <c r="CF116" t="s">
        <v>253</v>
      </c>
      <c r="CG116" s="33" t="str">
        <f>HYPERLINK("http://exon.niaid.nih.gov/transcriptome/S_calcitrans/S1/links/DIPTERA/XP_013100846.1-DIPTERA.txt","prolyl 4-hydroxylase subunit alpha-2-like")</f>
        <v>prolyl 4-hydroxylase subunit alpha-2-like</v>
      </c>
      <c r="CH116" t="str">
        <f>HYPERLINK("http://www.ncbi.nlm.nih.gov/sutils/blink.cgi?pid=907643565","0.0")</f>
        <v>0.0</v>
      </c>
      <c r="CI116" t="str">
        <f>HYPERLINK("http://www.ncbi.nlm.nih.gov/protein/907643565","gi|907643565")</f>
        <v>gi|907643565</v>
      </c>
      <c r="CJ116">
        <v>100</v>
      </c>
      <c r="CK116">
        <v>100</v>
      </c>
      <c r="CL116">
        <v>100</v>
      </c>
      <c r="CM116" t="s">
        <v>253</v>
      </c>
      <c r="CN116" s="33" t="str">
        <f>HYPERLINK("http://exon.niaid.nih.gov/transcriptome/S_calcitrans/S1/links/VIRUS/XP_013100846.1-VIRUS.txt","putative prolyl 4-hydroxylase alpha subunit")</f>
        <v>putative prolyl 4-hydroxylase alpha subunit</v>
      </c>
      <c r="CO116" t="str">
        <f>HYPERLINK("http://www.ncbi.nlm.nih.gov/sutils/blink.cgi?pid=310831339","7E-021")</f>
        <v>7E-021</v>
      </c>
      <c r="CP116" t="str">
        <f>HYPERLINK("http://www.ncbi.nlm.nih.gov/protein/310831339","gi|310831339")</f>
        <v>gi|310831339</v>
      </c>
      <c r="CQ116">
        <v>30</v>
      </c>
      <c r="CR116">
        <v>49</v>
      </c>
      <c r="CS116">
        <v>94</v>
      </c>
      <c r="CT116" t="s">
        <v>1316</v>
      </c>
      <c r="CU116" s="33" t="s">
        <v>1317</v>
      </c>
      <c r="CV116">
        <f>HYPERLINK("http://exon.niaid.nih.gov/transcriptome/S_calcitrans/S1/links/GO/XP_013100846.1-GO.txt",5E-96)</f>
        <v>4.9999999999999999E-96</v>
      </c>
      <c r="CW116" t="str">
        <f>HYPERLINK("http://amigo.geneontology.org/cgi-bin/amigo/term_details?term=GO:0004656","GO:0004656")</f>
        <v>GO:0004656</v>
      </c>
      <c r="CX116" t="s">
        <v>1318</v>
      </c>
      <c r="CY116" t="s">
        <v>1319</v>
      </c>
      <c r="CZ116" t="s">
        <v>1320</v>
      </c>
      <c r="DA116" t="str">
        <f>HYPERLINK("http://www.genome.jp/dbget-bin/www_bfind_sub?mode=bfind&amp;max_hit=1000&amp;dbkey=kegg&amp;keywords=EC:1.14.11.2","EC:1.14.11.2")</f>
        <v>EC:1.14.11.2</v>
      </c>
      <c r="DB116" t="str">
        <f>HYPERLINK("http://www.genome.jp/dbget-bin/www_bget?rn:R03219","KEGG:R03219")</f>
        <v>KEGG:R03219</v>
      </c>
      <c r="DC116" t="s">
        <v>1321</v>
      </c>
      <c r="DD116" s="37">
        <v>4.9999999999999999E-96</v>
      </c>
      <c r="DE116" s="33" t="str">
        <f>HYPERLINK("http://exon.niaid.nih.gov/transcriptome/S_calcitrans/S1/links/CDD/XP_013100846.1-CDD.txt","P4Hc")</f>
        <v>P4Hc</v>
      </c>
      <c r="DF116" t="str">
        <f>HYPERLINK("http://www.ncbi.nlm.nih.gov/Structure/cdd/cddsrv.cgi?uid=smart00702&amp;version=v4.0","2E-034")</f>
        <v>2E-034</v>
      </c>
      <c r="DG116" t="s">
        <v>1322</v>
      </c>
      <c r="DH116" s="33" t="str">
        <f>HYPERLINK("http://exon.niaid.nih.gov/transcriptome/S_calcitrans/S1/links/KOG/XP_013100846.1-KOG.txt","Prolyl 4-hydroxylase alpha subunit")</f>
        <v>Prolyl 4-hydroxylase alpha subunit</v>
      </c>
      <c r="DI116" t="str">
        <f>HYPERLINK("http://www.ncbi.nlm.nih.gov/Structure/cdd/cddsrv.cgi?uid=KOG1591","2E-060")</f>
        <v>2E-060</v>
      </c>
      <c r="DJ116" t="s">
        <v>628</v>
      </c>
      <c r="DK116" t="str">
        <f>HYPERLINK("http://exon.niaid.nih.gov/transcriptome/S_calcitrans/S1/links/KOG/XP_013100846.1-KOG.txt","KOG1591")</f>
        <v>KOG1591</v>
      </c>
      <c r="DL116" s="33" t="str">
        <f>HYPERLINK("http://exon.niaid.nih.gov/transcriptome/S_calcitrans/S1/links/PFAM/XP_013100846.1-PFAM.txt","P4Ha_N")</f>
        <v>P4Ha_N</v>
      </c>
      <c r="DM116" t="str">
        <f>HYPERLINK("http://pfam.sanger.ac.uk/family?acc=PF08336","3E-010")</f>
        <v>3E-010</v>
      </c>
      <c r="DN116" s="33" t="str">
        <f>HYPERLINK("http://exon.niaid.nih.gov/transcriptome/S_calcitrans/S1/links/SMART/XP_013100846.1-SMART.txt","P4Hc")</f>
        <v>P4Hc</v>
      </c>
      <c r="DO116" t="str">
        <f>HYPERLINK("http://smart.embl-heidelberg.de/smart/do_annotation.pl?DOMAIN=P4Hc&amp;BLAST=DUMMY","2E-036")</f>
        <v>2E-036</v>
      </c>
      <c r="DP116" s="33"/>
      <c r="EB116" s="33">
        <f>HYPERLINK("http://exon.niaid.nih.gov/transcriptome/S_calcitrans/S1/links/cluster-b/Scalc-pep25-50SimCLU159.txt", 159)</f>
        <v>159</v>
      </c>
      <c r="EC116">
        <f>HYPERLINK("http://exon.niaid.nih.gov/transcriptome/S_calcitrans/S1/links/cluster-b/Scalc-pep25-50SimCLTL159.txt", 12)</f>
        <v>12</v>
      </c>
      <c r="ED116" s="33">
        <f>HYPERLINK("http://exon.niaid.nih.gov/transcriptome/S_calcitrans/S1/links/cluster-b/Scalc-pep30-50SimCLU187.txt", 187)</f>
        <v>187</v>
      </c>
      <c r="EE116">
        <f>HYPERLINK("http://exon.niaid.nih.gov/transcriptome/S_calcitrans/S1/links/cluster-b/Scalc-pep30-50SimCLTL187.txt", 12)</f>
        <v>12</v>
      </c>
      <c r="EF116" s="33">
        <f>HYPERLINK("http://exon.niaid.nih.gov/transcriptome/S_calcitrans/S1/links/cluster-b/Scalc-pep35-50SimCLU247.txt", 247)</f>
        <v>247</v>
      </c>
      <c r="EG116">
        <f>HYPERLINK("http://exon.niaid.nih.gov/transcriptome/S_calcitrans/S1/links/cluster-b/Scalc-pep35-50SimCLTL247.txt", 10)</f>
        <v>10</v>
      </c>
      <c r="EH116" s="33">
        <f>HYPERLINK("http://exon.niaid.nih.gov/transcriptome/S_calcitrans/S1/links/cluster-b/Scalc-pep40-50SimCLU284.txt", 284)</f>
        <v>284</v>
      </c>
      <c r="EI116">
        <f>HYPERLINK("http://exon.niaid.nih.gov/transcriptome/S_calcitrans/S1/links/cluster-b/Scalc-pep40-50SimCLTL284.txt", 9)</f>
        <v>9</v>
      </c>
      <c r="EJ116" s="33">
        <f>HYPERLINK("http://exon.niaid.nih.gov/transcriptome/S_calcitrans/S1/links/cluster-b/Scalc-pep45-50SimCLU265.txt", 265)</f>
        <v>265</v>
      </c>
      <c r="EK116">
        <f>HYPERLINK("http://exon.niaid.nih.gov/transcriptome/S_calcitrans/S1/links/cluster-b/Scalc-pep45-50SimCLTL265.txt", 9)</f>
        <v>9</v>
      </c>
      <c r="EL116" s="33">
        <v>5523</v>
      </c>
      <c r="EM116">
        <v>1</v>
      </c>
      <c r="EN116" s="33">
        <v>5798</v>
      </c>
      <c r="EO116">
        <v>1</v>
      </c>
      <c r="EP116" s="33">
        <v>5996</v>
      </c>
      <c r="EQ116">
        <v>1</v>
      </c>
      <c r="ER116" s="33">
        <v>6151</v>
      </c>
      <c r="ES116">
        <v>1</v>
      </c>
      <c r="ET116" s="33">
        <v>6267</v>
      </c>
      <c r="EU116">
        <v>1</v>
      </c>
      <c r="EV116" s="33">
        <v>6371</v>
      </c>
      <c r="EW116">
        <v>1</v>
      </c>
      <c r="EX116" s="33">
        <v>6456</v>
      </c>
      <c r="EY116">
        <v>1</v>
      </c>
      <c r="EZ116" s="33">
        <v>6513</v>
      </c>
      <c r="FA116">
        <v>1</v>
      </c>
      <c r="FB116" s="33">
        <v>6565</v>
      </c>
      <c r="FC116">
        <v>1</v>
      </c>
      <c r="FD116" s="33">
        <v>6645</v>
      </c>
      <c r="FE116">
        <v>1</v>
      </c>
      <c r="FF116" t="s">
        <v>1323</v>
      </c>
      <c r="FG116">
        <v>6959</v>
      </c>
      <c r="FH116" s="38" t="str">
        <f>HYPERLINK("http://exon.niaid.nih.gov/transcriptome/S_calcitrans/S1/links/SG_male-stripped_temp-95-h10-1gap/6959-SG_male-stripped_temp-95-h10-1gap.txt","452")</f>
        <v>452</v>
      </c>
      <c r="FI116" s="39">
        <v>96.373779637377993</v>
      </c>
      <c r="FJ116" s="39">
        <v>22.621338912133901</v>
      </c>
      <c r="FK116" s="39">
        <v>0</v>
      </c>
      <c r="FL116" s="39">
        <v>92</v>
      </c>
      <c r="FM116" s="39">
        <v>71.767699115044294</v>
      </c>
      <c r="FN116" s="38" t="str">
        <f>HYPERLINK("http://exon.niaid.nih.gov/transcriptome/S_calcitrans/S1/links/SG_female-stripped_temp-95-h10-1gap/6959-SG_female-stripped_temp-95-h10-1gap.txt","709")</f>
        <v>709</v>
      </c>
      <c r="FO116" s="39">
        <v>100</v>
      </c>
      <c r="FP116" s="39">
        <v>35.907252440725202</v>
      </c>
      <c r="FQ116" s="39">
        <v>2</v>
      </c>
      <c r="FR116" s="39">
        <v>114</v>
      </c>
      <c r="FS116" s="39">
        <v>72.629055007052202</v>
      </c>
      <c r="FT116" s="38" t="str">
        <f>HYPERLINK("http://exon.niaid.nih.gov/transcriptome/S_calcitrans/S1/links/SRR694289-stripped_temp-95-h10-1gap/6959-SRR694289-stripped_temp-95-h10-1gap.txt","15")</f>
        <v>15</v>
      </c>
      <c r="FU116" s="39">
        <v>57.601115760111597</v>
      </c>
      <c r="FV116" s="39">
        <v>1.0327754532775499</v>
      </c>
      <c r="FW116" s="39">
        <v>0</v>
      </c>
      <c r="FX116" s="39">
        <v>4</v>
      </c>
      <c r="FY116" s="39">
        <v>98.733333333333306</v>
      </c>
      <c r="FZ116" s="38" t="str">
        <f>HYPERLINK("http://exon.niaid.nih.gov/transcriptome/S_calcitrans/S1/links/SRR694925-stripped_temp-95-h10-1gap/6959-SRR694925-stripped_temp-95-h10-1gap.txt","15")</f>
        <v>15</v>
      </c>
      <c r="GA116" s="39">
        <v>59.6234309623431</v>
      </c>
      <c r="GB116" s="39">
        <v>1.00348675034868</v>
      </c>
      <c r="GC116" s="39">
        <v>0</v>
      </c>
      <c r="GD116" s="39">
        <v>4</v>
      </c>
      <c r="GE116" s="39">
        <v>95.933333333333294</v>
      </c>
      <c r="GF116">
        <f t="shared" si="137"/>
        <v>452</v>
      </c>
      <c r="GG116">
        <f t="shared" si="138"/>
        <v>709</v>
      </c>
      <c r="GH116">
        <f t="shared" si="139"/>
        <v>15</v>
      </c>
      <c r="GI116">
        <f t="shared" si="140"/>
        <v>15</v>
      </c>
      <c r="GJ116">
        <f t="shared" si="93"/>
        <v>1161</v>
      </c>
      <c r="GK116" s="34">
        <v>4.509509296638901E-3</v>
      </c>
      <c r="GL116">
        <v>10.310774133794732</v>
      </c>
      <c r="GM116">
        <v>7.3547907905681758</v>
      </c>
      <c r="GN116">
        <v>6.0127707645782291E-2</v>
      </c>
      <c r="GO116">
        <v>6.1984899454403192E-2</v>
      </c>
      <c r="GP116">
        <f t="shared" si="141"/>
        <v>10.310774133794732</v>
      </c>
      <c r="GQ116" t="s">
        <v>619</v>
      </c>
      <c r="GR116">
        <v>8.0412846457210083</v>
      </c>
      <c r="GS116">
        <v>6.0365636435941861</v>
      </c>
      <c r="GT116">
        <v>0.10838968358615685</v>
      </c>
      <c r="GU116">
        <v>0.11735440772919599</v>
      </c>
      <c r="GV116">
        <f t="shared" si="142"/>
        <v>8.0412846457210083</v>
      </c>
      <c r="GW116">
        <v>57.286619645514477</v>
      </c>
      <c r="GX116">
        <v>1161</v>
      </c>
      <c r="GY116">
        <v>30</v>
      </c>
      <c r="GZ116">
        <v>1191</v>
      </c>
      <c r="HA116">
        <v>264.40163507838798</v>
      </c>
      <c r="HB116">
        <v>926.59836492161207</v>
      </c>
      <c r="HC116">
        <v>3040.407173510016</v>
      </c>
      <c r="HD116">
        <v>867.56965953432825</v>
      </c>
      <c r="HE116">
        <v>3907.9768330443444</v>
      </c>
      <c r="HF116">
        <v>0</v>
      </c>
      <c r="HG116">
        <v>264.40163507838798</v>
      </c>
      <c r="HH116">
        <v>1</v>
      </c>
      <c r="HI116">
        <v>1</v>
      </c>
      <c r="HJ116">
        <v>2</v>
      </c>
      <c r="HK116">
        <v>0</v>
      </c>
      <c r="HL116" s="30" t="s">
        <v>262</v>
      </c>
      <c r="HM116">
        <v>131.24957895785246</v>
      </c>
      <c r="HN116">
        <v>7.3669501934880239E-3</v>
      </c>
      <c r="HO116">
        <v>452</v>
      </c>
      <c r="HP116">
        <v>709</v>
      </c>
      <c r="HQ116">
        <v>1161</v>
      </c>
      <c r="HR116">
        <v>362.92389186620761</v>
      </c>
      <c r="HS116">
        <v>798.07610813379245</v>
      </c>
      <c r="HT116">
        <v>21.862856698307862</v>
      </c>
      <c r="HU116">
        <v>9.9421007086869295</v>
      </c>
      <c r="HV116">
        <v>31.804957406994792</v>
      </c>
      <c r="HW116">
        <v>1.7045711773895166E-8</v>
      </c>
      <c r="HX116">
        <v>362.92389186620761</v>
      </c>
      <c r="HY116">
        <v>1</v>
      </c>
      <c r="HZ116">
        <v>1</v>
      </c>
      <c r="IA116">
        <v>2</v>
      </c>
      <c r="IB116" s="37">
        <v>2.6922488053408301E-7</v>
      </c>
      <c r="IC116" s="30" t="s">
        <v>262</v>
      </c>
      <c r="ID116">
        <v>1.3999381097160304</v>
      </c>
      <c r="IE116">
        <v>0.71173657322738715</v>
      </c>
      <c r="IF116">
        <v>1.3999381097160304</v>
      </c>
      <c r="IG116" t="str">
        <f t="shared" si="84"/>
        <v/>
      </c>
    </row>
    <row r="117" spans="1:241">
      <c r="A117" t="str">
        <f>HYPERLINK("http://exon.niaid.nih.gov/transcriptome/S_calcitrans/S1/links/pep/XP_013106799.1-pep.txt","XP_013106799.1")</f>
        <v>XP_013106799.1</v>
      </c>
      <c r="B117" s="30" t="s">
        <v>232</v>
      </c>
      <c r="C117">
        <v>78</v>
      </c>
      <c r="D117" t="s">
        <v>1324</v>
      </c>
      <c r="E117">
        <v>0</v>
      </c>
      <c r="F117" t="s">
        <v>1325</v>
      </c>
      <c r="G117" t="str">
        <f>HYPERLINK("http://exon.niaid.nih.gov/transcriptome/S_calcitrans/S1/links/cds/XM_013251345_1-cds.txt","XM_013251345_1")</f>
        <v>XM_013251345_1</v>
      </c>
      <c r="H117">
        <v>237</v>
      </c>
      <c r="I117" t="s">
        <v>1326</v>
      </c>
      <c r="J117" s="30" t="s">
        <v>236</v>
      </c>
      <c r="K117" s="30" t="s">
        <v>91</v>
      </c>
      <c r="L117" s="31" t="s">
        <v>1327</v>
      </c>
      <c r="M117" s="30">
        <v>519964</v>
      </c>
      <c r="N117" s="30">
        <v>520317</v>
      </c>
      <c r="O117" s="30" t="s">
        <v>238</v>
      </c>
      <c r="P117" s="30">
        <v>3</v>
      </c>
      <c r="Q117" s="31" t="s">
        <v>1328</v>
      </c>
      <c r="R117" s="32" t="str">
        <f>HYPERLINK("http://exon.niaid.nih.gov/transcriptome/S_calcitrans/S1/links/Sigp/XP_013106799.1-SigP.txt","CYT")</f>
        <v>CYT</v>
      </c>
      <c r="S117" t="s">
        <v>242</v>
      </c>
      <c r="T117">
        <v>9.19</v>
      </c>
      <c r="U117">
        <v>9.15</v>
      </c>
      <c r="V117" t="s">
        <v>242</v>
      </c>
      <c r="W117" t="s">
        <v>242</v>
      </c>
      <c r="X117" t="s">
        <v>1329</v>
      </c>
      <c r="Y117" s="32">
        <v>0</v>
      </c>
      <c r="Z117" t="s">
        <v>242</v>
      </c>
      <c r="AA117" t="s">
        <v>242</v>
      </c>
      <c r="AB117" t="s">
        <v>242</v>
      </c>
      <c r="AC117" t="s">
        <v>242</v>
      </c>
      <c r="AD117" t="s">
        <v>242</v>
      </c>
      <c r="AE117" s="32" t="str">
        <f>HYPERLINK("http://exon.niaid.nih.gov/transcriptome/S_calcitrans/S1/links/netoglyc/XP_013106799.1-netoglyc.txt","1")</f>
        <v>1</v>
      </c>
      <c r="AF117">
        <v>12.8</v>
      </c>
      <c r="AG117">
        <v>2.6</v>
      </c>
      <c r="AH117">
        <v>2.6</v>
      </c>
      <c r="AI117" t="s">
        <v>243</v>
      </c>
      <c r="AJ117" t="s">
        <v>242</v>
      </c>
      <c r="AK117">
        <v>141.58223314971099</v>
      </c>
      <c r="AL117" s="33">
        <v>9460</v>
      </c>
      <c r="AM117">
        <v>1</v>
      </c>
      <c r="AN117" s="30">
        <f t="shared" si="83"/>
        <v>1</v>
      </c>
      <c r="AO117" s="30" t="s">
        <v>244</v>
      </c>
      <c r="AP117">
        <v>202</v>
      </c>
      <c r="AQ117" s="34">
        <v>7.846002393807562E-4</v>
      </c>
      <c r="AR117" s="35">
        <v>75.367511513738393</v>
      </c>
      <c r="AS117" t="s">
        <v>1330</v>
      </c>
      <c r="AT117" s="36" t="s">
        <v>1331</v>
      </c>
      <c r="AU117" t="s">
        <v>1300</v>
      </c>
      <c r="AV117" t="str">
        <f>HYPERLINK("http://exon.niaid.nih.gov/transcriptome/S_calcitrans/S1/links/DIPTERA/XP_013106799.1-DIPTERA.txt","DIPTERA")</f>
        <v>DIPTERA</v>
      </c>
      <c r="AW117" s="37">
        <v>2.0000000000000001E-37</v>
      </c>
      <c r="AX117">
        <v>100</v>
      </c>
      <c r="AY117" s="33"/>
      <c r="BG117" s="31"/>
      <c r="BJ117" s="33"/>
      <c r="BK117" s="33"/>
      <c r="BL117" s="33" t="str">
        <f>HYPERLINK("http://exon.niaid.nih.gov/transcriptome/S_calcitrans/S1/links/NR-LIGHT/XP_013106799.1-NR-LIGHT.txt","ubiquitin-related modifier 1 homolog")</f>
        <v>ubiquitin-related modifier 1 homolog</v>
      </c>
      <c r="BM117" t="str">
        <f>HYPERLINK("http://www.ncbi.nlm.nih.gov/sutils/blink.cgi?pid=557762300","9E-022")</f>
        <v>9E-022</v>
      </c>
      <c r="BN117" t="str">
        <f>HYPERLINK("http://www.ncbi.nlm.nih.gov/protein/557762300","gi|557762300")</f>
        <v>gi|557762300</v>
      </c>
      <c r="BO117">
        <v>79</v>
      </c>
      <c r="BP117">
        <v>93</v>
      </c>
      <c r="BQ117">
        <v>63</v>
      </c>
      <c r="BR117" t="s">
        <v>251</v>
      </c>
      <c r="BS117" s="33" t="str">
        <f>HYPERLINK("http://exon.niaid.nih.gov/transcriptome/S_calcitrans/S1/links/SWISSP/XP_013106799.1-SWISSP.txt","Ubiquitin-related modifier 1 homolog")</f>
        <v>Ubiquitin-related modifier 1 homolog</v>
      </c>
      <c r="BT117" t="str">
        <f>HYPERLINK("http://www.uniprot.org/uniprot/B4PCA1","9E-017")</f>
        <v>9E-017</v>
      </c>
      <c r="BU117" t="str">
        <f>HYPERLINK("http://www.uniprot.org/uniprot/B4PCA1#expression","B4PCA1")</f>
        <v>B4PCA1</v>
      </c>
      <c r="BV117">
        <v>64</v>
      </c>
      <c r="BW117">
        <v>81</v>
      </c>
      <c r="BX117">
        <v>63</v>
      </c>
      <c r="BY117" t="s">
        <v>786</v>
      </c>
      <c r="BZ117" s="33" t="str">
        <f>HYPERLINK("http://exon.niaid.nih.gov/transcriptome/S_calcitrans/S1/links/REFSEQ-INVERTEBRATE/XP_013106799.1-REFSEQ-INVERTEBRATE.txt","ubiquitin-related modifier 1 homolog")</f>
        <v>ubiquitin-related modifier 1 homolog</v>
      </c>
      <c r="CA117" t="str">
        <f>HYPERLINK("http://www.ncbi.nlm.nih.gov/sutils/blink.cgi?pid=907683163","4E-037")</f>
        <v>4E-037</v>
      </c>
      <c r="CB117" t="str">
        <f>HYPERLINK("http://www.ncbi.nlm.nih.gov/protein/907683163","gi|907683163")</f>
        <v>gi|907683163</v>
      </c>
      <c r="CC117">
        <v>100</v>
      </c>
      <c r="CD117">
        <v>100</v>
      </c>
      <c r="CE117">
        <v>100</v>
      </c>
      <c r="CF117" t="s">
        <v>253</v>
      </c>
      <c r="CG117" s="33" t="str">
        <f>HYPERLINK("http://exon.niaid.nih.gov/transcriptome/S_calcitrans/S1/links/DIPTERA/XP_013106799.1-DIPTERA.txt","ubiquitin-related modifier 1 homolog")</f>
        <v>ubiquitin-related modifier 1 homolog</v>
      </c>
      <c r="CH117" t="str">
        <f>HYPERLINK("http://www.ncbi.nlm.nih.gov/sutils/blink.cgi?pid=907683163","2E-037")</f>
        <v>2E-037</v>
      </c>
      <c r="CI117" t="str">
        <f>HYPERLINK("http://www.ncbi.nlm.nih.gov/protein/907683163","gi|907683163")</f>
        <v>gi|907683163</v>
      </c>
      <c r="CJ117">
        <v>100</v>
      </c>
      <c r="CK117">
        <v>100</v>
      </c>
      <c r="CL117">
        <v>100</v>
      </c>
      <c r="CM117" t="s">
        <v>253</v>
      </c>
      <c r="CN117" s="33" t="s">
        <v>242</v>
      </c>
      <c r="CO117" t="s">
        <v>242</v>
      </c>
      <c r="CP117" t="s">
        <v>242</v>
      </c>
      <c r="CQ117" t="s">
        <v>242</v>
      </c>
      <c r="CR117" t="s">
        <v>242</v>
      </c>
      <c r="CS117" t="s">
        <v>242</v>
      </c>
      <c r="CT117" t="s">
        <v>242</v>
      </c>
      <c r="CU117" s="33" t="s">
        <v>1332</v>
      </c>
      <c r="CV117">
        <f>HYPERLINK("http://exon.niaid.nih.gov/transcriptome/S_calcitrans/S1/links/GO/XP_013106799.1-GO.txt",0.0000000000000003)</f>
        <v>2.9999999999999999E-16</v>
      </c>
      <c r="CW117" t="str">
        <f>HYPERLINK("http://amigo.geneontology.org/cgi-bin/amigo/term_details?term=GO:0004252","GO:0004252")</f>
        <v>GO:0004252</v>
      </c>
      <c r="CX117" t="s">
        <v>623</v>
      </c>
      <c r="CY117" t="s">
        <v>624</v>
      </c>
      <c r="CZ117" t="s">
        <v>625</v>
      </c>
      <c r="DA117" t="str">
        <f>HYPERLINK("http://www.genome.jp/dbget-bin/www_bfind_sub?mode=bfind&amp;max_hit=1000&amp;dbkey=kegg&amp;keywords=EC:3.4.21","EC:3.4.21")</f>
        <v>EC:3.4.21</v>
      </c>
      <c r="DD117" s="37">
        <v>2.9999999999999999E-16</v>
      </c>
      <c r="DE117" s="33" t="str">
        <f>HYPERLINK("http://exon.niaid.nih.gov/transcriptome/S_calcitrans/S1/links/CDD/XP_013106799.1-CDD.txt","Urm1")</f>
        <v>Urm1</v>
      </c>
      <c r="DF117" t="str">
        <f>HYPERLINK("http://www.ncbi.nlm.nih.gov/Structure/cdd/cddsrv.cgi?uid=pfam09138&amp;version=v4.0","7E-016")</f>
        <v>7E-016</v>
      </c>
      <c r="DG117" t="s">
        <v>1333</v>
      </c>
      <c r="DH117" s="33" t="str">
        <f>HYPERLINK("http://exon.niaid.nih.gov/transcriptome/S_calcitrans/S1/links/KOG/XP_013106799.1-KOG.txt","Ubiquitin-like protein")</f>
        <v>Ubiquitin-like protein</v>
      </c>
      <c r="DI117" t="str">
        <f>HYPERLINK("http://www.ncbi.nlm.nih.gov/Structure/cdd/cddsrv.cgi?uid=KOG4146","5E-014")</f>
        <v>5E-014</v>
      </c>
      <c r="DJ117" t="s">
        <v>373</v>
      </c>
      <c r="DK117" t="str">
        <f>HYPERLINK("http://exon.niaid.nih.gov/transcriptome/S_calcitrans/S1/links/KOG/XP_013106799.1-KOG.txt","KOG4146")</f>
        <v>KOG4146</v>
      </c>
      <c r="DL117" s="33" t="str">
        <f>HYPERLINK("http://exon.niaid.nih.gov/transcriptome/S_calcitrans/S1/links/PFAM/XP_013106799.1-PFAM.txt","Urm1")</f>
        <v>Urm1</v>
      </c>
      <c r="DM117" t="str">
        <f>HYPERLINK("http://pfam.sanger.ac.uk/family?acc=PF09138","2E-016")</f>
        <v>2E-016</v>
      </c>
      <c r="DN117" s="33" t="str">
        <f>HYPERLINK("http://exon.niaid.nih.gov/transcriptome/S_calcitrans/S1/links/SMART/XP_013106799.1-SMART.txt","Alpha_L_fucos")</f>
        <v>Alpha_L_fucos</v>
      </c>
      <c r="DO117" t="str">
        <f>HYPERLINK("http://smart.embl-heidelberg.de/smart/do_annotation.pl?DOMAIN=Alpha_L_fucos&amp;BLAST=DUMMY","2.8")</f>
        <v>2.8</v>
      </c>
      <c r="DP117" s="33"/>
      <c r="EB117" s="33">
        <v>4370</v>
      </c>
      <c r="EC117">
        <v>1</v>
      </c>
      <c r="ED117" s="33">
        <v>5285</v>
      </c>
      <c r="EE117">
        <v>1</v>
      </c>
      <c r="EF117" s="33">
        <v>5846</v>
      </c>
      <c r="EG117">
        <v>1</v>
      </c>
      <c r="EH117" s="33">
        <v>6266</v>
      </c>
      <c r="EI117">
        <v>1</v>
      </c>
      <c r="EJ117" s="33">
        <v>6693</v>
      </c>
      <c r="EK117">
        <v>1</v>
      </c>
      <c r="EL117" s="33">
        <v>7031</v>
      </c>
      <c r="EM117">
        <v>1</v>
      </c>
      <c r="EN117" s="33">
        <v>7429</v>
      </c>
      <c r="EO117">
        <v>1</v>
      </c>
      <c r="EP117" s="33">
        <v>7735</v>
      </c>
      <c r="EQ117">
        <v>1</v>
      </c>
      <c r="ER117" s="33">
        <v>8012</v>
      </c>
      <c r="ES117">
        <v>1</v>
      </c>
      <c r="ET117" s="33">
        <v>8219</v>
      </c>
      <c r="EU117">
        <v>1</v>
      </c>
      <c r="EV117" s="33">
        <v>8432</v>
      </c>
      <c r="EW117">
        <v>1</v>
      </c>
      <c r="EX117" s="33">
        <v>8647</v>
      </c>
      <c r="EY117">
        <v>1</v>
      </c>
      <c r="EZ117" s="33">
        <v>8866</v>
      </c>
      <c r="FA117">
        <v>1</v>
      </c>
      <c r="FB117" s="33">
        <v>9116</v>
      </c>
      <c r="FC117">
        <v>1</v>
      </c>
      <c r="FD117" s="33">
        <v>9460</v>
      </c>
      <c r="FE117">
        <v>1</v>
      </c>
      <c r="FF117" t="s">
        <v>1334</v>
      </c>
      <c r="FG117">
        <v>12255</v>
      </c>
      <c r="FH117" s="38" t="str">
        <f>HYPERLINK("http://exon.niaid.nih.gov/transcriptome/S_calcitrans/S1/links/SG_male-stripped_temp-95-h10-1gap/12255-SG_male-stripped_temp-95-h10-1gap.txt","86")</f>
        <v>86</v>
      </c>
      <c r="FI117" s="39">
        <v>75.949367088607602</v>
      </c>
      <c r="FJ117" s="39">
        <v>23.616033755274302</v>
      </c>
      <c r="FK117" s="39">
        <v>0</v>
      </c>
      <c r="FL117" s="39">
        <v>69</v>
      </c>
      <c r="FM117" s="39">
        <v>65.081395348837205</v>
      </c>
      <c r="FN117" s="38" t="str">
        <f>HYPERLINK("http://exon.niaid.nih.gov/transcriptome/S_calcitrans/S1/links/SG_female-stripped_temp-95-h10-1gap/12255-SG_female-stripped_temp-95-h10-1gap.txt","116")</f>
        <v>116</v>
      </c>
      <c r="FO117" s="39">
        <v>70.042194092827003</v>
      </c>
      <c r="FP117" s="39">
        <v>31.6666666666667</v>
      </c>
      <c r="FQ117" s="39">
        <v>0</v>
      </c>
      <c r="FR117" s="39">
        <v>94</v>
      </c>
      <c r="FS117" s="39">
        <v>64.698275862068996</v>
      </c>
      <c r="FT117" s="38" t="str">
        <f>HYPERLINK("http://exon.niaid.nih.gov/transcriptome/S_calcitrans/S1/links/SRR694289-stripped_temp-95-h10-1gap/12255-SRR694289-stripped_temp-95-h10-1gap.txt","2")</f>
        <v>2</v>
      </c>
      <c r="FU117" s="39">
        <v>65.822784810126606</v>
      </c>
      <c r="FV117" s="39">
        <v>0.84388185654008396</v>
      </c>
      <c r="FW117" s="39">
        <v>0</v>
      </c>
      <c r="FX117" s="39">
        <v>2</v>
      </c>
      <c r="FY117" s="39">
        <v>100</v>
      </c>
      <c r="FZ117" s="38" t="str">
        <f>HYPERLINK("http://exon.niaid.nih.gov/transcriptome/S_calcitrans/S1/links/SRR694925-stripped_temp-95-h10-1gap/12255-SRR694925-stripped_temp-95-h10-1gap.txt","2")</f>
        <v>2</v>
      </c>
      <c r="GA117" s="39">
        <v>70.886075949367097</v>
      </c>
      <c r="GB117" s="39">
        <v>0.708860759493671</v>
      </c>
      <c r="GC117" s="39">
        <v>0</v>
      </c>
      <c r="GD117" s="39">
        <v>1</v>
      </c>
      <c r="GE117" s="39">
        <v>84</v>
      </c>
      <c r="GF117">
        <f t="shared" si="137"/>
        <v>86</v>
      </c>
      <c r="GG117">
        <f t="shared" si="138"/>
        <v>116</v>
      </c>
      <c r="GH117">
        <f t="shared" si="139"/>
        <v>2</v>
      </c>
      <c r="GI117">
        <f t="shared" si="140"/>
        <v>2</v>
      </c>
      <c r="GJ117">
        <f t="shared" si="93"/>
        <v>202</v>
      </c>
      <c r="GK117" s="34">
        <v>7.846002393807562E-4</v>
      </c>
      <c r="GL117">
        <v>11.870037613196869</v>
      </c>
      <c r="GM117">
        <v>7.2808633974652164</v>
      </c>
      <c r="GN117">
        <v>4.8508091569086809E-2</v>
      </c>
      <c r="GO117">
        <v>5.000638301975481E-2</v>
      </c>
      <c r="GP117">
        <f t="shared" si="141"/>
        <v>11.870037613196869</v>
      </c>
      <c r="GQ117" t="s">
        <v>1300</v>
      </c>
      <c r="GR117">
        <v>9.2573409100565449</v>
      </c>
      <c r="GS117">
        <v>5.9758865385372593</v>
      </c>
      <c r="GT117">
        <v>8.7443491568241286E-2</v>
      </c>
      <c r="GU117">
        <v>9.4675792227098196E-2</v>
      </c>
      <c r="GV117">
        <f t="shared" si="142"/>
        <v>9.2573409100565449</v>
      </c>
      <c r="GW117">
        <v>75.367511513738393</v>
      </c>
      <c r="GX117">
        <v>202</v>
      </c>
      <c r="GY117">
        <v>4</v>
      </c>
      <c r="GZ117">
        <v>206</v>
      </c>
      <c r="HA117">
        <v>45.731936881736289</v>
      </c>
      <c r="HB117">
        <v>160.26806311826371</v>
      </c>
      <c r="HC117">
        <v>533.97492465459118</v>
      </c>
      <c r="HD117">
        <v>152.36789585903998</v>
      </c>
      <c r="HE117">
        <v>686.34282051363118</v>
      </c>
      <c r="HF117">
        <v>2.7899037123495234E-151</v>
      </c>
      <c r="HG117">
        <v>45.731936881736289</v>
      </c>
      <c r="HH117">
        <v>1</v>
      </c>
      <c r="HI117">
        <v>1</v>
      </c>
      <c r="HJ117">
        <v>2</v>
      </c>
      <c r="HK117" s="37">
        <v>7.9182370417193406E-151</v>
      </c>
      <c r="HL117" s="30" t="s">
        <v>262</v>
      </c>
      <c r="HM117">
        <v>141.58223314971099</v>
      </c>
      <c r="HN117">
        <v>5.6225918718115489E-3</v>
      </c>
      <c r="HO117">
        <v>86</v>
      </c>
      <c r="HP117">
        <v>116</v>
      </c>
      <c r="HQ117">
        <v>202</v>
      </c>
      <c r="HR117">
        <v>63.144380841493486</v>
      </c>
      <c r="HS117">
        <v>138.85561915850653</v>
      </c>
      <c r="HT117">
        <v>8.272776138703124</v>
      </c>
      <c r="HU117">
        <v>3.7620323202216537</v>
      </c>
      <c r="HV117">
        <v>12.034808458924777</v>
      </c>
      <c r="HW117">
        <v>5.2216199795387366E-4</v>
      </c>
      <c r="HX117">
        <v>63.144380841493486</v>
      </c>
      <c r="HY117">
        <v>1</v>
      </c>
      <c r="HZ117">
        <v>1</v>
      </c>
      <c r="IA117">
        <v>2</v>
      </c>
      <c r="IB117">
        <v>3.7912473803363498E-3</v>
      </c>
      <c r="IC117" s="30" t="s">
        <v>262</v>
      </c>
      <c r="ID117">
        <v>1.6163720781192952</v>
      </c>
      <c r="IE117">
        <v>0.60633129792572904</v>
      </c>
      <c r="IF117">
        <v>1.6163720781192952</v>
      </c>
      <c r="IG117" t="str">
        <f t="shared" si="84"/>
        <v/>
      </c>
    </row>
    <row r="118" spans="1:241">
      <c r="A118" t="str">
        <f>HYPERLINK("http://exon.niaid.nih.gov/transcriptome/S_calcitrans/S1/links/pep/XP_013109903.1-pep.txt","XP_013109903.1")</f>
        <v>XP_013109903.1</v>
      </c>
      <c r="B118" s="30" t="s">
        <v>232</v>
      </c>
      <c r="C118">
        <v>339</v>
      </c>
      <c r="D118" t="s">
        <v>1335</v>
      </c>
      <c r="E118">
        <v>0</v>
      </c>
      <c r="F118" t="s">
        <v>1336</v>
      </c>
      <c r="G118" t="str">
        <f>HYPERLINK("http://exon.niaid.nih.gov/transcriptome/S_calcitrans/S1/links/cds/XM_013254449_1-cds.txt","XM_013254449_1")</f>
        <v>XM_013254449_1</v>
      </c>
      <c r="H118">
        <v>1020</v>
      </c>
      <c r="I118" t="s">
        <v>1337</v>
      </c>
      <c r="J118" s="30" t="s">
        <v>236</v>
      </c>
      <c r="K118" s="30" t="s">
        <v>91</v>
      </c>
      <c r="L118" s="31" t="s">
        <v>1338</v>
      </c>
      <c r="M118" s="30">
        <v>6616</v>
      </c>
      <c r="N118" s="30">
        <v>7635</v>
      </c>
      <c r="O118" s="30" t="s">
        <v>276</v>
      </c>
      <c r="P118" s="30">
        <v>1</v>
      </c>
      <c r="Q118" s="31" t="s">
        <v>1339</v>
      </c>
      <c r="R118" s="32" t="str">
        <f>HYPERLINK("http://exon.niaid.nih.gov/transcriptome/S_calcitrans/S1/links/Sigp/XP_013109903.1-SigP.txt","SIG")</f>
        <v>SIG</v>
      </c>
      <c r="S118" t="s">
        <v>1107</v>
      </c>
      <c r="T118">
        <v>40.956000000000003</v>
      </c>
      <c r="U118">
        <v>9.0299999999999994</v>
      </c>
      <c r="V118">
        <v>38.031999999999996</v>
      </c>
      <c r="W118">
        <v>8.9700000000000006</v>
      </c>
      <c r="X118" t="s">
        <v>1340</v>
      </c>
      <c r="Y118" s="32" t="str">
        <f>HYPERLINK("http://exon.niaid.nih.gov/transcriptome/S_calcitrans/S1/links/tmhmm/XP_013109903.1-tmhmm.txt","3")</f>
        <v>3</v>
      </c>
      <c r="Z118">
        <v>19.5</v>
      </c>
      <c r="AA118">
        <v>25.4</v>
      </c>
      <c r="AB118">
        <v>55.2</v>
      </c>
      <c r="AC118" t="s">
        <v>242</v>
      </c>
      <c r="AD118" t="s">
        <v>242</v>
      </c>
      <c r="AE118" s="32" t="str">
        <f>HYPERLINK("http://exon.niaid.nih.gov/transcriptome/S_calcitrans/S1/links/netoglyc/XP_013109903.1-netoglyc.txt","0")</f>
        <v>0</v>
      </c>
      <c r="AF118">
        <v>7.7</v>
      </c>
      <c r="AG118">
        <v>3.5</v>
      </c>
      <c r="AH118">
        <v>2.9</v>
      </c>
      <c r="AI118" t="s">
        <v>243</v>
      </c>
      <c r="AJ118" t="s">
        <v>242</v>
      </c>
      <c r="AK118">
        <v>158.98548426470074</v>
      </c>
      <c r="AL118" s="33">
        <v>11066</v>
      </c>
      <c r="AM118">
        <v>1</v>
      </c>
      <c r="AN118" s="30">
        <f t="shared" si="83"/>
        <v>1</v>
      </c>
      <c r="AO118" s="30" t="s">
        <v>244</v>
      </c>
      <c r="AP118">
        <v>10661</v>
      </c>
      <c r="AQ118" s="34">
        <v>4.1409025505139814E-2</v>
      </c>
      <c r="AR118" s="35">
        <v>71.88830920982825</v>
      </c>
      <c r="AS118" t="s">
        <v>1341</v>
      </c>
      <c r="AT118" s="36" t="s">
        <v>1342</v>
      </c>
      <c r="AU118" t="s">
        <v>1343</v>
      </c>
      <c r="AV118" t="str">
        <f>HYPERLINK("http://exon.niaid.nih.gov/transcriptome/S_calcitrans/S1/links/KOG/XP_013109903.1-KOG.txt","KOG")</f>
        <v>KOG</v>
      </c>
      <c r="AW118">
        <v>0</v>
      </c>
      <c r="AX118">
        <v>99.3</v>
      </c>
      <c r="AY118" s="33"/>
      <c r="BG118" s="31"/>
      <c r="BJ118" s="33"/>
      <c r="BK118" s="33"/>
      <c r="BL118" s="33" t="str">
        <f>HYPERLINK("http://exon.niaid.nih.gov/transcriptome/S_calcitrans/S1/links/NR-LIGHT/XP_013109903.1-NR-LIGHT.txt","dnaJ homolog subfamily C member 25 homolog")</f>
        <v>dnaJ homolog subfamily C member 25 homolog</v>
      </c>
      <c r="BM118" t="str">
        <f>HYPERLINK("http://www.ncbi.nlm.nih.gov/sutils/blink.cgi?pid=557779182","1E-179")</f>
        <v>1E-179</v>
      </c>
      <c r="BN118" t="str">
        <f>HYPERLINK("http://www.ncbi.nlm.nih.gov/protein/557779182","gi|557779182")</f>
        <v>gi|557779182</v>
      </c>
      <c r="BO118">
        <v>88</v>
      </c>
      <c r="BP118">
        <v>94</v>
      </c>
      <c r="BQ118">
        <v>100</v>
      </c>
      <c r="BR118" t="s">
        <v>251</v>
      </c>
      <c r="BS118" s="33" t="str">
        <f>HYPERLINK("http://exon.niaid.nih.gov/transcriptome/S_calcitrans/S1/links/SWISSP/XP_013109903.1-SWISSP.txt","DnaJ homolog subfamily C member 25 homolog")</f>
        <v>DnaJ homolog subfamily C member 25 homolog</v>
      </c>
      <c r="BT118" t="str">
        <f>HYPERLINK("http://www.uniprot.org/uniprot/Q9VXT2","1E-151")</f>
        <v>1E-151</v>
      </c>
      <c r="BU118" t="str">
        <f>HYPERLINK("http://www.uniprot.org/uniprot/Q9VXT2#expression","Q9VXT2")</f>
        <v>Q9VXT2</v>
      </c>
      <c r="BV118">
        <v>74</v>
      </c>
      <c r="BW118">
        <v>88</v>
      </c>
      <c r="BX118">
        <v>99</v>
      </c>
      <c r="BY118" t="s">
        <v>304</v>
      </c>
      <c r="BZ118" s="33" t="str">
        <f>HYPERLINK("http://exon.niaid.nih.gov/transcriptome/S_calcitrans/S1/links/REFSEQ-INVERTEBRATE/XP_013109903.1-REFSEQ-INVERTEBRATE.txt","dnaJ homolog subfamily C member 25 homolog")</f>
        <v>dnaJ homolog subfamily C member 25 homolog</v>
      </c>
      <c r="CA118" t="str">
        <f>HYPERLINK("http://www.ncbi.nlm.nih.gov/sutils/blink.cgi?pid=907702993","0.0")</f>
        <v>0.0</v>
      </c>
      <c r="CB118" t="str">
        <f>HYPERLINK("http://www.ncbi.nlm.nih.gov/protein/907702993","gi|907702993")</f>
        <v>gi|907702993</v>
      </c>
      <c r="CC118">
        <v>100</v>
      </c>
      <c r="CD118">
        <v>100</v>
      </c>
      <c r="CE118">
        <v>100</v>
      </c>
      <c r="CF118" t="s">
        <v>253</v>
      </c>
      <c r="CG118" s="33" t="str">
        <f>HYPERLINK("http://exon.niaid.nih.gov/transcriptome/S_calcitrans/S1/links/DIPTERA/XP_013109903.1-DIPTERA.txt","dnaJ homolog subfamily C member 25 homolog")</f>
        <v>dnaJ homolog subfamily C member 25 homolog</v>
      </c>
      <c r="CH118" t="str">
        <f>HYPERLINK("http://www.ncbi.nlm.nih.gov/sutils/blink.cgi?pid=907702993","0.0")</f>
        <v>0.0</v>
      </c>
      <c r="CI118" t="str">
        <f>HYPERLINK("http://www.ncbi.nlm.nih.gov/protein/907702993","gi|907702993")</f>
        <v>gi|907702993</v>
      </c>
      <c r="CJ118">
        <v>100</v>
      </c>
      <c r="CK118">
        <v>100</v>
      </c>
      <c r="CL118">
        <v>100</v>
      </c>
      <c r="CM118" t="s">
        <v>253</v>
      </c>
      <c r="CN118" s="33" t="str">
        <f>HYPERLINK("http://exon.niaid.nih.gov/transcriptome/S_calcitrans/S1/links/VIRUS/XP_013109903.1-VIRUS.txt","putative DnaJ/Hsp40")</f>
        <v>putative DnaJ/Hsp40</v>
      </c>
      <c r="CO118" t="str">
        <f>HYPERLINK("http://www.ncbi.nlm.nih.gov/sutils/blink.cgi?pid=310831116","3E-011")</f>
        <v>3E-011</v>
      </c>
      <c r="CP118" t="str">
        <f>HYPERLINK("http://www.ncbi.nlm.nih.gov/protein/310831116","gi|310831116")</f>
        <v>gi|310831116</v>
      </c>
      <c r="CQ118">
        <v>50</v>
      </c>
      <c r="CR118">
        <v>70</v>
      </c>
      <c r="CS118">
        <v>16</v>
      </c>
      <c r="CT118" t="s">
        <v>1316</v>
      </c>
      <c r="CU118" s="33" t="s">
        <v>1344</v>
      </c>
      <c r="CV118">
        <f>HYPERLINK("http://exon.niaid.nih.gov/transcriptome/S_calcitrans/S1/links/GO/XP_013109903.1-GO.txt",0)</f>
        <v>0</v>
      </c>
      <c r="CW118" t="str">
        <f>HYPERLINK("http://amigo.geneontology.org/cgi-bin/amigo/term_details?term=GO:0003674","GO:0003674")</f>
        <v>GO:0003674</v>
      </c>
      <c r="CX118" t="s">
        <v>255</v>
      </c>
      <c r="CY118" t="s">
        <v>256</v>
      </c>
      <c r="CZ118" t="s">
        <v>257</v>
      </c>
      <c r="DA118" t="s">
        <v>242</v>
      </c>
      <c r="DC118" t="s">
        <v>258</v>
      </c>
      <c r="DD118" s="37">
        <v>9.9999999999999994E-152</v>
      </c>
      <c r="DE118" s="33" t="str">
        <f>HYPERLINK("http://exon.niaid.nih.gov/transcriptome/S_calcitrans/S1/links/CDD/XP_013109903.1-CDD.txt","DnaJ")</f>
        <v>DnaJ</v>
      </c>
      <c r="DF118" t="str">
        <f>HYPERLINK("http://www.ncbi.nlm.nih.gov/Structure/cdd/cddsrv.cgi?uid=COG0484&amp;version=v4.0","9E-018")</f>
        <v>9E-018</v>
      </c>
      <c r="DG118" t="s">
        <v>1345</v>
      </c>
      <c r="DH118" s="33" t="str">
        <f>HYPERLINK("http://exon.niaid.nih.gov/transcriptome/S_calcitrans/S1/links/KOG/XP_013109903.1-KOG.txt","Molecular chaperone (DnaJ superfamily)")</f>
        <v>Molecular chaperone (DnaJ superfamily)</v>
      </c>
      <c r="DI118" t="str">
        <f>HYPERLINK("http://www.ncbi.nlm.nih.gov/Structure/cdd/cddsrv.cgi?uid=KOG0722","1E-148")</f>
        <v>1E-148</v>
      </c>
      <c r="DJ118" t="s">
        <v>373</v>
      </c>
      <c r="DK118" t="str">
        <f>HYPERLINK("http://exon.niaid.nih.gov/transcriptome/S_calcitrans/S1/links/KOG/XP_013109903.1-KOG.txt","KOG0722")</f>
        <v>KOG0722</v>
      </c>
      <c r="DL118" s="33" t="str">
        <f>HYPERLINK("http://exon.niaid.nih.gov/transcriptome/S_calcitrans/S1/links/PFAM/XP_013109903.1-PFAM.txt","DnaJ")</f>
        <v>DnaJ</v>
      </c>
      <c r="DM118" t="str">
        <f>HYPERLINK("http://pfam.sanger.ac.uk/family?acc=PF00226","3E-019")</f>
        <v>3E-019</v>
      </c>
      <c r="DN118" s="33" t="str">
        <f>HYPERLINK("http://exon.niaid.nih.gov/transcriptome/S_calcitrans/S1/links/SMART/XP_013109903.1-SMART.txt","DnaJ")</f>
        <v>DnaJ</v>
      </c>
      <c r="DO118" t="str">
        <f>HYPERLINK("http://smart.embl-heidelberg.de/smart/do_annotation.pl?DOMAIN=DnaJ&amp;BLAST=DUMMY","6E-015")</f>
        <v>6E-015</v>
      </c>
      <c r="DP118" s="33"/>
      <c r="EB118" s="33">
        <v>4877</v>
      </c>
      <c r="EC118">
        <v>1</v>
      </c>
      <c r="ED118" s="33">
        <v>5891</v>
      </c>
      <c r="EE118">
        <v>1</v>
      </c>
      <c r="EF118" s="33">
        <v>6533</v>
      </c>
      <c r="EG118">
        <v>1</v>
      </c>
      <c r="EH118" s="33">
        <v>7019</v>
      </c>
      <c r="EI118">
        <v>1</v>
      </c>
      <c r="EJ118" s="33">
        <v>7533</v>
      </c>
      <c r="EK118">
        <v>1</v>
      </c>
      <c r="EL118" s="33">
        <v>7931</v>
      </c>
      <c r="EM118">
        <v>1</v>
      </c>
      <c r="EN118" s="33">
        <v>8392</v>
      </c>
      <c r="EO118">
        <v>1</v>
      </c>
      <c r="EP118" s="33">
        <v>8763</v>
      </c>
      <c r="EQ118">
        <v>1</v>
      </c>
      <c r="ER118" s="33">
        <v>9091</v>
      </c>
      <c r="ES118">
        <v>1</v>
      </c>
      <c r="ET118" s="33">
        <v>9365</v>
      </c>
      <c r="EU118">
        <v>1</v>
      </c>
      <c r="EV118" s="33">
        <v>9651</v>
      </c>
      <c r="EW118">
        <v>1</v>
      </c>
      <c r="EX118" s="33">
        <v>9923</v>
      </c>
      <c r="EY118">
        <v>1</v>
      </c>
      <c r="EZ118" s="33">
        <v>10237</v>
      </c>
      <c r="FA118">
        <v>1</v>
      </c>
      <c r="FB118" s="33">
        <v>10570</v>
      </c>
      <c r="FC118">
        <v>1</v>
      </c>
      <c r="FD118" s="33">
        <v>11066</v>
      </c>
      <c r="FE118">
        <v>1</v>
      </c>
      <c r="FF118" t="s">
        <v>1346</v>
      </c>
      <c r="FG118">
        <v>15038</v>
      </c>
      <c r="FH118" s="38" t="str">
        <f>HYPERLINK("http://exon.niaid.nih.gov/transcriptome/S_calcitrans/S1/links/SG_male-stripped_temp-95-h10-1gap/15038-SG_male-stripped_temp-95-h10-1gap.txt","3943")</f>
        <v>3943</v>
      </c>
      <c r="FI118" s="39">
        <v>100</v>
      </c>
      <c r="FJ118" s="39">
        <v>278.185294117647</v>
      </c>
      <c r="FK118" s="39">
        <v>147</v>
      </c>
      <c r="FL118" s="39">
        <v>496</v>
      </c>
      <c r="FM118" s="39">
        <v>71.962972356074104</v>
      </c>
      <c r="FN118" s="38" t="str">
        <f>HYPERLINK("http://exon.niaid.nih.gov/transcriptome/S_calcitrans/S1/links/SG_female-stripped_temp-95-h10-1gap/15038-SG_female-stripped_temp-95-h10-1gap.txt","6718")</f>
        <v>6718</v>
      </c>
      <c r="FO118" s="39">
        <v>100</v>
      </c>
      <c r="FP118" s="39">
        <v>473.31862745097999</v>
      </c>
      <c r="FQ118" s="39">
        <v>250</v>
      </c>
      <c r="FR118" s="39">
        <v>782</v>
      </c>
      <c r="FS118" s="39">
        <v>71.865733849359898</v>
      </c>
      <c r="FT118" s="38" t="str">
        <f>HYPERLINK("http://exon.niaid.nih.gov/transcriptome/S_calcitrans/S1/links/SRR694289-stripped_temp-95-h10-1gap/15038-SRR694289-stripped_temp-95-h10-1gap.txt","123")</f>
        <v>123</v>
      </c>
      <c r="FU118" s="39">
        <v>100</v>
      </c>
      <c r="FV118" s="39">
        <v>11.434313725490201</v>
      </c>
      <c r="FW118" s="39">
        <v>1</v>
      </c>
      <c r="FX118" s="39">
        <v>25</v>
      </c>
      <c r="FY118" s="39">
        <v>94.821138211382106</v>
      </c>
      <c r="FZ118" s="38" t="str">
        <f>HYPERLINK("http://exon.niaid.nih.gov/transcriptome/S_calcitrans/S1/links/SRR694925-stripped_temp-95-h10-1gap/15038-SRR694925-stripped_temp-95-h10-1gap.txt","111")</f>
        <v>111</v>
      </c>
      <c r="GA118" s="39">
        <v>100</v>
      </c>
      <c r="GB118" s="39">
        <v>10.4774509803922</v>
      </c>
      <c r="GC118" s="39">
        <v>1</v>
      </c>
      <c r="GD118" s="39">
        <v>24</v>
      </c>
      <c r="GE118" s="39">
        <v>96.279279279279294</v>
      </c>
      <c r="GF118">
        <f t="shared" si="137"/>
        <v>3943</v>
      </c>
      <c r="GG118">
        <f t="shared" si="138"/>
        <v>6718</v>
      </c>
      <c r="GH118">
        <f t="shared" si="139"/>
        <v>123</v>
      </c>
      <c r="GI118">
        <f t="shared" si="140"/>
        <v>111</v>
      </c>
      <c r="GJ118">
        <f t="shared" si="93"/>
        <v>10661</v>
      </c>
      <c r="GK118" s="34">
        <v>4.1409025505139814E-2</v>
      </c>
      <c r="GL118">
        <v>126.45284221607336</v>
      </c>
      <c r="GM118">
        <v>97.97450263766568</v>
      </c>
      <c r="GN118">
        <v>0.6931663614364949</v>
      </c>
      <c r="GO118">
        <v>0.64486172455916169</v>
      </c>
      <c r="GP118">
        <f t="shared" si="141"/>
        <v>126.45284221607336</v>
      </c>
      <c r="GQ118" t="s">
        <v>1343</v>
      </c>
      <c r="GR118">
        <v>98.619491157998766</v>
      </c>
      <c r="GS118">
        <v>80.414159622352216</v>
      </c>
      <c r="GT118">
        <v>1.2495417758361775</v>
      </c>
      <c r="GU118">
        <v>1.2209000324109178</v>
      </c>
      <c r="GV118">
        <f t="shared" si="142"/>
        <v>98.619491157998766</v>
      </c>
      <c r="GW118">
        <v>71.88830920982825</v>
      </c>
      <c r="GX118">
        <v>10661</v>
      </c>
      <c r="GY118">
        <v>234</v>
      </c>
      <c r="GZ118">
        <v>10895</v>
      </c>
      <c r="HA118">
        <v>2418.6866617792084</v>
      </c>
      <c r="HB118">
        <v>8476.3133382207925</v>
      </c>
      <c r="HC118">
        <v>28087.858687506974</v>
      </c>
      <c r="HD118">
        <v>8014.7732221131319</v>
      </c>
      <c r="HE118">
        <v>36102.631909620104</v>
      </c>
      <c r="HF118">
        <v>0</v>
      </c>
      <c r="HG118">
        <v>2418.6866617792084</v>
      </c>
      <c r="HH118">
        <v>1</v>
      </c>
      <c r="HI118">
        <v>1</v>
      </c>
      <c r="HJ118">
        <v>2</v>
      </c>
      <c r="HK118">
        <v>0</v>
      </c>
      <c r="HL118" s="30" t="s">
        <v>262</v>
      </c>
      <c r="HM118">
        <v>158.98548426470074</v>
      </c>
      <c r="HN118">
        <v>6.2625295229504835E-3</v>
      </c>
      <c r="HO118">
        <v>3943</v>
      </c>
      <c r="HP118">
        <v>6718</v>
      </c>
      <c r="HQ118">
        <v>10661</v>
      </c>
      <c r="HR118">
        <v>3332.5853670849606</v>
      </c>
      <c r="HS118">
        <v>7328.4146329150399</v>
      </c>
      <c r="HT118">
        <v>111.80689555830457</v>
      </c>
      <c r="HU118">
        <v>50.844015075685007</v>
      </c>
      <c r="HV118">
        <v>162.65091063398958</v>
      </c>
      <c r="HW118">
        <v>2.981845072993136E-37</v>
      </c>
      <c r="HX118">
        <v>3332.5853670849606</v>
      </c>
      <c r="HY118">
        <v>1</v>
      </c>
      <c r="HZ118">
        <v>1</v>
      </c>
      <c r="IA118">
        <v>2</v>
      </c>
      <c r="IB118" s="37">
        <v>1.9747059734513299E-35</v>
      </c>
      <c r="IC118" s="30" t="s">
        <v>262</v>
      </c>
      <c r="ID118">
        <v>1.2904788350475267</v>
      </c>
      <c r="IE118">
        <v>0.77459438250476309</v>
      </c>
      <c r="IF118">
        <v>1.2904788350475267</v>
      </c>
      <c r="IG118" t="str">
        <f t="shared" si="84"/>
        <v/>
      </c>
    </row>
    <row r="119" spans="1:241">
      <c r="A119" t="str">
        <f>HYPERLINK("http://exon.niaid.nih.gov/transcriptome/S_calcitrans/S1/links/pep/XP_013111323.1-pep.txt","XP_013111323.1")</f>
        <v>XP_013111323.1</v>
      </c>
      <c r="B119" s="30" t="s">
        <v>232</v>
      </c>
      <c r="C119">
        <v>73</v>
      </c>
      <c r="D119" t="s">
        <v>1347</v>
      </c>
      <c r="E119">
        <v>0</v>
      </c>
      <c r="F119" t="s">
        <v>1348</v>
      </c>
      <c r="G119" t="str">
        <f>HYPERLINK("http://exon.niaid.nih.gov/transcriptome/S_calcitrans/S1/links/cds/XM_013255869_1-cds.txt","XM_013255869_1")</f>
        <v>XM_013255869_1</v>
      </c>
      <c r="H119">
        <v>222</v>
      </c>
      <c r="I119" t="s">
        <v>1349</v>
      </c>
      <c r="J119" s="30" t="s">
        <v>236</v>
      </c>
      <c r="K119" s="30" t="s">
        <v>91</v>
      </c>
      <c r="L119" s="31" t="s">
        <v>1350</v>
      </c>
      <c r="M119" s="30">
        <v>182976</v>
      </c>
      <c r="N119" s="30">
        <v>184577</v>
      </c>
      <c r="O119" s="30" t="s">
        <v>238</v>
      </c>
      <c r="P119" s="30">
        <v>3</v>
      </c>
      <c r="Q119" s="31" t="s">
        <v>1351</v>
      </c>
      <c r="R119" s="32" t="str">
        <f>HYPERLINK("http://exon.niaid.nih.gov/transcriptome/S_calcitrans/S1/links/Sigp/XP_013111323.1-SigP.txt","CYT")</f>
        <v>CYT</v>
      </c>
      <c r="S119" t="s">
        <v>242</v>
      </c>
      <c r="T119">
        <v>8.5579999999999998</v>
      </c>
      <c r="U119">
        <v>8.5299999999999994</v>
      </c>
      <c r="V119" t="s">
        <v>242</v>
      </c>
      <c r="W119" t="s">
        <v>242</v>
      </c>
      <c r="X119" t="s">
        <v>720</v>
      </c>
      <c r="Y119" s="32">
        <v>0</v>
      </c>
      <c r="Z119" t="s">
        <v>242</v>
      </c>
      <c r="AA119" t="s">
        <v>242</v>
      </c>
      <c r="AB119" t="s">
        <v>242</v>
      </c>
      <c r="AC119" t="s">
        <v>242</v>
      </c>
      <c r="AD119" t="s">
        <v>242</v>
      </c>
      <c r="AE119" s="32" t="str">
        <f>HYPERLINK("http://exon.niaid.nih.gov/transcriptome/S_calcitrans/S1/links/netoglyc/XP_013111323.1-netoglyc.txt","0")</f>
        <v>0</v>
      </c>
      <c r="AF119">
        <v>9.6</v>
      </c>
      <c r="AG119">
        <v>5.5</v>
      </c>
      <c r="AH119">
        <v>1.4</v>
      </c>
      <c r="AI119" t="s">
        <v>243</v>
      </c>
      <c r="AJ119" t="s">
        <v>242</v>
      </c>
      <c r="AK119">
        <v>112.84524523318548</v>
      </c>
      <c r="AL119" s="33">
        <v>11837</v>
      </c>
      <c r="AM119">
        <v>1</v>
      </c>
      <c r="AN119" s="30">
        <f t="shared" si="83"/>
        <v>1</v>
      </c>
      <c r="AO119" s="30" t="s">
        <v>244</v>
      </c>
      <c r="AP119">
        <v>161</v>
      </c>
      <c r="AQ119" s="34">
        <v>6.2534969574406802E-4</v>
      </c>
      <c r="AR119" s="35">
        <v>62.258914029741071</v>
      </c>
      <c r="AS119" t="s">
        <v>1352</v>
      </c>
      <c r="AT119" s="36" t="s">
        <v>1353</v>
      </c>
      <c r="AU119" t="s">
        <v>1300</v>
      </c>
      <c r="AV119" t="str">
        <f>HYPERLINK("http://exon.niaid.nih.gov/transcriptome/S_calcitrans/S1/links/KOG/XP_013111323.1-KOG.txt","KOG")</f>
        <v>KOG</v>
      </c>
      <c r="AW119" s="37">
        <v>1.0000000000000001E-43</v>
      </c>
      <c r="AX119">
        <v>100</v>
      </c>
      <c r="AY119" s="33"/>
      <c r="BG119" s="31"/>
      <c r="BJ119" s="33"/>
      <c r="BK119" s="33"/>
      <c r="BL119" s="33" t="str">
        <f>HYPERLINK("http://exon.niaid.nih.gov/transcriptome/S_calcitrans/S1/links/NR-LIGHT/XP_013111323.1-NR-LIGHT.txt","ubiquitin-like protein 5")</f>
        <v>ubiquitin-like protein 5</v>
      </c>
      <c r="BM119" t="str">
        <f>HYPERLINK("http://www.ncbi.nlm.nih.gov/sutils/blink.cgi?pid=557775430","4E-036")</f>
        <v>4E-036</v>
      </c>
      <c r="BN119" t="str">
        <f>HYPERLINK("http://www.ncbi.nlm.nih.gov/protein/557775430","gi|557775430")</f>
        <v>gi|557775430</v>
      </c>
      <c r="BO119">
        <v>98</v>
      </c>
      <c r="BP119">
        <v>100</v>
      </c>
      <c r="BQ119">
        <v>100</v>
      </c>
      <c r="BR119" t="s">
        <v>251</v>
      </c>
      <c r="BS119" s="33" t="str">
        <f>HYPERLINK("http://exon.niaid.nih.gov/transcriptome/S_calcitrans/S1/links/SWISSP/XP_013111323.1-SWISSP.txt","Ubiquitin-like protein 5")</f>
        <v>Ubiquitin-like protein 5</v>
      </c>
      <c r="BT119" t="str">
        <f>HYPERLINK("http://www.uniprot.org/uniprot/Q9V998","2E-035")</f>
        <v>2E-035</v>
      </c>
      <c r="BU119" t="str">
        <f>HYPERLINK("http://www.uniprot.org/uniprot/Q9V998#expression","Q9V998")</f>
        <v>Q9V998</v>
      </c>
      <c r="BV119">
        <v>94</v>
      </c>
      <c r="BW119">
        <v>98</v>
      </c>
      <c r="BX119">
        <v>100</v>
      </c>
      <c r="BY119" t="s">
        <v>304</v>
      </c>
      <c r="BZ119" s="33" t="str">
        <f>HYPERLINK("http://exon.niaid.nih.gov/transcriptome/S_calcitrans/S1/links/REFSEQ-INVERTEBRATE/XP_013111323.1-REFSEQ-INVERTEBRATE.txt","ubiquitin-like protein 5")</f>
        <v>ubiquitin-like protein 5</v>
      </c>
      <c r="CA119" t="str">
        <f>HYPERLINK("http://www.ncbi.nlm.nih.gov/sutils/blink.cgi?pid=907711474","1E-036")</f>
        <v>1E-036</v>
      </c>
      <c r="CB119" t="str">
        <f>HYPERLINK("http://www.ncbi.nlm.nih.gov/protein/907711474","gi|907711474")</f>
        <v>gi|907711474</v>
      </c>
      <c r="CC119">
        <v>100</v>
      </c>
      <c r="CD119">
        <v>100</v>
      </c>
      <c r="CE119">
        <v>100</v>
      </c>
      <c r="CF119" t="s">
        <v>253</v>
      </c>
      <c r="CG119" s="33" t="str">
        <f>HYPERLINK("http://exon.niaid.nih.gov/transcriptome/S_calcitrans/S1/links/DIPTERA/XP_013111323.1-DIPTERA.txt","ubiquitin-like protein 5")</f>
        <v>ubiquitin-like protein 5</v>
      </c>
      <c r="CH119" t="str">
        <f>HYPERLINK("http://www.ncbi.nlm.nih.gov/sutils/blink.cgi?pid=907711474","6E-037")</f>
        <v>6E-037</v>
      </c>
      <c r="CI119" t="str">
        <f>HYPERLINK("http://www.ncbi.nlm.nih.gov/protein/907711474","gi|907711474")</f>
        <v>gi|907711474</v>
      </c>
      <c r="CJ119">
        <v>100</v>
      </c>
      <c r="CK119">
        <v>100</v>
      </c>
      <c r="CL119">
        <v>100</v>
      </c>
      <c r="CM119" t="s">
        <v>253</v>
      </c>
      <c r="CN119" s="33" t="s">
        <v>242</v>
      </c>
      <c r="CO119" t="s">
        <v>242</v>
      </c>
      <c r="CP119" t="s">
        <v>242</v>
      </c>
      <c r="CQ119" t="s">
        <v>242</v>
      </c>
      <c r="CR119" t="s">
        <v>242</v>
      </c>
      <c r="CS119" t="s">
        <v>242</v>
      </c>
      <c r="CT119" t="s">
        <v>242</v>
      </c>
      <c r="CU119" s="33" t="s">
        <v>1354</v>
      </c>
      <c r="CV119">
        <f>HYPERLINK("http://exon.niaid.nih.gov/transcriptome/S_calcitrans/S1/links/GO/XP_013111323.1-GO.txt",3E-35)</f>
        <v>2.9999999999999999E-35</v>
      </c>
      <c r="CW119" t="str">
        <f>HYPERLINK("http://amigo.geneontology.org/cgi-bin/amigo/term_details?term=GO:0031386","GO:0031386")</f>
        <v>GO:0031386</v>
      </c>
      <c r="CX119" t="s">
        <v>1355</v>
      </c>
      <c r="CY119" t="s">
        <v>1356</v>
      </c>
      <c r="CZ119" t="s">
        <v>1357</v>
      </c>
      <c r="DA119" t="s">
        <v>242</v>
      </c>
      <c r="DC119" t="s">
        <v>1358</v>
      </c>
      <c r="DD119" s="37">
        <v>2.9999999999999999E-35</v>
      </c>
      <c r="DE119" s="33" t="str">
        <f>HYPERLINK("http://exon.niaid.nih.gov/transcriptome/S_calcitrans/S1/links/CDD/XP_013111323.1-CDD.txt","Ubl5")</f>
        <v>Ubl5</v>
      </c>
      <c r="DF119" t="str">
        <f>HYPERLINK("http://www.ncbi.nlm.nih.gov/Structure/cdd/cddsrv.cgi?uid=cd01791&amp;version=v4.0","1E-033")</f>
        <v>1E-033</v>
      </c>
      <c r="DG119" t="s">
        <v>1359</v>
      </c>
      <c r="DH119" s="33" t="str">
        <f>HYPERLINK("http://exon.niaid.nih.gov/transcriptome/S_calcitrans/S1/links/KOG/XP_013111323.1-KOG.txt","Ubiquitin-like protein")</f>
        <v>Ubiquitin-like protein</v>
      </c>
      <c r="DI119" t="str">
        <f>HYPERLINK("http://www.ncbi.nlm.nih.gov/Structure/cdd/cddsrv.cgi?uid=KOG3493","1E-043")</f>
        <v>1E-043</v>
      </c>
      <c r="DJ119" t="s">
        <v>373</v>
      </c>
      <c r="DK119" t="str">
        <f>HYPERLINK("http://exon.niaid.nih.gov/transcriptome/S_calcitrans/S1/links/KOG/XP_013111323.1-KOG.txt","KOG3493")</f>
        <v>KOG3493</v>
      </c>
      <c r="DL119" s="33" t="str">
        <f>HYPERLINK("http://exon.niaid.nih.gov/transcriptome/S_calcitrans/S1/links/PFAM/XP_013111323.1-PFAM.txt","Ubiquitin_2")</f>
        <v>Ubiquitin_2</v>
      </c>
      <c r="DM119" t="str">
        <f>HYPERLINK("http://pfam.sanger.ac.uk/family?acc=PF14560","0.003")</f>
        <v>0.003</v>
      </c>
      <c r="DN119" s="33" t="str">
        <f>HYPERLINK("http://exon.niaid.nih.gov/transcriptome/S_calcitrans/S1/links/SMART/XP_013111323.1-SMART.txt","UBQ")</f>
        <v>UBQ</v>
      </c>
      <c r="DO119" t="str">
        <f>HYPERLINK("http://smart.embl-heidelberg.de/smart/do_annotation.pl?DOMAIN=UBQ&amp;BLAST=DUMMY","0.002")</f>
        <v>0.002</v>
      </c>
      <c r="DP119" s="33"/>
      <c r="EB119" s="33">
        <v>5091</v>
      </c>
      <c r="EC119">
        <v>1</v>
      </c>
      <c r="ED119" s="33">
        <v>6154</v>
      </c>
      <c r="EE119">
        <v>1</v>
      </c>
      <c r="EF119" s="33">
        <v>6846</v>
      </c>
      <c r="EG119">
        <v>1</v>
      </c>
      <c r="EH119" s="33">
        <v>7382</v>
      </c>
      <c r="EI119">
        <v>1</v>
      </c>
      <c r="EJ119" s="33">
        <v>7941</v>
      </c>
      <c r="EK119">
        <v>1</v>
      </c>
      <c r="EL119" s="33">
        <v>8374</v>
      </c>
      <c r="EM119">
        <v>1</v>
      </c>
      <c r="EN119" s="33">
        <v>8858</v>
      </c>
      <c r="EO119">
        <v>1</v>
      </c>
      <c r="EP119" s="33">
        <v>9256</v>
      </c>
      <c r="EQ119">
        <v>1</v>
      </c>
      <c r="ER119" s="33">
        <v>9611</v>
      </c>
      <c r="ES119">
        <v>1</v>
      </c>
      <c r="ET119" s="33">
        <v>9913</v>
      </c>
      <c r="EU119">
        <v>1</v>
      </c>
      <c r="EV119" s="33">
        <v>10252</v>
      </c>
      <c r="EW119">
        <v>1</v>
      </c>
      <c r="EX119" s="33">
        <v>10551</v>
      </c>
      <c r="EY119">
        <v>1</v>
      </c>
      <c r="EZ119" s="33">
        <v>10900</v>
      </c>
      <c r="FA119">
        <v>1</v>
      </c>
      <c r="FB119" s="33">
        <v>11281</v>
      </c>
      <c r="FC119">
        <v>1</v>
      </c>
      <c r="FD119" s="33">
        <v>11837</v>
      </c>
      <c r="FE119">
        <v>1</v>
      </c>
      <c r="FF119" t="s">
        <v>1360</v>
      </c>
      <c r="FG119">
        <v>16309</v>
      </c>
      <c r="FH119" s="38" t="str">
        <f>HYPERLINK("http://exon.niaid.nih.gov/transcriptome/S_calcitrans/S1/links/SG_male-stripped_temp-95-h10-1gap/16309-SG_male-stripped_temp-95-h10-1gap.txt","67")</f>
        <v>67</v>
      </c>
      <c r="FI119" s="39">
        <v>100</v>
      </c>
      <c r="FJ119" s="39">
        <v>21.5945945945946</v>
      </c>
      <c r="FK119" s="39">
        <v>2</v>
      </c>
      <c r="FL119" s="39">
        <v>47</v>
      </c>
      <c r="FM119" s="39">
        <v>71.552238805970106</v>
      </c>
      <c r="FN119" s="38" t="str">
        <f>HYPERLINK("http://exon.niaid.nih.gov/transcriptome/S_calcitrans/S1/links/SG_female-stripped_temp-95-h10-1gap/16309-SG_female-stripped_temp-95-h10-1gap.txt","94")</f>
        <v>94</v>
      </c>
      <c r="FO119" s="39">
        <v>100</v>
      </c>
      <c r="FP119" s="39">
        <v>30.229729729729701</v>
      </c>
      <c r="FQ119" s="39">
        <v>4</v>
      </c>
      <c r="FR119" s="39">
        <v>60</v>
      </c>
      <c r="FS119" s="39">
        <v>71.393617021276597</v>
      </c>
      <c r="FT119" s="38" t="str">
        <f>HYPERLINK("http://exon.niaid.nih.gov/transcriptome/S_calcitrans/S1/links/SRR694289-stripped_temp-95-h10-1gap/16309-SRR694289-stripped_temp-95-h10-1gap.txt","4")</f>
        <v>4</v>
      </c>
      <c r="FU119" s="39">
        <v>57.657657657657701</v>
      </c>
      <c r="FV119" s="39">
        <v>1.63063063063063</v>
      </c>
      <c r="FW119" s="39">
        <v>0</v>
      </c>
      <c r="FX119" s="39">
        <v>4</v>
      </c>
      <c r="FY119" s="39">
        <v>90.5</v>
      </c>
      <c r="FZ119" s="38">
        <v>0</v>
      </c>
      <c r="GA119" s="39" t="s">
        <v>242</v>
      </c>
      <c r="GB119" s="39" t="s">
        <v>242</v>
      </c>
      <c r="GC119" s="39" t="s">
        <v>242</v>
      </c>
      <c r="GD119" s="39" t="s">
        <v>242</v>
      </c>
      <c r="GE119" s="39" t="s">
        <v>242</v>
      </c>
      <c r="GF119">
        <f t="shared" si="137"/>
        <v>67</v>
      </c>
      <c r="GG119">
        <f t="shared" si="138"/>
        <v>94</v>
      </c>
      <c r="GH119">
        <f t="shared" si="139"/>
        <v>4</v>
      </c>
      <c r="GI119">
        <f t="shared" si="140"/>
        <v>0</v>
      </c>
      <c r="GJ119">
        <f t="shared" si="93"/>
        <v>161</v>
      </c>
      <c r="GK119" s="34">
        <v>6.2534969574406802E-4</v>
      </c>
      <c r="GL119">
        <v>9.8724244322204644</v>
      </c>
      <c r="GM119">
        <v>6.2986593184502206</v>
      </c>
      <c r="GN119">
        <v>0.10357133064750967</v>
      </c>
      <c r="GO119">
        <v>0</v>
      </c>
      <c r="GP119">
        <f t="shared" si="141"/>
        <v>9.8724244322204644</v>
      </c>
      <c r="GQ119" t="s">
        <v>1300</v>
      </c>
      <c r="GR119">
        <v>7.6994194589769496</v>
      </c>
      <c r="GS119">
        <v>5.1697266350393392</v>
      </c>
      <c r="GT119">
        <v>0.18670367118624492</v>
      </c>
      <c r="GU119">
        <v>0</v>
      </c>
      <c r="GV119">
        <f t="shared" si="142"/>
        <v>7.6994194589769496</v>
      </c>
      <c r="GW119">
        <v>62.258914029741071</v>
      </c>
      <c r="GX119">
        <v>161</v>
      </c>
      <c r="GY119">
        <v>4</v>
      </c>
      <c r="GZ119">
        <v>165</v>
      </c>
      <c r="HA119">
        <v>36.629949444109165</v>
      </c>
      <c r="HB119">
        <v>128.37005055589083</v>
      </c>
      <c r="HC119">
        <v>422.27493376358979</v>
      </c>
      <c r="HD119">
        <v>120.49469022013271</v>
      </c>
      <c r="HE119">
        <v>542.76962398372245</v>
      </c>
      <c r="HF119">
        <v>4.7087917201959787E-120</v>
      </c>
      <c r="HG119">
        <v>36.629949444109165</v>
      </c>
      <c r="HH119">
        <v>1</v>
      </c>
      <c r="HI119">
        <v>1</v>
      </c>
      <c r="HJ119">
        <v>2</v>
      </c>
      <c r="HK119" s="37">
        <v>1.20374128900023E-119</v>
      </c>
      <c r="HL119" s="30" t="s">
        <v>262</v>
      </c>
      <c r="HM119">
        <v>112.84524523318548</v>
      </c>
      <c r="HN119">
        <v>7.0455935183811385E-3</v>
      </c>
      <c r="HO119">
        <v>67</v>
      </c>
      <c r="HP119">
        <v>94</v>
      </c>
      <c r="HQ119">
        <v>161</v>
      </c>
      <c r="HR119">
        <v>50.327947106338868</v>
      </c>
      <c r="HS119">
        <v>110.67205289366113</v>
      </c>
      <c r="HT119">
        <v>5.5229224252229718</v>
      </c>
      <c r="HU119">
        <v>2.5115405418214198</v>
      </c>
      <c r="HV119">
        <v>8.0344629670443908</v>
      </c>
      <c r="HW119">
        <v>4.5895615407096774E-3</v>
      </c>
      <c r="HX119">
        <v>50.327947106338868</v>
      </c>
      <c r="HY119">
        <v>1</v>
      </c>
      <c r="HZ119">
        <v>1</v>
      </c>
      <c r="IA119">
        <v>2</v>
      </c>
      <c r="IB119">
        <v>2.4720649448176601E-2</v>
      </c>
      <c r="IC119" s="30" t="s">
        <v>262</v>
      </c>
      <c r="ID119">
        <v>1.5508862570841071</v>
      </c>
      <c r="IE119">
        <v>0.62862288976123371</v>
      </c>
      <c r="IF119">
        <v>1.5508862570841071</v>
      </c>
      <c r="IG119" t="str">
        <f t="shared" si="84"/>
        <v/>
      </c>
    </row>
    <row r="120" spans="1:241">
      <c r="A120" t="str">
        <f>HYPERLINK("http://exon.niaid.nih.gov/transcriptome/S_calcitrans/S1/links/pep/XP_013113060.1-pep.txt","XP_013113060.1")</f>
        <v>XP_013113060.1</v>
      </c>
      <c r="B120" s="30" t="s">
        <v>232</v>
      </c>
      <c r="C120">
        <v>125</v>
      </c>
      <c r="D120" t="s">
        <v>1361</v>
      </c>
      <c r="E120">
        <v>0</v>
      </c>
      <c r="F120" t="s">
        <v>1362</v>
      </c>
      <c r="G120" t="str">
        <f>HYPERLINK("http://exon.niaid.nih.gov/transcriptome/S_calcitrans/S1/links/cds/XM_013257606_1-cds.txt","XM_013257606_1")</f>
        <v>XM_013257606_1</v>
      </c>
      <c r="H120">
        <v>378</v>
      </c>
      <c r="I120" t="s">
        <v>1363</v>
      </c>
      <c r="J120" s="30" t="s">
        <v>236</v>
      </c>
      <c r="K120" s="30" t="s">
        <v>91</v>
      </c>
      <c r="L120" s="31" t="s">
        <v>1364</v>
      </c>
      <c r="M120" s="30">
        <v>28079</v>
      </c>
      <c r="N120" s="30">
        <v>28532</v>
      </c>
      <c r="O120" s="30" t="s">
        <v>276</v>
      </c>
      <c r="P120" s="30">
        <v>2</v>
      </c>
      <c r="Q120" s="31" t="s">
        <v>1365</v>
      </c>
      <c r="R120" s="32" t="str">
        <f>HYPERLINK("http://exon.niaid.nih.gov/transcriptome/S_calcitrans/S1/links/Sigp/XP_013113060.1-SigP.txt","CYT")</f>
        <v>CYT</v>
      </c>
      <c r="S120" t="s">
        <v>242</v>
      </c>
      <c r="T120">
        <v>14.648</v>
      </c>
      <c r="U120">
        <v>8.7799999999999994</v>
      </c>
      <c r="V120" t="s">
        <v>242</v>
      </c>
      <c r="W120" t="s">
        <v>242</v>
      </c>
      <c r="X120" t="s">
        <v>720</v>
      </c>
      <c r="Y120" s="32">
        <v>0</v>
      </c>
      <c r="Z120" t="s">
        <v>242</v>
      </c>
      <c r="AA120" t="s">
        <v>242</v>
      </c>
      <c r="AB120" t="s">
        <v>242</v>
      </c>
      <c r="AC120" t="s">
        <v>242</v>
      </c>
      <c r="AD120" t="s">
        <v>242</v>
      </c>
      <c r="AE120" s="32" t="str">
        <f>HYPERLINK("http://exon.niaid.nih.gov/transcriptome/S_calcitrans/S1/links/netoglyc/XP_013113060.1-netoglyc.txt","0")</f>
        <v>0</v>
      </c>
      <c r="AF120">
        <v>10.4</v>
      </c>
      <c r="AG120">
        <v>1.6</v>
      </c>
      <c r="AH120">
        <v>1.6</v>
      </c>
      <c r="AI120" t="s">
        <v>243</v>
      </c>
      <c r="AJ120" t="s">
        <v>242</v>
      </c>
      <c r="AK120">
        <v>111.01385575935497</v>
      </c>
      <c r="AL120" s="33">
        <v>12771</v>
      </c>
      <c r="AM120">
        <v>1</v>
      </c>
      <c r="AN120" s="30">
        <f t="shared" si="83"/>
        <v>1</v>
      </c>
      <c r="AO120" s="30" t="s">
        <v>244</v>
      </c>
      <c r="AP120">
        <v>982</v>
      </c>
      <c r="AQ120" s="34">
        <v>3.8142447280787258E-3</v>
      </c>
      <c r="AR120" s="35">
        <v>52.615080231219885</v>
      </c>
      <c r="AS120" t="s">
        <v>1366</v>
      </c>
      <c r="AT120" s="36" t="s">
        <v>1367</v>
      </c>
      <c r="AU120" t="s">
        <v>619</v>
      </c>
      <c r="AV120" t="str">
        <f>HYPERLINK("http://exon.niaid.nih.gov/transcriptome/S_calcitrans/S1/links/KOG/XP_013113060.1-KOG.txt","KOG")</f>
        <v>KOG</v>
      </c>
      <c r="AW120" s="37">
        <v>3.0000000000000001E-27</v>
      </c>
      <c r="AX120">
        <v>100</v>
      </c>
      <c r="AY120" s="33"/>
      <c r="BG120" s="31"/>
      <c r="BJ120" s="33"/>
      <c r="BK120" s="33"/>
      <c r="BL120" s="33" t="str">
        <f>HYPERLINK("http://exon.niaid.nih.gov/transcriptome/S_calcitrans/S1/links/NR-LIGHT/XP_013113060.1-NR-LIGHT.txt","probable prefoldin subunit 6")</f>
        <v>probable prefoldin subunit 6</v>
      </c>
      <c r="BM120" t="str">
        <f>HYPERLINK("http://www.ncbi.nlm.nih.gov/sutils/blink.cgi?pid=557775921","7E-060")</f>
        <v>7E-060</v>
      </c>
      <c r="BN120" t="str">
        <f>HYPERLINK("http://www.ncbi.nlm.nih.gov/protein/557775921","gi|557775921")</f>
        <v>gi|557775921</v>
      </c>
      <c r="BO120">
        <v>94</v>
      </c>
      <c r="BP120">
        <v>97</v>
      </c>
      <c r="BQ120">
        <v>100</v>
      </c>
      <c r="BR120" t="s">
        <v>251</v>
      </c>
      <c r="BS120" s="33" t="str">
        <f>HYPERLINK("http://exon.niaid.nih.gov/transcriptome/S_calcitrans/S1/links/SWISSP/XP_013113060.1-SWISSP.txt","Probable prefoldin subunit 6")</f>
        <v>Probable prefoldin subunit 6</v>
      </c>
      <c r="BT120" t="str">
        <f>HYPERLINK("http://www.uniprot.org/uniprot/Q9VW56","8E-052")</f>
        <v>8E-052</v>
      </c>
      <c r="BU120" t="str">
        <f>HYPERLINK("http://www.uniprot.org/uniprot/Q9VW56#expression","Q9VW56")</f>
        <v>Q9VW56</v>
      </c>
      <c r="BV120">
        <v>80</v>
      </c>
      <c r="BW120">
        <v>91</v>
      </c>
      <c r="BX120">
        <v>100</v>
      </c>
      <c r="BY120" t="s">
        <v>304</v>
      </c>
      <c r="BZ120" s="33" t="str">
        <f>HYPERLINK("http://exon.niaid.nih.gov/transcriptome/S_calcitrans/S1/links/REFSEQ-INVERTEBRATE/XP_013113060.1-REFSEQ-INVERTEBRATE.txt","probable prefoldin subunit 6")</f>
        <v>probable prefoldin subunit 6</v>
      </c>
      <c r="CA120" t="str">
        <f>HYPERLINK("http://www.ncbi.nlm.nih.gov/sutils/blink.cgi?pid=907721511","3E-063")</f>
        <v>3E-063</v>
      </c>
      <c r="CB120" t="str">
        <f>HYPERLINK("http://www.ncbi.nlm.nih.gov/protein/907721511","gi|907721511")</f>
        <v>gi|907721511</v>
      </c>
      <c r="CC120">
        <v>100</v>
      </c>
      <c r="CD120">
        <v>100</v>
      </c>
      <c r="CE120">
        <v>100</v>
      </c>
      <c r="CF120" t="s">
        <v>253</v>
      </c>
      <c r="CG120" s="33" t="str">
        <f>HYPERLINK("http://exon.niaid.nih.gov/transcriptome/S_calcitrans/S1/links/DIPTERA/XP_013113060.1-DIPTERA.txt","probable prefoldin subunit 6")</f>
        <v>probable prefoldin subunit 6</v>
      </c>
      <c r="CH120" t="str">
        <f>HYPERLINK("http://www.ncbi.nlm.nih.gov/sutils/blink.cgi?pid=907721511","2E-063")</f>
        <v>2E-063</v>
      </c>
      <c r="CI120" t="str">
        <f>HYPERLINK("http://www.ncbi.nlm.nih.gov/protein/907721511","gi|907721511")</f>
        <v>gi|907721511</v>
      </c>
      <c r="CJ120">
        <v>100</v>
      </c>
      <c r="CK120">
        <v>100</v>
      </c>
      <c r="CL120">
        <v>100</v>
      </c>
      <c r="CM120" t="s">
        <v>253</v>
      </c>
      <c r="CN120" s="33" t="s">
        <v>242</v>
      </c>
      <c r="CO120" t="s">
        <v>242</v>
      </c>
      <c r="CP120" t="s">
        <v>242</v>
      </c>
      <c r="CQ120" t="s">
        <v>242</v>
      </c>
      <c r="CR120" t="s">
        <v>242</v>
      </c>
      <c r="CS120" t="s">
        <v>242</v>
      </c>
      <c r="CT120" t="s">
        <v>242</v>
      </c>
      <c r="CU120" s="33" t="s">
        <v>1368</v>
      </c>
      <c r="CV120">
        <f>HYPERLINK("http://exon.niaid.nih.gov/transcriptome/S_calcitrans/S1/links/GO/XP_013113060.1-GO.txt",1E-51)</f>
        <v>1E-51</v>
      </c>
      <c r="CW120" t="str">
        <f>HYPERLINK("http://amigo.geneontology.org/cgi-bin/amigo/term_details?term=GO:0051087","GO:0051087")</f>
        <v>GO:0051087</v>
      </c>
      <c r="CX120" t="s">
        <v>1369</v>
      </c>
      <c r="CY120" t="s">
        <v>1370</v>
      </c>
      <c r="CZ120" t="s">
        <v>1371</v>
      </c>
      <c r="DA120" t="s">
        <v>242</v>
      </c>
      <c r="DC120" t="s">
        <v>1372</v>
      </c>
      <c r="DD120" s="37">
        <v>1E-51</v>
      </c>
      <c r="DE120" s="33" t="str">
        <f>HYPERLINK("http://exon.niaid.nih.gov/transcriptome/S_calcitrans/S1/links/CDD/XP_013113060.1-CDD.txt","Prefoldin_2")</f>
        <v>Prefoldin_2</v>
      </c>
      <c r="DF120" t="str">
        <f>HYPERLINK("http://www.ncbi.nlm.nih.gov/Structure/cdd/cddsrv.cgi?uid=pfam01920&amp;version=v4.0","1E-015")</f>
        <v>1E-015</v>
      </c>
      <c r="DG120" t="s">
        <v>1373</v>
      </c>
      <c r="DH120" s="33" t="str">
        <f>HYPERLINK("http://exon.niaid.nih.gov/transcriptome/S_calcitrans/S1/links/KOG/XP_013113060.1-KOG.txt","Prefoldin subunit 6, KE2 family")</f>
        <v>Prefoldin subunit 6, KE2 family</v>
      </c>
      <c r="DI120" t="str">
        <f>HYPERLINK("http://www.ncbi.nlm.nih.gov/Structure/cdd/cddsrv.cgi?uid=KOG3478","3E-027")</f>
        <v>3E-027</v>
      </c>
      <c r="DJ120" t="s">
        <v>373</v>
      </c>
      <c r="DK120" t="str">
        <f>HYPERLINK("http://exon.niaid.nih.gov/transcriptome/S_calcitrans/S1/links/KOG/XP_013113060.1-KOG.txt","KOG3478")</f>
        <v>KOG3478</v>
      </c>
      <c r="DL120" s="33" t="str">
        <f>HYPERLINK("http://exon.niaid.nih.gov/transcriptome/S_calcitrans/S1/links/PFAM/XP_013113060.1-PFAM.txt","Prefoldin_2")</f>
        <v>Prefoldin_2</v>
      </c>
      <c r="DM120" t="str">
        <f>HYPERLINK("http://pfam.sanger.ac.uk/family?acc=PF01920","6E-013")</f>
        <v>6E-013</v>
      </c>
      <c r="DN120" s="33" t="str">
        <f>HYPERLINK("http://exon.niaid.nih.gov/transcriptome/S_calcitrans/S1/links/SMART/XP_013113060.1-SMART.txt","TBOX")</f>
        <v>TBOX</v>
      </c>
      <c r="DO120" t="str">
        <f>HYPERLINK("http://smart.embl-heidelberg.de/smart/do_annotation.pl?DOMAIN=TBOX&amp;BLAST=DUMMY","0.68")</f>
        <v>0.68</v>
      </c>
      <c r="DP120" s="33"/>
      <c r="EB120" s="33">
        <f>HYPERLINK("http://exon.niaid.nih.gov/transcriptome/S_calcitrans/S1/links/cluster-b/Scalc-pep25-50SimCLU1915.txt", 1915)</f>
        <v>1915</v>
      </c>
      <c r="EC120">
        <f>HYPERLINK("http://exon.niaid.nih.gov/transcriptome/S_calcitrans/S1/links/cluster-b/Scalc-pep25-50SimCLTL1915.txt", 2)</f>
        <v>2</v>
      </c>
      <c r="ED120" s="33">
        <f>HYPERLINK("http://exon.niaid.nih.gov/transcriptome/S_calcitrans/S1/links/cluster-b/Scalc-pep30-50SimCLU2291.txt", 2291)</f>
        <v>2291</v>
      </c>
      <c r="EE120">
        <f>HYPERLINK("http://exon.niaid.nih.gov/transcriptome/S_calcitrans/S1/links/cluster-b/Scalc-pep30-50SimCLTL2291.txt", 2)</f>
        <v>2</v>
      </c>
      <c r="EF120" s="33">
        <f>HYPERLINK("http://exon.niaid.nih.gov/transcriptome/S_calcitrans/S1/links/cluster-b/Scalc-pep35-50SimCLU2441.txt", 2441)</f>
        <v>2441</v>
      </c>
      <c r="EG120">
        <f>HYPERLINK("http://exon.niaid.nih.gov/transcriptome/S_calcitrans/S1/links/cluster-b/Scalc-pep35-50SimCLTL2441.txt", 2)</f>
        <v>2</v>
      </c>
      <c r="EH120" s="33">
        <f>HYPERLINK("http://exon.niaid.nih.gov/transcriptome/S_calcitrans/S1/links/cluster-b/Scalc-pep40-50SimCLU2534.txt", 2534)</f>
        <v>2534</v>
      </c>
      <c r="EI120">
        <f>HYPERLINK("http://exon.niaid.nih.gov/transcriptome/S_calcitrans/S1/links/cluster-b/Scalc-pep40-50SimCLTL2534.txt", 2)</f>
        <v>2</v>
      </c>
      <c r="EJ120" s="33">
        <v>8439</v>
      </c>
      <c r="EK120">
        <v>1</v>
      </c>
      <c r="EL120" s="33">
        <v>8910</v>
      </c>
      <c r="EM120">
        <v>1</v>
      </c>
      <c r="EN120" s="33">
        <v>9437</v>
      </c>
      <c r="EO120">
        <v>1</v>
      </c>
      <c r="EP120" s="33">
        <v>9865</v>
      </c>
      <c r="EQ120">
        <v>1</v>
      </c>
      <c r="ER120" s="33">
        <v>10255</v>
      </c>
      <c r="ES120">
        <v>1</v>
      </c>
      <c r="ET120" s="33">
        <v>10592</v>
      </c>
      <c r="EU120">
        <v>1</v>
      </c>
      <c r="EV120" s="33">
        <v>10961</v>
      </c>
      <c r="EW120">
        <v>1</v>
      </c>
      <c r="EX120" s="33">
        <v>11284</v>
      </c>
      <c r="EY120">
        <v>1</v>
      </c>
      <c r="EZ120" s="33">
        <v>11685</v>
      </c>
      <c r="FA120">
        <v>1</v>
      </c>
      <c r="FB120" s="33">
        <v>12130</v>
      </c>
      <c r="FC120">
        <v>1</v>
      </c>
      <c r="FD120" s="33">
        <v>12771</v>
      </c>
      <c r="FE120">
        <v>1</v>
      </c>
      <c r="FF120" t="s">
        <v>1374</v>
      </c>
      <c r="FG120">
        <v>17858</v>
      </c>
      <c r="FH120" s="38" t="str">
        <f>HYPERLINK("http://exon.niaid.nih.gov/transcriptome/S_calcitrans/S1/links/SG_male-stripped_temp-95-h10-1gap/17858-SG_male-stripped_temp-95-h10-1gap.txt","409")</f>
        <v>409</v>
      </c>
      <c r="FI120" s="39">
        <v>100</v>
      </c>
      <c r="FJ120" s="39">
        <v>74.600529100529101</v>
      </c>
      <c r="FK120" s="39">
        <v>1</v>
      </c>
      <c r="FL120" s="39">
        <v>180</v>
      </c>
      <c r="FM120" s="39">
        <v>68.948655256723697</v>
      </c>
      <c r="FN120" s="38" t="str">
        <f>HYPERLINK("http://exon.niaid.nih.gov/transcriptome/S_calcitrans/S1/links/SG_female-stripped_temp-95-h10-1gap/17858-SG_female-stripped_temp-95-h10-1gap.txt","573")</f>
        <v>573</v>
      </c>
      <c r="FO120" s="39">
        <v>100</v>
      </c>
      <c r="FP120" s="39">
        <v>105.462962962963</v>
      </c>
      <c r="FQ120" s="39">
        <v>2</v>
      </c>
      <c r="FR120" s="39">
        <v>215</v>
      </c>
      <c r="FS120" s="39">
        <v>69.572425828970296</v>
      </c>
      <c r="FT120" s="38" t="str">
        <f>HYPERLINK("http://exon.niaid.nih.gov/transcriptome/S_calcitrans/S1/links/SRR694289-stripped_temp-95-h10-1gap/17858-SRR694289-stripped_temp-95-h10-1gap.txt","15")</f>
        <v>15</v>
      </c>
      <c r="FU120" s="39">
        <v>89.682539682539698</v>
      </c>
      <c r="FV120" s="39">
        <v>3.7169312169312199</v>
      </c>
      <c r="FW120" s="39">
        <v>0</v>
      </c>
      <c r="FX120" s="39">
        <v>9</v>
      </c>
      <c r="FY120" s="39">
        <v>93.6666666666667</v>
      </c>
      <c r="FZ120" s="38" t="str">
        <f>HYPERLINK("http://exon.niaid.nih.gov/transcriptome/S_calcitrans/S1/links/SRR694925-stripped_temp-95-h10-1gap/17858-SRR694925-stripped_temp-95-h10-1gap.txt","15")</f>
        <v>15</v>
      </c>
      <c r="GA120" s="39">
        <v>84.391534391534407</v>
      </c>
      <c r="GB120" s="39">
        <v>3.7698412698412702</v>
      </c>
      <c r="GC120" s="39">
        <v>0</v>
      </c>
      <c r="GD120" s="39">
        <v>10</v>
      </c>
      <c r="GE120" s="39">
        <v>95</v>
      </c>
      <c r="GF120">
        <f t="shared" si="137"/>
        <v>409</v>
      </c>
      <c r="GG120">
        <f t="shared" si="138"/>
        <v>573</v>
      </c>
      <c r="GH120">
        <f t="shared" si="139"/>
        <v>15</v>
      </c>
      <c r="GI120">
        <f t="shared" si="140"/>
        <v>15</v>
      </c>
      <c r="GJ120">
        <f t="shared" si="93"/>
        <v>982</v>
      </c>
      <c r="GK120" s="34">
        <v>3.8142447280787258E-3</v>
      </c>
      <c r="GL120">
        <v>35.394313890734963</v>
      </c>
      <c r="GM120">
        <v>22.549455624867129</v>
      </c>
      <c r="GN120">
        <v>0.22810352583082488</v>
      </c>
      <c r="GO120">
        <v>0.23514906300956132</v>
      </c>
      <c r="GP120">
        <f t="shared" si="141"/>
        <v>35.394313890734963</v>
      </c>
      <c r="GQ120" t="s">
        <v>619</v>
      </c>
      <c r="GR120">
        <v>27.603722973868315</v>
      </c>
      <c r="GS120">
        <v>18.507830866171741</v>
      </c>
      <c r="GT120">
        <v>0.4111926091601823</v>
      </c>
      <c r="GU120">
        <v>0.44520164202028317</v>
      </c>
      <c r="GV120">
        <f t="shared" si="142"/>
        <v>27.603722973868315</v>
      </c>
      <c r="GW120">
        <v>52.615080231219885</v>
      </c>
      <c r="GX120">
        <v>982</v>
      </c>
      <c r="GY120">
        <v>30</v>
      </c>
      <c r="GZ120">
        <v>1012</v>
      </c>
      <c r="HA120">
        <v>224.66368992386955</v>
      </c>
      <c r="HB120">
        <v>787.33631007613042</v>
      </c>
      <c r="HC120">
        <v>2552.9638846138737</v>
      </c>
      <c r="HD120">
        <v>728.47940482291403</v>
      </c>
      <c r="HE120">
        <v>3281.4432894367878</v>
      </c>
      <c r="HF120">
        <v>0</v>
      </c>
      <c r="HG120">
        <v>224.66368992386955</v>
      </c>
      <c r="HH120">
        <v>1</v>
      </c>
      <c r="HI120">
        <v>1</v>
      </c>
      <c r="HJ120">
        <v>2</v>
      </c>
      <c r="HK120">
        <v>0</v>
      </c>
      <c r="HL120" s="30" t="s">
        <v>262</v>
      </c>
      <c r="HM120">
        <v>111.01385575935497</v>
      </c>
      <c r="HN120">
        <v>8.708439597999067E-3</v>
      </c>
      <c r="HO120">
        <v>409</v>
      </c>
      <c r="HP120">
        <v>573</v>
      </c>
      <c r="HQ120">
        <v>982</v>
      </c>
      <c r="HR120">
        <v>306.96921775419111</v>
      </c>
      <c r="HS120">
        <v>675.03078224580895</v>
      </c>
      <c r="HT120">
        <v>33.913108949014607</v>
      </c>
      <c r="HU120">
        <v>15.421934524314528</v>
      </c>
      <c r="HV120">
        <v>49.335043473329137</v>
      </c>
      <c r="HW120">
        <v>2.1577330844621074E-12</v>
      </c>
      <c r="HX120">
        <v>306.96921775419111</v>
      </c>
      <c r="HY120">
        <v>1</v>
      </c>
      <c r="HZ120">
        <v>1</v>
      </c>
      <c r="IA120">
        <v>2</v>
      </c>
      <c r="IB120" s="37">
        <v>5.1044297681770298E-11</v>
      </c>
      <c r="IC120" s="30" t="s">
        <v>262</v>
      </c>
      <c r="ID120">
        <v>1.5668959779240466</v>
      </c>
      <c r="IE120">
        <v>0.6355387202038586</v>
      </c>
      <c r="IF120">
        <v>1.5668959779240466</v>
      </c>
      <c r="IG120" t="str">
        <f t="shared" si="84"/>
        <v/>
      </c>
    </row>
    <row r="121" spans="1:241">
      <c r="A121" s="22" t="s">
        <v>73</v>
      </c>
      <c r="B121" s="23"/>
      <c r="C121" s="24"/>
      <c r="D121" s="24"/>
      <c r="E121" s="24"/>
      <c r="F121" s="24"/>
      <c r="G121" s="24"/>
      <c r="H121" s="24"/>
      <c r="I121" s="24"/>
      <c r="J121" s="23"/>
      <c r="K121" s="23"/>
      <c r="L121" s="25"/>
      <c r="M121" s="23"/>
      <c r="N121" s="23"/>
      <c r="O121" s="23"/>
      <c r="P121" s="23"/>
      <c r="Q121" s="25"/>
      <c r="R121" s="23"/>
      <c r="S121" s="24"/>
      <c r="T121" s="24"/>
      <c r="U121" s="24"/>
      <c r="V121" s="24"/>
      <c r="W121" s="24"/>
      <c r="X121" s="24"/>
      <c r="Y121" s="23"/>
      <c r="Z121" s="24"/>
      <c r="AA121" s="24"/>
      <c r="AB121" s="24"/>
      <c r="AC121" s="24"/>
      <c r="AD121" s="24"/>
      <c r="AE121" s="23"/>
      <c r="AF121" s="24"/>
      <c r="AG121" s="24"/>
      <c r="AH121" s="24"/>
      <c r="AI121" s="24"/>
      <c r="AJ121" s="24"/>
      <c r="AK121" s="24"/>
      <c r="AL121" s="24"/>
      <c r="AM121" s="24"/>
      <c r="AN121" s="23" t="str">
        <f t="shared" si="83"/>
        <v/>
      </c>
      <c r="AO121" s="23" t="s">
        <v>244</v>
      </c>
      <c r="AP121" s="24" t="s">
        <v>244</v>
      </c>
      <c r="AQ121" s="26"/>
      <c r="AR121" s="27"/>
      <c r="AS121" s="24"/>
      <c r="AT121" s="24"/>
      <c r="AU121" s="24"/>
      <c r="AV121" s="24"/>
      <c r="AW121" s="28"/>
      <c r="AX121" s="24"/>
      <c r="AY121" s="24"/>
      <c r="AZ121" s="24"/>
      <c r="BA121" s="24"/>
      <c r="BB121" s="24"/>
      <c r="BC121" s="24"/>
      <c r="BD121" s="24"/>
      <c r="BE121" s="24"/>
      <c r="BF121" s="24"/>
      <c r="BG121" s="25"/>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8"/>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9"/>
      <c r="FI121" s="29"/>
      <c r="FJ121" s="29"/>
      <c r="FK121" s="29"/>
      <c r="FL121" s="29"/>
      <c r="FM121" s="29"/>
      <c r="FN121" s="29"/>
      <c r="FO121" s="29"/>
      <c r="FP121" s="29"/>
      <c r="FQ121" s="29"/>
      <c r="FR121" s="29"/>
      <c r="FS121" s="29"/>
      <c r="FT121" s="29"/>
      <c r="FU121" s="29"/>
      <c r="FV121" s="29"/>
      <c r="FW121" s="29"/>
      <c r="FX121" s="29"/>
      <c r="FY121" s="29"/>
      <c r="FZ121" s="29"/>
      <c r="GA121" s="29"/>
      <c r="GB121" s="29"/>
      <c r="GC121" s="29"/>
      <c r="GD121" s="29"/>
      <c r="GE121" s="29"/>
      <c r="GF121" s="24"/>
      <c r="GG121" s="24"/>
      <c r="GH121" s="24"/>
      <c r="GI121" s="24"/>
      <c r="GJ121" s="24" t="str">
        <f t="shared" si="93"/>
        <v/>
      </c>
      <c r="GK121" s="26"/>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3"/>
      <c r="HM121" s="24"/>
      <c r="HN121" s="24"/>
      <c r="HO121" s="24"/>
      <c r="HP121" s="24"/>
      <c r="HQ121" s="24"/>
      <c r="HR121" s="24"/>
      <c r="HS121" s="24"/>
      <c r="HT121" s="24"/>
      <c r="HU121" s="24"/>
      <c r="HV121" s="24"/>
      <c r="HW121" s="24"/>
      <c r="HX121" s="24"/>
      <c r="HY121" s="24"/>
      <c r="HZ121" s="24"/>
      <c r="IA121" s="24"/>
      <c r="IB121" s="28"/>
      <c r="IC121" s="23"/>
      <c r="ID121" s="24"/>
      <c r="IE121" s="24"/>
      <c r="IF121" s="24"/>
      <c r="IG121" s="24" t="str">
        <f t="shared" si="84"/>
        <v/>
      </c>
    </row>
    <row r="122" spans="1:241">
      <c r="A122" t="str">
        <f>HYPERLINK("http://exon.niaid.nih.gov/transcriptome/S_calcitrans/S1/links/pep/XP_013097357.1-pep.txt","XP_013097357.1")</f>
        <v>XP_013097357.1</v>
      </c>
      <c r="B122" s="30" t="s">
        <v>232</v>
      </c>
      <c r="C122">
        <v>41</v>
      </c>
      <c r="D122" t="s">
        <v>1375</v>
      </c>
      <c r="E122">
        <v>0</v>
      </c>
      <c r="F122" t="s">
        <v>1376</v>
      </c>
      <c r="G122" t="str">
        <f>HYPERLINK("http://exon.niaid.nih.gov/transcriptome/S_calcitrans/S1/links/cds/XM_013241903_1-cds.txt","XM_013241903_1")</f>
        <v>XM_013241903_1</v>
      </c>
      <c r="H122">
        <v>126</v>
      </c>
      <c r="I122" t="s">
        <v>1377</v>
      </c>
      <c r="J122" s="30" t="s">
        <v>236</v>
      </c>
      <c r="K122" s="30" t="s">
        <v>91</v>
      </c>
      <c r="L122" s="31" t="s">
        <v>1056</v>
      </c>
      <c r="M122" s="30">
        <v>2087292</v>
      </c>
      <c r="N122" s="30">
        <v>2087473</v>
      </c>
      <c r="O122" s="30" t="s">
        <v>276</v>
      </c>
      <c r="P122" s="30">
        <v>2</v>
      </c>
      <c r="Q122" s="31" t="s">
        <v>1378</v>
      </c>
      <c r="R122" s="32" t="str">
        <f>HYPERLINK("http://exon.niaid.nih.gov/transcriptome/S_calcitrans/S1/links/Sigp/XP_013097357.1-SigP.txt","SIG")</f>
        <v>SIG</v>
      </c>
      <c r="S122" t="s">
        <v>1379</v>
      </c>
      <c r="T122">
        <v>4.6440000000000001</v>
      </c>
      <c r="U122">
        <v>9.4</v>
      </c>
      <c r="V122">
        <v>1.1970000000000001</v>
      </c>
      <c r="W122">
        <v>10.3</v>
      </c>
      <c r="X122" t="s">
        <v>979</v>
      </c>
      <c r="Y122" s="32" t="str">
        <f>HYPERLINK("http://exon.niaid.nih.gov/transcriptome/S_calcitrans/S1/links/tmhmm/XP_013097357.1-tmhmm.txt","1")</f>
        <v>1</v>
      </c>
      <c r="Z122">
        <v>53.7</v>
      </c>
      <c r="AA122">
        <v>29.3</v>
      </c>
      <c r="AB122">
        <v>17.100000000000001</v>
      </c>
      <c r="AC122" t="s">
        <v>242</v>
      </c>
      <c r="AD122">
        <v>12</v>
      </c>
      <c r="AE122" s="32" t="str">
        <f>HYPERLINK("http://exon.niaid.nih.gov/transcriptome/S_calcitrans/S1/links/netoglyc/XP_013097357.1-netoglyc.txt","0")</f>
        <v>0</v>
      </c>
      <c r="AF122">
        <v>14.6</v>
      </c>
      <c r="AG122">
        <v>2.4</v>
      </c>
      <c r="AH122" t="s">
        <v>460</v>
      </c>
      <c r="AI122" t="s">
        <v>243</v>
      </c>
      <c r="AJ122" t="s">
        <v>242</v>
      </c>
      <c r="AK122">
        <v>553.71269400134497</v>
      </c>
      <c r="AL122" s="33">
        <f>HYPERLINK("http://exon.niaid.nih.gov/transcriptome/S_calcitrans/S1/links/cluster-b/Scalc-pep95-50SimCLU1405.txt", 1405)</f>
        <v>1405</v>
      </c>
      <c r="AM122">
        <f>HYPERLINK("http://exon.niaid.nih.gov/transcriptome/S_calcitrans/S1/links/cluster-b/Scalc-pep95-50SimCLTL1405.txt", 2)</f>
        <v>2</v>
      </c>
      <c r="AN122" s="30">
        <f t="shared" si="83"/>
        <v>1</v>
      </c>
      <c r="AO122" s="30" t="s">
        <v>244</v>
      </c>
      <c r="AP122">
        <v>158</v>
      </c>
      <c r="AQ122" s="34">
        <v>6.1369721694138355E-4</v>
      </c>
      <c r="AR122" s="35">
        <v>112.97328092892567</v>
      </c>
      <c r="AS122" t="s">
        <v>1380</v>
      </c>
      <c r="AT122" s="36" t="s">
        <v>1381</v>
      </c>
      <c r="AU122" t="s">
        <v>1382</v>
      </c>
      <c r="AV122" t="str">
        <f>HYPERLINK("http://exon.niaid.nih.gov/transcriptome/S_calcitrans/S1/links/DIPTERA/XP_013097357.1-DIPTERA.txt","DIPTERA")</f>
        <v>DIPTERA</v>
      </c>
      <c r="AW122">
        <v>5E-15</v>
      </c>
      <c r="AX122">
        <v>100</v>
      </c>
      <c r="AY122" s="33"/>
      <c r="BG122" s="31"/>
      <c r="BJ122" s="33"/>
      <c r="BK122" s="33"/>
      <c r="BL122" s="33" t="str">
        <f>HYPERLINK("http://exon.niaid.nih.gov/transcriptome/S_calcitrans/S1/links/NR-LIGHT/XP_013097357.1-NR-LIGHT.txt","dolichyl-diphosphooligosaccharide--protein glycosyltransferase subunit 4")</f>
        <v>dolichyl-diphosphooligosaccharide--protein glycosyltransferase subunit 4</v>
      </c>
      <c r="BM122" t="str">
        <f>HYPERLINK("http://www.ncbi.nlm.nih.gov/sutils/blink.cgi?pid=557750455","2E-013")</f>
        <v>2E-013</v>
      </c>
      <c r="BN122" t="str">
        <f>HYPERLINK("http://www.ncbi.nlm.nih.gov/protein/557750455","gi|557750455")</f>
        <v>gi|557750455</v>
      </c>
      <c r="BO122">
        <v>92</v>
      </c>
      <c r="BP122">
        <v>100</v>
      </c>
      <c r="BQ122">
        <v>100</v>
      </c>
      <c r="BR122" t="s">
        <v>251</v>
      </c>
      <c r="BS122" s="33" t="str">
        <f>HYPERLINK("http://exon.niaid.nih.gov/transcriptome/S_calcitrans/S1/links/SWISSP/XP_013097357.1-SWISSP.txt","Dolichyl-diphosphooligosaccharide--protein glycosyltransferase subunit 4")</f>
        <v>Dolichyl-diphosphooligosaccharide--protein glycosyltransferase subunit 4</v>
      </c>
      <c r="BT122" t="str">
        <f>HYPERLINK("http://www.uniprot.org/uniprot/B4KQ08","2E-010")</f>
        <v>2E-010</v>
      </c>
      <c r="BU122" t="str">
        <f>HYPERLINK("http://www.uniprot.org/uniprot/B4KQ08#expression","B4KQ08")</f>
        <v>B4KQ08</v>
      </c>
      <c r="BV122">
        <v>80</v>
      </c>
      <c r="BW122">
        <v>87</v>
      </c>
      <c r="BX122">
        <v>103</v>
      </c>
      <c r="BY122" t="s">
        <v>1383</v>
      </c>
      <c r="BZ122" s="33" t="str">
        <f>HYPERLINK("http://exon.niaid.nih.gov/transcriptome/S_calcitrans/S1/links/REFSEQ-INVERTEBRATE/XP_013097357.1-REFSEQ-INVERTEBRATE.txt","dolichyl-diphosphooligosaccharide--protein glycosyltransferase subunit 4")</f>
        <v>dolichyl-diphosphooligosaccharide--protein glycosyltransferase subunit 4</v>
      </c>
      <c r="CA122" t="str">
        <f>HYPERLINK("http://www.ncbi.nlm.nih.gov/sutils/blink.cgi?pid=907596747","9E-015")</f>
        <v>9E-015</v>
      </c>
      <c r="CB122" t="str">
        <f>HYPERLINK("http://www.ncbi.nlm.nih.gov/protein/907596747","gi|907596747")</f>
        <v>gi|907596747</v>
      </c>
      <c r="CC122">
        <v>100</v>
      </c>
      <c r="CD122">
        <v>100</v>
      </c>
      <c r="CE122">
        <v>100</v>
      </c>
      <c r="CF122" t="s">
        <v>253</v>
      </c>
      <c r="CG122" s="33" t="str">
        <f>HYPERLINK("http://exon.niaid.nih.gov/transcriptome/S_calcitrans/S1/links/DIPTERA/XP_013097357.1-DIPTERA.txt","dolichyl-diphosphooligosaccharide--protein glycosyltransferase subunit 4")</f>
        <v>dolichyl-diphosphooligosaccharide--protein glycosyltransferase subunit 4</v>
      </c>
      <c r="CH122" t="str">
        <f>HYPERLINK("http://www.ncbi.nlm.nih.gov/sutils/blink.cgi?pid=907596743","5E-015")</f>
        <v>5E-015</v>
      </c>
      <c r="CI122" t="str">
        <f>HYPERLINK("http://www.ncbi.nlm.nih.gov/protein/907596743","gi|907596743")</f>
        <v>gi|907596743</v>
      </c>
      <c r="CJ122">
        <v>100</v>
      </c>
      <c r="CK122">
        <v>100</v>
      </c>
      <c r="CL122">
        <v>100</v>
      </c>
      <c r="CM122" t="s">
        <v>253</v>
      </c>
      <c r="CN122" s="33" t="s">
        <v>242</v>
      </c>
      <c r="CO122" t="s">
        <v>242</v>
      </c>
      <c r="CP122" t="s">
        <v>242</v>
      </c>
      <c r="CQ122" t="s">
        <v>242</v>
      </c>
      <c r="CR122" t="s">
        <v>242</v>
      </c>
      <c r="CS122" t="s">
        <v>242</v>
      </c>
      <c r="CT122" t="s">
        <v>242</v>
      </c>
      <c r="CU122" s="33" t="s">
        <v>1384</v>
      </c>
      <c r="CV122">
        <f>HYPERLINK("http://exon.niaid.nih.gov/transcriptome/S_calcitrans/S1/links/GO/XP_013097357.1-GO.txt",0.0000000003)</f>
        <v>3E-10</v>
      </c>
      <c r="CW122" t="str">
        <f>HYPERLINK("http://amigo.geneontology.org/cgi-bin/amigo/term_details?term=GO:0004579","GO:0004579")</f>
        <v>GO:0004579</v>
      </c>
      <c r="CX122" t="s">
        <v>1385</v>
      </c>
      <c r="CY122" t="s">
        <v>1386</v>
      </c>
      <c r="CZ122" t="s">
        <v>1387</v>
      </c>
      <c r="DA122" t="str">
        <f>HYPERLINK("http://www.genome.jp/dbget-bin/www_bfind_sub?mode=bfind&amp;max_hit=1000&amp;dbkey=kegg&amp;keywords=EC:2.4.1.119","EC:2.4.1.119")</f>
        <v>EC:2.4.1.119</v>
      </c>
      <c r="DC122" t="s">
        <v>1388</v>
      </c>
      <c r="DD122">
        <v>3E-10</v>
      </c>
      <c r="DE122" s="33" t="str">
        <f>HYPERLINK("http://exon.niaid.nih.gov/transcriptome/S_calcitrans/S1/links/CDD/XP_013097357.1-CDD.txt","Ost4")</f>
        <v>Ost4</v>
      </c>
      <c r="DF122" t="str">
        <f>HYPERLINK("http://www.ncbi.nlm.nih.gov/Structure/cdd/cddsrv.cgi?uid=pfam10215&amp;version=v4.0","2E-006")</f>
        <v>2E-006</v>
      </c>
      <c r="DG122" t="s">
        <v>1389</v>
      </c>
      <c r="DH122" s="33" t="str">
        <f>HYPERLINK("http://exon.niaid.nih.gov/transcriptome/S_calcitrans/S1/links/KOG/XP_013097357.1-KOG.txt","Oligosaccharyltransferase, beta subunit")</f>
        <v>Oligosaccharyltransferase, beta subunit</v>
      </c>
      <c r="DI122" t="str">
        <f>HYPERLINK("http://www.ncbi.nlm.nih.gov/Structure/cdd/cddsrv.cgi?uid=KOG2754","7.5")</f>
        <v>7.5</v>
      </c>
      <c r="DJ122" t="s">
        <v>373</v>
      </c>
      <c r="DK122" t="str">
        <f>HYPERLINK("http://exon.niaid.nih.gov/transcriptome/S_calcitrans/S1/links/KOG/XP_013097357.1-KOG.txt","KOG2754")</f>
        <v>KOG2754</v>
      </c>
      <c r="DL122" s="33" t="str">
        <f>HYPERLINK("http://exon.niaid.nih.gov/transcriptome/S_calcitrans/S1/links/PFAM/XP_013097357.1-PFAM.txt","Ost4")</f>
        <v>Ost4</v>
      </c>
      <c r="DM122" t="str">
        <f>HYPERLINK("http://pfam.sanger.ac.uk/family?acc=PF10215","4E-007")</f>
        <v>4E-007</v>
      </c>
      <c r="DN122" s="33" t="str">
        <f>HYPERLINK("http://exon.niaid.nih.gov/transcriptome/S_calcitrans/S1/links/SMART/XP_013097357.1-SMART.txt","PTPc")</f>
        <v>PTPc</v>
      </c>
      <c r="DO122" t="str">
        <f>HYPERLINK("http://smart.embl-heidelberg.de/smart/do_annotation.pl?DOMAIN=PTPc&amp;BLAST=DUMMY","7.2")</f>
        <v>7.2</v>
      </c>
      <c r="DP122" s="33"/>
      <c r="EB122" s="33">
        <f>HYPERLINK("http://exon.niaid.nih.gov/transcriptome/S_calcitrans/S1/links/cluster-b/Scalc-pep25-50SimCLU1460.txt", 1460)</f>
        <v>1460</v>
      </c>
      <c r="EC122">
        <f>HYPERLINK("http://exon.niaid.nih.gov/transcriptome/S_calcitrans/S1/links/cluster-b/Scalc-pep25-50SimCLTL1460.txt", 2)</f>
        <v>2</v>
      </c>
      <c r="ED122" s="33">
        <f>HYPERLINK("http://exon.niaid.nih.gov/transcriptome/S_calcitrans/S1/links/cluster-b/Scalc-pep30-50SimCLU1744.txt", 1744)</f>
        <v>1744</v>
      </c>
      <c r="EE122">
        <f>HYPERLINK("http://exon.niaid.nih.gov/transcriptome/S_calcitrans/S1/links/cluster-b/Scalc-pep30-50SimCLTL1744.txt", 2)</f>
        <v>2</v>
      </c>
      <c r="EF122" s="33">
        <f>HYPERLINK("http://exon.niaid.nih.gov/transcriptome/S_calcitrans/S1/links/cluster-b/Scalc-pep35-50SimCLU1825.txt", 1825)</f>
        <v>1825</v>
      </c>
      <c r="EG122">
        <f>HYPERLINK("http://exon.niaid.nih.gov/transcriptome/S_calcitrans/S1/links/cluster-b/Scalc-pep35-50SimCLTL1825.txt", 2)</f>
        <v>2</v>
      </c>
      <c r="EH122" s="33">
        <f>HYPERLINK("http://exon.niaid.nih.gov/transcriptome/S_calcitrans/S1/links/cluster-b/Scalc-pep40-50SimCLU1879.txt", 1879)</f>
        <v>1879</v>
      </c>
      <c r="EI122">
        <f>HYPERLINK("http://exon.niaid.nih.gov/transcriptome/S_calcitrans/S1/links/cluster-b/Scalc-pep40-50SimCLTL1879.txt", 2)</f>
        <v>2</v>
      </c>
      <c r="EJ122" s="33">
        <f>HYPERLINK("http://exon.niaid.nih.gov/transcriptome/S_calcitrans/S1/links/cluster-b/Scalc-pep45-50SimCLU1953.txt", 1953)</f>
        <v>1953</v>
      </c>
      <c r="EK122">
        <f>HYPERLINK("http://exon.niaid.nih.gov/transcriptome/S_calcitrans/S1/links/cluster-b/Scalc-pep45-50SimCLTL1953.txt", 2)</f>
        <v>2</v>
      </c>
      <c r="EL122" s="33">
        <f>HYPERLINK("http://exon.niaid.nih.gov/transcriptome/S_calcitrans/S1/links/cluster-b/Scalc-pep50-50SimCLU1982.txt", 1982)</f>
        <v>1982</v>
      </c>
      <c r="EM122">
        <f>HYPERLINK("http://exon.niaid.nih.gov/transcriptome/S_calcitrans/S1/links/cluster-b/Scalc-pep50-50SimCLTL1982.txt", 2)</f>
        <v>2</v>
      </c>
      <c r="EN122" s="33">
        <f>HYPERLINK("http://exon.niaid.nih.gov/transcriptome/S_calcitrans/S1/links/cluster-b/Scalc-pep55-50SimCLU2003.txt", 2003)</f>
        <v>2003</v>
      </c>
      <c r="EO122">
        <f>HYPERLINK("http://exon.niaid.nih.gov/transcriptome/S_calcitrans/S1/links/cluster-b/Scalc-pep55-50SimCLTL2003.txt", 2)</f>
        <v>2</v>
      </c>
      <c r="EP122" s="33">
        <f>HYPERLINK("http://exon.niaid.nih.gov/transcriptome/S_calcitrans/S1/links/cluster-b/Scalc-pep60-50SimCLU2013.txt", 2013)</f>
        <v>2013</v>
      </c>
      <c r="EQ122">
        <f>HYPERLINK("http://exon.niaid.nih.gov/transcriptome/S_calcitrans/S1/links/cluster-b/Scalc-pep60-50SimCLTL2013.txt", 2)</f>
        <v>2</v>
      </c>
      <c r="ER122" s="33">
        <f>HYPERLINK("http://exon.niaid.nih.gov/transcriptome/S_calcitrans/S1/links/cluster-b/Scalc-pep65-50SimCLU1998.txt", 1998)</f>
        <v>1998</v>
      </c>
      <c r="ES122">
        <f>HYPERLINK("http://exon.niaid.nih.gov/transcriptome/S_calcitrans/S1/links/cluster-b/Scalc-pep65-50SimCLTL1998.txt", 2)</f>
        <v>2</v>
      </c>
      <c r="ET122" s="33">
        <f>HYPERLINK("http://exon.niaid.nih.gov/transcriptome/S_calcitrans/S1/links/cluster-b/Scalc-pep70-50SimCLU1941.txt", 1941)</f>
        <v>1941</v>
      </c>
      <c r="EU122">
        <f>HYPERLINK("http://exon.niaid.nih.gov/transcriptome/S_calcitrans/S1/links/cluster-b/Scalc-pep70-50SimCLTL1941.txt", 2)</f>
        <v>2</v>
      </c>
      <c r="EV122" s="33">
        <f>HYPERLINK("http://exon.niaid.nih.gov/transcriptome/S_calcitrans/S1/links/cluster-b/Scalc-pep75-50SimCLU1883.txt", 1883)</f>
        <v>1883</v>
      </c>
      <c r="EW122">
        <f>HYPERLINK("http://exon.niaid.nih.gov/transcriptome/S_calcitrans/S1/links/cluster-b/Scalc-pep75-50SimCLTL1883.txt", 2)</f>
        <v>2</v>
      </c>
      <c r="EX122" s="33">
        <f>HYPERLINK("http://exon.niaid.nih.gov/transcriptome/S_calcitrans/S1/links/cluster-b/Scalc-pep80-50SimCLU1799.txt", 1799)</f>
        <v>1799</v>
      </c>
      <c r="EY122">
        <f>HYPERLINK("http://exon.niaid.nih.gov/transcriptome/S_calcitrans/S1/links/cluster-b/Scalc-pep80-50SimCLTL1799.txt", 2)</f>
        <v>2</v>
      </c>
      <c r="EZ122" s="33">
        <f>HYPERLINK("http://exon.niaid.nih.gov/transcriptome/S_calcitrans/S1/links/cluster-b/Scalc-pep85-50SimCLU1691.txt", 1691)</f>
        <v>1691</v>
      </c>
      <c r="FA122">
        <f>HYPERLINK("http://exon.niaid.nih.gov/transcriptome/S_calcitrans/S1/links/cluster-b/Scalc-pep85-50SimCLTL1691.txt", 2)</f>
        <v>2</v>
      </c>
      <c r="FB122" s="33">
        <f>HYPERLINK("http://exon.niaid.nih.gov/transcriptome/S_calcitrans/S1/links/cluster-b/Scalc-pep90-50SimCLU1592.txt", 1592)</f>
        <v>1592</v>
      </c>
      <c r="FC122">
        <f>HYPERLINK("http://exon.niaid.nih.gov/transcriptome/S_calcitrans/S1/links/cluster-b/Scalc-pep90-50SimCLTL1592.txt", 2)</f>
        <v>2</v>
      </c>
      <c r="FD122" s="33">
        <f>HYPERLINK("http://exon.niaid.nih.gov/transcriptome/S_calcitrans/S1/links/cluster-b/Scalc-pep95-50SimCLU1405.txt", 1405)</f>
        <v>1405</v>
      </c>
      <c r="FE122">
        <f>HYPERLINK("http://exon.niaid.nih.gov/transcriptome/S_calcitrans/S1/links/cluster-b/Scalc-pep95-50SimCLTL1405.txt", 2)</f>
        <v>2</v>
      </c>
      <c r="FF122" t="s">
        <v>1390</v>
      </c>
      <c r="FG122">
        <v>365</v>
      </c>
      <c r="FH122" s="38" t="str">
        <f>HYPERLINK("http://exon.niaid.nih.gov/transcriptome/S_calcitrans/S1/links/SG_male-stripped_temp-95-h10-1gap/365-SG_male-stripped_temp-95-h10-1gap.txt","69")</f>
        <v>69</v>
      </c>
      <c r="FI122" s="39">
        <v>100</v>
      </c>
      <c r="FJ122" s="39">
        <v>37.2777777777778</v>
      </c>
      <c r="FK122" s="39">
        <v>7</v>
      </c>
      <c r="FL122" s="39">
        <v>60</v>
      </c>
      <c r="FM122" s="39">
        <v>68.072463768115895</v>
      </c>
      <c r="FN122" s="38" t="str">
        <f>HYPERLINK("http://exon.niaid.nih.gov/transcriptome/S_calcitrans/S1/links/SG_female-stripped_temp-95-h10-1gap/365-SG_female-stripped_temp-95-h10-1gap.txt","89")</f>
        <v>89</v>
      </c>
      <c r="FO122" s="39">
        <v>100</v>
      </c>
      <c r="FP122" s="39">
        <v>41.642857142857103</v>
      </c>
      <c r="FQ122" s="39">
        <v>17</v>
      </c>
      <c r="FR122" s="39">
        <v>64</v>
      </c>
      <c r="FS122" s="39">
        <v>58.955056179775298</v>
      </c>
      <c r="FT122" s="38">
        <v>0</v>
      </c>
      <c r="FU122" s="39" t="s">
        <v>242</v>
      </c>
      <c r="FV122" s="39" t="s">
        <v>242</v>
      </c>
      <c r="FW122" s="39" t="s">
        <v>242</v>
      </c>
      <c r="FX122" s="39" t="s">
        <v>242</v>
      </c>
      <c r="FY122" s="39" t="s">
        <v>242</v>
      </c>
      <c r="FZ122" s="38">
        <v>0</v>
      </c>
      <c r="GA122" s="39" t="s">
        <v>242</v>
      </c>
      <c r="GB122" s="39" t="s">
        <v>242</v>
      </c>
      <c r="GC122" s="39" t="s">
        <v>242</v>
      </c>
      <c r="GD122" s="39" t="s">
        <v>242</v>
      </c>
      <c r="GE122" s="39" t="s">
        <v>242</v>
      </c>
      <c r="GF122">
        <f>1*FH122</f>
        <v>69</v>
      </c>
      <c r="GG122">
        <f>1*FN122</f>
        <v>89</v>
      </c>
      <c r="GH122">
        <f>1*FT122</f>
        <v>0</v>
      </c>
      <c r="GI122">
        <f>1*FZ122</f>
        <v>0</v>
      </c>
      <c r="GJ122">
        <f>IF(FZ122&lt;&gt;"",SUM(GF122:GG122),"")</f>
        <v>158</v>
      </c>
      <c r="GK122" s="34">
        <v>6.1369721694138355E-4</v>
      </c>
      <c r="GL122">
        <v>17.91350360729129</v>
      </c>
      <c r="GM122">
        <v>10.50733796132552</v>
      </c>
      <c r="GN122">
        <v>0</v>
      </c>
      <c r="GO122">
        <v>0</v>
      </c>
      <c r="GP122">
        <f>MAX(GL122:GO122)</f>
        <v>17.91350360729129</v>
      </c>
      <c r="GQ122" t="s">
        <v>1382</v>
      </c>
      <c r="GR122">
        <v>13.970588399977363</v>
      </c>
      <c r="GS122">
        <v>8.6240677858077746</v>
      </c>
      <c r="GT122">
        <v>0</v>
      </c>
      <c r="GU122">
        <v>0</v>
      </c>
      <c r="GV122">
        <f>MAX(GR122:GU122)</f>
        <v>13.970588399977363</v>
      </c>
      <c r="GW122">
        <v>112.97328092892567</v>
      </c>
      <c r="GX122">
        <v>158</v>
      </c>
      <c r="GY122">
        <v>0</v>
      </c>
      <c r="GZ122">
        <v>158</v>
      </c>
      <c r="HA122">
        <v>35.07595158890453</v>
      </c>
      <c r="HB122">
        <v>122.92404841109547</v>
      </c>
      <c r="HC122">
        <v>430.78864559024953</v>
      </c>
      <c r="HD122">
        <v>122.92404841109547</v>
      </c>
      <c r="HE122">
        <v>553.71269400134497</v>
      </c>
      <c r="HF122">
        <v>1.9603481966643217E-122</v>
      </c>
      <c r="HG122">
        <v>35.07595158890453</v>
      </c>
      <c r="HH122">
        <v>1</v>
      </c>
      <c r="HI122">
        <v>1</v>
      </c>
      <c r="HJ122">
        <v>2</v>
      </c>
      <c r="HK122" s="37">
        <v>5.0347483125500496E-122</v>
      </c>
      <c r="HL122" s="30" t="s">
        <v>262</v>
      </c>
      <c r="HM122">
        <v>553.71269400134497</v>
      </c>
      <c r="HN122">
        <v>0</v>
      </c>
      <c r="HO122">
        <v>69</v>
      </c>
      <c r="HP122">
        <v>89</v>
      </c>
      <c r="HQ122">
        <v>158</v>
      </c>
      <c r="HR122">
        <v>49.390159272059257</v>
      </c>
      <c r="HS122">
        <v>108.60984072794074</v>
      </c>
      <c r="HT122">
        <v>7.7858800020664605</v>
      </c>
      <c r="HU122">
        <v>3.5406170453601984</v>
      </c>
      <c r="HV122">
        <v>11.32649704742666</v>
      </c>
      <c r="HW122">
        <v>7.6408902165207837E-4</v>
      </c>
      <c r="HX122">
        <v>49.390159272059257</v>
      </c>
      <c r="HY122">
        <v>1</v>
      </c>
      <c r="HZ122">
        <v>1</v>
      </c>
      <c r="IA122">
        <v>2</v>
      </c>
      <c r="IB122">
        <v>5.2570634538768E-3</v>
      </c>
      <c r="IC122" s="30" t="s">
        <v>262</v>
      </c>
      <c r="ID122">
        <v>1.6859136675267532</v>
      </c>
      <c r="IE122">
        <v>0.57818020195060582</v>
      </c>
      <c r="IF122">
        <v>1.6859136675267532</v>
      </c>
      <c r="IG122" t="str">
        <f t="shared" si="84"/>
        <v/>
      </c>
    </row>
    <row r="123" spans="1:241">
      <c r="A123" t="str">
        <f>HYPERLINK("http://exon.niaid.nih.gov/transcriptome/S_calcitrans/S1/links/pep/XP_013097365.1-pep.txt","XP_013097365.1")</f>
        <v>XP_013097365.1</v>
      </c>
      <c r="B123" s="30" t="s">
        <v>232</v>
      </c>
      <c r="C123">
        <v>41</v>
      </c>
      <c r="D123" t="s">
        <v>1375</v>
      </c>
      <c r="E123">
        <v>0</v>
      </c>
      <c r="F123" t="s">
        <v>1391</v>
      </c>
      <c r="G123" t="str">
        <f>HYPERLINK("http://exon.niaid.nih.gov/transcriptome/S_calcitrans/S1/links/cds/XM_013241911_1-cds.txt","XM_013241911_1")</f>
        <v>XM_013241911_1</v>
      </c>
      <c r="H123">
        <v>126</v>
      </c>
      <c r="I123" t="s">
        <v>1377</v>
      </c>
      <c r="J123" s="30" t="s">
        <v>236</v>
      </c>
      <c r="K123" s="30" t="s">
        <v>91</v>
      </c>
      <c r="L123" s="31" t="s">
        <v>1056</v>
      </c>
      <c r="M123" s="30">
        <v>2087292</v>
      </c>
      <c r="N123" s="30">
        <v>2087473</v>
      </c>
      <c r="O123" s="30" t="s">
        <v>276</v>
      </c>
      <c r="P123" s="30">
        <v>2</v>
      </c>
      <c r="Q123" s="31" t="s">
        <v>1378</v>
      </c>
      <c r="R123" s="32" t="str">
        <f>HYPERLINK("http://exon.niaid.nih.gov/transcriptome/S_calcitrans/S1/links/Sigp/XP_013097365.1-SigP.txt","SIG")</f>
        <v>SIG</v>
      </c>
      <c r="S123" t="s">
        <v>1379</v>
      </c>
      <c r="T123">
        <v>4.6130000000000004</v>
      </c>
      <c r="U123">
        <v>9.4</v>
      </c>
      <c r="V123">
        <v>1.1970000000000001</v>
      </c>
      <c r="W123">
        <v>10.3</v>
      </c>
      <c r="X123" t="s">
        <v>979</v>
      </c>
      <c r="Y123" s="32" t="str">
        <f>HYPERLINK("http://exon.niaid.nih.gov/transcriptome/S_calcitrans/S1/links/tmhmm/XP_013097365.1-tmhmm.txt","1")</f>
        <v>1</v>
      </c>
      <c r="Z123">
        <v>53.7</v>
      </c>
      <c r="AA123">
        <v>29.3</v>
      </c>
      <c r="AB123">
        <v>17.100000000000001</v>
      </c>
      <c r="AC123" t="s">
        <v>242</v>
      </c>
      <c r="AD123">
        <v>12</v>
      </c>
      <c r="AE123" s="32" t="str">
        <f>HYPERLINK("http://exon.niaid.nih.gov/transcriptome/S_calcitrans/S1/links/netoglyc/XP_013097365.1-netoglyc.txt","0")</f>
        <v>0</v>
      </c>
      <c r="AF123">
        <v>14.6</v>
      </c>
      <c r="AG123">
        <v>2.4</v>
      </c>
      <c r="AH123" t="s">
        <v>460</v>
      </c>
      <c r="AI123" t="s">
        <v>243</v>
      </c>
      <c r="AJ123" t="s">
        <v>242</v>
      </c>
      <c r="AK123">
        <v>553.71269400134497</v>
      </c>
      <c r="AL123" s="33">
        <f>HYPERLINK("http://exon.niaid.nih.gov/transcriptome/S_calcitrans/S1/links/cluster-b/Scalc-pep95-50SimCLU1405.txt", 1405)</f>
        <v>1405</v>
      </c>
      <c r="AM123">
        <f>HYPERLINK("http://exon.niaid.nih.gov/transcriptome/S_calcitrans/S1/links/cluster-b/Scalc-pep95-50SimCLTL1405.txt", 2)</f>
        <v>2</v>
      </c>
      <c r="AN123" s="30">
        <f t="shared" si="83"/>
        <v>1</v>
      </c>
      <c r="AO123" s="30">
        <v>1</v>
      </c>
      <c r="AP123">
        <v>158</v>
      </c>
      <c r="AQ123" s="34">
        <v>6.1369721694138355E-4</v>
      </c>
      <c r="AR123" s="35">
        <v>112.97328092892567</v>
      </c>
      <c r="AS123" t="s">
        <v>1392</v>
      </c>
      <c r="AT123" s="36" t="s">
        <v>1381</v>
      </c>
      <c r="AU123" t="s">
        <v>1382</v>
      </c>
      <c r="AV123" t="str">
        <f>HYPERLINK("http://exon.niaid.nih.gov/transcriptome/S_calcitrans/S1/links/DIPTERA/XP_013097365.1-DIPTERA.txt","DIPTERA")</f>
        <v>DIPTERA</v>
      </c>
      <c r="AW123">
        <v>5E-15</v>
      </c>
      <c r="AX123">
        <v>100</v>
      </c>
      <c r="AY123" s="33"/>
      <c r="BG123" s="31"/>
      <c r="BJ123" s="33"/>
      <c r="BK123" s="33"/>
      <c r="BL123" s="33" t="str">
        <f>HYPERLINK("http://exon.niaid.nih.gov/transcriptome/S_calcitrans/S1/links/NR-LIGHT/XP_013097365.1-NR-LIGHT.txt","dolichyl-diphosphooligosaccharide--protein glycosyltransferase subunit 4")</f>
        <v>dolichyl-diphosphooligosaccharide--protein glycosyltransferase subunit 4</v>
      </c>
      <c r="BM123" t="str">
        <f>HYPERLINK("http://www.ncbi.nlm.nih.gov/sutils/blink.cgi?pid=557750455","2E-013")</f>
        <v>2E-013</v>
      </c>
      <c r="BN123" t="str">
        <f>HYPERLINK("http://www.ncbi.nlm.nih.gov/protein/557750455","gi|557750455")</f>
        <v>gi|557750455</v>
      </c>
      <c r="BO123">
        <v>92</v>
      </c>
      <c r="BP123">
        <v>100</v>
      </c>
      <c r="BQ123">
        <v>100</v>
      </c>
      <c r="BR123" t="s">
        <v>251</v>
      </c>
      <c r="BS123" s="33" t="str">
        <f>HYPERLINK("http://exon.niaid.nih.gov/transcriptome/S_calcitrans/S1/links/SWISSP/XP_013097365.1-SWISSP.txt","Dolichyl-diphosphooligosaccharide--protein glycosyltransferase subunit 4")</f>
        <v>Dolichyl-diphosphooligosaccharide--protein glycosyltransferase subunit 4</v>
      </c>
      <c r="BT123" t="str">
        <f>HYPERLINK("http://www.uniprot.org/uniprot/B4KQ08","2E-010")</f>
        <v>2E-010</v>
      </c>
      <c r="BU123" t="str">
        <f>HYPERLINK("http://www.uniprot.org/uniprot/B4KQ08#expression","B4KQ08")</f>
        <v>B4KQ08</v>
      </c>
      <c r="BV123">
        <v>80</v>
      </c>
      <c r="BW123">
        <v>87</v>
      </c>
      <c r="BX123">
        <v>103</v>
      </c>
      <c r="BY123" t="s">
        <v>1383</v>
      </c>
      <c r="BZ123" s="33" t="str">
        <f>HYPERLINK("http://exon.niaid.nih.gov/transcriptome/S_calcitrans/S1/links/REFSEQ-INVERTEBRATE/XP_013097365.1-REFSEQ-INVERTEBRATE.txt","dolichyl-diphosphooligosaccharide--protein glycosyltransferase subunit 4")</f>
        <v>dolichyl-diphosphooligosaccharide--protein glycosyltransferase subunit 4</v>
      </c>
      <c r="CA123" t="str">
        <f>HYPERLINK("http://www.ncbi.nlm.nih.gov/sutils/blink.cgi?pid=907596747","9E-015")</f>
        <v>9E-015</v>
      </c>
      <c r="CB123" t="str">
        <f>HYPERLINK("http://www.ncbi.nlm.nih.gov/protein/907596747","gi|907596747")</f>
        <v>gi|907596747</v>
      </c>
      <c r="CC123">
        <v>100</v>
      </c>
      <c r="CD123">
        <v>100</v>
      </c>
      <c r="CE123">
        <v>100</v>
      </c>
      <c r="CF123" t="s">
        <v>253</v>
      </c>
      <c r="CG123" s="33" t="str">
        <f>HYPERLINK("http://exon.niaid.nih.gov/transcriptome/S_calcitrans/S1/links/DIPTERA/XP_013097365.1-DIPTERA.txt","dolichyl-diphosphooligosaccharide--protein glycosyltransferase subunit 4")</f>
        <v>dolichyl-diphosphooligosaccharide--protein glycosyltransferase subunit 4</v>
      </c>
      <c r="CH123" t="str">
        <f>HYPERLINK("http://www.ncbi.nlm.nih.gov/sutils/blink.cgi?pid=907596743","5E-015")</f>
        <v>5E-015</v>
      </c>
      <c r="CI123" t="str">
        <f>HYPERLINK("http://www.ncbi.nlm.nih.gov/protein/907596743","gi|907596743")</f>
        <v>gi|907596743</v>
      </c>
      <c r="CJ123">
        <v>100</v>
      </c>
      <c r="CK123">
        <v>100</v>
      </c>
      <c r="CL123">
        <v>100</v>
      </c>
      <c r="CM123" t="s">
        <v>253</v>
      </c>
      <c r="CN123" s="33" t="s">
        <v>242</v>
      </c>
      <c r="CO123" t="s">
        <v>242</v>
      </c>
      <c r="CP123" t="s">
        <v>242</v>
      </c>
      <c r="CQ123" t="s">
        <v>242</v>
      </c>
      <c r="CR123" t="s">
        <v>242</v>
      </c>
      <c r="CS123" t="s">
        <v>242</v>
      </c>
      <c r="CT123" t="s">
        <v>242</v>
      </c>
      <c r="CU123" s="33" t="s">
        <v>1384</v>
      </c>
      <c r="CV123">
        <f>HYPERLINK("http://exon.niaid.nih.gov/transcriptome/S_calcitrans/S1/links/GO/XP_013097365.1-GO.txt",0.0000000003)</f>
        <v>3E-10</v>
      </c>
      <c r="CW123" t="str">
        <f>HYPERLINK("http://amigo.geneontology.org/cgi-bin/amigo/term_details?term=GO:0004579","GO:0004579")</f>
        <v>GO:0004579</v>
      </c>
      <c r="CX123" t="s">
        <v>1385</v>
      </c>
      <c r="CY123" t="s">
        <v>1386</v>
      </c>
      <c r="CZ123" t="s">
        <v>1387</v>
      </c>
      <c r="DA123" t="str">
        <f>HYPERLINK("http://www.genome.jp/dbget-bin/www_bfind_sub?mode=bfind&amp;max_hit=1000&amp;dbkey=kegg&amp;keywords=EC:2.4.1.119","EC:2.4.1.119")</f>
        <v>EC:2.4.1.119</v>
      </c>
      <c r="DC123" t="s">
        <v>1388</v>
      </c>
      <c r="DD123">
        <v>3E-10</v>
      </c>
      <c r="DE123" s="33" t="str">
        <f>HYPERLINK("http://exon.niaid.nih.gov/transcriptome/S_calcitrans/S1/links/CDD/XP_013097365.1-CDD.txt","Ost4")</f>
        <v>Ost4</v>
      </c>
      <c r="DF123" t="str">
        <f>HYPERLINK("http://www.ncbi.nlm.nih.gov/Structure/cdd/cddsrv.cgi?uid=pfam10215&amp;version=v4.0","2E-006")</f>
        <v>2E-006</v>
      </c>
      <c r="DG123" t="s">
        <v>1389</v>
      </c>
      <c r="DH123" s="33" t="str">
        <f>HYPERLINK("http://exon.niaid.nih.gov/transcriptome/S_calcitrans/S1/links/KOG/XP_013097365.1-KOG.txt","Oligosaccharyltransferase, beta subunit")</f>
        <v>Oligosaccharyltransferase, beta subunit</v>
      </c>
      <c r="DI123" t="str">
        <f>HYPERLINK("http://www.ncbi.nlm.nih.gov/Structure/cdd/cddsrv.cgi?uid=KOG2754","7.5")</f>
        <v>7.5</v>
      </c>
      <c r="DJ123" t="s">
        <v>373</v>
      </c>
      <c r="DK123" t="str">
        <f>HYPERLINK("http://exon.niaid.nih.gov/transcriptome/S_calcitrans/S1/links/KOG/XP_013097365.1-KOG.txt","KOG2754")</f>
        <v>KOG2754</v>
      </c>
      <c r="DL123" s="33" t="str">
        <f>HYPERLINK("http://exon.niaid.nih.gov/transcriptome/S_calcitrans/S1/links/PFAM/XP_013097365.1-PFAM.txt","Ost4")</f>
        <v>Ost4</v>
      </c>
      <c r="DM123" t="str">
        <f>HYPERLINK("http://pfam.sanger.ac.uk/family?acc=PF10215","4E-007")</f>
        <v>4E-007</v>
      </c>
      <c r="DN123" s="33" t="str">
        <f>HYPERLINK("http://exon.niaid.nih.gov/transcriptome/S_calcitrans/S1/links/SMART/XP_013097365.1-SMART.txt","PTPc")</f>
        <v>PTPc</v>
      </c>
      <c r="DO123" t="str">
        <f>HYPERLINK("http://smart.embl-heidelberg.de/smart/do_annotation.pl?DOMAIN=PTPc&amp;BLAST=DUMMY","7.2")</f>
        <v>7.2</v>
      </c>
      <c r="DP123" s="33"/>
      <c r="EB123" s="33">
        <f>HYPERLINK("http://exon.niaid.nih.gov/transcriptome/S_calcitrans/S1/links/cluster-b/Scalc-pep25-50SimCLU1460.txt", 1460)</f>
        <v>1460</v>
      </c>
      <c r="EC123">
        <f>HYPERLINK("http://exon.niaid.nih.gov/transcriptome/S_calcitrans/S1/links/cluster-b/Scalc-pep25-50SimCLTL1460.txt", 2)</f>
        <v>2</v>
      </c>
      <c r="ED123" s="33">
        <f>HYPERLINK("http://exon.niaid.nih.gov/transcriptome/S_calcitrans/S1/links/cluster-b/Scalc-pep30-50SimCLU1744.txt", 1744)</f>
        <v>1744</v>
      </c>
      <c r="EE123">
        <f>HYPERLINK("http://exon.niaid.nih.gov/transcriptome/S_calcitrans/S1/links/cluster-b/Scalc-pep30-50SimCLTL1744.txt", 2)</f>
        <v>2</v>
      </c>
      <c r="EF123" s="33">
        <f>HYPERLINK("http://exon.niaid.nih.gov/transcriptome/S_calcitrans/S1/links/cluster-b/Scalc-pep35-50SimCLU1825.txt", 1825)</f>
        <v>1825</v>
      </c>
      <c r="EG123">
        <f>HYPERLINK("http://exon.niaid.nih.gov/transcriptome/S_calcitrans/S1/links/cluster-b/Scalc-pep35-50SimCLTL1825.txt", 2)</f>
        <v>2</v>
      </c>
      <c r="EH123" s="33">
        <f>HYPERLINK("http://exon.niaid.nih.gov/transcriptome/S_calcitrans/S1/links/cluster-b/Scalc-pep40-50SimCLU1879.txt", 1879)</f>
        <v>1879</v>
      </c>
      <c r="EI123">
        <f>HYPERLINK("http://exon.niaid.nih.gov/transcriptome/S_calcitrans/S1/links/cluster-b/Scalc-pep40-50SimCLTL1879.txt", 2)</f>
        <v>2</v>
      </c>
      <c r="EJ123" s="33">
        <f>HYPERLINK("http://exon.niaid.nih.gov/transcriptome/S_calcitrans/S1/links/cluster-b/Scalc-pep45-50SimCLU1953.txt", 1953)</f>
        <v>1953</v>
      </c>
      <c r="EK123">
        <f>HYPERLINK("http://exon.niaid.nih.gov/transcriptome/S_calcitrans/S1/links/cluster-b/Scalc-pep45-50SimCLTL1953.txt", 2)</f>
        <v>2</v>
      </c>
      <c r="EL123" s="33">
        <f>HYPERLINK("http://exon.niaid.nih.gov/transcriptome/S_calcitrans/S1/links/cluster-b/Scalc-pep50-50SimCLU1982.txt", 1982)</f>
        <v>1982</v>
      </c>
      <c r="EM123">
        <f>HYPERLINK("http://exon.niaid.nih.gov/transcriptome/S_calcitrans/S1/links/cluster-b/Scalc-pep50-50SimCLTL1982.txt", 2)</f>
        <v>2</v>
      </c>
      <c r="EN123" s="33">
        <f>HYPERLINK("http://exon.niaid.nih.gov/transcriptome/S_calcitrans/S1/links/cluster-b/Scalc-pep55-50SimCLU2003.txt", 2003)</f>
        <v>2003</v>
      </c>
      <c r="EO123">
        <f>HYPERLINK("http://exon.niaid.nih.gov/transcriptome/S_calcitrans/S1/links/cluster-b/Scalc-pep55-50SimCLTL2003.txt", 2)</f>
        <v>2</v>
      </c>
      <c r="EP123" s="33">
        <f>HYPERLINK("http://exon.niaid.nih.gov/transcriptome/S_calcitrans/S1/links/cluster-b/Scalc-pep60-50SimCLU2013.txt", 2013)</f>
        <v>2013</v>
      </c>
      <c r="EQ123">
        <f>HYPERLINK("http://exon.niaid.nih.gov/transcriptome/S_calcitrans/S1/links/cluster-b/Scalc-pep60-50SimCLTL2013.txt", 2)</f>
        <v>2</v>
      </c>
      <c r="ER123" s="33">
        <f>HYPERLINK("http://exon.niaid.nih.gov/transcriptome/S_calcitrans/S1/links/cluster-b/Scalc-pep65-50SimCLU1998.txt", 1998)</f>
        <v>1998</v>
      </c>
      <c r="ES123">
        <f>HYPERLINK("http://exon.niaid.nih.gov/transcriptome/S_calcitrans/S1/links/cluster-b/Scalc-pep65-50SimCLTL1998.txt", 2)</f>
        <v>2</v>
      </c>
      <c r="ET123" s="33">
        <f>HYPERLINK("http://exon.niaid.nih.gov/transcriptome/S_calcitrans/S1/links/cluster-b/Scalc-pep70-50SimCLU1941.txt", 1941)</f>
        <v>1941</v>
      </c>
      <c r="EU123">
        <f>HYPERLINK("http://exon.niaid.nih.gov/transcriptome/S_calcitrans/S1/links/cluster-b/Scalc-pep70-50SimCLTL1941.txt", 2)</f>
        <v>2</v>
      </c>
      <c r="EV123" s="33">
        <f>HYPERLINK("http://exon.niaid.nih.gov/transcriptome/S_calcitrans/S1/links/cluster-b/Scalc-pep75-50SimCLU1883.txt", 1883)</f>
        <v>1883</v>
      </c>
      <c r="EW123">
        <f>HYPERLINK("http://exon.niaid.nih.gov/transcriptome/S_calcitrans/S1/links/cluster-b/Scalc-pep75-50SimCLTL1883.txt", 2)</f>
        <v>2</v>
      </c>
      <c r="EX123" s="33">
        <f>HYPERLINK("http://exon.niaid.nih.gov/transcriptome/S_calcitrans/S1/links/cluster-b/Scalc-pep80-50SimCLU1799.txt", 1799)</f>
        <v>1799</v>
      </c>
      <c r="EY123">
        <f>HYPERLINK("http://exon.niaid.nih.gov/transcriptome/S_calcitrans/S1/links/cluster-b/Scalc-pep80-50SimCLTL1799.txt", 2)</f>
        <v>2</v>
      </c>
      <c r="EZ123" s="33">
        <f>HYPERLINK("http://exon.niaid.nih.gov/transcriptome/S_calcitrans/S1/links/cluster-b/Scalc-pep85-50SimCLU1691.txt", 1691)</f>
        <v>1691</v>
      </c>
      <c r="FA123">
        <f>HYPERLINK("http://exon.niaid.nih.gov/transcriptome/S_calcitrans/S1/links/cluster-b/Scalc-pep85-50SimCLTL1691.txt", 2)</f>
        <v>2</v>
      </c>
      <c r="FB123" s="33">
        <f>HYPERLINK("http://exon.niaid.nih.gov/transcriptome/S_calcitrans/S1/links/cluster-b/Scalc-pep90-50SimCLU1592.txt", 1592)</f>
        <v>1592</v>
      </c>
      <c r="FC123">
        <f>HYPERLINK("http://exon.niaid.nih.gov/transcriptome/S_calcitrans/S1/links/cluster-b/Scalc-pep90-50SimCLTL1592.txt", 2)</f>
        <v>2</v>
      </c>
      <c r="FD123" s="33">
        <f>HYPERLINK("http://exon.niaid.nih.gov/transcriptome/S_calcitrans/S1/links/cluster-b/Scalc-pep95-50SimCLU1405.txt", 1405)</f>
        <v>1405</v>
      </c>
      <c r="FE123">
        <f>HYPERLINK("http://exon.niaid.nih.gov/transcriptome/S_calcitrans/S1/links/cluster-b/Scalc-pep95-50SimCLTL1405.txt", 2)</f>
        <v>2</v>
      </c>
      <c r="FF123" t="s">
        <v>1393</v>
      </c>
      <c r="FG123">
        <v>364</v>
      </c>
      <c r="FH123" s="38" t="str">
        <f>HYPERLINK("http://exon.niaid.nih.gov/transcriptome/S_calcitrans/S1/links/SG_male-stripped_temp-95-h10-1gap/364-SG_male-stripped_temp-95-h10-1gap.txt","69")</f>
        <v>69</v>
      </c>
      <c r="FI123" s="39">
        <v>100</v>
      </c>
      <c r="FJ123" s="39">
        <v>37.2777777777778</v>
      </c>
      <c r="FK123" s="39">
        <v>7</v>
      </c>
      <c r="FL123" s="39">
        <v>60</v>
      </c>
      <c r="FM123" s="39">
        <v>68.072463768115895</v>
      </c>
      <c r="FN123" s="38" t="str">
        <f>HYPERLINK("http://exon.niaid.nih.gov/transcriptome/S_calcitrans/S1/links/SG_female-stripped_temp-95-h10-1gap/364-SG_female-stripped_temp-95-h10-1gap.txt","89")</f>
        <v>89</v>
      </c>
      <c r="FO123" s="39">
        <v>100</v>
      </c>
      <c r="FP123" s="39">
        <v>41.642857142857103</v>
      </c>
      <c r="FQ123" s="39">
        <v>17</v>
      </c>
      <c r="FR123" s="39">
        <v>64</v>
      </c>
      <c r="FS123" s="39">
        <v>58.955056179775298</v>
      </c>
      <c r="FT123" s="38">
        <v>0</v>
      </c>
      <c r="FU123" s="39" t="s">
        <v>242</v>
      </c>
      <c r="FV123" s="39" t="s">
        <v>242</v>
      </c>
      <c r="FW123" s="39" t="s">
        <v>242</v>
      </c>
      <c r="FX123" s="39" t="s">
        <v>242</v>
      </c>
      <c r="FY123" s="39" t="s">
        <v>242</v>
      </c>
      <c r="FZ123" s="38">
        <v>0</v>
      </c>
      <c r="GA123" s="39" t="s">
        <v>242</v>
      </c>
      <c r="GB123" s="39" t="s">
        <v>242</v>
      </c>
      <c r="GC123" s="39" t="s">
        <v>242</v>
      </c>
      <c r="GD123" s="39" t="s">
        <v>242</v>
      </c>
      <c r="GE123" s="39" t="s">
        <v>242</v>
      </c>
      <c r="GF123">
        <f>1*FH123</f>
        <v>69</v>
      </c>
      <c r="GG123">
        <f>1*FN123</f>
        <v>89</v>
      </c>
      <c r="GH123">
        <f>1*FT123</f>
        <v>0</v>
      </c>
      <c r="GI123">
        <f>1*FZ123</f>
        <v>0</v>
      </c>
      <c r="GJ123">
        <f>IF(FZ123&lt;&gt;"",SUM(GF123:GG123),"")</f>
        <v>158</v>
      </c>
      <c r="GK123" s="34">
        <v>6.1369721694138355E-4</v>
      </c>
      <c r="GL123">
        <v>17.91350360729129</v>
      </c>
      <c r="GM123">
        <v>10.50733796132552</v>
      </c>
      <c r="GN123">
        <v>0</v>
      </c>
      <c r="GO123">
        <v>0</v>
      </c>
      <c r="GP123">
        <f>MAX(GL123:GO123)</f>
        <v>17.91350360729129</v>
      </c>
      <c r="GQ123" t="s">
        <v>1382</v>
      </c>
      <c r="GR123">
        <v>13.970588399977363</v>
      </c>
      <c r="GS123">
        <v>8.6240677858077746</v>
      </c>
      <c r="GT123">
        <v>0</v>
      </c>
      <c r="GU123">
        <v>0</v>
      </c>
      <c r="GV123">
        <f>MAX(GR123:GU123)</f>
        <v>13.970588399977363</v>
      </c>
      <c r="GW123">
        <v>112.97328092892567</v>
      </c>
      <c r="GX123">
        <v>158</v>
      </c>
      <c r="GY123">
        <v>0</v>
      </c>
      <c r="GZ123">
        <v>158</v>
      </c>
      <c r="HA123">
        <v>35.07595158890453</v>
      </c>
      <c r="HB123">
        <v>122.92404841109547</v>
      </c>
      <c r="HC123">
        <v>430.78864559024953</v>
      </c>
      <c r="HD123">
        <v>122.92404841109547</v>
      </c>
      <c r="HE123">
        <v>553.71269400134497</v>
      </c>
      <c r="HF123">
        <v>1.9603481966643217E-122</v>
      </c>
      <c r="HG123">
        <v>35.07595158890453</v>
      </c>
      <c r="HH123">
        <v>1</v>
      </c>
      <c r="HI123">
        <v>1</v>
      </c>
      <c r="HJ123">
        <v>2</v>
      </c>
      <c r="HK123" s="37">
        <v>5.0347483125500496E-122</v>
      </c>
      <c r="HL123" s="30" t="s">
        <v>262</v>
      </c>
      <c r="HM123">
        <v>553.71269400134497</v>
      </c>
      <c r="HN123">
        <v>0</v>
      </c>
      <c r="HO123">
        <v>69</v>
      </c>
      <c r="HP123">
        <v>89</v>
      </c>
      <c r="HQ123">
        <v>158</v>
      </c>
      <c r="HR123">
        <v>49.390159272059257</v>
      </c>
      <c r="HS123">
        <v>108.60984072794074</v>
      </c>
      <c r="HT123">
        <v>7.7858800020664605</v>
      </c>
      <c r="HU123">
        <v>3.5406170453601984</v>
      </c>
      <c r="HV123">
        <v>11.32649704742666</v>
      </c>
      <c r="HW123">
        <v>7.6408902165207837E-4</v>
      </c>
      <c r="HX123">
        <v>49.390159272059257</v>
      </c>
      <c r="HY123">
        <v>1</v>
      </c>
      <c r="HZ123">
        <v>1</v>
      </c>
      <c r="IA123">
        <v>2</v>
      </c>
      <c r="IB123">
        <v>5.2570634538768E-3</v>
      </c>
      <c r="IC123" s="30" t="s">
        <v>262</v>
      </c>
      <c r="ID123">
        <v>1.6859136675267532</v>
      </c>
      <c r="IE123">
        <v>0.57818020195060582</v>
      </c>
      <c r="IF123">
        <v>1.6859136675267532</v>
      </c>
      <c r="IG123" t="str">
        <f t="shared" si="84"/>
        <v/>
      </c>
    </row>
    <row r="124" spans="1:241">
      <c r="A124" t="str">
        <f>HYPERLINK("http://exon.niaid.nih.gov/transcriptome/S_calcitrans/S1/links/pep/XP_013102504.1-pep.txt","XP_013102504.1")</f>
        <v>XP_013102504.1</v>
      </c>
      <c r="B124" s="30" t="s">
        <v>232</v>
      </c>
      <c r="C124">
        <v>94</v>
      </c>
      <c r="D124" t="s">
        <v>1394</v>
      </c>
      <c r="E124">
        <v>0</v>
      </c>
      <c r="F124" t="s">
        <v>1395</v>
      </c>
      <c r="G124" t="str">
        <f>HYPERLINK("http://exon.niaid.nih.gov/transcriptome/S_calcitrans/S1/links/cds/XM_013247050_1-cds.txt","XM_013247050_1")</f>
        <v>XM_013247050_1</v>
      </c>
      <c r="H124">
        <v>285</v>
      </c>
      <c r="I124" t="s">
        <v>1396</v>
      </c>
      <c r="J124" s="30" t="s">
        <v>236</v>
      </c>
      <c r="K124" s="30" t="s">
        <v>91</v>
      </c>
      <c r="L124" s="31" t="s">
        <v>1397</v>
      </c>
      <c r="M124" s="30">
        <v>703671</v>
      </c>
      <c r="N124" s="30">
        <v>704026</v>
      </c>
      <c r="O124" s="30" t="s">
        <v>276</v>
      </c>
      <c r="P124" s="30">
        <v>2</v>
      </c>
      <c r="Q124" s="31" t="s">
        <v>1398</v>
      </c>
      <c r="R124" s="32" t="str">
        <f>HYPERLINK("http://exon.niaid.nih.gov/transcriptome/S_calcitrans/S1/links/Sigp/XP_013102504.1-SigP.txt","SIG")</f>
        <v>SIG</v>
      </c>
      <c r="S124" t="s">
        <v>615</v>
      </c>
      <c r="T124">
        <v>10.861000000000001</v>
      </c>
      <c r="U124">
        <v>8.82</v>
      </c>
      <c r="V124">
        <v>7.9779999999999998</v>
      </c>
      <c r="W124">
        <v>8.11</v>
      </c>
      <c r="X124" t="s">
        <v>1399</v>
      </c>
      <c r="Y124" s="32" t="str">
        <f>HYPERLINK("http://exon.niaid.nih.gov/transcriptome/S_calcitrans/S1/links/tmhmm/XP_013102504.1-tmhmm.txt","2")</f>
        <v>2</v>
      </c>
      <c r="Z124">
        <v>43.6</v>
      </c>
      <c r="AA124">
        <v>10.6</v>
      </c>
      <c r="AB124">
        <v>45.7</v>
      </c>
      <c r="AC124" t="s">
        <v>242</v>
      </c>
      <c r="AD124">
        <v>36</v>
      </c>
      <c r="AE124" s="32" t="str">
        <f>HYPERLINK("http://exon.niaid.nih.gov/transcriptome/S_calcitrans/S1/links/netoglyc/XP_013102504.1-netoglyc.txt","0")</f>
        <v>0</v>
      </c>
      <c r="AF124">
        <v>6.4</v>
      </c>
      <c r="AG124">
        <v>5.3</v>
      </c>
      <c r="AH124">
        <v>4.3</v>
      </c>
      <c r="AI124" t="s">
        <v>243</v>
      </c>
      <c r="AJ124" t="s">
        <v>242</v>
      </c>
      <c r="AK124">
        <v>268.76901456637825</v>
      </c>
      <c r="AL124" s="33">
        <v>7427</v>
      </c>
      <c r="AM124">
        <v>1</v>
      </c>
      <c r="AN124" s="30">
        <f t="shared" si="83"/>
        <v>1</v>
      </c>
      <c r="AO124" s="30" t="s">
        <v>244</v>
      </c>
      <c r="AP124">
        <v>1994</v>
      </c>
      <c r="AQ124" s="34">
        <v>7.7450142441842966E-3</v>
      </c>
      <c r="AR124" s="35">
        <v>113.45861089720722</v>
      </c>
      <c r="AS124" t="s">
        <v>1400</v>
      </c>
      <c r="AT124" s="36" t="s">
        <v>1401</v>
      </c>
      <c r="AU124" t="s">
        <v>1402</v>
      </c>
      <c r="AV124" t="str">
        <f>HYPERLINK("http://exon.niaid.nih.gov/transcriptome/S_calcitrans/S1/links/DIPTERA/XP_013102504.1-DIPTERA.txt","DIPTERA")</f>
        <v>DIPTERA</v>
      </c>
      <c r="AW124" s="37">
        <v>4.9999999999999999E-48</v>
      </c>
      <c r="AX124">
        <v>100</v>
      </c>
      <c r="AY124" s="33"/>
      <c r="BG124" s="31"/>
      <c r="BJ124" s="33"/>
      <c r="BK124" s="33"/>
      <c r="BL124" s="33" t="str">
        <f>HYPERLINK("http://exon.niaid.nih.gov/transcriptome/S_calcitrans/S1/links/NR-LIGHT/XP_013102504.1-NR-LIGHT.txt","dolichol-phosphate mannosyltransferase subunit 3")</f>
        <v>dolichol-phosphate mannosyltransferase subunit 3</v>
      </c>
      <c r="BM124" t="str">
        <f>HYPERLINK("http://www.ncbi.nlm.nih.gov/sutils/blink.cgi?pid=557761724","6E-035")</f>
        <v>6E-035</v>
      </c>
      <c r="BN124" t="str">
        <f>HYPERLINK("http://www.ncbi.nlm.nih.gov/protein/557761724","gi|557761724")</f>
        <v>gi|557761724</v>
      </c>
      <c r="BO124">
        <v>73</v>
      </c>
      <c r="BP124">
        <v>87</v>
      </c>
      <c r="BQ124">
        <v>100</v>
      </c>
      <c r="BR124" t="s">
        <v>251</v>
      </c>
      <c r="BS124" s="33" t="str">
        <f>HYPERLINK("http://exon.niaid.nih.gov/transcriptome/S_calcitrans/S1/links/SWISSP/XP_013102504.1-SWISSP.txt","Dolichol-phosphate mannosyltransferase subunit 3")</f>
        <v>Dolichol-phosphate mannosyltransferase subunit 3</v>
      </c>
      <c r="BT124" t="str">
        <f>HYPERLINK("http://www.uniprot.org/uniprot/Q9P2X0","2E-009")</f>
        <v>2E-009</v>
      </c>
      <c r="BU124" t="str">
        <f>HYPERLINK("http://www.uniprot.org/uniprot/Q9P2X0#expression","Q9P2X0")</f>
        <v>Q9P2X0</v>
      </c>
      <c r="BV124">
        <v>38</v>
      </c>
      <c r="BW124">
        <v>53</v>
      </c>
      <c r="BX124">
        <v>103</v>
      </c>
      <c r="BY124" t="s">
        <v>353</v>
      </c>
      <c r="BZ124" s="33" t="str">
        <f>HYPERLINK("http://exon.niaid.nih.gov/transcriptome/S_calcitrans/S1/links/REFSEQ-INVERTEBRATE/XP_013102504.1-REFSEQ-INVERTEBRATE.txt","dolichol-phosphate mannosyltransferase subunit 3")</f>
        <v>dolichol-phosphate mannosyltransferase subunit 3</v>
      </c>
      <c r="CA124" t="str">
        <f>HYPERLINK("http://www.ncbi.nlm.nih.gov/sutils/blink.cgi?pid=907652619","8E-048")</f>
        <v>8E-048</v>
      </c>
      <c r="CB124" t="str">
        <f>HYPERLINK("http://www.ncbi.nlm.nih.gov/protein/907652619","gi|907652619")</f>
        <v>gi|907652619</v>
      </c>
      <c r="CC124">
        <v>100</v>
      </c>
      <c r="CD124">
        <v>100</v>
      </c>
      <c r="CE124">
        <v>100</v>
      </c>
      <c r="CF124" t="s">
        <v>253</v>
      </c>
      <c r="CG124" s="33" t="str">
        <f>HYPERLINK("http://exon.niaid.nih.gov/transcriptome/S_calcitrans/S1/links/DIPTERA/XP_013102504.1-DIPTERA.txt","dolichol-phosphate mannosyltransferase subunit 3")</f>
        <v>dolichol-phosphate mannosyltransferase subunit 3</v>
      </c>
      <c r="CH124" t="str">
        <f>HYPERLINK("http://www.ncbi.nlm.nih.gov/sutils/blink.cgi?pid=907652619","5E-048")</f>
        <v>5E-048</v>
      </c>
      <c r="CI124" t="str">
        <f>HYPERLINK("http://www.ncbi.nlm.nih.gov/protein/907652619","gi|907652619")</f>
        <v>gi|907652619</v>
      </c>
      <c r="CJ124">
        <v>100</v>
      </c>
      <c r="CK124">
        <v>100</v>
      </c>
      <c r="CL124">
        <v>100</v>
      </c>
      <c r="CM124" t="s">
        <v>253</v>
      </c>
      <c r="CN124" s="33" t="s">
        <v>242</v>
      </c>
      <c r="CO124" t="s">
        <v>242</v>
      </c>
      <c r="CP124" t="s">
        <v>242</v>
      </c>
      <c r="CQ124" t="s">
        <v>242</v>
      </c>
      <c r="CR124" t="s">
        <v>242</v>
      </c>
      <c r="CS124" t="s">
        <v>242</v>
      </c>
      <c r="CT124" t="s">
        <v>242</v>
      </c>
      <c r="CU124" s="33" t="s">
        <v>1403</v>
      </c>
      <c r="CV124">
        <f>HYPERLINK("http://exon.niaid.nih.gov/transcriptome/S_calcitrans/S1/links/GO/XP_013102504.1-GO.txt",6E-26)</f>
        <v>6.0000000000000002E-26</v>
      </c>
      <c r="CW124" t="str">
        <f>HYPERLINK("http://amigo.geneontology.org/cgi-bin/amigo/term_details?term=GO:0003674","GO:0003674")</f>
        <v>GO:0003674</v>
      </c>
      <c r="CX124" t="s">
        <v>255</v>
      </c>
      <c r="CY124" t="s">
        <v>256</v>
      </c>
      <c r="CZ124" t="s">
        <v>257</v>
      </c>
      <c r="DA124" t="s">
        <v>242</v>
      </c>
      <c r="DC124" t="s">
        <v>258</v>
      </c>
      <c r="DD124" s="37">
        <v>6.0000000000000002E-26</v>
      </c>
      <c r="DE124" s="33" t="str">
        <f>HYPERLINK("http://exon.niaid.nih.gov/transcriptome/S_calcitrans/S1/links/CDD/XP_013102504.1-CDD.txt","DPM3")</f>
        <v>DPM3</v>
      </c>
      <c r="DF124" t="str">
        <f>HYPERLINK("http://www.ncbi.nlm.nih.gov/Structure/cdd/cddsrv.cgi?uid=pfam08285&amp;version=v4.0","4E-018")</f>
        <v>4E-018</v>
      </c>
      <c r="DG124" t="s">
        <v>1404</v>
      </c>
      <c r="DH124" s="33" t="str">
        <f>HYPERLINK("http://exon.niaid.nih.gov/transcriptome/S_calcitrans/S1/links/KOG/XP_013102504.1-KOG.txt","Dolichol-phosphate mannosyltransferase, subunit 3")</f>
        <v>Dolichol-phosphate mannosyltransferase, subunit 3</v>
      </c>
      <c r="DI124" t="str">
        <f>HYPERLINK("http://www.ncbi.nlm.nih.gov/Structure/cdd/cddsrv.cgi?uid=KOG4841","4E-013")</f>
        <v>4E-013</v>
      </c>
      <c r="DJ124" t="s">
        <v>1405</v>
      </c>
      <c r="DK124" t="str">
        <f>HYPERLINK("http://exon.niaid.nih.gov/transcriptome/S_calcitrans/S1/links/KOG/XP_013102504.1-KOG.txt","KOG4841")</f>
        <v>KOG4841</v>
      </c>
      <c r="DL124" s="33" t="str">
        <f>HYPERLINK("http://exon.niaid.nih.gov/transcriptome/S_calcitrans/S1/links/PFAM/XP_013102504.1-PFAM.txt","DPM3")</f>
        <v>DPM3</v>
      </c>
      <c r="DM124" t="str">
        <f>HYPERLINK("http://pfam.sanger.ac.uk/family?acc=PF08285","9E-019")</f>
        <v>9E-019</v>
      </c>
      <c r="DN124" s="33" t="str">
        <f>HYPERLINK("http://exon.niaid.nih.gov/transcriptome/S_calcitrans/S1/links/SMART/XP_013102504.1-SMART.txt","AIP3")</f>
        <v>AIP3</v>
      </c>
      <c r="DO124" t="str">
        <f>HYPERLINK("http://smart.embl-heidelberg.de/smart/do_annotation.pl?DOMAIN=AIP3&amp;BLAST=DUMMY","0.10")</f>
        <v>0.10</v>
      </c>
      <c r="DP124" s="33"/>
      <c r="EB124" s="33">
        <v>3757</v>
      </c>
      <c r="EC124">
        <v>1</v>
      </c>
      <c r="ED124" s="33">
        <v>4552</v>
      </c>
      <c r="EE124">
        <v>1</v>
      </c>
      <c r="EF124" s="33">
        <v>4997</v>
      </c>
      <c r="EG124">
        <v>1</v>
      </c>
      <c r="EH124" s="33">
        <v>5347</v>
      </c>
      <c r="EI124">
        <v>1</v>
      </c>
      <c r="EJ124" s="33">
        <v>5695</v>
      </c>
      <c r="EK124">
        <v>1</v>
      </c>
      <c r="EL124" s="33">
        <v>5960</v>
      </c>
      <c r="EM124">
        <v>1</v>
      </c>
      <c r="EN124" s="33">
        <v>6275</v>
      </c>
      <c r="EO124">
        <v>1</v>
      </c>
      <c r="EP124" s="33">
        <v>6505</v>
      </c>
      <c r="EQ124">
        <v>1</v>
      </c>
      <c r="ER124" s="33">
        <v>6690</v>
      </c>
      <c r="ES124">
        <v>1</v>
      </c>
      <c r="ET124" s="33">
        <v>6830</v>
      </c>
      <c r="EU124">
        <v>1</v>
      </c>
      <c r="EV124" s="33">
        <v>6954</v>
      </c>
      <c r="EW124">
        <v>1</v>
      </c>
      <c r="EX124" s="33">
        <v>7064</v>
      </c>
      <c r="EY124">
        <v>1</v>
      </c>
      <c r="EZ124" s="33">
        <v>7174</v>
      </c>
      <c r="FA124">
        <v>1</v>
      </c>
      <c r="FB124" s="33">
        <v>7271</v>
      </c>
      <c r="FC124">
        <v>1</v>
      </c>
      <c r="FD124" s="33">
        <v>7427</v>
      </c>
      <c r="FE124">
        <v>1</v>
      </c>
      <c r="FF124" t="s">
        <v>1406</v>
      </c>
      <c r="FG124">
        <v>8422</v>
      </c>
      <c r="FH124" s="38" t="str">
        <f>HYPERLINK("http://exon.niaid.nih.gov/transcriptome/S_calcitrans/S1/links/SG_male-stripped_temp-95-h10-1gap/8422-SG_male-stripped_temp-95-h10-1gap.txt","924")</f>
        <v>924</v>
      </c>
      <c r="FI124" s="39">
        <v>94.736842105263193</v>
      </c>
      <c r="FJ124" s="39">
        <v>227.47719298245599</v>
      </c>
      <c r="FK124" s="39">
        <v>0</v>
      </c>
      <c r="FL124" s="39">
        <v>562</v>
      </c>
      <c r="FM124" s="39">
        <v>70.163419913419901</v>
      </c>
      <c r="FN124" s="38" t="str">
        <f>HYPERLINK("http://exon.niaid.nih.gov/transcriptome/S_calcitrans/S1/links/SG_female-stripped_temp-95-h10-1gap/8422-SG_female-stripped_temp-95-h10-1gap.txt","1070")</f>
        <v>1070</v>
      </c>
      <c r="FO124" s="39">
        <v>96.842105263157904</v>
      </c>
      <c r="FP124" s="39">
        <v>263.46666666666698</v>
      </c>
      <c r="FQ124" s="39">
        <v>0</v>
      </c>
      <c r="FR124" s="39">
        <v>613</v>
      </c>
      <c r="FS124" s="39">
        <v>70.175700934579396</v>
      </c>
      <c r="FT124" s="38" t="str">
        <f>HYPERLINK("http://exon.niaid.nih.gov/transcriptome/S_calcitrans/S1/links/SRR694289-stripped_temp-95-h10-1gap/8422-SRR694289-stripped_temp-95-h10-1gap.txt","17")</f>
        <v>17</v>
      </c>
      <c r="FU124" s="39">
        <v>98.596491228070207</v>
      </c>
      <c r="FV124" s="39">
        <v>5.6456140350877204</v>
      </c>
      <c r="FW124" s="39">
        <v>0</v>
      </c>
      <c r="FX124" s="39">
        <v>11</v>
      </c>
      <c r="FY124" s="39">
        <v>94.823529411764696</v>
      </c>
      <c r="FZ124" s="38" t="str">
        <f>HYPERLINK("http://exon.niaid.nih.gov/transcriptome/S_calcitrans/S1/links/SRR694925-stripped_temp-95-h10-1gap/8422-SRR694925-stripped_temp-95-h10-1gap.txt","8")</f>
        <v>8</v>
      </c>
      <c r="GA124" s="39">
        <v>88.421052631578902</v>
      </c>
      <c r="GB124" s="39">
        <v>2.6105263157894698</v>
      </c>
      <c r="GC124" s="39">
        <v>0</v>
      </c>
      <c r="GD124" s="39">
        <v>6</v>
      </c>
      <c r="GE124" s="39">
        <v>93</v>
      </c>
      <c r="GF124">
        <f>1*FH124</f>
        <v>924</v>
      </c>
      <c r="GG124">
        <f>1*FN124</f>
        <v>1070</v>
      </c>
      <c r="GH124">
        <f>1*FT124</f>
        <v>17</v>
      </c>
      <c r="GI124">
        <f>1*FZ124</f>
        <v>8</v>
      </c>
      <c r="GJ124">
        <f>IF(FZ124&lt;&gt;"",SUM(GF124:GG124),"")</f>
        <v>1994</v>
      </c>
      <c r="GK124" s="34">
        <v>7.7450142441842966E-3</v>
      </c>
      <c r="GL124">
        <v>106.05450007502064</v>
      </c>
      <c r="GM124">
        <v>55.848582848251787</v>
      </c>
      <c r="GN124">
        <v>0.34287561566991359</v>
      </c>
      <c r="GO124">
        <v>0.16633702141307916</v>
      </c>
      <c r="GP124">
        <f>MAX(GL124:GO124)</f>
        <v>106.05450007502064</v>
      </c>
      <c r="GQ124" t="s">
        <v>1402</v>
      </c>
      <c r="GR124">
        <v>82.710998417440351</v>
      </c>
      <c r="GS124">
        <v>45.838628775186436</v>
      </c>
      <c r="GT124">
        <v>0.61808741671656875</v>
      </c>
      <c r="GU124">
        <v>0.31492158256592662</v>
      </c>
      <c r="GV124">
        <f>MAX(GR124:GU124)</f>
        <v>82.710998417440351</v>
      </c>
      <c r="GW124">
        <v>113.45861089720722</v>
      </c>
      <c r="GX124">
        <v>1994</v>
      </c>
      <c r="GY124">
        <v>25</v>
      </c>
      <c r="GZ124">
        <v>2019</v>
      </c>
      <c r="HA124">
        <v>448.2173813797358</v>
      </c>
      <c r="HB124">
        <v>1570.7826186202642</v>
      </c>
      <c r="HC124">
        <v>5330.9934047473998</v>
      </c>
      <c r="HD124">
        <v>1521.1805094503457</v>
      </c>
      <c r="HE124">
        <v>6852.173914197745</v>
      </c>
      <c r="HF124">
        <v>0</v>
      </c>
      <c r="HG124">
        <v>448.2173813797358</v>
      </c>
      <c r="HH124">
        <v>1</v>
      </c>
      <c r="HI124">
        <v>1</v>
      </c>
      <c r="HJ124">
        <v>2</v>
      </c>
      <c r="HK124">
        <v>0</v>
      </c>
      <c r="HL124" s="30" t="s">
        <v>262</v>
      </c>
      <c r="HM124">
        <v>268.76901456637825</v>
      </c>
      <c r="HN124">
        <v>3.5757711465468182E-3</v>
      </c>
      <c r="HO124">
        <v>924</v>
      </c>
      <c r="HP124">
        <v>1070</v>
      </c>
      <c r="HQ124">
        <v>1994</v>
      </c>
      <c r="HR124">
        <v>623.31631385117828</v>
      </c>
      <c r="HS124">
        <v>1370.6836861488218</v>
      </c>
      <c r="HT124">
        <v>145.04783062300754</v>
      </c>
      <c r="HU124">
        <v>65.960279552219646</v>
      </c>
      <c r="HV124">
        <v>211.00811017522719</v>
      </c>
      <c r="HW124">
        <v>8.2780336904594325E-48</v>
      </c>
      <c r="HX124">
        <v>623.31631385117828</v>
      </c>
      <c r="HY124">
        <v>1</v>
      </c>
      <c r="HZ124">
        <v>1</v>
      </c>
      <c r="IA124">
        <v>2</v>
      </c>
      <c r="IB124" s="37">
        <v>6.6609954659498197E-46</v>
      </c>
      <c r="IC124" s="30" t="s">
        <v>262</v>
      </c>
      <c r="ID124">
        <v>1.8971918509252466</v>
      </c>
      <c r="IE124">
        <v>0.5260333692815109</v>
      </c>
      <c r="IF124">
        <v>1.8971918509252466</v>
      </c>
      <c r="IG124" t="str">
        <f t="shared" si="84"/>
        <v/>
      </c>
    </row>
    <row r="125" spans="1:241">
      <c r="A125" t="str">
        <f>HYPERLINK("http://exon.niaid.nih.gov/transcriptome/S_calcitrans/S1/links/pep/XP_013117117.1-pep.txt","XP_013117117.1")</f>
        <v>XP_013117117.1</v>
      </c>
      <c r="B125" s="30" t="s">
        <v>232</v>
      </c>
      <c r="C125">
        <v>109</v>
      </c>
      <c r="D125" t="s">
        <v>1375</v>
      </c>
      <c r="E125">
        <v>0</v>
      </c>
      <c r="F125" t="s">
        <v>1407</v>
      </c>
      <c r="G125" t="str">
        <f>HYPERLINK("http://exon.niaid.nih.gov/transcriptome/S_calcitrans/S1/links/cds/XM_013261663_1-cds.txt","XM_013261663_1")</f>
        <v>XM_013261663_1</v>
      </c>
      <c r="H125">
        <v>330</v>
      </c>
      <c r="I125" t="s">
        <v>1408</v>
      </c>
      <c r="J125" s="30" t="s">
        <v>236</v>
      </c>
      <c r="K125" s="30" t="s">
        <v>91</v>
      </c>
      <c r="L125" s="31" t="s">
        <v>1409</v>
      </c>
      <c r="M125" s="30">
        <v>48312</v>
      </c>
      <c r="N125" s="30">
        <v>48641</v>
      </c>
      <c r="O125" s="30" t="s">
        <v>238</v>
      </c>
      <c r="P125" s="30">
        <v>1</v>
      </c>
      <c r="Q125" s="31" t="s">
        <v>1410</v>
      </c>
      <c r="R125" s="32" t="str">
        <f>HYPERLINK("http://exon.niaid.nih.gov/transcriptome/S_calcitrans/S1/links/Sigp/XP_013117117.1-SigP.txt","ANC")</f>
        <v>ANC</v>
      </c>
      <c r="S125" t="s">
        <v>242</v>
      </c>
      <c r="T125">
        <v>12.14</v>
      </c>
      <c r="U125">
        <v>8.91</v>
      </c>
      <c r="V125">
        <v>7.3940000000000001</v>
      </c>
      <c r="W125">
        <v>7.91</v>
      </c>
      <c r="X125" t="s">
        <v>1411</v>
      </c>
      <c r="Y125" s="32" t="str">
        <f>HYPERLINK("http://exon.niaid.nih.gov/transcriptome/S_calcitrans/S1/links/tmhmm/XP_013117117.1-tmhmm.txt","3")</f>
        <v>3</v>
      </c>
      <c r="Z125">
        <v>57.8</v>
      </c>
      <c r="AA125">
        <v>36.700000000000003</v>
      </c>
      <c r="AB125">
        <v>5.5</v>
      </c>
      <c r="AC125" t="s">
        <v>242</v>
      </c>
      <c r="AD125" t="s">
        <v>242</v>
      </c>
      <c r="AE125" s="32" t="str">
        <f>HYPERLINK("http://exon.niaid.nih.gov/transcriptome/S_calcitrans/S1/links/netoglyc/XP_013117117.1-netoglyc.txt","0")</f>
        <v>0</v>
      </c>
      <c r="AF125">
        <v>10.1</v>
      </c>
      <c r="AG125">
        <v>7.3</v>
      </c>
      <c r="AH125">
        <v>3.7</v>
      </c>
      <c r="AI125" t="s">
        <v>243</v>
      </c>
      <c r="AJ125" t="s">
        <v>242</v>
      </c>
      <c r="AK125">
        <v>323.58315662103911</v>
      </c>
      <c r="AL125" s="33">
        <v>15110</v>
      </c>
      <c r="AM125">
        <v>1</v>
      </c>
      <c r="AN125" s="30">
        <f t="shared" si="83"/>
        <v>1</v>
      </c>
      <c r="AO125" s="30" t="s">
        <v>244</v>
      </c>
      <c r="AP125">
        <v>1939</v>
      </c>
      <c r="AQ125" s="34">
        <v>7.5313854661350809E-3</v>
      </c>
      <c r="AR125" s="35">
        <v>126.79560492971679</v>
      </c>
      <c r="AS125" t="s">
        <v>1412</v>
      </c>
      <c r="AT125" s="36" t="s">
        <v>1413</v>
      </c>
      <c r="AU125" t="s">
        <v>1414</v>
      </c>
      <c r="AV125" t="str">
        <f>HYPERLINK("http://exon.niaid.nih.gov/transcriptome/S_calcitrans/S1/links/NR-LIGHT/XP_013117117.1-NR-LIGHT.txt","NR-LIGHT")</f>
        <v>NR-LIGHT</v>
      </c>
      <c r="AW125" s="37">
        <v>2.9999999999999999E-48</v>
      </c>
      <c r="AX125">
        <v>94.6</v>
      </c>
      <c r="AY125" s="33"/>
      <c r="BG125" s="31"/>
      <c r="BJ125" s="33"/>
      <c r="BK125" s="33"/>
      <c r="BL125" s="33" t="str">
        <f>HYPERLINK("http://exon.niaid.nih.gov/transcriptome/S_calcitrans/S1/links/NR-LIGHT/XP_013117117.1-NR-LIGHT.txt","lethal (2) k12914")</f>
        <v>lethal (2) k12914</v>
      </c>
      <c r="BM125" t="str">
        <f>HYPERLINK("http://www.ncbi.nlm.nih.gov/sutils/blink.cgi?pid=20129377","9E-049")</f>
        <v>9E-049</v>
      </c>
      <c r="BN125" t="str">
        <f>HYPERLINK("http://www.ncbi.nlm.nih.gov/protein/20129377","gi|20129377")</f>
        <v>gi|20129377</v>
      </c>
      <c r="BO125">
        <v>85</v>
      </c>
      <c r="BP125">
        <v>93</v>
      </c>
      <c r="BQ125">
        <v>95</v>
      </c>
      <c r="BR125" t="s">
        <v>304</v>
      </c>
      <c r="BS125" s="33" t="str">
        <f>HYPERLINK("http://exon.niaid.nih.gov/transcriptome/S_calcitrans/S1/links/SWISSP/XP_013117117.1-SWISSP.txt","Dolichyl-diphosphooligosaccharide--protein glycosyltransferase subunit DAD1")</f>
        <v>Dolichyl-diphosphooligosaccharide--protein glycosyltransferase subunit DAD1</v>
      </c>
      <c r="BT125" t="str">
        <f>HYPERLINK("http://www.uniprot.org/uniprot/Q9VLM5","1E-049")</f>
        <v>1E-049</v>
      </c>
      <c r="BU125" t="str">
        <f>HYPERLINK("http://www.uniprot.org/uniprot/Q9VLM5#expression","Q9VLM5")</f>
        <v>Q9VLM5</v>
      </c>
      <c r="BV125">
        <v>85</v>
      </c>
      <c r="BW125">
        <v>93</v>
      </c>
      <c r="BX125">
        <v>95</v>
      </c>
      <c r="BY125" t="s">
        <v>304</v>
      </c>
      <c r="BZ125" s="33" t="str">
        <f>HYPERLINK("http://exon.niaid.nih.gov/transcriptome/S_calcitrans/S1/links/REFSEQ-INVERTEBRATE/XP_013117117.1-REFSEQ-INVERTEBRATE.txt","dolichyl-diphosphooligosaccharide--protein glycosyltransferase subunit DAD1")</f>
        <v>dolichyl-diphosphooligosaccharide--protein glycosyltransferase subunit DAD1</v>
      </c>
      <c r="CA125" t="str">
        <f>HYPERLINK("http://www.ncbi.nlm.nih.gov/sutils/blink.cgi?pid=907744902","2E-057")</f>
        <v>2E-057</v>
      </c>
      <c r="CB125" t="str">
        <f>HYPERLINK("http://www.ncbi.nlm.nih.gov/protein/907744902","gi|907744902")</f>
        <v>gi|907744902</v>
      </c>
      <c r="CC125">
        <v>100</v>
      </c>
      <c r="CD125">
        <v>100</v>
      </c>
      <c r="CE125">
        <v>100</v>
      </c>
      <c r="CF125" t="s">
        <v>253</v>
      </c>
      <c r="CG125" s="33" t="str">
        <f>HYPERLINK("http://exon.niaid.nih.gov/transcriptome/S_calcitrans/S1/links/DIPTERA/XP_013117117.1-DIPTERA.txt","dolichyl-diphosphooligosaccharide--protein glycosyltransferase subunit DAD1")</f>
        <v>dolichyl-diphosphooligosaccharide--protein glycosyltransferase subunit DAD1</v>
      </c>
      <c r="CH125" t="str">
        <f>HYPERLINK("http://www.ncbi.nlm.nih.gov/sutils/blink.cgi?pid=907744902","1E-057")</f>
        <v>1E-057</v>
      </c>
      <c r="CI125" t="str">
        <f>HYPERLINK("http://www.ncbi.nlm.nih.gov/protein/907744902","gi|907744902")</f>
        <v>gi|907744902</v>
      </c>
      <c r="CJ125">
        <v>100</v>
      </c>
      <c r="CK125">
        <v>100</v>
      </c>
      <c r="CL125">
        <v>100</v>
      </c>
      <c r="CM125" t="s">
        <v>253</v>
      </c>
      <c r="CN125" s="33" t="s">
        <v>242</v>
      </c>
      <c r="CO125" t="s">
        <v>242</v>
      </c>
      <c r="CP125" t="s">
        <v>242</v>
      </c>
      <c r="CQ125" t="s">
        <v>242</v>
      </c>
      <c r="CR125" t="s">
        <v>242</v>
      </c>
      <c r="CS125" t="s">
        <v>242</v>
      </c>
      <c r="CT125" t="s">
        <v>242</v>
      </c>
      <c r="CU125" s="33" t="s">
        <v>1415</v>
      </c>
      <c r="CV125">
        <f>HYPERLINK("http://exon.niaid.nih.gov/transcriptome/S_calcitrans/S1/links/GO/XP_013117117.1-GO.txt",2E-49)</f>
        <v>1.9999999999999999E-49</v>
      </c>
      <c r="CW125" t="str">
        <f>HYPERLINK("http://amigo.geneontology.org/cgi-bin/amigo/term_details?term=GO:0004576","GO:0004576")</f>
        <v>GO:0004576</v>
      </c>
      <c r="CX125" t="s">
        <v>1416</v>
      </c>
      <c r="CY125" t="s">
        <v>1417</v>
      </c>
      <c r="CZ125" t="s">
        <v>1418</v>
      </c>
      <c r="DA125" t="str">
        <f>HYPERLINK("http://www.genome.jp/dbget-bin/www_bfind_sub?mode=bfind&amp;max_hit=1000&amp;dbkey=kegg&amp;keywords=EC:2.4.1.-","EC:2.4.1.-")</f>
        <v>EC:2.4.1.-</v>
      </c>
      <c r="DC125" t="s">
        <v>1419</v>
      </c>
      <c r="DD125" s="37">
        <v>1.9999999999999999E-49</v>
      </c>
      <c r="DE125" s="33" t="str">
        <f>HYPERLINK("http://exon.niaid.nih.gov/transcriptome/S_calcitrans/S1/links/CDD/XP_013117117.1-CDD.txt","DAD")</f>
        <v>DAD</v>
      </c>
      <c r="DF125" t="str">
        <f>HYPERLINK("http://www.ncbi.nlm.nih.gov/Structure/cdd/cddsrv.cgi?uid=pfam02109&amp;version=v4.0","1E-041")</f>
        <v>1E-041</v>
      </c>
      <c r="DG125" t="s">
        <v>1420</v>
      </c>
      <c r="DH125" s="33" t="str">
        <f>HYPERLINK("http://exon.niaid.nih.gov/transcriptome/S_calcitrans/S1/links/KOG/XP_013117117.1-KOG.txt","Defender against cell death protein/oligosaccharyltransferase, epsilon subunit")</f>
        <v>Defender against cell death protein/oligosaccharyltransferase, epsilon subunit</v>
      </c>
      <c r="DI125" t="str">
        <f>HYPERLINK("http://www.ncbi.nlm.nih.gov/Structure/cdd/cddsrv.cgi?uid=KOG1746","1E-039")</f>
        <v>1E-039</v>
      </c>
      <c r="DJ125" t="s">
        <v>1421</v>
      </c>
      <c r="DK125" t="str">
        <f>HYPERLINK("http://exon.niaid.nih.gov/transcriptome/S_calcitrans/S1/links/KOG/XP_013117117.1-KOG.txt","KOG1746")</f>
        <v>KOG1746</v>
      </c>
      <c r="DL125" s="33" t="str">
        <f>HYPERLINK("http://exon.niaid.nih.gov/transcriptome/S_calcitrans/S1/links/PFAM/XP_013117117.1-PFAM.txt","DAD")</f>
        <v>DAD</v>
      </c>
      <c r="DM125" t="str">
        <f>HYPERLINK("http://pfam.sanger.ac.uk/family?acc=PF02109","2E-042")</f>
        <v>2E-042</v>
      </c>
      <c r="DN125" s="33" t="str">
        <f>HYPERLINK("http://exon.niaid.nih.gov/transcriptome/S_calcitrans/S1/links/SMART/XP_013117117.1-SMART.txt","INB")</f>
        <v>INB</v>
      </c>
      <c r="DO125" t="str">
        <f>HYPERLINK("http://smart.embl-heidelberg.de/smart/do_annotation.pl?DOMAIN=INB&amp;BLAST=DUMMY","2.7")</f>
        <v>2.7</v>
      </c>
      <c r="DP125" s="33"/>
      <c r="EB125" s="33">
        <v>6135</v>
      </c>
      <c r="EC125">
        <v>1</v>
      </c>
      <c r="ED125" s="33">
        <v>7431</v>
      </c>
      <c r="EE125">
        <v>1</v>
      </c>
      <c r="EF125" s="33">
        <v>8328</v>
      </c>
      <c r="EG125">
        <v>1</v>
      </c>
      <c r="EH125" s="33">
        <v>9045</v>
      </c>
      <c r="EI125">
        <v>1</v>
      </c>
      <c r="EJ125" s="33">
        <v>9769</v>
      </c>
      <c r="EK125">
        <v>1</v>
      </c>
      <c r="EL125" s="33">
        <v>10327</v>
      </c>
      <c r="EM125">
        <v>1</v>
      </c>
      <c r="EN125" s="33">
        <v>10955</v>
      </c>
      <c r="EO125">
        <v>1</v>
      </c>
      <c r="EP125" s="33">
        <v>11463</v>
      </c>
      <c r="EQ125">
        <v>1</v>
      </c>
      <c r="ER125" s="33">
        <v>11947</v>
      </c>
      <c r="ES125">
        <v>1</v>
      </c>
      <c r="ET125" s="33">
        <v>12367</v>
      </c>
      <c r="EU125">
        <v>1</v>
      </c>
      <c r="EV125" s="33">
        <v>12814</v>
      </c>
      <c r="EW125">
        <v>1</v>
      </c>
      <c r="EX125" s="33">
        <v>13226</v>
      </c>
      <c r="EY125">
        <v>1</v>
      </c>
      <c r="EZ125" s="33">
        <v>13743</v>
      </c>
      <c r="FA125">
        <v>1</v>
      </c>
      <c r="FB125" s="33">
        <v>14303</v>
      </c>
      <c r="FC125">
        <v>1</v>
      </c>
      <c r="FD125" s="33">
        <v>15110</v>
      </c>
      <c r="FE125">
        <v>1</v>
      </c>
      <c r="FF125" t="s">
        <v>1422</v>
      </c>
      <c r="FG125">
        <v>21472</v>
      </c>
      <c r="FH125" s="38" t="str">
        <f>HYPERLINK("http://exon.niaid.nih.gov/transcriptome/S_calcitrans/S1/links/SG_male-stripped_temp-95-h10-1gap/21472-SG_male-stripped_temp-95-h10-1gap.txt","882")</f>
        <v>882</v>
      </c>
      <c r="FI125" s="39">
        <v>100</v>
      </c>
      <c r="FJ125" s="39">
        <v>196.71212121212099</v>
      </c>
      <c r="FK125" s="39">
        <v>7</v>
      </c>
      <c r="FL125" s="39">
        <v>414</v>
      </c>
      <c r="FM125" s="39">
        <v>73.599773242630405</v>
      </c>
      <c r="FN125" s="38" t="str">
        <f>HYPERLINK("http://exon.niaid.nih.gov/transcriptome/S_calcitrans/S1/links/SG_female-stripped_temp-95-h10-1gap/21472-SG_female-stripped_temp-95-h10-1gap.txt","1057")</f>
        <v>1057</v>
      </c>
      <c r="FO125" s="39">
        <v>100</v>
      </c>
      <c r="FP125" s="39">
        <v>235.678787878788</v>
      </c>
      <c r="FQ125" s="39">
        <v>15</v>
      </c>
      <c r="FR125" s="39">
        <v>543</v>
      </c>
      <c r="FS125" s="39">
        <v>73.579943235572401</v>
      </c>
      <c r="FT125" s="38" t="str">
        <f>HYPERLINK("http://exon.niaid.nih.gov/transcriptome/S_calcitrans/S1/links/SRR694289-stripped_temp-95-h10-1gap/21472-SRR694289-stripped_temp-95-h10-1gap.txt","13")</f>
        <v>13</v>
      </c>
      <c r="FU125" s="39">
        <v>97.575757575757606</v>
      </c>
      <c r="FV125" s="39">
        <v>3.7636363636363601</v>
      </c>
      <c r="FW125" s="39">
        <v>0</v>
      </c>
      <c r="FX125" s="39">
        <v>8</v>
      </c>
      <c r="FY125" s="39">
        <v>95.538461538461505</v>
      </c>
      <c r="FZ125" s="38" t="str">
        <f>HYPERLINK("http://exon.niaid.nih.gov/transcriptome/S_calcitrans/S1/links/SRR694925-stripped_temp-95-h10-1gap/21472-SRR694925-stripped_temp-95-h10-1gap.txt","7")</f>
        <v>7</v>
      </c>
      <c r="GA125" s="39">
        <v>64.848484848484802</v>
      </c>
      <c r="GB125" s="39">
        <v>1.7909090909090899</v>
      </c>
      <c r="GC125" s="39">
        <v>0</v>
      </c>
      <c r="GD125" s="39">
        <v>5</v>
      </c>
      <c r="GE125" s="39">
        <v>84.428571428571402</v>
      </c>
      <c r="GF125">
        <f>1*FH125</f>
        <v>882</v>
      </c>
      <c r="GG125">
        <f>1*FN125</f>
        <v>1057</v>
      </c>
      <c r="GH125">
        <f>1*FT125</f>
        <v>13</v>
      </c>
      <c r="GI125">
        <f>1*FZ125</f>
        <v>7</v>
      </c>
      <c r="GJ125">
        <f>IF(FZ125&lt;&gt;"",SUM(GF125:GG125),"")</f>
        <v>1939</v>
      </c>
      <c r="GK125" s="34">
        <v>7.5313854661350809E-3</v>
      </c>
      <c r="GL125">
        <v>87.429226301514959</v>
      </c>
      <c r="GM125">
        <v>47.646860209916767</v>
      </c>
      <c r="GN125">
        <v>0.22644459109750978</v>
      </c>
      <c r="GO125">
        <v>0.12569786277238368</v>
      </c>
      <c r="GP125">
        <f>MAX(GL125:GO125)</f>
        <v>87.429226301514959</v>
      </c>
      <c r="GQ125" t="s">
        <v>1414</v>
      </c>
      <c r="GR125">
        <v>68.185306546608885</v>
      </c>
      <c r="GS125">
        <v>39.106932102466835</v>
      </c>
      <c r="GT125">
        <v>0.40820211745719914</v>
      </c>
      <c r="GU125">
        <v>0.23798051409811502</v>
      </c>
      <c r="GV125">
        <f>MAX(GR125:GU125)</f>
        <v>68.185306546608885</v>
      </c>
      <c r="GW125">
        <v>126.79560492971679</v>
      </c>
      <c r="GX125">
        <v>1939</v>
      </c>
      <c r="GY125">
        <v>20</v>
      </c>
      <c r="GZ125">
        <v>1959</v>
      </c>
      <c r="HA125">
        <v>434.89739976369611</v>
      </c>
      <c r="HB125">
        <v>1524.1026002363039</v>
      </c>
      <c r="HC125">
        <v>5201.9732315411802</v>
      </c>
      <c r="HD125">
        <v>1484.3650497590186</v>
      </c>
      <c r="HE125">
        <v>6686.338281300199</v>
      </c>
      <c r="HF125">
        <v>0</v>
      </c>
      <c r="HG125">
        <v>434.89739976369611</v>
      </c>
      <c r="HH125">
        <v>1</v>
      </c>
      <c r="HI125">
        <v>1</v>
      </c>
      <c r="HJ125">
        <v>2</v>
      </c>
      <c r="HK125">
        <v>0</v>
      </c>
      <c r="HL125" s="30" t="s">
        <v>262</v>
      </c>
      <c r="HM125">
        <v>323.58315662103911</v>
      </c>
      <c r="HN125">
        <v>2.9417168813859395E-3</v>
      </c>
      <c r="HO125">
        <v>882</v>
      </c>
      <c r="HP125">
        <v>1057</v>
      </c>
      <c r="HQ125">
        <v>1939</v>
      </c>
      <c r="HR125">
        <v>606.12353688938549</v>
      </c>
      <c r="HS125">
        <v>1332.8764631106146</v>
      </c>
      <c r="HT125">
        <v>125.56486964523133</v>
      </c>
      <c r="HU125">
        <v>57.100432789401104</v>
      </c>
      <c r="HV125">
        <v>182.66530243463242</v>
      </c>
      <c r="HW125">
        <v>1.269111388629845E-41</v>
      </c>
      <c r="HX125">
        <v>606.12353688938549</v>
      </c>
      <c r="HY125">
        <v>1</v>
      </c>
      <c r="HZ125">
        <v>1</v>
      </c>
      <c r="IA125">
        <v>2</v>
      </c>
      <c r="IB125" s="37">
        <v>9.2504933441558504E-40</v>
      </c>
      <c r="IC125" s="30" t="s">
        <v>262</v>
      </c>
      <c r="ID125">
        <v>1.8332076782591391</v>
      </c>
      <c r="IE125">
        <v>0.54435915790557377</v>
      </c>
      <c r="IF125">
        <v>1.8332076782591391</v>
      </c>
      <c r="IG125" t="str">
        <f t="shared" si="84"/>
        <v/>
      </c>
    </row>
    <row r="126" spans="1:241">
      <c r="A126" s="22" t="s">
        <v>1423</v>
      </c>
      <c r="B126" s="23"/>
      <c r="C126" s="24"/>
      <c r="D126" s="24"/>
      <c r="E126" s="24"/>
      <c r="F126" s="24"/>
      <c r="G126" s="24"/>
      <c r="H126" s="24"/>
      <c r="I126" s="24"/>
      <c r="J126" s="23"/>
      <c r="K126" s="23"/>
      <c r="L126" s="25"/>
      <c r="M126" s="23"/>
      <c r="N126" s="23"/>
      <c r="O126" s="23"/>
      <c r="P126" s="23"/>
      <c r="Q126" s="25"/>
      <c r="R126" s="23"/>
      <c r="S126" s="24"/>
      <c r="T126" s="24"/>
      <c r="U126" s="24"/>
      <c r="V126" s="24"/>
      <c r="W126" s="24"/>
      <c r="X126" s="24"/>
      <c r="Y126" s="23"/>
      <c r="Z126" s="24"/>
      <c r="AA126" s="24"/>
      <c r="AB126" s="24"/>
      <c r="AC126" s="24"/>
      <c r="AD126" s="24"/>
      <c r="AE126" s="23"/>
      <c r="AF126" s="24"/>
      <c r="AG126" s="24"/>
      <c r="AH126" s="24"/>
      <c r="AI126" s="24"/>
      <c r="AJ126" s="24"/>
      <c r="AK126" s="24"/>
      <c r="AL126" s="24"/>
      <c r="AM126" s="24"/>
      <c r="AN126" s="23" t="str">
        <f t="shared" si="83"/>
        <v/>
      </c>
      <c r="AO126" s="23" t="s">
        <v>244</v>
      </c>
      <c r="AP126" s="24" t="s">
        <v>244</v>
      </c>
      <c r="AQ126" s="26"/>
      <c r="AR126" s="27"/>
      <c r="AS126" s="24"/>
      <c r="AT126" s="24"/>
      <c r="AU126" s="24"/>
      <c r="AV126" s="24"/>
      <c r="AW126" s="28"/>
      <c r="AX126" s="24"/>
      <c r="AY126" s="24"/>
      <c r="AZ126" s="24"/>
      <c r="BA126" s="24"/>
      <c r="BB126" s="24"/>
      <c r="BC126" s="24"/>
      <c r="BD126" s="24"/>
      <c r="BE126" s="24"/>
      <c r="BF126" s="24"/>
      <c r="BG126" s="25"/>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8"/>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9"/>
      <c r="FI126" s="29"/>
      <c r="FJ126" s="29"/>
      <c r="FK126" s="29"/>
      <c r="FL126" s="29"/>
      <c r="FM126" s="29"/>
      <c r="FN126" s="29"/>
      <c r="FO126" s="29"/>
      <c r="FP126" s="29"/>
      <c r="FQ126" s="29"/>
      <c r="FR126" s="29"/>
      <c r="FS126" s="29"/>
      <c r="FT126" s="29"/>
      <c r="FU126" s="29"/>
      <c r="FV126" s="29"/>
      <c r="FW126" s="29"/>
      <c r="FX126" s="29"/>
      <c r="FY126" s="29"/>
      <c r="FZ126" s="29"/>
      <c r="GA126" s="29"/>
      <c r="GB126" s="29"/>
      <c r="GC126" s="29"/>
      <c r="GD126" s="29"/>
      <c r="GE126" s="29"/>
      <c r="GF126" s="24"/>
      <c r="GG126" s="24"/>
      <c r="GH126" s="24"/>
      <c r="GI126" s="24"/>
      <c r="GJ126" s="24" t="str">
        <f t="shared" si="93"/>
        <v/>
      </c>
      <c r="GK126" s="26"/>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8"/>
      <c r="HL126" s="23"/>
      <c r="HM126" s="24"/>
      <c r="HN126" s="24"/>
      <c r="HO126" s="24"/>
      <c r="HP126" s="24"/>
      <c r="HQ126" s="24"/>
      <c r="HR126" s="24"/>
      <c r="HS126" s="24"/>
      <c r="HT126" s="24"/>
      <c r="HU126" s="24"/>
      <c r="HV126" s="24"/>
      <c r="HW126" s="24"/>
      <c r="HX126" s="24"/>
      <c r="HY126" s="24"/>
      <c r="HZ126" s="24"/>
      <c r="IA126" s="24"/>
      <c r="IB126" s="24"/>
      <c r="IC126" s="23"/>
      <c r="ID126" s="24"/>
      <c r="IE126" s="24"/>
      <c r="IF126" s="24"/>
      <c r="IG126" s="24" t="str">
        <f t="shared" si="84"/>
        <v/>
      </c>
    </row>
    <row r="127" spans="1:241">
      <c r="A127" t="str">
        <f>HYPERLINK("http://exon.niaid.nih.gov/transcriptome/S_calcitrans/S1/links/pep/XP_013098350.1-pep.txt","XP_013098350.1")</f>
        <v>XP_013098350.1</v>
      </c>
      <c r="B127" s="30" t="s">
        <v>232</v>
      </c>
      <c r="C127">
        <v>83</v>
      </c>
      <c r="D127" t="s">
        <v>1424</v>
      </c>
      <c r="E127">
        <v>1</v>
      </c>
      <c r="F127" t="s">
        <v>1425</v>
      </c>
      <c r="G127" t="str">
        <f>HYPERLINK("http://exon.niaid.nih.gov/transcriptome/S_calcitrans/S1/links/cds/XM_013242896_1-cds.txt","XM_013242896_1")</f>
        <v>XM_013242896_1</v>
      </c>
      <c r="H127">
        <v>252</v>
      </c>
      <c r="I127" t="s">
        <v>1426</v>
      </c>
      <c r="J127" s="30" t="s">
        <v>236</v>
      </c>
      <c r="K127" s="30" t="s">
        <v>91</v>
      </c>
      <c r="L127" s="31" t="s">
        <v>1427</v>
      </c>
      <c r="M127" s="30">
        <v>3194087</v>
      </c>
      <c r="N127" s="30">
        <v>3194513</v>
      </c>
      <c r="O127" s="30" t="s">
        <v>238</v>
      </c>
      <c r="P127" s="30">
        <v>3</v>
      </c>
      <c r="Q127" s="31" t="s">
        <v>1428</v>
      </c>
      <c r="R127" s="32" t="str">
        <f>HYPERLINK("http://exon.niaid.nih.gov/transcriptome/S_calcitrans/S1/links/Sigp/XP_013098350.1-SigP.txt","CYT")</f>
        <v>CYT</v>
      </c>
      <c r="S127" t="s">
        <v>242</v>
      </c>
      <c r="T127">
        <v>9.2110000000000003</v>
      </c>
      <c r="U127">
        <v>5.58</v>
      </c>
      <c r="V127" t="s">
        <v>242</v>
      </c>
      <c r="W127" t="s">
        <v>242</v>
      </c>
      <c r="X127" t="s">
        <v>720</v>
      </c>
      <c r="Y127" s="32">
        <v>0</v>
      </c>
      <c r="Z127" t="s">
        <v>242</v>
      </c>
      <c r="AA127" t="s">
        <v>242</v>
      </c>
      <c r="AB127" t="s">
        <v>242</v>
      </c>
      <c r="AC127" t="s">
        <v>242</v>
      </c>
      <c r="AD127" t="s">
        <v>242</v>
      </c>
      <c r="AE127" s="32" t="str">
        <f>HYPERLINK("http://exon.niaid.nih.gov/transcriptome/S_calcitrans/S1/links/netoglyc/XP_013098350.1-netoglyc.txt","0")</f>
        <v>0</v>
      </c>
      <c r="AF127">
        <v>10.8</v>
      </c>
      <c r="AG127">
        <v>7.2</v>
      </c>
      <c r="AH127">
        <v>2.4</v>
      </c>
      <c r="AI127" t="s">
        <v>243</v>
      </c>
      <c r="AJ127" t="s">
        <v>242</v>
      </c>
      <c r="AK127">
        <v>351.06211504778548</v>
      </c>
      <c r="AL127" s="33">
        <v>3159</v>
      </c>
      <c r="AM127">
        <v>1</v>
      </c>
      <c r="AN127" s="30">
        <f t="shared" si="83"/>
        <v>1</v>
      </c>
      <c r="AO127" s="30" t="s">
        <v>244</v>
      </c>
      <c r="AP127">
        <v>19534</v>
      </c>
      <c r="AQ127" s="34">
        <v>7.587317364387966E-2</v>
      </c>
      <c r="AR127" s="35">
        <v>181.68849558652948</v>
      </c>
      <c r="AS127" t="s">
        <v>1429</v>
      </c>
      <c r="AT127" s="36" t="s">
        <v>1430</v>
      </c>
      <c r="AU127" t="s">
        <v>1431</v>
      </c>
      <c r="AV127" t="str">
        <f>HYPERLINK("http://exon.niaid.nih.gov/transcriptome/S_calcitrans/S1/links/NR-LIGHT/XP_013098350.1-NR-LIGHT.txt","NR-LIGHT")</f>
        <v>NR-LIGHT</v>
      </c>
      <c r="AW127" s="37">
        <v>8.0000000000000003E-42</v>
      </c>
      <c r="AX127">
        <v>100</v>
      </c>
      <c r="AY127" s="33"/>
      <c r="BG127" s="31"/>
      <c r="BJ127" s="33"/>
      <c r="BK127" s="33"/>
      <c r="BL127" s="33" t="str">
        <f>HYPERLINK("http://exon.niaid.nih.gov/transcriptome/S_calcitrans/S1/links/NR-LIGHT/XP_013098350.1-NR-LIGHT.txt","40S ribosomal protein S21")</f>
        <v>40S ribosomal protein S21</v>
      </c>
      <c r="BM127" t="str">
        <f>HYPERLINK("http://www.ncbi.nlm.nih.gov/sutils/blink.cgi?pid=557765719","8E-042")</f>
        <v>8E-042</v>
      </c>
      <c r="BN127" t="str">
        <f>HYPERLINK("http://www.ncbi.nlm.nih.gov/protein/557765719","gi|557765719")</f>
        <v>gi|557765719</v>
      </c>
      <c r="BO127">
        <v>100</v>
      </c>
      <c r="BP127">
        <v>100</v>
      </c>
      <c r="BQ127">
        <v>100</v>
      </c>
      <c r="BR127" t="s">
        <v>251</v>
      </c>
      <c r="BS127" s="33" t="str">
        <f>HYPERLINK("http://exon.niaid.nih.gov/transcriptome/S_calcitrans/S1/links/SWISSP/XP_013098350.1-SWISSP.txt","40S ribosomal protein S21")</f>
        <v>40S ribosomal protein S21</v>
      </c>
      <c r="BT127" t="str">
        <f>HYPERLINK("http://www.uniprot.org/uniprot/B4N002","2E-041")</f>
        <v>2E-041</v>
      </c>
      <c r="BU127" t="str">
        <f>HYPERLINK("http://www.uniprot.org/uniprot/B4N002#expression","B4N002")</f>
        <v>B4N002</v>
      </c>
      <c r="BV127">
        <v>96</v>
      </c>
      <c r="BW127">
        <v>98</v>
      </c>
      <c r="BX127">
        <v>100</v>
      </c>
      <c r="BY127" t="s">
        <v>1432</v>
      </c>
      <c r="BZ127" s="33" t="str">
        <f>HYPERLINK("http://exon.niaid.nih.gov/transcriptome/S_calcitrans/S1/links/REFSEQ-INVERTEBRATE/XP_013098350.1-REFSEQ-INVERTEBRATE.txt","40S ribosomal protein S21")</f>
        <v>40S ribosomal protein S21</v>
      </c>
      <c r="CA127" t="str">
        <f>HYPERLINK("http://www.ncbi.nlm.nih.gov/sutils/blink.cgi?pid=907594635","5E-042")</f>
        <v>5E-042</v>
      </c>
      <c r="CB127" t="str">
        <f>HYPERLINK("http://www.ncbi.nlm.nih.gov/protein/907594635","gi|907594635")</f>
        <v>gi|907594635</v>
      </c>
      <c r="CC127">
        <v>100</v>
      </c>
      <c r="CD127">
        <v>100</v>
      </c>
      <c r="CE127">
        <v>100</v>
      </c>
      <c r="CF127" t="s">
        <v>253</v>
      </c>
      <c r="CG127" s="33" t="str">
        <f>HYPERLINK("http://exon.niaid.nih.gov/transcriptome/S_calcitrans/S1/links/DIPTERA/XP_013098350.1-DIPTERA.txt","40S ribosomal protein S21")</f>
        <v>40S ribosomal protein S21</v>
      </c>
      <c r="CH127" t="str">
        <f>HYPERLINK("http://www.ncbi.nlm.nih.gov/sutils/blink.cgi?pid=557765719","3E-042")</f>
        <v>3E-042</v>
      </c>
      <c r="CI127" t="str">
        <f>HYPERLINK("http://www.ncbi.nlm.nih.gov/protein/557765719","gi|557765719")</f>
        <v>gi|557765719</v>
      </c>
      <c r="CJ127">
        <v>100</v>
      </c>
      <c r="CK127">
        <v>100</v>
      </c>
      <c r="CL127">
        <v>100</v>
      </c>
      <c r="CM127" t="s">
        <v>251</v>
      </c>
      <c r="CN127" s="33" t="s">
        <v>242</v>
      </c>
      <c r="CO127" t="s">
        <v>242</v>
      </c>
      <c r="CP127" t="s">
        <v>242</v>
      </c>
      <c r="CQ127" t="s">
        <v>242</v>
      </c>
      <c r="CR127" t="s">
        <v>242</v>
      </c>
      <c r="CS127" t="s">
        <v>242</v>
      </c>
      <c r="CT127" t="s">
        <v>242</v>
      </c>
      <c r="CU127" s="33" t="s">
        <v>1433</v>
      </c>
      <c r="CV127">
        <f>HYPERLINK("http://exon.niaid.nih.gov/transcriptome/S_calcitrans/S1/links/GO/XP_013098350.1-GO.txt",4E-41)</f>
        <v>4E-41</v>
      </c>
      <c r="CW127" t="str">
        <f>HYPERLINK("http://amigo.geneontology.org/cgi-bin/amigo/term_details?term=GO:0043022","GO:0043022")</f>
        <v>GO:0043022</v>
      </c>
      <c r="CX127" t="s">
        <v>1434</v>
      </c>
      <c r="CY127" t="s">
        <v>1435</v>
      </c>
      <c r="CZ127" t="s">
        <v>1436</v>
      </c>
      <c r="DA127" t="s">
        <v>242</v>
      </c>
      <c r="DC127" t="s">
        <v>1437</v>
      </c>
      <c r="DD127" s="37">
        <v>4E-41</v>
      </c>
      <c r="DE127" s="33" t="str">
        <f>HYPERLINK("http://exon.niaid.nih.gov/transcriptome/S_calcitrans/S1/links/CDD/XP_013098350.1-CDD.txt","Ribosomal_S21e")</f>
        <v>Ribosomal_S21e</v>
      </c>
      <c r="DF127" t="str">
        <f>HYPERLINK("http://www.ncbi.nlm.nih.gov/Structure/cdd/cddsrv.cgi?uid=pfam01249&amp;version=v4.0","2E-039")</f>
        <v>2E-039</v>
      </c>
      <c r="DG127" t="s">
        <v>1438</v>
      </c>
      <c r="DH127" s="33" t="str">
        <f>HYPERLINK("http://exon.niaid.nih.gov/transcriptome/S_calcitrans/S1/links/KOG/XP_013098350.1-KOG.txt","40S ribosomal protein S21")</f>
        <v>40S ribosomal protein S21</v>
      </c>
      <c r="DI127" t="str">
        <f>HYPERLINK("http://www.ncbi.nlm.nih.gov/Structure/cdd/cddsrv.cgi?uid=KOG3486","5E-035")</f>
        <v>5E-035</v>
      </c>
      <c r="DJ127" t="s">
        <v>1439</v>
      </c>
      <c r="DK127" t="str">
        <f>HYPERLINK("http://exon.niaid.nih.gov/transcriptome/S_calcitrans/S1/links/KOG/XP_013098350.1-KOG.txt","KOG3486")</f>
        <v>KOG3486</v>
      </c>
      <c r="DL127" s="33" t="str">
        <f>HYPERLINK("http://exon.niaid.nih.gov/transcriptome/S_calcitrans/S1/links/PFAM/XP_013098350.1-PFAM.txt","Ribosomal_S21e")</f>
        <v>Ribosomal_S21e</v>
      </c>
      <c r="DM127" t="str">
        <f>HYPERLINK("http://pfam.sanger.ac.uk/family?acc=PF01249","3E-040")</f>
        <v>3E-040</v>
      </c>
      <c r="DN127" s="33" t="str">
        <f>HYPERLINK("http://exon.niaid.nih.gov/transcriptome/S_calcitrans/S1/links/SMART/XP_013098350.1-SMART.txt","TPK_B1_binding")</f>
        <v>TPK_B1_binding</v>
      </c>
      <c r="DO127" t="str">
        <f>HYPERLINK("http://smart.embl-heidelberg.de/smart/do_annotation.pl?DOMAIN=TPK_B1_binding&amp;BLAST=DUMMY","0.052")</f>
        <v>0.052</v>
      </c>
      <c r="DP127" s="33"/>
      <c r="EB127" s="33">
        <f>HYPERLINK("http://exon.niaid.nih.gov/transcriptome/S_calcitrans/S1/links/cluster-b/Scalc-pep25-50SimCLU1447.txt", 1447)</f>
        <v>1447</v>
      </c>
      <c r="EC127">
        <f>HYPERLINK("http://exon.niaid.nih.gov/transcriptome/S_calcitrans/S1/links/cluster-b/Scalc-pep25-50SimCLTL1447.txt", 2)</f>
        <v>2</v>
      </c>
      <c r="ED127" s="33">
        <f>HYPERLINK("http://exon.niaid.nih.gov/transcriptome/S_calcitrans/S1/links/cluster-b/Scalc-pep30-50SimCLU1734.txt", 1734)</f>
        <v>1734</v>
      </c>
      <c r="EE127">
        <f>HYPERLINK("http://exon.niaid.nih.gov/transcriptome/S_calcitrans/S1/links/cluster-b/Scalc-pep30-50SimCLTL1734.txt", 2)</f>
        <v>2</v>
      </c>
      <c r="EF127" s="33">
        <v>3231</v>
      </c>
      <c r="EG127">
        <v>1</v>
      </c>
      <c r="EH127" s="33">
        <v>3374</v>
      </c>
      <c r="EI127">
        <v>1</v>
      </c>
      <c r="EJ127" s="33">
        <v>3532</v>
      </c>
      <c r="EK127">
        <v>1</v>
      </c>
      <c r="EL127" s="33">
        <v>3630</v>
      </c>
      <c r="EM127">
        <v>1</v>
      </c>
      <c r="EN127" s="33">
        <v>3745</v>
      </c>
      <c r="EO127">
        <v>1</v>
      </c>
      <c r="EP127" s="33">
        <v>3802</v>
      </c>
      <c r="EQ127">
        <v>1</v>
      </c>
      <c r="ER127" s="33">
        <v>3834</v>
      </c>
      <c r="ES127">
        <v>1</v>
      </c>
      <c r="ET127" s="33">
        <v>3825</v>
      </c>
      <c r="EU127">
        <v>1</v>
      </c>
      <c r="EV127" s="33">
        <v>3778</v>
      </c>
      <c r="EW127">
        <v>1</v>
      </c>
      <c r="EX127" s="33">
        <v>3729</v>
      </c>
      <c r="EY127">
        <v>1</v>
      </c>
      <c r="EZ127" s="33">
        <v>3582</v>
      </c>
      <c r="FA127">
        <v>1</v>
      </c>
      <c r="FB127" s="33">
        <v>3416</v>
      </c>
      <c r="FC127">
        <v>1</v>
      </c>
      <c r="FD127" s="33">
        <v>3159</v>
      </c>
      <c r="FE127">
        <v>1</v>
      </c>
      <c r="FF127" t="s">
        <v>1440</v>
      </c>
      <c r="FG127">
        <v>133</v>
      </c>
      <c r="FH127" s="38" t="str">
        <f>HYPERLINK("http://exon.niaid.nih.gov/transcriptome/S_calcitrans/S1/links/SG_male-stripped_temp-95-h10-1gap/133-SG_male-stripped_temp-95-h10-1gap.txt","10217")</f>
        <v>10217</v>
      </c>
      <c r="FI127" s="39">
        <v>100</v>
      </c>
      <c r="FJ127" s="39">
        <v>2762.1904761904798</v>
      </c>
      <c r="FK127" s="39">
        <v>293</v>
      </c>
      <c r="FL127" s="39">
        <v>4420</v>
      </c>
      <c r="FM127" s="39">
        <v>68.128804932954907</v>
      </c>
      <c r="FN127" s="38" t="str">
        <f>HYPERLINK("http://exon.niaid.nih.gov/transcriptome/S_calcitrans/S1/links/SG_female-stripped_temp-95-h10-1gap/133-SG_female-stripped_temp-95-h10-1gap.txt","9317")</f>
        <v>9317</v>
      </c>
      <c r="FO127" s="39">
        <v>100</v>
      </c>
      <c r="FP127" s="39">
        <v>2527.5198412698401</v>
      </c>
      <c r="FQ127" s="39">
        <v>399</v>
      </c>
      <c r="FR127" s="39">
        <v>4134</v>
      </c>
      <c r="FS127" s="39">
        <v>68.362670387463794</v>
      </c>
      <c r="FT127" s="38" t="str">
        <f>HYPERLINK("http://exon.niaid.nih.gov/transcriptome/S_calcitrans/S1/links/SRR694289-stripped_temp-95-h10-1gap/133-SRR694289-stripped_temp-95-h10-1gap.txt","141")</f>
        <v>141</v>
      </c>
      <c r="FU127" s="39">
        <v>100</v>
      </c>
      <c r="FV127" s="39">
        <v>51.734126984127002</v>
      </c>
      <c r="FW127" s="39">
        <v>7</v>
      </c>
      <c r="FX127" s="39">
        <v>81</v>
      </c>
      <c r="FY127" s="39">
        <v>92.460992907801398</v>
      </c>
      <c r="FZ127" s="38" t="str">
        <f>HYPERLINK("http://exon.niaid.nih.gov/transcriptome/S_calcitrans/S1/links/SRR694925-stripped_temp-95-h10-1gap/133-SRR694925-stripped_temp-95-h10-1gap.txt","53")</f>
        <v>53</v>
      </c>
      <c r="GA127" s="39">
        <v>100</v>
      </c>
      <c r="GB127" s="39">
        <v>19.714285714285701</v>
      </c>
      <c r="GC127" s="39">
        <v>2</v>
      </c>
      <c r="GD127" s="39">
        <v>29</v>
      </c>
      <c r="GE127" s="39">
        <v>93.735849056603797</v>
      </c>
      <c r="GF127">
        <f>1*FH127</f>
        <v>10217</v>
      </c>
      <c r="GG127">
        <f>1*FN127</f>
        <v>9317</v>
      </c>
      <c r="GH127">
        <f>1*FT127</f>
        <v>141</v>
      </c>
      <c r="GI127">
        <f>1*FZ127</f>
        <v>53</v>
      </c>
      <c r="GJ127">
        <f>IF(FZ127&lt;&gt;"",SUM(GF127:GG127),"")</f>
        <v>19534</v>
      </c>
      <c r="GK127" s="34">
        <v>7.587317364387966E-2</v>
      </c>
      <c r="GL127">
        <v>1326.2483069253267</v>
      </c>
      <c r="GM127">
        <v>549.98240329028022</v>
      </c>
      <c r="GN127">
        <v>3.216259714214631</v>
      </c>
      <c r="GO127">
        <v>1.2462900339506751</v>
      </c>
      <c r="GP127">
        <f>MAX(GL127:GO127)</f>
        <v>1326.2483069253267</v>
      </c>
      <c r="GQ127" t="s">
        <v>1431</v>
      </c>
      <c r="GR127">
        <v>1034.3297223374543</v>
      </c>
      <c r="GS127">
        <v>451.40696382230914</v>
      </c>
      <c r="GT127">
        <v>5.7978157891585704</v>
      </c>
      <c r="GU127">
        <v>2.359568702707501</v>
      </c>
      <c r="GV127">
        <f>MAX(GR127:GU127)</f>
        <v>1034.3297223374543</v>
      </c>
      <c r="GW127">
        <v>181.68849558652948</v>
      </c>
      <c r="GX127">
        <v>19534</v>
      </c>
      <c r="GY127">
        <v>194</v>
      </c>
      <c r="GZ127">
        <v>19728</v>
      </c>
      <c r="HA127">
        <v>4379.6099553538525</v>
      </c>
      <c r="HB127">
        <v>15348.390044646148</v>
      </c>
      <c r="HC127">
        <v>52437.440769018249</v>
      </c>
      <c r="HD127">
        <v>14962.84215850894</v>
      </c>
      <c r="HE127">
        <v>67400.282927527194</v>
      </c>
      <c r="HF127">
        <v>0</v>
      </c>
      <c r="HG127">
        <v>4379.6099553538525</v>
      </c>
      <c r="HH127">
        <v>1</v>
      </c>
      <c r="HI127">
        <v>1</v>
      </c>
      <c r="HJ127">
        <v>2</v>
      </c>
      <c r="HK127">
        <v>0</v>
      </c>
      <c r="HL127" s="30" t="s">
        <v>262</v>
      </c>
      <c r="HM127">
        <v>351.06211504778548</v>
      </c>
      <c r="HN127">
        <v>2.833746008391124E-3</v>
      </c>
      <c r="HO127">
        <v>10217</v>
      </c>
      <c r="HP127">
        <v>9317</v>
      </c>
      <c r="HQ127">
        <v>19534</v>
      </c>
      <c r="HR127">
        <v>6106.2491849392754</v>
      </c>
      <c r="HS127">
        <v>13427.750815060725</v>
      </c>
      <c r="HT127">
        <v>2767.3735138751072</v>
      </c>
      <c r="HU127">
        <v>1258.4588808848844</v>
      </c>
      <c r="HV127">
        <v>4025.8323947599915</v>
      </c>
      <c r="HW127">
        <v>0</v>
      </c>
      <c r="HX127">
        <v>6106.2491849392754</v>
      </c>
      <c r="HY127">
        <v>1</v>
      </c>
      <c r="HZ127">
        <v>1</v>
      </c>
      <c r="IA127">
        <v>2</v>
      </c>
      <c r="IB127">
        <v>0</v>
      </c>
      <c r="IC127" s="30" t="s">
        <v>262</v>
      </c>
      <c r="ID127">
        <v>2.411178916139987</v>
      </c>
      <c r="IE127">
        <v>0.41464978734395308</v>
      </c>
      <c r="IF127">
        <v>2.411178916139987</v>
      </c>
      <c r="IG127" t="str">
        <f t="shared" si="84"/>
        <v/>
      </c>
    </row>
    <row r="128" spans="1:241">
      <c r="A128" t="str">
        <f>HYPERLINK("http://exon.niaid.nih.gov/transcriptome/S_calcitrans/S1/links/pep/XP_013100562.1-pep.txt","XP_013100562.1")</f>
        <v>XP_013100562.1</v>
      </c>
      <c r="B128" s="30" t="s">
        <v>232</v>
      </c>
      <c r="C128">
        <v>148</v>
      </c>
      <c r="D128" t="s">
        <v>1441</v>
      </c>
      <c r="E128">
        <v>1</v>
      </c>
      <c r="F128" t="s">
        <v>1442</v>
      </c>
      <c r="G128" t="str">
        <f>HYPERLINK("http://exon.niaid.nih.gov/transcriptome/S_calcitrans/S1/links/cds/XM_013245108_1-cds.txt","XM_013245108_1")</f>
        <v>XM_013245108_1</v>
      </c>
      <c r="H128">
        <v>447</v>
      </c>
      <c r="I128" t="s">
        <v>1443</v>
      </c>
      <c r="J128" s="30" t="s">
        <v>236</v>
      </c>
      <c r="K128" s="30" t="s">
        <v>91</v>
      </c>
      <c r="L128" s="31" t="s">
        <v>1444</v>
      </c>
      <c r="M128" s="30">
        <v>166054</v>
      </c>
      <c r="N128" s="30">
        <v>168033</v>
      </c>
      <c r="O128" s="30" t="s">
        <v>238</v>
      </c>
      <c r="P128" s="30">
        <v>5</v>
      </c>
      <c r="Q128" s="31" t="s">
        <v>1445</v>
      </c>
      <c r="R128" s="32" t="str">
        <f>HYPERLINK("http://exon.niaid.nih.gov/transcriptome/S_calcitrans/S1/links/Sigp/XP_013100562.1-SigP.txt","CYT")</f>
        <v>CYT</v>
      </c>
      <c r="S128" t="s">
        <v>242</v>
      </c>
      <c r="T128">
        <v>16.928999999999998</v>
      </c>
      <c r="U128">
        <v>10.28</v>
      </c>
      <c r="V128" t="s">
        <v>242</v>
      </c>
      <c r="W128" t="s">
        <v>242</v>
      </c>
      <c r="X128" t="s">
        <v>1446</v>
      </c>
      <c r="Y128" s="32">
        <v>0</v>
      </c>
      <c r="Z128" t="s">
        <v>242</v>
      </c>
      <c r="AA128" t="s">
        <v>242</v>
      </c>
      <c r="AB128" t="s">
        <v>242</v>
      </c>
      <c r="AC128" t="s">
        <v>242</v>
      </c>
      <c r="AD128" t="s">
        <v>242</v>
      </c>
      <c r="AE128" s="32" t="str">
        <f>HYPERLINK("http://exon.niaid.nih.gov/transcriptome/S_calcitrans/S1/links/netoglyc/XP_013100562.1-netoglyc.txt","0")</f>
        <v>0</v>
      </c>
      <c r="AF128">
        <v>4.7</v>
      </c>
      <c r="AG128">
        <v>8.8000000000000007</v>
      </c>
      <c r="AH128">
        <v>4.7</v>
      </c>
      <c r="AI128" t="s">
        <v>243</v>
      </c>
      <c r="AJ128" t="s">
        <v>242</v>
      </c>
      <c r="AK128">
        <v>104.62944039104381</v>
      </c>
      <c r="AL128" s="33">
        <v>6496</v>
      </c>
      <c r="AM128">
        <v>1</v>
      </c>
      <c r="AN128" s="30">
        <f t="shared" si="83"/>
        <v>1</v>
      </c>
      <c r="AO128" s="30" t="s">
        <v>244</v>
      </c>
      <c r="AP128">
        <v>42813</v>
      </c>
      <c r="AQ128" s="34">
        <v>0.16629252499311048</v>
      </c>
      <c r="AR128" s="35">
        <v>51.022844777414619</v>
      </c>
      <c r="AS128" t="s">
        <v>1447</v>
      </c>
      <c r="AT128" s="36" t="s">
        <v>1448</v>
      </c>
      <c r="AU128" t="s">
        <v>1431</v>
      </c>
      <c r="AV128" t="str">
        <f>HYPERLINK("http://exon.niaid.nih.gov/transcriptome/S_calcitrans/S1/links/NR-LIGHT/XP_013100562.1-NR-LIGHT.txt","NR-LIGHT")</f>
        <v>NR-LIGHT</v>
      </c>
      <c r="AW128" s="37">
        <v>5E-79</v>
      </c>
      <c r="AX128">
        <v>100</v>
      </c>
      <c r="AY128" s="33"/>
      <c r="BG128" s="31"/>
      <c r="BJ128" s="33"/>
      <c r="BK128" s="33"/>
      <c r="BL128" s="33" t="str">
        <f>HYPERLINK("http://exon.niaid.nih.gov/transcriptome/S_calcitrans/S1/links/NR-LIGHT/XP_013100562.1-NR-LIGHT.txt","40S ribosomal protein S16")</f>
        <v>40S ribosomal protein S16</v>
      </c>
      <c r="BM128" t="str">
        <f>HYPERLINK("http://www.ncbi.nlm.nih.gov/sutils/blink.cgi?pid=498925159","5E-079")</f>
        <v>5E-079</v>
      </c>
      <c r="BN128" t="str">
        <f>HYPERLINK("http://www.ncbi.nlm.nih.gov/protein/498925159","gi|498925159")</f>
        <v>gi|498925159</v>
      </c>
      <c r="BO128">
        <v>99</v>
      </c>
      <c r="BP128">
        <v>100</v>
      </c>
      <c r="BQ128">
        <v>100</v>
      </c>
      <c r="BR128" t="s">
        <v>737</v>
      </c>
      <c r="BS128" s="33" t="str">
        <f>HYPERLINK("http://exon.niaid.nih.gov/transcriptome/S_calcitrans/S1/links/SWISSP/XP_013100562.1-SWISSP.txt","40S ribosomal protein S16")</f>
        <v>40S ribosomal protein S16</v>
      </c>
      <c r="BT128" t="str">
        <f>HYPERLINK("http://www.uniprot.org/uniprot/Q9W237","8E-078")</f>
        <v>8E-078</v>
      </c>
      <c r="BU128" t="str">
        <f>HYPERLINK("http://www.uniprot.org/uniprot/Q9W237#expression","Q9W237")</f>
        <v>Q9W237</v>
      </c>
      <c r="BV128">
        <v>95</v>
      </c>
      <c r="BW128">
        <v>98</v>
      </c>
      <c r="BX128">
        <v>100</v>
      </c>
      <c r="BY128" t="s">
        <v>304</v>
      </c>
      <c r="BZ128" s="33" t="str">
        <f>HYPERLINK("http://exon.niaid.nih.gov/transcriptome/S_calcitrans/S1/links/REFSEQ-INVERTEBRATE/XP_013100562.1-REFSEQ-INVERTEBRATE.txt","40S ribosomal protein S16")</f>
        <v>40S ribosomal protein S16</v>
      </c>
      <c r="CA128" t="str">
        <f>HYPERLINK("http://www.ncbi.nlm.nih.gov/sutils/blink.cgi?pid=907642403","2E-079")</f>
        <v>2E-079</v>
      </c>
      <c r="CB128" t="str">
        <f>HYPERLINK("http://www.ncbi.nlm.nih.gov/protein/907642403","gi|907642403")</f>
        <v>gi|907642403</v>
      </c>
      <c r="CC128">
        <v>100</v>
      </c>
      <c r="CD128">
        <v>100</v>
      </c>
      <c r="CE128">
        <v>100</v>
      </c>
      <c r="CF128" t="s">
        <v>253</v>
      </c>
      <c r="CG128" s="33" t="str">
        <f>HYPERLINK("http://exon.niaid.nih.gov/transcriptome/S_calcitrans/S1/links/DIPTERA/XP_013100562.1-DIPTERA.txt","40S ribosomal protein S16")</f>
        <v>40S ribosomal protein S16</v>
      </c>
      <c r="CH128" t="str">
        <f>HYPERLINK("http://www.ncbi.nlm.nih.gov/sutils/blink.cgi?pid=907642403","1E-079")</f>
        <v>1E-079</v>
      </c>
      <c r="CI128" t="str">
        <f>HYPERLINK("http://www.ncbi.nlm.nih.gov/protein/907642403","gi|907642403")</f>
        <v>gi|907642403</v>
      </c>
      <c r="CJ128">
        <v>100</v>
      </c>
      <c r="CK128">
        <v>100</v>
      </c>
      <c r="CL128">
        <v>100</v>
      </c>
      <c r="CM128" t="s">
        <v>253</v>
      </c>
      <c r="CN128" s="33" t="s">
        <v>242</v>
      </c>
      <c r="CO128" t="s">
        <v>242</v>
      </c>
      <c r="CP128" t="s">
        <v>242</v>
      </c>
      <c r="CQ128" t="s">
        <v>242</v>
      </c>
      <c r="CR128" t="s">
        <v>242</v>
      </c>
      <c r="CS128" t="s">
        <v>242</v>
      </c>
      <c r="CT128" t="s">
        <v>242</v>
      </c>
      <c r="CU128" s="33" t="s">
        <v>1449</v>
      </c>
      <c r="CV128">
        <f>HYPERLINK("http://exon.niaid.nih.gov/transcriptome/S_calcitrans/S1/links/GO/XP_013100562.1-GO.txt",1E-77)</f>
        <v>9.9999999999999993E-78</v>
      </c>
      <c r="CW128" t="str">
        <f>HYPERLINK("http://amigo.geneontology.org/cgi-bin/amigo/term_details?term=GO:0003735","GO:0003735")</f>
        <v>GO:0003735</v>
      </c>
      <c r="CX128" t="s">
        <v>1450</v>
      </c>
      <c r="CY128" t="s">
        <v>1451</v>
      </c>
      <c r="CZ128" t="s">
        <v>1452</v>
      </c>
      <c r="DA128" t="s">
        <v>242</v>
      </c>
      <c r="DC128" t="s">
        <v>1453</v>
      </c>
      <c r="DD128" s="37">
        <v>9.9999999999999993E-78</v>
      </c>
      <c r="DE128" s="33" t="str">
        <f>HYPERLINK("http://exon.niaid.nih.gov/transcriptome/S_calcitrans/S1/links/CDD/XP_013100562.1-CDD.txt","PTZ00086")</f>
        <v>PTZ00086</v>
      </c>
      <c r="DF128" t="str">
        <f>HYPERLINK("http://www.ncbi.nlm.nih.gov/Structure/cdd/cddsrv.cgi?uid=PTZ00086&amp;version=v4.0","5E-064")</f>
        <v>5E-064</v>
      </c>
      <c r="DG128" t="s">
        <v>1454</v>
      </c>
      <c r="DH128" s="33" t="str">
        <f>HYPERLINK("http://exon.niaid.nih.gov/transcriptome/S_calcitrans/S1/links/KOG/XP_013100562.1-KOG.txt","40S ribosomal protein S16")</f>
        <v>40S ribosomal protein S16</v>
      </c>
      <c r="DI128" t="str">
        <f>HYPERLINK("http://www.ncbi.nlm.nih.gov/Structure/cdd/cddsrv.cgi?uid=KOG1753","3E-069")</f>
        <v>3E-069</v>
      </c>
      <c r="DJ128" t="s">
        <v>1439</v>
      </c>
      <c r="DK128" t="str">
        <f>HYPERLINK("http://exon.niaid.nih.gov/transcriptome/S_calcitrans/S1/links/KOG/XP_013100562.1-KOG.txt","KOG1753")</f>
        <v>KOG1753</v>
      </c>
      <c r="DL128" s="33" t="str">
        <f>HYPERLINK("http://exon.niaid.nih.gov/transcriptome/S_calcitrans/S1/links/PFAM/XP_013100562.1-PFAM.txt","Ribosomal_S9")</f>
        <v>Ribosomal_S9</v>
      </c>
      <c r="DM128" t="str">
        <f>HYPERLINK("http://pfam.sanger.ac.uk/family?acc=PF00380","5E-037")</f>
        <v>5E-037</v>
      </c>
      <c r="DN128" s="33" t="str">
        <f>HYPERLINK("http://exon.niaid.nih.gov/transcriptome/S_calcitrans/S1/links/SMART/XP_013100562.1-SMART.txt","IBN_N")</f>
        <v>IBN_N</v>
      </c>
      <c r="DO128" t="str">
        <f>HYPERLINK("http://smart.embl-heidelberg.de/smart/do_annotation.pl?DOMAIN=IBN_N&amp;BLAST=DUMMY","1.7")</f>
        <v>1.7</v>
      </c>
      <c r="DP128" s="33"/>
      <c r="EB128" s="33">
        <v>3485</v>
      </c>
      <c r="EC128">
        <v>1</v>
      </c>
      <c r="ED128" s="33">
        <v>4210</v>
      </c>
      <c r="EE128">
        <v>1</v>
      </c>
      <c r="EF128" s="33">
        <v>4611</v>
      </c>
      <c r="EG128">
        <v>1</v>
      </c>
      <c r="EH128" s="33">
        <v>4921</v>
      </c>
      <c r="EI128">
        <v>1</v>
      </c>
      <c r="EJ128" s="33">
        <v>5228</v>
      </c>
      <c r="EK128">
        <v>1</v>
      </c>
      <c r="EL128" s="33">
        <v>5456</v>
      </c>
      <c r="EM128">
        <v>1</v>
      </c>
      <c r="EN128" s="33">
        <v>5726</v>
      </c>
      <c r="EO128">
        <v>1</v>
      </c>
      <c r="EP128" s="33">
        <v>5921</v>
      </c>
      <c r="EQ128">
        <v>1</v>
      </c>
      <c r="ER128" s="33">
        <v>6070</v>
      </c>
      <c r="ES128">
        <v>1</v>
      </c>
      <c r="ET128" s="33">
        <v>6182</v>
      </c>
      <c r="EU128">
        <v>1</v>
      </c>
      <c r="EV128" s="33">
        <v>6276</v>
      </c>
      <c r="EW128">
        <v>1</v>
      </c>
      <c r="EX128" s="33">
        <v>6357</v>
      </c>
      <c r="EY128">
        <v>1</v>
      </c>
      <c r="EZ128" s="33">
        <v>6400</v>
      </c>
      <c r="FA128">
        <v>1</v>
      </c>
      <c r="FB128" s="33">
        <v>6437</v>
      </c>
      <c r="FC128">
        <v>1</v>
      </c>
      <c r="FD128" s="33">
        <v>6496</v>
      </c>
      <c r="FE128">
        <v>1</v>
      </c>
      <c r="FF128" t="s">
        <v>1455</v>
      </c>
      <c r="FG128">
        <v>6674</v>
      </c>
      <c r="FH128" s="38" t="str">
        <f>HYPERLINK("http://exon.niaid.nih.gov/transcriptome/S_calcitrans/S1/links/SG_male-stripped_temp-95-h10-1gap/6674-SG_male-stripped_temp-95-h10-1gap.txt","19515")</f>
        <v>19515</v>
      </c>
      <c r="FI128" s="39">
        <v>100</v>
      </c>
      <c r="FJ128" s="39">
        <v>3181.23042505593</v>
      </c>
      <c r="FK128" s="39">
        <v>16</v>
      </c>
      <c r="FL128" s="39">
        <v>5506</v>
      </c>
      <c r="FM128" s="39">
        <v>72.867691519344106</v>
      </c>
      <c r="FN128" s="38" t="str">
        <f>HYPERLINK("http://exon.niaid.nih.gov/transcriptome/S_calcitrans/S1/links/SG_female-stripped_temp-95-h10-1gap/6674-SG_female-stripped_temp-95-h10-1gap.txt","23298")</f>
        <v>23298</v>
      </c>
      <c r="FO128" s="39">
        <v>100</v>
      </c>
      <c r="FP128" s="39">
        <v>3800.3937360179002</v>
      </c>
      <c r="FQ128" s="39">
        <v>24</v>
      </c>
      <c r="FR128" s="39">
        <v>6328</v>
      </c>
      <c r="FS128" s="39">
        <v>72.915357541419894</v>
      </c>
      <c r="FT128" s="38" t="str">
        <f>HYPERLINK("http://exon.niaid.nih.gov/transcriptome/S_calcitrans/S1/links/SRR694289-stripped_temp-95-h10-1gap/6674-SRR694289-stripped_temp-95-h10-1gap.txt","879")</f>
        <v>879</v>
      </c>
      <c r="FU128" s="39">
        <v>100</v>
      </c>
      <c r="FV128" s="39">
        <v>190.26398210290799</v>
      </c>
      <c r="FW128" s="39">
        <v>34</v>
      </c>
      <c r="FX128" s="39">
        <v>351</v>
      </c>
      <c r="FY128" s="39">
        <v>96.789533560864598</v>
      </c>
      <c r="FZ128" s="38" t="str">
        <f>HYPERLINK("http://exon.niaid.nih.gov/transcriptome/S_calcitrans/S1/links/SRR694925-stripped_temp-95-h10-1gap/6674-SRR694925-stripped_temp-95-h10-1gap.txt","554")</f>
        <v>554</v>
      </c>
      <c r="GA128" s="39">
        <v>100</v>
      </c>
      <c r="GB128" s="39">
        <v>119.657718120805</v>
      </c>
      <c r="GC128" s="39">
        <v>25</v>
      </c>
      <c r="GD128" s="39">
        <v>191</v>
      </c>
      <c r="GE128" s="39">
        <v>96.557761732852001</v>
      </c>
      <c r="GF128">
        <f>1*FH128</f>
        <v>19515</v>
      </c>
      <c r="GG128">
        <f>1*FN128</f>
        <v>23298</v>
      </c>
      <c r="GH128">
        <f>1*FT128</f>
        <v>879</v>
      </c>
      <c r="GI128">
        <f>1*FZ128</f>
        <v>554</v>
      </c>
      <c r="GJ128">
        <f>IF(FZ128&lt;&gt;"",SUM(GF128:GG128),"")</f>
        <v>42813</v>
      </c>
      <c r="GK128" s="34">
        <v>0.16629252499311048</v>
      </c>
      <c r="GL128">
        <v>1428.1144792961929</v>
      </c>
      <c r="GM128">
        <v>775.32601708501647</v>
      </c>
      <c r="GN128">
        <v>11.303524787412607</v>
      </c>
      <c r="GO128">
        <v>7.3442260377268092</v>
      </c>
      <c r="GP128">
        <f>MAX(GL128:GO128)</f>
        <v>1428.1144792961929</v>
      </c>
      <c r="GQ128" t="s">
        <v>1431</v>
      </c>
      <c r="GR128">
        <v>1113.7742797659221</v>
      </c>
      <c r="GS128">
        <v>636.36138402062284</v>
      </c>
      <c r="GT128">
        <v>20.376387577148471</v>
      </c>
      <c r="GU128">
        <v>13.904633297352953</v>
      </c>
      <c r="GV128">
        <f>MAX(GR128:GU128)</f>
        <v>1113.7742797659221</v>
      </c>
      <c r="GW128">
        <v>51.022844777414619</v>
      </c>
      <c r="GX128">
        <v>42813</v>
      </c>
      <c r="GY128">
        <v>1433</v>
      </c>
      <c r="GZ128">
        <v>44246</v>
      </c>
      <c r="HA128">
        <v>9822.5984430548742</v>
      </c>
      <c r="HB128">
        <v>34423.401556945129</v>
      </c>
      <c r="HC128">
        <v>110802.30971449551</v>
      </c>
      <c r="HD128">
        <v>31617.055423417416</v>
      </c>
      <c r="HE128">
        <v>142419.36513791292</v>
      </c>
      <c r="HF128">
        <v>0</v>
      </c>
      <c r="HG128">
        <v>9822.5984430548742</v>
      </c>
      <c r="HH128">
        <v>1</v>
      </c>
      <c r="HI128">
        <v>1</v>
      </c>
      <c r="HJ128">
        <v>2</v>
      </c>
      <c r="HK128">
        <v>0</v>
      </c>
      <c r="HL128" s="30" t="s">
        <v>262</v>
      </c>
      <c r="HM128">
        <v>104.62944039104381</v>
      </c>
      <c r="HN128">
        <v>9.5506513810792483E-3</v>
      </c>
      <c r="HO128">
        <v>19515</v>
      </c>
      <c r="HP128">
        <v>23298</v>
      </c>
      <c r="HQ128">
        <v>42813</v>
      </c>
      <c r="HR128">
        <v>13383.17018300426</v>
      </c>
      <c r="HS128">
        <v>29429.829816995742</v>
      </c>
      <c r="HT128">
        <v>2809.4492104977244</v>
      </c>
      <c r="HU128">
        <v>1277.5927396931256</v>
      </c>
      <c r="HV128">
        <v>4087.04195019085</v>
      </c>
      <c r="HW128">
        <v>0</v>
      </c>
      <c r="HX128">
        <v>13383.17018300426</v>
      </c>
      <c r="HY128">
        <v>1</v>
      </c>
      <c r="HZ128">
        <v>1</v>
      </c>
      <c r="IA128">
        <v>2</v>
      </c>
      <c r="IB128">
        <v>0</v>
      </c>
      <c r="IC128" s="30" t="s">
        <v>262</v>
      </c>
      <c r="ID128">
        <v>1.8418744537525171</v>
      </c>
      <c r="IE128">
        <v>0.54287404869364753</v>
      </c>
      <c r="IF128">
        <v>1.8418744537525171</v>
      </c>
      <c r="IG128" t="str">
        <f t="shared" si="84"/>
        <v/>
      </c>
    </row>
    <row r="129" spans="1:241">
      <c r="A129" t="str">
        <f>HYPERLINK("http://exon.niaid.nih.gov/transcriptome/S_calcitrans/S1/links/pep/XP_013108246.1-pep.txt","XP_013108246.1")</f>
        <v>XP_013108246.1</v>
      </c>
      <c r="B129" s="30" t="s">
        <v>232</v>
      </c>
      <c r="C129">
        <v>78</v>
      </c>
      <c r="D129" t="s">
        <v>1456</v>
      </c>
      <c r="E129">
        <v>0</v>
      </c>
      <c r="F129" t="s">
        <v>1457</v>
      </c>
      <c r="G129" t="str">
        <f>HYPERLINK("http://exon.niaid.nih.gov/transcriptome/S_calcitrans/S1/links/cds/XM_013252792_1-cds.txt","XM_013252792_1")</f>
        <v>XM_013252792_1</v>
      </c>
      <c r="H129">
        <v>237</v>
      </c>
      <c r="I129" t="s">
        <v>1458</v>
      </c>
      <c r="J129" s="30" t="s">
        <v>236</v>
      </c>
      <c r="K129" s="30" t="s">
        <v>91</v>
      </c>
      <c r="L129" s="31" t="s">
        <v>1459</v>
      </c>
      <c r="M129" s="30">
        <v>433114</v>
      </c>
      <c r="N129" s="30">
        <v>433426</v>
      </c>
      <c r="O129" s="30" t="s">
        <v>238</v>
      </c>
      <c r="P129" s="30">
        <v>2</v>
      </c>
      <c r="Q129" s="31" t="s">
        <v>1460</v>
      </c>
      <c r="R129" s="32" t="str">
        <f>HYPERLINK("http://exon.niaid.nih.gov/transcriptome/S_calcitrans/S1/links/Sigp/XP_013108246.1-SigP.txt","CYT")</f>
        <v>CYT</v>
      </c>
      <c r="S129" t="s">
        <v>242</v>
      </c>
      <c r="T129">
        <v>9.1780000000000008</v>
      </c>
      <c r="U129">
        <v>11.49</v>
      </c>
      <c r="V129" t="s">
        <v>242</v>
      </c>
      <c r="W129" t="s">
        <v>242</v>
      </c>
      <c r="X129" t="s">
        <v>1461</v>
      </c>
      <c r="Y129" s="32">
        <v>0</v>
      </c>
      <c r="Z129" t="s">
        <v>242</v>
      </c>
      <c r="AA129" t="s">
        <v>242</v>
      </c>
      <c r="AB129" t="s">
        <v>242</v>
      </c>
      <c r="AC129" t="s">
        <v>242</v>
      </c>
      <c r="AD129" t="s">
        <v>242</v>
      </c>
      <c r="AE129" s="32" t="s">
        <v>242</v>
      </c>
      <c r="AF129" t="s">
        <v>242</v>
      </c>
      <c r="AG129" t="s">
        <v>242</v>
      </c>
      <c r="AH129" t="s">
        <v>242</v>
      </c>
      <c r="AI129" t="s">
        <v>242</v>
      </c>
      <c r="AJ129" t="s">
        <v>242</v>
      </c>
      <c r="AK129">
        <v>103.94139241434537</v>
      </c>
      <c r="AL129" s="33">
        <v>10282</v>
      </c>
      <c r="AM129">
        <v>1</v>
      </c>
      <c r="AN129" s="30">
        <f t="shared" si="83"/>
        <v>1</v>
      </c>
      <c r="AO129" s="30" t="s">
        <v>244</v>
      </c>
      <c r="AP129">
        <v>26901</v>
      </c>
      <c r="AQ129" s="34">
        <v>0.10448777742367189</v>
      </c>
      <c r="AR129" s="35">
        <v>54.389229334190816</v>
      </c>
      <c r="AS129" t="s">
        <v>1462</v>
      </c>
      <c r="AT129" s="36" t="s">
        <v>1463</v>
      </c>
      <c r="AU129" t="s">
        <v>1431</v>
      </c>
      <c r="AV129" t="str">
        <f>HYPERLINK("http://exon.niaid.nih.gov/transcriptome/S_calcitrans/S1/links/DIPTERA/XP_013108246.1-DIPTERA.txt","DIPTERA")</f>
        <v>DIPTERA</v>
      </c>
      <c r="AW129" s="37">
        <v>9.0000000000000002E-39</v>
      </c>
      <c r="AX129">
        <v>100</v>
      </c>
      <c r="AY129" s="33"/>
      <c r="BG129" s="31"/>
      <c r="BJ129" s="33"/>
      <c r="BK129" s="33"/>
      <c r="BL129" s="33" t="str">
        <f>HYPERLINK("http://exon.niaid.nih.gov/transcriptome/S_calcitrans/S1/links/NR-LIGHT/XP_013108246.1-NR-LIGHT.txt","60S ribosomal protein L29")</f>
        <v>60S ribosomal protein L29</v>
      </c>
      <c r="BM129" t="str">
        <f>HYPERLINK("http://www.ncbi.nlm.nih.gov/sutils/blink.cgi?pid=557753270","1E-036")</f>
        <v>1E-036</v>
      </c>
      <c r="BN129" t="str">
        <f>HYPERLINK("http://www.ncbi.nlm.nih.gov/protein/557753270","gi|557753270")</f>
        <v>gi|557753270</v>
      </c>
      <c r="BO129">
        <v>96</v>
      </c>
      <c r="BP129">
        <v>98</v>
      </c>
      <c r="BQ129">
        <v>99</v>
      </c>
      <c r="BR129" t="s">
        <v>251</v>
      </c>
      <c r="BS129" s="33" t="str">
        <f>HYPERLINK("http://exon.niaid.nih.gov/transcriptome/S_calcitrans/S1/links/SWISSP/XP_013108246.1-SWISSP.txt","60S ribosomal protein L29")</f>
        <v>60S ribosomal protein L29</v>
      </c>
      <c r="BT129" t="str">
        <f>HYPERLINK("http://www.uniprot.org/uniprot/Q24154","6E-031")</f>
        <v>6E-031</v>
      </c>
      <c r="BU129" t="str">
        <f>HYPERLINK("http://www.uniprot.org/uniprot/Q24154#expression","Q24154")</f>
        <v>Q24154</v>
      </c>
      <c r="BV129">
        <v>81</v>
      </c>
      <c r="BW129">
        <v>92</v>
      </c>
      <c r="BX129">
        <v>100</v>
      </c>
      <c r="BY129" t="s">
        <v>304</v>
      </c>
      <c r="BZ129" s="33" t="str">
        <f>HYPERLINK("http://exon.niaid.nih.gov/transcriptome/S_calcitrans/S1/links/REFSEQ-INVERTEBRATE/XP_013108246.1-REFSEQ-INVERTEBRATE.txt","60S ribosomal protein L29")</f>
        <v>60S ribosomal protein L29</v>
      </c>
      <c r="CA129" t="str">
        <f>HYPERLINK("http://www.ncbi.nlm.nih.gov/sutils/blink.cgi?pid=907691472","2E-038")</f>
        <v>2E-038</v>
      </c>
      <c r="CB129" t="str">
        <f>HYPERLINK("http://www.ncbi.nlm.nih.gov/protein/907691472","gi|907691472")</f>
        <v>gi|907691472</v>
      </c>
      <c r="CC129">
        <v>100</v>
      </c>
      <c r="CD129">
        <v>100</v>
      </c>
      <c r="CE129">
        <v>100</v>
      </c>
      <c r="CF129" t="s">
        <v>253</v>
      </c>
      <c r="CG129" s="33" t="str">
        <f>HYPERLINK("http://exon.niaid.nih.gov/transcriptome/S_calcitrans/S1/links/DIPTERA/XP_013108246.1-DIPTERA.txt","60S ribosomal protein L29")</f>
        <v>60S ribosomal protein L29</v>
      </c>
      <c r="CH129" t="str">
        <f>HYPERLINK("http://www.ncbi.nlm.nih.gov/sutils/blink.cgi?pid=907691472","9E-039")</f>
        <v>9E-039</v>
      </c>
      <c r="CI129" t="str">
        <f>HYPERLINK("http://www.ncbi.nlm.nih.gov/protein/907691472","gi|907691472")</f>
        <v>gi|907691472</v>
      </c>
      <c r="CJ129">
        <v>100</v>
      </c>
      <c r="CK129">
        <v>100</v>
      </c>
      <c r="CL129">
        <v>100</v>
      </c>
      <c r="CM129" t="s">
        <v>253</v>
      </c>
      <c r="CN129" s="33" t="s">
        <v>242</v>
      </c>
      <c r="CO129" t="s">
        <v>242</v>
      </c>
      <c r="CP129" t="s">
        <v>242</v>
      </c>
      <c r="CQ129" t="s">
        <v>242</v>
      </c>
      <c r="CR129" t="s">
        <v>242</v>
      </c>
      <c r="CS129" t="s">
        <v>242</v>
      </c>
      <c r="CT129" t="s">
        <v>242</v>
      </c>
      <c r="CU129" s="33" t="s">
        <v>1464</v>
      </c>
      <c r="CV129">
        <f>HYPERLINK("http://exon.niaid.nih.gov/transcriptome/S_calcitrans/S1/links/GO/XP_013108246.1-GO.txt",1E-30)</f>
        <v>1.0000000000000001E-30</v>
      </c>
      <c r="CW129" t="str">
        <f>HYPERLINK("http://amigo.geneontology.org/cgi-bin/amigo/term_details?term=GO:0003735","GO:0003735")</f>
        <v>GO:0003735</v>
      </c>
      <c r="CX129" t="s">
        <v>1450</v>
      </c>
      <c r="CY129" t="s">
        <v>1451</v>
      </c>
      <c r="CZ129" t="s">
        <v>1452</v>
      </c>
      <c r="DA129" t="s">
        <v>242</v>
      </c>
      <c r="DC129" t="s">
        <v>1465</v>
      </c>
      <c r="DD129" s="37">
        <v>1.0000000000000001E-30</v>
      </c>
      <c r="DE129" s="33" t="str">
        <f>HYPERLINK("http://exon.niaid.nih.gov/transcriptome/S_calcitrans/S1/links/CDD/XP_013108246.1-CDD.txt","Ribosomal_L29e")</f>
        <v>Ribosomal_L29e</v>
      </c>
      <c r="DF129" t="str">
        <f>HYPERLINK("http://www.ncbi.nlm.nih.gov/Structure/cdd/cddsrv.cgi?uid=pfam01779&amp;version=v4.0","2E-009")</f>
        <v>2E-009</v>
      </c>
      <c r="DG129" t="s">
        <v>1466</v>
      </c>
      <c r="DH129" s="33" t="str">
        <f>HYPERLINK("http://exon.niaid.nih.gov/transcriptome/S_calcitrans/S1/links/KOG/XP_013108246.1-KOG.txt","60S ribosomal protein L29")</f>
        <v>60S ribosomal protein L29</v>
      </c>
      <c r="DI129" t="str">
        <f>HYPERLINK("http://www.ncbi.nlm.nih.gov/Structure/cdd/cddsrv.cgi?uid=KOG3504","9E-011")</f>
        <v>9E-011</v>
      </c>
      <c r="DJ129" t="s">
        <v>1439</v>
      </c>
      <c r="DK129" t="str">
        <f>HYPERLINK("http://exon.niaid.nih.gov/transcriptome/S_calcitrans/S1/links/KOG/XP_013108246.1-KOG.txt","KOG3504")</f>
        <v>KOG3504</v>
      </c>
      <c r="DL129" s="33" t="str">
        <f>HYPERLINK("http://exon.niaid.nih.gov/transcriptome/S_calcitrans/S1/links/PFAM/XP_013108246.1-PFAM.txt","Ribosomal_L29e")</f>
        <v>Ribosomal_L29e</v>
      </c>
      <c r="DM129" t="str">
        <f>HYPERLINK("http://pfam.sanger.ac.uk/family?acc=PF01779","1E-013")</f>
        <v>1E-013</v>
      </c>
      <c r="DN129" s="33" t="str">
        <f>HYPERLINK("http://exon.niaid.nih.gov/transcriptome/S_calcitrans/S1/links/SMART/XP_013108246.1-SMART.txt","EPEND")</f>
        <v>EPEND</v>
      </c>
      <c r="DO129" t="str">
        <f>HYPERLINK("http://smart.embl-heidelberg.de/smart/do_annotation.pl?DOMAIN=EPEND&amp;BLAST=DUMMY","1.1")</f>
        <v>1.1</v>
      </c>
      <c r="DP129" s="33"/>
      <c r="EB129" s="33">
        <v>4646</v>
      </c>
      <c r="EC129">
        <v>1</v>
      </c>
      <c r="ED129" s="33">
        <v>5606</v>
      </c>
      <c r="EE129">
        <v>1</v>
      </c>
      <c r="EF129" s="33">
        <v>6202</v>
      </c>
      <c r="EG129">
        <v>1</v>
      </c>
      <c r="EH129" s="33">
        <v>6652</v>
      </c>
      <c r="EI129">
        <v>1</v>
      </c>
      <c r="EJ129" s="33">
        <v>7113</v>
      </c>
      <c r="EK129">
        <v>1</v>
      </c>
      <c r="EL129" s="33">
        <v>7486</v>
      </c>
      <c r="EM129">
        <v>1</v>
      </c>
      <c r="EN129" s="33">
        <v>7915</v>
      </c>
      <c r="EO129">
        <v>1</v>
      </c>
      <c r="EP129" s="33">
        <v>8254</v>
      </c>
      <c r="EQ129">
        <v>1</v>
      </c>
      <c r="ER129" s="33">
        <v>8555</v>
      </c>
      <c r="ES129">
        <v>1</v>
      </c>
      <c r="ET129" s="33">
        <v>8802</v>
      </c>
      <c r="EU129">
        <v>1</v>
      </c>
      <c r="EV129" s="33">
        <v>9052</v>
      </c>
      <c r="EW129">
        <v>1</v>
      </c>
      <c r="EX129" s="33">
        <v>9302</v>
      </c>
      <c r="EY129">
        <v>1</v>
      </c>
      <c r="EZ129" s="33">
        <v>9583</v>
      </c>
      <c r="FA129">
        <v>1</v>
      </c>
      <c r="FB129" s="33">
        <v>9872</v>
      </c>
      <c r="FC129">
        <v>1</v>
      </c>
      <c r="FD129" s="33">
        <v>10282</v>
      </c>
      <c r="FE129">
        <v>1</v>
      </c>
      <c r="FF129" t="s">
        <v>1467</v>
      </c>
      <c r="FG129">
        <v>13564</v>
      </c>
      <c r="FH129" s="38" t="str">
        <f>HYPERLINK("http://exon.niaid.nih.gov/transcriptome/S_calcitrans/S1/links/SG_male-stripped_temp-95-h10-1gap/13564-SG_male-stripped_temp-95-h10-1gap.txt","14842")</f>
        <v>14842</v>
      </c>
      <c r="FI129" s="39">
        <v>100</v>
      </c>
      <c r="FJ129" s="39">
        <v>4407.9831223628698</v>
      </c>
      <c r="FK129" s="39">
        <v>98</v>
      </c>
      <c r="FL129" s="39">
        <v>8542</v>
      </c>
      <c r="FM129" s="39">
        <v>70.387750976957307</v>
      </c>
      <c r="FN129" s="38" t="str">
        <f>HYPERLINK("http://exon.niaid.nih.gov/transcriptome/S_calcitrans/S1/links/SG_female-stripped_temp-95-h10-1gap/13564-SG_female-stripped_temp-95-h10-1gap.txt","12059")</f>
        <v>12059</v>
      </c>
      <c r="FO129" s="39">
        <v>100</v>
      </c>
      <c r="FP129" s="39">
        <v>3587.81434599156</v>
      </c>
      <c r="FQ129" s="39">
        <v>91</v>
      </c>
      <c r="FR129" s="39">
        <v>6584</v>
      </c>
      <c r="FS129" s="39">
        <v>70.512812007629194</v>
      </c>
      <c r="FT129" s="38" t="str">
        <f>HYPERLINK("http://exon.niaid.nih.gov/transcriptome/S_calcitrans/S1/links/SRR694289-stripped_temp-95-h10-1gap/13564-SRR694289-stripped_temp-95-h10-1gap.txt","584")</f>
        <v>584</v>
      </c>
      <c r="FU129" s="39">
        <v>100</v>
      </c>
      <c r="FV129" s="39">
        <v>230.60337552742601</v>
      </c>
      <c r="FW129" s="39">
        <v>48</v>
      </c>
      <c r="FX129" s="39">
        <v>357</v>
      </c>
      <c r="FY129" s="39">
        <v>93.587328767123296</v>
      </c>
      <c r="FZ129" s="38" t="str">
        <f>HYPERLINK("http://exon.niaid.nih.gov/transcriptome/S_calcitrans/S1/links/SRR694925-stripped_temp-95-h10-1gap/13564-SRR694925-stripped_temp-95-h10-1gap.txt","322")</f>
        <v>322</v>
      </c>
      <c r="GA129" s="39">
        <v>100</v>
      </c>
      <c r="GB129" s="39">
        <v>128.63713080168799</v>
      </c>
      <c r="GC129" s="39">
        <v>28</v>
      </c>
      <c r="GD129" s="39">
        <v>207</v>
      </c>
      <c r="GE129" s="39">
        <v>94.7173913043478</v>
      </c>
      <c r="GF129">
        <f>1*FH129</f>
        <v>14842</v>
      </c>
      <c r="GG129">
        <f>1*FN129</f>
        <v>12059</v>
      </c>
      <c r="GH129">
        <f>1*FT129</f>
        <v>584</v>
      </c>
      <c r="GI129">
        <f>1*FZ129</f>
        <v>322</v>
      </c>
      <c r="GJ129">
        <f>IF(FZ129&lt;&gt;"",SUM(GF129:GG129),"")</f>
        <v>26901</v>
      </c>
      <c r="GK129" s="34">
        <v>0.10448777742367189</v>
      </c>
      <c r="GL129">
        <v>2048.5476541286971</v>
      </c>
      <c r="GM129">
        <v>756.89596301752624</v>
      </c>
      <c r="GN129">
        <v>14.164362738173349</v>
      </c>
      <c r="GO129">
        <v>8.0510276661805253</v>
      </c>
      <c r="GP129">
        <f>MAX(GL129:GO129)</f>
        <v>2048.5476541286971</v>
      </c>
      <c r="GQ129" t="s">
        <v>1431</v>
      </c>
      <c r="GR129">
        <v>1597.6448114774334</v>
      </c>
      <c r="GS129">
        <v>621.23461869155881</v>
      </c>
      <c r="GT129">
        <v>25.53349953792646</v>
      </c>
      <c r="GU129">
        <v>15.24280254856281</v>
      </c>
      <c r="GV129">
        <f>MAX(GR129:GU129)</f>
        <v>1597.6448114774334</v>
      </c>
      <c r="GW129">
        <v>54.389229334190816</v>
      </c>
      <c r="GX129">
        <v>26901</v>
      </c>
      <c r="GY129">
        <v>906</v>
      </c>
      <c r="GZ129">
        <v>27807</v>
      </c>
      <c r="HA129">
        <v>6173.1454799535977</v>
      </c>
      <c r="HB129">
        <v>21633.854520046403</v>
      </c>
      <c r="HC129">
        <v>69598.870527094332</v>
      </c>
      <c r="HD129">
        <v>19859.79671842993</v>
      </c>
      <c r="HE129">
        <v>89458.667245524266</v>
      </c>
      <c r="HF129">
        <v>0</v>
      </c>
      <c r="HG129">
        <v>6173.1454799535977</v>
      </c>
      <c r="HH129">
        <v>1</v>
      </c>
      <c r="HI129">
        <v>1</v>
      </c>
      <c r="HJ129">
        <v>2</v>
      </c>
      <c r="HK129">
        <v>0</v>
      </c>
      <c r="HL129" s="30" t="s">
        <v>262</v>
      </c>
      <c r="HM129">
        <v>103.94139241434537</v>
      </c>
      <c r="HN129">
        <v>9.60984175786035E-3</v>
      </c>
      <c r="HO129">
        <v>14842</v>
      </c>
      <c r="HP129">
        <v>12059</v>
      </c>
      <c r="HQ129">
        <v>26901</v>
      </c>
      <c r="HR129">
        <v>8409.1435099852297</v>
      </c>
      <c r="HS129">
        <v>18491.856490014772</v>
      </c>
      <c r="HT129">
        <v>4921.0294213658672</v>
      </c>
      <c r="HU129">
        <v>2237.8306171406007</v>
      </c>
      <c r="HV129">
        <v>7158.8600385064674</v>
      </c>
      <c r="HW129">
        <v>0</v>
      </c>
      <c r="HX129">
        <v>8409.1435099852297</v>
      </c>
      <c r="HY129">
        <v>1</v>
      </c>
      <c r="HZ129">
        <v>1</v>
      </c>
      <c r="IA129">
        <v>2</v>
      </c>
      <c r="IB129">
        <v>0</v>
      </c>
      <c r="IC129" s="30" t="s">
        <v>262</v>
      </c>
      <c r="ID129">
        <v>2.7062871137175071</v>
      </c>
      <c r="IE129">
        <v>0.36945441226603615</v>
      </c>
      <c r="IF129">
        <v>2.7062871137175071</v>
      </c>
      <c r="IG129" t="str">
        <f t="shared" si="84"/>
        <v/>
      </c>
    </row>
    <row r="130" spans="1:241">
      <c r="A130" s="22" t="s">
        <v>1468</v>
      </c>
      <c r="B130" s="23"/>
      <c r="C130" s="24"/>
      <c r="D130" s="24"/>
      <c r="E130" s="24"/>
      <c r="F130" s="24"/>
      <c r="G130" s="24"/>
      <c r="H130" s="24"/>
      <c r="I130" s="24"/>
      <c r="J130" s="23"/>
      <c r="K130" s="23"/>
      <c r="L130" s="25"/>
      <c r="M130" s="23"/>
      <c r="N130" s="23"/>
      <c r="O130" s="23"/>
      <c r="P130" s="23"/>
      <c r="Q130" s="25"/>
      <c r="R130" s="23"/>
      <c r="S130" s="24"/>
      <c r="T130" s="24"/>
      <c r="U130" s="24"/>
      <c r="V130" s="24"/>
      <c r="W130" s="24"/>
      <c r="X130" s="24"/>
      <c r="Y130" s="23"/>
      <c r="Z130" s="24"/>
      <c r="AA130" s="24"/>
      <c r="AB130" s="24"/>
      <c r="AC130" s="24"/>
      <c r="AD130" s="24"/>
      <c r="AE130" s="23"/>
      <c r="AF130" s="24"/>
      <c r="AG130" s="24"/>
      <c r="AH130" s="24"/>
      <c r="AI130" s="24"/>
      <c r="AJ130" s="24"/>
      <c r="AK130" s="24"/>
      <c r="AL130" s="24"/>
      <c r="AM130" s="24"/>
      <c r="AN130" s="23" t="str">
        <f t="shared" si="83"/>
        <v/>
      </c>
      <c r="AO130" s="23" t="s">
        <v>244</v>
      </c>
      <c r="AP130" s="24" t="s">
        <v>244</v>
      </c>
      <c r="AQ130" s="26"/>
      <c r="AR130" s="27"/>
      <c r="AS130" s="24"/>
      <c r="AT130" s="24"/>
      <c r="AU130" s="24"/>
      <c r="AV130" s="24"/>
      <c r="AW130" s="24"/>
      <c r="AX130" s="24"/>
      <c r="AY130" s="24"/>
      <c r="AZ130" s="24"/>
      <c r="BA130" s="24"/>
      <c r="BB130" s="24"/>
      <c r="BC130" s="24"/>
      <c r="BD130" s="24"/>
      <c r="BE130" s="24"/>
      <c r="BF130" s="24"/>
      <c r="BG130" s="25"/>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9"/>
      <c r="FI130" s="29"/>
      <c r="FJ130" s="29"/>
      <c r="FK130" s="29"/>
      <c r="FL130" s="29"/>
      <c r="FM130" s="29"/>
      <c r="FN130" s="29"/>
      <c r="FO130" s="29"/>
      <c r="FP130" s="29"/>
      <c r="FQ130" s="29"/>
      <c r="FR130" s="29"/>
      <c r="FS130" s="29"/>
      <c r="FT130" s="29"/>
      <c r="FU130" s="29"/>
      <c r="FV130" s="29"/>
      <c r="FW130" s="29"/>
      <c r="FX130" s="29"/>
      <c r="FY130" s="29"/>
      <c r="FZ130" s="29"/>
      <c r="GA130" s="29"/>
      <c r="GB130" s="29"/>
      <c r="GC130" s="29"/>
      <c r="GD130" s="29"/>
      <c r="GE130" s="29"/>
      <c r="GF130" s="24"/>
      <c r="GG130" s="24"/>
      <c r="GH130" s="24"/>
      <c r="GI130" s="24"/>
      <c r="GJ130" s="24" t="str">
        <f t="shared" si="93"/>
        <v/>
      </c>
      <c r="GK130" s="26"/>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8"/>
      <c r="HL130" s="23"/>
      <c r="HM130" s="24"/>
      <c r="HN130" s="24"/>
      <c r="HO130" s="24"/>
      <c r="HP130" s="24"/>
      <c r="HQ130" s="24"/>
      <c r="HR130" s="24"/>
      <c r="HS130" s="24"/>
      <c r="HT130" s="24"/>
      <c r="HU130" s="24"/>
      <c r="HV130" s="24"/>
      <c r="HW130" s="24"/>
      <c r="HX130" s="24"/>
      <c r="HY130" s="24"/>
      <c r="HZ130" s="24"/>
      <c r="IA130" s="24"/>
      <c r="IB130" s="24"/>
      <c r="IC130" s="23"/>
      <c r="ID130" s="24"/>
      <c r="IE130" s="24"/>
      <c r="IF130" s="24"/>
      <c r="IG130" s="24" t="str">
        <f t="shared" si="84"/>
        <v/>
      </c>
    </row>
    <row r="131" spans="1:241">
      <c r="A131" t="str">
        <f>HYPERLINK("http://exon.niaid.nih.gov/transcriptome/S_calcitrans/S1/links/pep/XP_013100726.1-pep.txt","XP_013100726.1")</f>
        <v>XP_013100726.1</v>
      </c>
      <c r="B131" s="30" t="s">
        <v>232</v>
      </c>
      <c r="C131">
        <v>183</v>
      </c>
      <c r="D131" t="s">
        <v>1469</v>
      </c>
      <c r="E131">
        <v>0</v>
      </c>
      <c r="F131" t="s">
        <v>1470</v>
      </c>
      <c r="G131" t="str">
        <f>HYPERLINK("http://exon.niaid.nih.gov/transcriptome/S_calcitrans/S1/links/cds/XM_013245272_1-cds.txt","XM_013245272_1")</f>
        <v>XM_013245272_1</v>
      </c>
      <c r="H131">
        <v>552</v>
      </c>
      <c r="I131" t="s">
        <v>1471</v>
      </c>
      <c r="J131" s="30" t="s">
        <v>236</v>
      </c>
      <c r="K131" s="30" t="s">
        <v>91</v>
      </c>
      <c r="L131" s="31" t="s">
        <v>1472</v>
      </c>
      <c r="M131" s="30">
        <v>988452</v>
      </c>
      <c r="N131" s="30">
        <v>989003</v>
      </c>
      <c r="O131" s="30" t="s">
        <v>276</v>
      </c>
      <c r="P131" s="30">
        <v>1</v>
      </c>
      <c r="Q131" s="31" t="s">
        <v>1473</v>
      </c>
      <c r="R131" s="32" t="str">
        <f>HYPERLINK("http://exon.niaid.nih.gov/transcriptome/S_calcitrans/S1/links/Sigp/XP_013100726.1-SigP.txt","CYT")</f>
        <v>CYT</v>
      </c>
      <c r="S131" t="s">
        <v>242</v>
      </c>
      <c r="T131">
        <v>20.864999999999998</v>
      </c>
      <c r="U131">
        <v>5.16</v>
      </c>
      <c r="V131" t="s">
        <v>242</v>
      </c>
      <c r="W131" t="s">
        <v>242</v>
      </c>
      <c r="X131" t="s">
        <v>720</v>
      </c>
      <c r="Y131" s="32">
        <v>0</v>
      </c>
      <c r="Z131" t="s">
        <v>242</v>
      </c>
      <c r="AA131" t="s">
        <v>242</v>
      </c>
      <c r="AB131" t="s">
        <v>242</v>
      </c>
      <c r="AC131" t="s">
        <v>242</v>
      </c>
      <c r="AD131" t="s">
        <v>242</v>
      </c>
      <c r="AE131" s="32" t="str">
        <f>HYPERLINK("http://exon.niaid.nih.gov/transcriptome/S_calcitrans/S1/links/netoglyc/XP_013100726.1-netoglyc.txt","2")</f>
        <v>2</v>
      </c>
      <c r="AF131">
        <v>10.4</v>
      </c>
      <c r="AG131">
        <v>5.5</v>
      </c>
      <c r="AH131">
        <v>4.4000000000000004</v>
      </c>
      <c r="AI131" t="s">
        <v>243</v>
      </c>
      <c r="AJ131" t="s">
        <v>242</v>
      </c>
      <c r="AK131">
        <v>116.23293893066207</v>
      </c>
      <c r="AL131" s="33">
        <v>6597</v>
      </c>
      <c r="AM131">
        <v>1</v>
      </c>
      <c r="AN131" s="30">
        <f t="shared" si="83"/>
        <v>1</v>
      </c>
      <c r="AO131" s="30" t="s">
        <v>244</v>
      </c>
      <c r="AP131">
        <v>398</v>
      </c>
      <c r="AQ131" s="34">
        <v>1.5458955211561435E-3</v>
      </c>
      <c r="AR131" s="35">
        <v>62.865369497040064</v>
      </c>
      <c r="AS131" t="s">
        <v>1474</v>
      </c>
      <c r="AT131" s="36" t="s">
        <v>1475</v>
      </c>
      <c r="AU131" t="s">
        <v>1476</v>
      </c>
      <c r="AV131" t="str">
        <f>HYPERLINK("http://exon.niaid.nih.gov/transcriptome/S_calcitrans/S1/links/CDD/XP_013100726.1-CDD.txt","CDD")</f>
        <v>CDD</v>
      </c>
      <c r="AW131" s="37">
        <v>4.0000000000000002E-32</v>
      </c>
      <c r="AX131">
        <v>102.3</v>
      </c>
      <c r="AY131" s="33"/>
      <c r="BG131" s="31"/>
      <c r="BJ131" s="33"/>
      <c r="BK131" s="33"/>
      <c r="BL131" s="33" t="str">
        <f>HYPERLINK("http://exon.niaid.nih.gov/transcriptome/S_calcitrans/S1/links/NR-LIGHT/XP_013100726.1-NR-LIGHT.txt","uncharacterized protein LOC101890298")</f>
        <v>uncharacterized protein LOC101890298</v>
      </c>
      <c r="BM131" t="str">
        <f>HYPERLINK("http://www.ncbi.nlm.nih.gov/sutils/blink.cgi?pid=557755942","3E-086")</f>
        <v>3E-086</v>
      </c>
      <c r="BN131" t="str">
        <f>HYPERLINK("http://www.ncbi.nlm.nih.gov/protein/557755942","gi|557755942")</f>
        <v>gi|557755942</v>
      </c>
      <c r="BO131">
        <v>90</v>
      </c>
      <c r="BP131">
        <v>95</v>
      </c>
      <c r="BQ131">
        <v>97</v>
      </c>
      <c r="BR131" t="s">
        <v>251</v>
      </c>
      <c r="BS131" s="33" t="str">
        <f>HYPERLINK("http://exon.niaid.nih.gov/transcriptome/S_calcitrans/S1/links/SWISSP/XP_013100726.1-SWISSP.txt","DNA-directed RNA polymerase subunit beta")</f>
        <v>DNA-directed RNA polymerase subunit beta</v>
      </c>
      <c r="BT131" t="str">
        <f>HYPERLINK("http://www.uniprot.org/uniprot/Q03EA9","1.1")</f>
        <v>1.1</v>
      </c>
      <c r="BU131" t="str">
        <f>HYPERLINK("http://www.uniprot.org/uniprot/Q03EA9#expression","Q03EA9")</f>
        <v>Q03EA9</v>
      </c>
      <c r="BV131">
        <v>22</v>
      </c>
      <c r="BW131">
        <v>40</v>
      </c>
      <c r="BX131">
        <v>13</v>
      </c>
      <c r="BY131" t="s">
        <v>1477</v>
      </c>
      <c r="BZ131" s="33" t="str">
        <f>HYPERLINK("http://exon.niaid.nih.gov/transcriptome/S_calcitrans/S1/links/REFSEQ-INVERTEBRATE/XP_013100726.1-REFSEQ-INVERTEBRATE.txt","uncharacterized protein LOC106082645")</f>
        <v>uncharacterized protein LOC106082645</v>
      </c>
      <c r="CA131" t="str">
        <f>HYPERLINK("http://www.ncbi.nlm.nih.gov/sutils/blink.cgi?pid=907643162","2E-098")</f>
        <v>2E-098</v>
      </c>
      <c r="CB131" t="str">
        <f>HYPERLINK("http://www.ncbi.nlm.nih.gov/protein/907643162","gi|907643162")</f>
        <v>gi|907643162</v>
      </c>
      <c r="CC131">
        <v>100</v>
      </c>
      <c r="CD131">
        <v>100</v>
      </c>
      <c r="CE131">
        <v>100</v>
      </c>
      <c r="CF131" t="s">
        <v>253</v>
      </c>
      <c r="CG131" s="33" t="str">
        <f>HYPERLINK("http://exon.niaid.nih.gov/transcriptome/S_calcitrans/S1/links/DIPTERA/XP_013100726.1-DIPTERA.txt","uncharacterized protein LOC106082645")</f>
        <v>uncharacterized protein LOC106082645</v>
      </c>
      <c r="CH131" t="str">
        <f>HYPERLINK("http://www.ncbi.nlm.nih.gov/sutils/blink.cgi?pid=907643162","8E-099")</f>
        <v>8E-099</v>
      </c>
      <c r="CI131" t="str">
        <f>HYPERLINK("http://www.ncbi.nlm.nih.gov/protein/907643162","gi|907643162")</f>
        <v>gi|907643162</v>
      </c>
      <c r="CJ131">
        <v>100</v>
      </c>
      <c r="CK131">
        <v>100</v>
      </c>
      <c r="CL131">
        <v>100</v>
      </c>
      <c r="CM131" t="s">
        <v>253</v>
      </c>
      <c r="CN131" s="33" t="s">
        <v>242</v>
      </c>
      <c r="CO131" t="s">
        <v>242</v>
      </c>
      <c r="CP131" t="s">
        <v>242</v>
      </c>
      <c r="CQ131" t="s">
        <v>242</v>
      </c>
      <c r="CR131" t="s">
        <v>242</v>
      </c>
      <c r="CS131" t="s">
        <v>242</v>
      </c>
      <c r="CT131" t="s">
        <v>242</v>
      </c>
      <c r="CU131" s="33" t="s">
        <v>242</v>
      </c>
      <c r="CV131" t="s">
        <v>242</v>
      </c>
      <c r="CW131" t="s">
        <v>242</v>
      </c>
      <c r="CX131" t="s">
        <v>242</v>
      </c>
      <c r="CY131" t="s">
        <v>242</v>
      </c>
      <c r="CZ131" t="s">
        <v>242</v>
      </c>
      <c r="DA131" t="s">
        <v>242</v>
      </c>
      <c r="DB131" t="s">
        <v>242</v>
      </c>
      <c r="DC131" t="s">
        <v>242</v>
      </c>
      <c r="DD131" t="s">
        <v>242</v>
      </c>
      <c r="DE131" s="33" t="str">
        <f>HYPERLINK("http://exon.niaid.nih.gov/transcriptome/S_calcitrans/S1/links/CDD/XP_013100726.1-CDD.txt","CYTH-like_AC_IV")</f>
        <v>CYTH-like_AC_IV</v>
      </c>
      <c r="DF131" t="str">
        <f>HYPERLINK("http://www.ncbi.nlm.nih.gov/Structure/cdd/cddsrv.cgi?uid=cd07890&amp;version=v4.0","4E-032")</f>
        <v>4E-032</v>
      </c>
      <c r="DG131" t="s">
        <v>1478</v>
      </c>
      <c r="DH131" s="33" t="str">
        <f>HYPERLINK("http://exon.niaid.nih.gov/transcriptome/S_calcitrans/S1/links/KOG/XP_013100726.1-KOG.txt","Mitogen-activated protein kinase (MAPK) kinase MKK3/MKK6")</f>
        <v>Mitogen-activated protein kinase (MAPK) kinase MKK3/MKK6</v>
      </c>
      <c r="DI131" t="str">
        <f>HYPERLINK("http://www.ncbi.nlm.nih.gov/Structure/cdd/cddsrv.cgi?uid=KOG0984","1.9")</f>
        <v>1.9</v>
      </c>
      <c r="DJ131" t="s">
        <v>1095</v>
      </c>
      <c r="DK131" t="str">
        <f>HYPERLINK("http://exon.niaid.nih.gov/transcriptome/S_calcitrans/S1/links/KOG/XP_013100726.1-KOG.txt","KOG0984")</f>
        <v>KOG0984</v>
      </c>
      <c r="DL131" s="33" t="str">
        <f>HYPERLINK("http://exon.niaid.nih.gov/transcriptome/S_calcitrans/S1/links/PFAM/XP_013100726.1-PFAM.txt","CYTH")</f>
        <v>CYTH</v>
      </c>
      <c r="DM131" t="str">
        <f>HYPERLINK("http://pfam.sanger.ac.uk/family?acc=PF01928","2E-016")</f>
        <v>2E-016</v>
      </c>
      <c r="DN131" s="33" t="str">
        <f>HYPERLINK("http://exon.niaid.nih.gov/transcriptome/S_calcitrans/S1/links/SMART/XP_013100726.1-SMART.txt","GGDEF")</f>
        <v>GGDEF</v>
      </c>
      <c r="DO131" t="str">
        <f>HYPERLINK("http://smart.embl-heidelberg.de/smart/do_annotation.pl?DOMAIN=GGDEF&amp;BLAST=DUMMY","0.21")</f>
        <v>0.21</v>
      </c>
      <c r="DP131" s="33"/>
      <c r="EB131" s="33">
        <v>3506</v>
      </c>
      <c r="EC131">
        <v>1</v>
      </c>
      <c r="ED131" s="33">
        <v>4238</v>
      </c>
      <c r="EE131">
        <v>1</v>
      </c>
      <c r="EF131" s="33">
        <v>4642</v>
      </c>
      <c r="EG131">
        <v>1</v>
      </c>
      <c r="EH131" s="33">
        <v>4959</v>
      </c>
      <c r="EI131">
        <v>1</v>
      </c>
      <c r="EJ131" s="33">
        <v>5270</v>
      </c>
      <c r="EK131">
        <v>1</v>
      </c>
      <c r="EL131" s="33">
        <v>5503</v>
      </c>
      <c r="EM131">
        <v>1</v>
      </c>
      <c r="EN131" s="33">
        <v>5777</v>
      </c>
      <c r="EO131">
        <v>1</v>
      </c>
      <c r="EP131" s="33">
        <v>5973</v>
      </c>
      <c r="EQ131">
        <v>1</v>
      </c>
      <c r="ER131" s="33">
        <v>6126</v>
      </c>
      <c r="ES131">
        <v>1</v>
      </c>
      <c r="ET131" s="33">
        <v>6241</v>
      </c>
      <c r="EU131">
        <v>1</v>
      </c>
      <c r="EV131" s="33">
        <v>6339</v>
      </c>
      <c r="EW131">
        <v>1</v>
      </c>
      <c r="EX131" s="33">
        <v>6424</v>
      </c>
      <c r="EY131">
        <v>1</v>
      </c>
      <c r="EZ131" s="33">
        <v>6475</v>
      </c>
      <c r="FA131">
        <v>1</v>
      </c>
      <c r="FB131" s="33">
        <v>6523</v>
      </c>
      <c r="FC131">
        <v>1</v>
      </c>
      <c r="FD131" s="33">
        <v>6597</v>
      </c>
      <c r="FE131">
        <v>1</v>
      </c>
      <c r="FF131" t="s">
        <v>1479</v>
      </c>
      <c r="FG131">
        <v>6856</v>
      </c>
      <c r="FH131" s="38" t="str">
        <f>HYPERLINK("http://exon.niaid.nih.gov/transcriptome/S_calcitrans/S1/links/SG_male-stripped_temp-95-h10-1gap/6856-SG_male-stripped_temp-95-h10-1gap.txt","262")</f>
        <v>262</v>
      </c>
      <c r="FI131" s="39">
        <v>97.644927536231904</v>
      </c>
      <c r="FJ131" s="39">
        <v>33.844202898550698</v>
      </c>
      <c r="FK131" s="39">
        <v>0</v>
      </c>
      <c r="FL131" s="39">
        <v>63</v>
      </c>
      <c r="FM131" s="39">
        <v>71.305343511450403</v>
      </c>
      <c r="FN131" s="38" t="str">
        <f>HYPERLINK("http://exon.niaid.nih.gov/transcriptome/S_calcitrans/S1/links/SG_female-stripped_temp-95-h10-1gap/6856-SG_female-stripped_temp-95-h10-1gap.txt","136")</f>
        <v>136</v>
      </c>
      <c r="FO131" s="39">
        <v>98.007246376811594</v>
      </c>
      <c r="FP131" s="39">
        <v>17.7210144927536</v>
      </c>
      <c r="FQ131" s="39">
        <v>0</v>
      </c>
      <c r="FR131" s="39">
        <v>38</v>
      </c>
      <c r="FS131" s="39">
        <v>71.926470588235304</v>
      </c>
      <c r="FT131" s="38" t="str">
        <f>HYPERLINK("http://exon.niaid.nih.gov/transcriptome/S_calcitrans/S1/links/SRR694289-stripped_temp-95-h10-1gap/6856-SRR694289-stripped_temp-95-h10-1gap.txt","2")</f>
        <v>2</v>
      </c>
      <c r="FU131" s="39">
        <v>22.826086956521699</v>
      </c>
      <c r="FV131" s="39">
        <v>0.36231884057970998</v>
      </c>
      <c r="FW131" s="39">
        <v>0</v>
      </c>
      <c r="FX131" s="39">
        <v>2</v>
      </c>
      <c r="FY131" s="39">
        <v>100</v>
      </c>
      <c r="FZ131" s="38" t="str">
        <f>HYPERLINK("http://exon.niaid.nih.gov/transcriptome/S_calcitrans/S1/links/SRR694925-stripped_temp-95-h10-1gap/6856-SRR694925-stripped_temp-95-h10-1gap.txt","9")</f>
        <v>9</v>
      </c>
      <c r="GA131" s="39">
        <v>70.108695652173907</v>
      </c>
      <c r="GB131" s="39">
        <v>1.6268115942029</v>
      </c>
      <c r="GC131" s="39">
        <v>0</v>
      </c>
      <c r="GD131" s="39">
        <v>4</v>
      </c>
      <c r="GE131" s="39">
        <v>99.7777777777778</v>
      </c>
      <c r="GF131">
        <f t="shared" ref="GF131" si="143">1*FH131</f>
        <v>262</v>
      </c>
      <c r="GG131">
        <f t="shared" ref="GG131" si="144">1*FN131</f>
        <v>136</v>
      </c>
      <c r="GH131">
        <f t="shared" ref="GH131" si="145">1*FT131</f>
        <v>2</v>
      </c>
      <c r="GI131">
        <f t="shared" ref="GI131" si="146">1*FZ131</f>
        <v>9</v>
      </c>
      <c r="GJ131">
        <f t="shared" si="93"/>
        <v>398</v>
      </c>
      <c r="GK131" s="34">
        <v>1.5458955211561435E-3</v>
      </c>
      <c r="GL131">
        <v>15.526165224845096</v>
      </c>
      <c r="GM131">
        <v>3.6649923323822282</v>
      </c>
      <c r="GN131">
        <v>2.0826843662814447E-2</v>
      </c>
      <c r="GO131">
        <v>9.6615593280015413E-2</v>
      </c>
      <c r="GP131">
        <f t="shared" ref="GP131" si="147">MAX(GL131:GO131)</f>
        <v>15.526165224845096</v>
      </c>
      <c r="GQ131" t="s">
        <v>1476</v>
      </c>
      <c r="GR131">
        <v>12.108723594309302</v>
      </c>
      <c r="GS131">
        <v>3.0081018070672934</v>
      </c>
      <c r="GT131">
        <v>3.7543673010277522E-2</v>
      </c>
      <c r="GU131">
        <v>0.18291980509094244</v>
      </c>
      <c r="GV131">
        <f t="shared" ref="GV131" si="148">MAX(GR131:GU131)</f>
        <v>12.108723594309302</v>
      </c>
      <c r="GW131">
        <v>62.865369497040064</v>
      </c>
      <c r="GX131">
        <v>398</v>
      </c>
      <c r="GY131">
        <v>11</v>
      </c>
      <c r="GZ131">
        <v>409</v>
      </c>
      <c r="HA131">
        <v>90.797874682670596</v>
      </c>
      <c r="HB131">
        <v>318.20212531732938</v>
      </c>
      <c r="HC131">
        <v>1039.3761542250718</v>
      </c>
      <c r="HD131">
        <v>296.58238676240722</v>
      </c>
      <c r="HE131">
        <v>1335.958540987479</v>
      </c>
      <c r="HF131">
        <v>1.7338355173888106E-292</v>
      </c>
      <c r="HG131">
        <v>90.797874682670596</v>
      </c>
      <c r="HH131">
        <v>1</v>
      </c>
      <c r="HI131">
        <v>1</v>
      </c>
      <c r="HJ131">
        <v>2</v>
      </c>
      <c r="HK131" s="37">
        <v>6.9111878551136401E-292</v>
      </c>
      <c r="HL131" s="30" t="s">
        <v>262</v>
      </c>
      <c r="HM131">
        <v>116.23293893066207</v>
      </c>
      <c r="HN131">
        <v>7.8666965224030005E-3</v>
      </c>
      <c r="HO131">
        <v>262</v>
      </c>
      <c r="HP131">
        <v>136</v>
      </c>
      <c r="HQ131">
        <v>398</v>
      </c>
      <c r="HR131">
        <v>124.41318601442775</v>
      </c>
      <c r="HS131">
        <v>273.58681398557223</v>
      </c>
      <c r="HT131">
        <v>152.15534614237109</v>
      </c>
      <c r="HU131">
        <v>69.192411384631825</v>
      </c>
      <c r="HV131">
        <v>221.3477575270029</v>
      </c>
      <c r="HW131">
        <v>4.5962886628214496E-50</v>
      </c>
      <c r="HX131">
        <v>124.41318601442775</v>
      </c>
      <c r="HY131">
        <v>1</v>
      </c>
      <c r="HZ131">
        <v>1</v>
      </c>
      <c r="IA131">
        <v>2</v>
      </c>
      <c r="IB131" s="37">
        <v>3.9535138122605403E-48</v>
      </c>
      <c r="IC131" s="30" t="s">
        <v>262</v>
      </c>
      <c r="ID131">
        <v>4.2054209542241452</v>
      </c>
      <c r="IE131">
        <v>0.23515510413849566</v>
      </c>
      <c r="IF131">
        <v>4.2054209542241452</v>
      </c>
      <c r="IG131" t="str">
        <f t="shared" si="84"/>
        <v/>
      </c>
    </row>
    <row r="132" spans="1:241">
      <c r="A132" t="str">
        <f>HYPERLINK("http://exon.niaid.nih.gov/transcriptome/S_calcitrans/S1/links/pep/XP_013118543.1-pep.txt","XP_013118543.1")</f>
        <v>XP_013118543.1</v>
      </c>
      <c r="B132" s="30" t="s">
        <v>232</v>
      </c>
      <c r="C132">
        <v>253</v>
      </c>
      <c r="D132" t="s">
        <v>1480</v>
      </c>
      <c r="E132">
        <v>1</v>
      </c>
      <c r="F132" t="s">
        <v>1481</v>
      </c>
      <c r="G132" t="str">
        <f>HYPERLINK("http://exon.niaid.nih.gov/transcriptome/S_calcitrans/S1/links/cds/XM_013263089_1-cds.txt","XM_013263089_1")</f>
        <v>XM_013263089_1</v>
      </c>
      <c r="H132">
        <v>762</v>
      </c>
      <c r="I132" t="s">
        <v>1482</v>
      </c>
      <c r="J132" s="30" t="s">
        <v>236</v>
      </c>
      <c r="K132" s="30" t="s">
        <v>91</v>
      </c>
      <c r="L132" s="31" t="s">
        <v>1483</v>
      </c>
      <c r="M132" s="30">
        <v>1790713</v>
      </c>
      <c r="N132" s="30">
        <v>1791474</v>
      </c>
      <c r="O132" s="30" t="s">
        <v>238</v>
      </c>
      <c r="P132" s="30">
        <v>1</v>
      </c>
      <c r="Q132" s="31" t="s">
        <v>1484</v>
      </c>
      <c r="R132" s="32" t="str">
        <f>HYPERLINK("http://exon.niaid.nih.gov/transcriptome/S_calcitrans/S1/links/Sigp/XP_013118543.1-SigP.txt","CYT")</f>
        <v>CYT</v>
      </c>
      <c r="S132" t="s">
        <v>242</v>
      </c>
      <c r="T132">
        <v>29.062000000000001</v>
      </c>
      <c r="U132">
        <v>8.1999999999999993</v>
      </c>
      <c r="V132" t="s">
        <v>242</v>
      </c>
      <c r="W132" t="s">
        <v>242</v>
      </c>
      <c r="X132" t="s">
        <v>1485</v>
      </c>
      <c r="Y132" s="32">
        <v>0</v>
      </c>
      <c r="Z132" t="s">
        <v>242</v>
      </c>
      <c r="AA132" t="s">
        <v>242</v>
      </c>
      <c r="AB132" t="s">
        <v>242</v>
      </c>
      <c r="AC132" t="s">
        <v>242</v>
      </c>
      <c r="AD132" t="s">
        <v>242</v>
      </c>
      <c r="AE132" s="32" t="str">
        <f>HYPERLINK("http://exon.niaid.nih.gov/transcriptome/S_calcitrans/S1/links/netoglyc/XP_013118543.1-netoglyc.txt","0")</f>
        <v>0</v>
      </c>
      <c r="AF132">
        <v>11.1</v>
      </c>
      <c r="AG132">
        <v>4.3</v>
      </c>
      <c r="AH132">
        <v>3.2</v>
      </c>
      <c r="AI132" t="s">
        <v>243</v>
      </c>
      <c r="AJ132" t="s">
        <v>242</v>
      </c>
      <c r="AK132">
        <v>140.18042886109998</v>
      </c>
      <c r="AL132" s="33">
        <v>4498</v>
      </c>
      <c r="AM132">
        <v>1</v>
      </c>
      <c r="AN132" s="30">
        <f t="shared" si="83"/>
        <v>1</v>
      </c>
      <c r="AO132" s="30" t="s">
        <v>244</v>
      </c>
      <c r="AP132">
        <v>120</v>
      </c>
      <c r="AQ132" s="34">
        <v>4.660991521073799E-4</v>
      </c>
      <c r="AR132" s="35">
        <v>52.795767845599194</v>
      </c>
      <c r="AS132" t="s">
        <v>1486</v>
      </c>
      <c r="AT132" s="36" t="s">
        <v>1487</v>
      </c>
      <c r="AU132" t="s">
        <v>1476</v>
      </c>
      <c r="AV132" t="str">
        <f>HYPERLINK("http://exon.niaid.nih.gov/transcriptome/S_calcitrans/S1/links/REFSEQ-INVERTEBRATE/XP_013118543.1-REFSEQ-INVERTEBRATE.txt","REFSEQ-INVERTEBRATE")</f>
        <v>REFSEQ-INVERTEBRATE</v>
      </c>
      <c r="AW132">
        <v>0</v>
      </c>
      <c r="AX132">
        <v>100</v>
      </c>
      <c r="AY132" s="33"/>
      <c r="BG132" s="31"/>
      <c r="BJ132" s="33"/>
      <c r="BK132" s="33"/>
      <c r="BL132" s="33" t="str">
        <f>HYPERLINK("http://exon.niaid.nih.gov/transcriptome/S_calcitrans/S1/links/NR-LIGHT/XP_013118543.1-NR-LIGHT.txt","rhythmically expressed gene 2 protein")</f>
        <v>rhythmically expressed gene 2 protein</v>
      </c>
      <c r="BM132" t="str">
        <f>HYPERLINK("http://www.ncbi.nlm.nih.gov/sutils/blink.cgi?pid=557762588","1E-103")</f>
        <v>1E-103</v>
      </c>
      <c r="BN132" t="str">
        <f>HYPERLINK("http://www.ncbi.nlm.nih.gov/protein/557762588","gi|557762588")</f>
        <v>gi|557762588</v>
      </c>
      <c r="BO132">
        <v>70</v>
      </c>
      <c r="BP132">
        <v>83</v>
      </c>
      <c r="BQ132">
        <v>98</v>
      </c>
      <c r="BR132" t="s">
        <v>251</v>
      </c>
      <c r="BS132" s="33" t="str">
        <f>HYPERLINK("http://exon.niaid.nih.gov/transcriptome/S_calcitrans/S1/links/SWISSP/XP_013118543.1-SWISSP.txt","Rhythmically expressed gene 2 protein")</f>
        <v>Rhythmically expressed gene 2 protein</v>
      </c>
      <c r="BT132" t="str">
        <f>HYPERLINK("http://www.uniprot.org/uniprot/Q94915","3E-036")</f>
        <v>3E-036</v>
      </c>
      <c r="BU132" t="str">
        <f>HYPERLINK("http://www.uniprot.org/uniprot/Q94915#expression","Q94915")</f>
        <v>Q94915</v>
      </c>
      <c r="BV132">
        <v>36</v>
      </c>
      <c r="BW132">
        <v>54</v>
      </c>
      <c r="BX132">
        <v>85</v>
      </c>
      <c r="BY132" t="s">
        <v>304</v>
      </c>
      <c r="BZ132" s="33" t="str">
        <f>HYPERLINK("http://exon.niaid.nih.gov/transcriptome/S_calcitrans/S1/links/REFSEQ-INVERTEBRATE/XP_013118543.1-REFSEQ-INVERTEBRATE.txt","rhythmically expressed gene 2 protein")</f>
        <v>rhythmically expressed gene 2 protein</v>
      </c>
      <c r="CA132" t="str">
        <f>HYPERLINK("http://www.ncbi.nlm.nih.gov/sutils/blink.cgi?pid=907613334","1E-146")</f>
        <v>1E-146</v>
      </c>
      <c r="CB132" t="str">
        <f>HYPERLINK("http://www.ncbi.nlm.nih.gov/protein/907613334","gi|907613334")</f>
        <v>gi|907613334</v>
      </c>
      <c r="CC132">
        <v>100</v>
      </c>
      <c r="CD132">
        <v>100</v>
      </c>
      <c r="CE132">
        <v>100</v>
      </c>
      <c r="CF132" t="s">
        <v>253</v>
      </c>
      <c r="CG132" s="33" t="str">
        <f>HYPERLINK("http://exon.niaid.nih.gov/transcriptome/S_calcitrans/S1/links/DIPTERA/XP_013118543.1-DIPTERA.txt","rhythmically expressed gene 2 protein")</f>
        <v>rhythmically expressed gene 2 protein</v>
      </c>
      <c r="CH132" t="str">
        <f>HYPERLINK("http://www.ncbi.nlm.nih.gov/sutils/blink.cgi?pid=907613334","1E-146")</f>
        <v>1E-146</v>
      </c>
      <c r="CI132" t="str">
        <f>HYPERLINK("http://www.ncbi.nlm.nih.gov/protein/907613334","gi|907613334")</f>
        <v>gi|907613334</v>
      </c>
      <c r="CJ132">
        <v>100</v>
      </c>
      <c r="CK132">
        <v>100</v>
      </c>
      <c r="CL132">
        <v>100</v>
      </c>
      <c r="CM132" t="s">
        <v>253</v>
      </c>
      <c r="CN132" s="33" t="s">
        <v>242</v>
      </c>
      <c r="CO132" t="s">
        <v>242</v>
      </c>
      <c r="CP132" t="s">
        <v>242</v>
      </c>
      <c r="CQ132" t="s">
        <v>242</v>
      </c>
      <c r="CR132" t="s">
        <v>242</v>
      </c>
      <c r="CS132" t="s">
        <v>242</v>
      </c>
      <c r="CT132" t="s">
        <v>242</v>
      </c>
      <c r="CU132" s="33" t="s">
        <v>1488</v>
      </c>
      <c r="CV132">
        <f>HYPERLINK("http://exon.niaid.nih.gov/transcriptome/S_calcitrans/S1/links/GO/XP_013118543.1-GO.txt",3E-59)</f>
        <v>3.0000000000000001E-59</v>
      </c>
      <c r="CW132" t="str">
        <f>HYPERLINK("http://amigo.geneontology.org/cgi-bin/amigo/term_details?term=GO:0016787","GO:0016787")</f>
        <v>GO:0016787</v>
      </c>
      <c r="CX132" t="s">
        <v>1489</v>
      </c>
      <c r="CY132" t="s">
        <v>1490</v>
      </c>
      <c r="CZ132" t="s">
        <v>242</v>
      </c>
      <c r="DA132" t="str">
        <f>HYPERLINK("http://www.genome.jp/dbget-bin/www_bfind_sub?mode=bfind&amp;max_hit=1000&amp;dbkey=kegg&amp;keywords=EC:3","EC:3")</f>
        <v>EC:3</v>
      </c>
      <c r="DC132" t="s">
        <v>1491</v>
      </c>
      <c r="DD132" s="37">
        <v>9.9999999999999994E-30</v>
      </c>
      <c r="DE132" s="33" t="str">
        <f>HYPERLINK("http://exon.niaid.nih.gov/transcriptome/S_calcitrans/S1/links/CDD/XP_013118543.1-CDD.txt","Rhythmically_ex")</f>
        <v>Rhythmically_ex</v>
      </c>
      <c r="DF132" t="str">
        <f>HYPERLINK("http://www.ncbi.nlm.nih.gov/Structure/cdd/cddsrv.cgi?uid=TIGR02252&amp;version=v4.0","4E-052")</f>
        <v>4E-052</v>
      </c>
      <c r="DG132" t="s">
        <v>1492</v>
      </c>
      <c r="DH132" s="33" t="str">
        <f>HYPERLINK("http://exon.niaid.nih.gov/transcriptome/S_calcitrans/S1/links/KOG/XP_013118543.1-KOG.txt","Predicted hydrolase (HAD superfamily)")</f>
        <v>Predicted hydrolase (HAD superfamily)</v>
      </c>
      <c r="DI132" t="str">
        <f>HYPERLINK("http://www.ncbi.nlm.nih.gov/Structure/cdd/cddsrv.cgi?uid=KOG3085","2E-046")</f>
        <v>2E-046</v>
      </c>
      <c r="DJ132" t="s">
        <v>342</v>
      </c>
      <c r="DK132" t="str">
        <f>HYPERLINK("http://exon.niaid.nih.gov/transcriptome/S_calcitrans/S1/links/KOG/XP_013118543.1-KOG.txt","KOG3085")</f>
        <v>KOG3085</v>
      </c>
      <c r="DL132" s="33" t="str">
        <f>HYPERLINK("http://exon.niaid.nih.gov/transcriptome/S_calcitrans/S1/links/PFAM/XP_013118543.1-PFAM.txt","HAD_2")</f>
        <v>HAD_2</v>
      </c>
      <c r="DM132" t="str">
        <f>HYPERLINK("http://pfam.sanger.ac.uk/family?acc=PF13419","4E-014")</f>
        <v>4E-014</v>
      </c>
      <c r="DN132" s="33" t="str">
        <f>HYPERLINK("http://exon.niaid.nih.gov/transcriptome/S_calcitrans/S1/links/SMART/XP_013118543.1-SMART.txt","ALAD")</f>
        <v>ALAD</v>
      </c>
      <c r="DO132" t="str">
        <f>HYPERLINK("http://smart.embl-heidelberg.de/smart/do_annotation.pl?DOMAIN=ALAD&amp;BLAST=DUMMY","0.36")</f>
        <v>0.36</v>
      </c>
      <c r="DP132" s="33"/>
      <c r="EB132" s="33">
        <f>HYPERLINK("http://exon.niaid.nih.gov/transcriptome/S_calcitrans/S1/links/cluster-b/Scalc-pep25-50SimCLU1048.txt", 1048)</f>
        <v>1048</v>
      </c>
      <c r="EC132">
        <f>HYPERLINK("http://exon.niaid.nih.gov/transcriptome/S_calcitrans/S1/links/cluster-b/Scalc-pep25-50SimCLTL1048.txt", 3)</f>
        <v>3</v>
      </c>
      <c r="ED132" s="33">
        <f>HYPERLINK("http://exon.niaid.nih.gov/transcriptome/S_calcitrans/S1/links/cluster-b/Scalc-pep30-50SimCLU1239.txt", 1239)</f>
        <v>1239</v>
      </c>
      <c r="EE132">
        <f>HYPERLINK("http://exon.niaid.nih.gov/transcriptome/S_calcitrans/S1/links/cluster-b/Scalc-pep30-50SimCLTL1239.txt", 3)</f>
        <v>3</v>
      </c>
      <c r="EF132" s="33">
        <f>HYPERLINK("http://exon.niaid.nih.gov/transcriptome/S_calcitrans/S1/links/cluster-b/Scalc-pep35-50SimCLU2003.txt", 2003)</f>
        <v>2003</v>
      </c>
      <c r="EG132">
        <f>HYPERLINK("http://exon.niaid.nih.gov/transcriptome/S_calcitrans/S1/links/cluster-b/Scalc-pep35-50SimCLTL2003.txt", 2)</f>
        <v>2</v>
      </c>
      <c r="EH132" s="33">
        <f>HYPERLINK("http://exon.niaid.nih.gov/transcriptome/S_calcitrans/S1/links/cluster-b/Scalc-pep40-50SimCLU2066.txt", 2066)</f>
        <v>2066</v>
      </c>
      <c r="EI132">
        <f>HYPERLINK("http://exon.niaid.nih.gov/transcriptome/S_calcitrans/S1/links/cluster-b/Scalc-pep40-50SimCLTL2066.txt", 2)</f>
        <v>2</v>
      </c>
      <c r="EJ132" s="33">
        <f>HYPERLINK("http://exon.niaid.nih.gov/transcriptome/S_calcitrans/S1/links/cluster-b/Scalc-pep45-50SimCLU2139.txt", 2139)</f>
        <v>2139</v>
      </c>
      <c r="EK132">
        <f>HYPERLINK("http://exon.niaid.nih.gov/transcriptome/S_calcitrans/S1/links/cluster-b/Scalc-pep45-50SimCLTL2139.txt", 2)</f>
        <v>2</v>
      </c>
      <c r="EL132" s="33">
        <v>4346</v>
      </c>
      <c r="EM132">
        <v>1</v>
      </c>
      <c r="EN132" s="33">
        <v>4519</v>
      </c>
      <c r="EO132">
        <v>1</v>
      </c>
      <c r="EP132" s="33">
        <v>4635</v>
      </c>
      <c r="EQ132">
        <v>1</v>
      </c>
      <c r="ER132" s="33">
        <v>4723</v>
      </c>
      <c r="ES132">
        <v>1</v>
      </c>
      <c r="ET132" s="33">
        <v>4758</v>
      </c>
      <c r="EU132">
        <v>1</v>
      </c>
      <c r="EV132" s="33">
        <v>4762</v>
      </c>
      <c r="EW132">
        <v>1</v>
      </c>
      <c r="EX132" s="33">
        <v>4759</v>
      </c>
      <c r="EY132">
        <v>1</v>
      </c>
      <c r="EZ132" s="33">
        <v>4691</v>
      </c>
      <c r="FA132">
        <v>1</v>
      </c>
      <c r="FB132" s="33">
        <v>4611</v>
      </c>
      <c r="FC132">
        <v>1</v>
      </c>
      <c r="FD132" s="33">
        <v>4498</v>
      </c>
      <c r="FE132">
        <v>1</v>
      </c>
      <c r="FF132" t="s">
        <v>1493</v>
      </c>
      <c r="FG132">
        <v>2674</v>
      </c>
      <c r="FH132" s="38" t="str">
        <f>HYPERLINK("http://exon.niaid.nih.gov/transcriptome/S_calcitrans/S1/links/SG_male-stripped_temp-95-h10-1gap/2674-SG_male-stripped_temp-95-h10-1gap.txt","36")</f>
        <v>36</v>
      </c>
      <c r="FI132" s="39">
        <v>84.776902887139101</v>
      </c>
      <c r="FJ132" s="39">
        <v>3.5104986876640401</v>
      </c>
      <c r="FK132" s="39">
        <v>0</v>
      </c>
      <c r="FL132" s="39">
        <v>9</v>
      </c>
      <c r="FM132" s="39">
        <v>74.3055555555556</v>
      </c>
      <c r="FN132" s="38" t="str">
        <f>HYPERLINK("http://exon.niaid.nih.gov/transcriptome/S_calcitrans/S1/links/SG_female-stripped_temp-95-h10-1gap/2674-SG_female-stripped_temp-95-h10-1gap.txt","84")</f>
        <v>84</v>
      </c>
      <c r="FO132" s="39">
        <v>92.782152230971107</v>
      </c>
      <c r="FP132" s="39">
        <v>8.1929133858267704</v>
      </c>
      <c r="FQ132" s="39">
        <v>0</v>
      </c>
      <c r="FR132" s="39">
        <v>18</v>
      </c>
      <c r="FS132" s="39">
        <v>74.321428571428598</v>
      </c>
      <c r="FT132" s="38" t="str">
        <f>HYPERLINK("http://exon.niaid.nih.gov/transcriptome/S_calcitrans/S1/links/SRR694289-stripped_temp-95-h10-1gap/2674-SRR694289-stripped_temp-95-h10-1gap.txt","1")</f>
        <v>1</v>
      </c>
      <c r="FU132" s="39">
        <v>13.3858267716535</v>
      </c>
      <c r="FV132" s="39">
        <v>0.133858267716535</v>
      </c>
      <c r="FW132" s="39">
        <v>0</v>
      </c>
      <c r="FX132" s="39">
        <v>1</v>
      </c>
      <c r="FY132" s="39">
        <v>102</v>
      </c>
      <c r="FZ132" s="38" t="str">
        <f>HYPERLINK("http://exon.niaid.nih.gov/transcriptome/S_calcitrans/S1/links/SRR694925-stripped_temp-95-h10-1gap/2674-SRR694925-stripped_temp-95-h10-1gap.txt","1")</f>
        <v>1</v>
      </c>
      <c r="GA132" s="39">
        <v>13.254593175853</v>
      </c>
      <c r="GB132" s="39">
        <v>0.13254593175852999</v>
      </c>
      <c r="GC132" s="39">
        <v>0</v>
      </c>
      <c r="GD132" s="39">
        <v>1</v>
      </c>
      <c r="GE132" s="39">
        <v>101</v>
      </c>
      <c r="GF132">
        <f>1*FH132</f>
        <v>36</v>
      </c>
      <c r="GG132">
        <f>1*FN132</f>
        <v>84</v>
      </c>
      <c r="GH132">
        <f>1*FT132</f>
        <v>1</v>
      </c>
      <c r="GI132">
        <f>1*FZ132</f>
        <v>1</v>
      </c>
      <c r="GJ132">
        <f t="shared" si="93"/>
        <v>120</v>
      </c>
      <c r="GK132" s="34">
        <v>4.660991521073799E-4</v>
      </c>
      <c r="GL132">
        <v>1.5454306432856573</v>
      </c>
      <c r="GM132">
        <v>1.6398251936457771</v>
      </c>
      <c r="GN132">
        <v>7.5435811692083823E-3</v>
      </c>
      <c r="GO132">
        <v>7.7765831861429727E-3</v>
      </c>
      <c r="GP132">
        <f>MAX(GL132:GO132)</f>
        <v>1.6398251936457771</v>
      </c>
      <c r="GQ132" t="s">
        <v>1494</v>
      </c>
      <c r="GR132">
        <v>1.2052681536440588</v>
      </c>
      <c r="GS132">
        <v>1.3459130827359915</v>
      </c>
      <c r="GT132">
        <v>1.3598495736006031E-2</v>
      </c>
      <c r="GU132">
        <v>1.47232039093322E-2</v>
      </c>
      <c r="GV132">
        <f>MAX(GR132:GU132)</f>
        <v>1.3459130827359915</v>
      </c>
      <c r="GW132">
        <v>52.795767845599194</v>
      </c>
      <c r="GX132">
        <v>120</v>
      </c>
      <c r="GY132">
        <v>2</v>
      </c>
      <c r="GZ132">
        <v>122</v>
      </c>
      <c r="HA132">
        <v>27.083962619280715</v>
      </c>
      <c r="HB132">
        <v>94.916037380719288</v>
      </c>
      <c r="HC132">
        <v>318.76391663564135</v>
      </c>
      <c r="HD132">
        <v>90.958179890145345</v>
      </c>
      <c r="HE132">
        <v>409.7220965257867</v>
      </c>
      <c r="HF132">
        <v>4.2132668724086812E-91</v>
      </c>
      <c r="HG132">
        <v>27.083962619280715</v>
      </c>
      <c r="HH132">
        <v>1</v>
      </c>
      <c r="HI132">
        <v>1</v>
      </c>
      <c r="HJ132">
        <v>2</v>
      </c>
      <c r="HK132" s="37">
        <v>9.6705767815151798E-91</v>
      </c>
      <c r="HL132" s="30" t="s">
        <v>262</v>
      </c>
      <c r="HM132">
        <v>140.18042886109998</v>
      </c>
      <c r="HN132">
        <v>4.7164716941229109E-3</v>
      </c>
      <c r="HO132">
        <v>36</v>
      </c>
      <c r="HP132">
        <v>84</v>
      </c>
      <c r="HQ132">
        <v>120</v>
      </c>
      <c r="HR132">
        <v>37.51151337118425</v>
      </c>
      <c r="HS132">
        <v>82.48848662881575</v>
      </c>
      <c r="HT132">
        <v>6.0905905039379905E-2</v>
      </c>
      <c r="HU132">
        <v>2.7696867340401315E-2</v>
      </c>
      <c r="HV132">
        <v>8.8602772379781217E-2</v>
      </c>
      <c r="HW132">
        <v>0.76596101291106333</v>
      </c>
      <c r="HX132">
        <v>37.51151337118425</v>
      </c>
      <c r="HY132">
        <v>1</v>
      </c>
      <c r="HZ132" t="s">
        <v>244</v>
      </c>
      <c r="IA132">
        <v>1</v>
      </c>
      <c r="IB132">
        <v>1</v>
      </c>
      <c r="IC132" s="30" t="s">
        <v>244</v>
      </c>
      <c r="ID132">
        <v>0.93134872681784842</v>
      </c>
      <c r="IE132">
        <v>1.0324019397113764</v>
      </c>
      <c r="IF132">
        <v>1.0324019397113764</v>
      </c>
      <c r="IG132" t="str">
        <f t="shared" si="84"/>
        <v/>
      </c>
    </row>
    <row r="133" spans="1:241">
      <c r="A133" s="22" t="s">
        <v>1495</v>
      </c>
      <c r="B133" s="23"/>
      <c r="C133" s="24"/>
      <c r="D133" s="24"/>
      <c r="E133" s="24"/>
      <c r="F133" s="24"/>
      <c r="G133" s="24"/>
      <c r="H133" s="24"/>
      <c r="I133" s="24"/>
      <c r="J133" s="23"/>
      <c r="K133" s="23"/>
      <c r="L133" s="25"/>
      <c r="M133" s="23"/>
      <c r="N133" s="23"/>
      <c r="O133" s="23"/>
      <c r="P133" s="23"/>
      <c r="Q133" s="25"/>
      <c r="R133" s="23"/>
      <c r="S133" s="24"/>
      <c r="T133" s="24"/>
      <c r="U133" s="24"/>
      <c r="V133" s="24"/>
      <c r="W133" s="24"/>
      <c r="X133" s="24"/>
      <c r="Y133" s="23"/>
      <c r="Z133" s="24"/>
      <c r="AA133" s="24"/>
      <c r="AB133" s="24"/>
      <c r="AC133" s="24"/>
      <c r="AD133" s="24"/>
      <c r="AE133" s="23"/>
      <c r="AF133" s="24"/>
      <c r="AG133" s="24"/>
      <c r="AH133" s="24"/>
      <c r="AI133" s="24"/>
      <c r="AJ133" s="24"/>
      <c r="AK133" s="24"/>
      <c r="AL133" s="24"/>
      <c r="AM133" s="24"/>
      <c r="AN133" s="23" t="str">
        <f t="shared" ref="AN133:AN181" si="149">IF(C133*1&gt;0,1,"")</f>
        <v/>
      </c>
      <c r="AO133" s="23" t="s">
        <v>244</v>
      </c>
      <c r="AP133" s="24" t="s">
        <v>244</v>
      </c>
      <c r="AQ133" s="26"/>
      <c r="AR133" s="27"/>
      <c r="AS133" s="24"/>
      <c r="AT133" s="24"/>
      <c r="AU133" s="24"/>
      <c r="AV133" s="24"/>
      <c r="AW133" s="24"/>
      <c r="AX133" s="24"/>
      <c r="AY133" s="24"/>
      <c r="AZ133" s="24"/>
      <c r="BA133" s="24"/>
      <c r="BB133" s="24"/>
      <c r="BC133" s="24"/>
      <c r="BD133" s="24"/>
      <c r="BE133" s="24"/>
      <c r="BF133" s="24"/>
      <c r="BG133" s="25"/>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8"/>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9"/>
      <c r="FI133" s="29"/>
      <c r="FJ133" s="29"/>
      <c r="FK133" s="29"/>
      <c r="FL133" s="29"/>
      <c r="FM133" s="29"/>
      <c r="FN133" s="29"/>
      <c r="FO133" s="29"/>
      <c r="FP133" s="29"/>
      <c r="FQ133" s="29"/>
      <c r="FR133" s="29"/>
      <c r="FS133" s="29"/>
      <c r="FT133" s="29"/>
      <c r="FU133" s="29"/>
      <c r="FV133" s="29"/>
      <c r="FW133" s="29"/>
      <c r="FX133" s="29"/>
      <c r="FY133" s="29"/>
      <c r="FZ133" s="29"/>
      <c r="GA133" s="29"/>
      <c r="GB133" s="29"/>
      <c r="GC133" s="29"/>
      <c r="GD133" s="29"/>
      <c r="GE133" s="29"/>
      <c r="GF133" s="24"/>
      <c r="GG133" s="24"/>
      <c r="GH133" s="24"/>
      <c r="GI133" s="24"/>
      <c r="GJ133" s="24" t="str">
        <f t="shared" si="93"/>
        <v/>
      </c>
      <c r="GK133" s="26"/>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3"/>
      <c r="HM133" s="24"/>
      <c r="HN133" s="24"/>
      <c r="HO133" s="24"/>
      <c r="HP133" s="24"/>
      <c r="HQ133" s="24"/>
      <c r="HR133" s="24"/>
      <c r="HS133" s="24"/>
      <c r="HT133" s="24"/>
      <c r="HU133" s="24"/>
      <c r="HV133" s="24"/>
      <c r="HW133" s="24"/>
      <c r="HX133" s="24"/>
      <c r="HY133" s="24"/>
      <c r="HZ133" s="24"/>
      <c r="IA133" s="24"/>
      <c r="IB133" s="24"/>
      <c r="IC133" s="23"/>
      <c r="ID133" s="24"/>
      <c r="IE133" s="24"/>
      <c r="IF133" s="24"/>
      <c r="IG133" s="24" t="str">
        <f t="shared" si="84"/>
        <v/>
      </c>
    </row>
    <row r="134" spans="1:241">
      <c r="A134" t="str">
        <f>HYPERLINK("http://exon.niaid.nih.gov/transcriptome/S_calcitrans/S1/links/pep/XP_013100794.1-pep.txt","XP_013100794.1")</f>
        <v>XP_013100794.1</v>
      </c>
      <c r="B134" s="30" t="s">
        <v>232</v>
      </c>
      <c r="C134">
        <v>143</v>
      </c>
      <c r="D134" t="s">
        <v>1496</v>
      </c>
      <c r="E134">
        <v>1</v>
      </c>
      <c r="F134" t="s">
        <v>1497</v>
      </c>
      <c r="G134" t="str">
        <f>HYPERLINK("http://exon.niaid.nih.gov/transcriptome/S_calcitrans/S1/links/cds/XM_013245340_1-cds.txt","XM_013245340_1")</f>
        <v>XM_013245340_1</v>
      </c>
      <c r="H134">
        <v>432</v>
      </c>
      <c r="I134" t="s">
        <v>1498</v>
      </c>
      <c r="J134" s="30" t="s">
        <v>236</v>
      </c>
      <c r="K134" s="30" t="s">
        <v>91</v>
      </c>
      <c r="L134" s="31" t="s">
        <v>1499</v>
      </c>
      <c r="M134" s="30">
        <v>979612</v>
      </c>
      <c r="N134" s="30">
        <v>980358</v>
      </c>
      <c r="O134" s="30" t="s">
        <v>238</v>
      </c>
      <c r="P134" s="30">
        <v>2</v>
      </c>
      <c r="Q134" s="31" t="s">
        <v>1500</v>
      </c>
      <c r="R134" s="32" t="str">
        <f>HYPERLINK("http://exon.niaid.nih.gov/transcriptome/S_calcitrans/S1/links/Sigp/XP_013100794.1-SigP.txt","CYT")</f>
        <v>CYT</v>
      </c>
      <c r="S134" t="s">
        <v>242</v>
      </c>
      <c r="T134">
        <v>16.87</v>
      </c>
      <c r="U134">
        <v>6.44</v>
      </c>
      <c r="V134" t="s">
        <v>242</v>
      </c>
      <c r="W134" t="s">
        <v>242</v>
      </c>
      <c r="X134" t="s">
        <v>720</v>
      </c>
      <c r="Y134" s="32">
        <v>0</v>
      </c>
      <c r="Z134" t="s">
        <v>242</v>
      </c>
      <c r="AA134" t="s">
        <v>242</v>
      </c>
      <c r="AB134" t="s">
        <v>242</v>
      </c>
      <c r="AC134" t="s">
        <v>242</v>
      </c>
      <c r="AD134" t="s">
        <v>242</v>
      </c>
      <c r="AE134" s="32" t="str">
        <f>HYPERLINK("http://exon.niaid.nih.gov/transcriptome/S_calcitrans/S1/links/netoglyc/XP_013100794.1-netoglyc.txt","1")</f>
        <v>1</v>
      </c>
      <c r="AF134">
        <v>10.5</v>
      </c>
      <c r="AG134">
        <v>2.1</v>
      </c>
      <c r="AH134">
        <v>5.6</v>
      </c>
      <c r="AI134" t="s">
        <v>243</v>
      </c>
      <c r="AJ134" t="s">
        <v>242</v>
      </c>
      <c r="AK134">
        <v>104.78487057367224</v>
      </c>
      <c r="AL134" s="33">
        <f>HYPERLINK("http://exon.niaid.nih.gov/transcriptome/S_calcitrans/S1/links/cluster-b/Scalc-pep95-50SimCLU561.txt", 561)</f>
        <v>561</v>
      </c>
      <c r="AM134">
        <f>HYPERLINK("http://exon.niaid.nih.gov/transcriptome/S_calcitrans/S1/links/cluster-b/Scalc-pep95-50SimCLTL561.txt", 4)</f>
        <v>4</v>
      </c>
      <c r="AN134" s="30">
        <f t="shared" si="149"/>
        <v>1</v>
      </c>
      <c r="AO134" s="30" t="s">
        <v>244</v>
      </c>
      <c r="AP134">
        <v>897</v>
      </c>
      <c r="AQ134" s="34">
        <v>3.4840911620026651E-3</v>
      </c>
      <c r="AR134" s="35">
        <v>51.735016730102195</v>
      </c>
      <c r="AS134" t="s">
        <v>1501</v>
      </c>
      <c r="AT134" s="36" t="s">
        <v>1502</v>
      </c>
      <c r="AU134" t="s">
        <v>1503</v>
      </c>
      <c r="AV134" t="str">
        <f>HYPERLINK("http://exon.niaid.nih.gov/transcriptome/S_calcitrans/S1/links/NR-LIGHT/XP_013100794.1-NR-LIGHT.txt","NR-LIGHT")</f>
        <v>NR-LIGHT</v>
      </c>
      <c r="AW134" s="37">
        <v>4E-70</v>
      </c>
      <c r="AX134">
        <v>100</v>
      </c>
      <c r="AY134" s="33"/>
      <c r="BG134" s="31"/>
      <c r="BJ134" s="33"/>
      <c r="BK134" s="33"/>
      <c r="BL134" s="33" t="str">
        <f>HYPERLINK("http://exon.niaid.nih.gov/transcriptome/S_calcitrans/S1/links/NR-LIGHT/XP_013100794.1-NR-LIGHT.txt","transcription factor MafK isoform X1")</f>
        <v>transcription factor MafK isoform X1</v>
      </c>
      <c r="BM134" t="str">
        <f>HYPERLINK("http://www.ncbi.nlm.nih.gov/sutils/blink.cgi?pid=755864273","4E-070")</f>
        <v>4E-070</v>
      </c>
      <c r="BN134" t="str">
        <f>HYPERLINK("http://www.ncbi.nlm.nih.gov/protein/755864273","gi|755864273")</f>
        <v>gi|755864273</v>
      </c>
      <c r="BO134">
        <v>92</v>
      </c>
      <c r="BP134">
        <v>93</v>
      </c>
      <c r="BQ134">
        <v>100</v>
      </c>
      <c r="BR134" t="s">
        <v>251</v>
      </c>
      <c r="BS134" s="33" t="str">
        <f>HYPERLINK("http://exon.niaid.nih.gov/transcriptome/S_calcitrans/S1/links/SWISSP/XP_013100794.1-SWISSP.txt","Transcription factor MafG")</f>
        <v>Transcription factor MafG</v>
      </c>
      <c r="BT134" t="str">
        <f>HYPERLINK("http://www.uniprot.org/uniprot/Q76MX4","2E-023")</f>
        <v>2E-023</v>
      </c>
      <c r="BU134" t="str">
        <f>HYPERLINK("http://www.uniprot.org/uniprot/Q76MX4#expression","Q76MX4")</f>
        <v>Q76MX4</v>
      </c>
      <c r="BV134">
        <v>46</v>
      </c>
      <c r="BW134">
        <v>68</v>
      </c>
      <c r="BX134">
        <v>63</v>
      </c>
      <c r="BY134" t="s">
        <v>1216</v>
      </c>
      <c r="BZ134" s="33" t="str">
        <f>HYPERLINK("http://exon.niaid.nih.gov/transcriptome/S_calcitrans/S1/links/REFSEQ-INVERTEBRATE/XP_013100794.1-REFSEQ-INVERTEBRATE.txt","transcription factor MafK isoform X1")</f>
        <v>transcription factor MafK isoform X1</v>
      </c>
      <c r="CA134" t="str">
        <f>HYPERLINK("http://www.ncbi.nlm.nih.gov/sutils/blink.cgi?pid=907643392","5E-079")</f>
        <v>5E-079</v>
      </c>
      <c r="CB134" t="str">
        <f>HYPERLINK("http://www.ncbi.nlm.nih.gov/protein/907643392","gi|907643392")</f>
        <v>gi|907643392</v>
      </c>
      <c r="CC134">
        <v>100</v>
      </c>
      <c r="CD134">
        <v>100</v>
      </c>
      <c r="CE134">
        <v>100</v>
      </c>
      <c r="CF134" t="s">
        <v>253</v>
      </c>
      <c r="CG134" s="33" t="str">
        <f>HYPERLINK("http://exon.niaid.nih.gov/transcriptome/S_calcitrans/S1/links/DIPTERA/XP_013100794.1-DIPTERA.txt","transcription factor MafK isoform X1")</f>
        <v>transcription factor MafK isoform X1</v>
      </c>
      <c r="CH134" t="str">
        <f>HYPERLINK("http://www.ncbi.nlm.nih.gov/sutils/blink.cgi?pid=907643389","3E-079")</f>
        <v>3E-079</v>
      </c>
      <c r="CI134" t="str">
        <f>HYPERLINK("http://www.ncbi.nlm.nih.gov/protein/907643389","gi|907643389")</f>
        <v>gi|907643389</v>
      </c>
      <c r="CJ134">
        <v>100</v>
      </c>
      <c r="CK134">
        <v>100</v>
      </c>
      <c r="CL134">
        <v>100</v>
      </c>
      <c r="CM134" t="s">
        <v>253</v>
      </c>
      <c r="CN134" s="33" t="s">
        <v>242</v>
      </c>
      <c r="CO134" t="s">
        <v>242</v>
      </c>
      <c r="CP134" t="s">
        <v>242</v>
      </c>
      <c r="CQ134" t="s">
        <v>242</v>
      </c>
      <c r="CR134" t="s">
        <v>242</v>
      </c>
      <c r="CS134" t="s">
        <v>242</v>
      </c>
      <c r="CT134" t="s">
        <v>242</v>
      </c>
      <c r="CU134" s="33" t="s">
        <v>1504</v>
      </c>
      <c r="CV134">
        <f>HYPERLINK("http://exon.niaid.nih.gov/transcriptome/S_calcitrans/S1/links/GO/XP_013100794.1-GO.txt",3E-56)</f>
        <v>2.9999999999999999E-56</v>
      </c>
      <c r="CW134" t="str">
        <f>HYPERLINK("http://amigo.geneontology.org/cgi-bin/amigo/term_details?term=GO:0003700","GO:0003700")</f>
        <v>GO:0003700</v>
      </c>
      <c r="CX134" t="s">
        <v>1505</v>
      </c>
      <c r="CY134" t="s">
        <v>1506</v>
      </c>
      <c r="CZ134" t="s">
        <v>1507</v>
      </c>
      <c r="DA134" t="s">
        <v>242</v>
      </c>
      <c r="DC134" t="s">
        <v>1508</v>
      </c>
      <c r="DD134" s="37">
        <v>2.9999999999999999E-56</v>
      </c>
      <c r="DE134" s="33" t="str">
        <f>HYPERLINK("http://exon.niaid.nih.gov/transcriptome/S_calcitrans/S1/links/CDD/XP_013100794.1-CDD.txt","bZIP_Maf_small")</f>
        <v>bZIP_Maf_small</v>
      </c>
      <c r="DF134" t="str">
        <f>HYPERLINK("http://www.ncbi.nlm.nih.gov/Structure/cdd/cddsrv.cgi?uid=cd14717&amp;version=v4.0","5E-029")</f>
        <v>5E-029</v>
      </c>
      <c r="DG134" t="s">
        <v>1509</v>
      </c>
      <c r="DH134" s="33" t="str">
        <f>HYPERLINK("http://exon.niaid.nih.gov/transcriptome/S_calcitrans/S1/links/KOG/XP_013100794.1-KOG.txt","bZIP transcription factor MafK")</f>
        <v>bZIP transcription factor MafK</v>
      </c>
      <c r="DI134" t="str">
        <f>HYPERLINK("http://www.ncbi.nlm.nih.gov/Structure/cdd/cddsrv.cgi?uid=KOG4196","3E-049")</f>
        <v>3E-049</v>
      </c>
      <c r="DJ134" t="s">
        <v>392</v>
      </c>
      <c r="DK134" t="str">
        <f>HYPERLINK("http://exon.niaid.nih.gov/transcriptome/S_calcitrans/S1/links/KOG/XP_013100794.1-KOG.txt","KOG4196")</f>
        <v>KOG4196</v>
      </c>
      <c r="DL134" s="33" t="str">
        <f>HYPERLINK("http://exon.niaid.nih.gov/transcriptome/S_calcitrans/S1/links/PFAM/XP_013100794.1-PFAM.txt","bZIP_Maf")</f>
        <v>bZIP_Maf</v>
      </c>
      <c r="DM134" t="str">
        <f>HYPERLINK("http://pfam.sanger.ac.uk/family?acc=PF03131","1E-026")</f>
        <v>1E-026</v>
      </c>
      <c r="DN134" s="33" t="str">
        <f>HYPERLINK("http://exon.niaid.nih.gov/transcriptome/S_calcitrans/S1/links/SMART/XP_013100794.1-SMART.txt","BRLZ")</f>
        <v>BRLZ</v>
      </c>
      <c r="DO134" t="str">
        <f>HYPERLINK("http://smart.embl-heidelberg.de/smart/do_annotation.pl?DOMAIN=BRLZ&amp;BLAST=DUMMY","4E-008")</f>
        <v>4E-008</v>
      </c>
      <c r="DP134" s="33"/>
      <c r="EB134" s="33">
        <f>HYPERLINK("http://exon.niaid.nih.gov/transcriptome/S_calcitrans/S1/links/cluster-b/Scalc-pep25-50SimCLU480.txt", 480)</f>
        <v>480</v>
      </c>
      <c r="EC134">
        <f>HYPERLINK("http://exon.niaid.nih.gov/transcriptome/S_calcitrans/S1/links/cluster-b/Scalc-pep25-50SimCLTL480.txt", 6)</f>
        <v>6</v>
      </c>
      <c r="ED134" s="33">
        <f>HYPERLINK("http://exon.niaid.nih.gov/transcriptome/S_calcitrans/S1/links/cluster-b/Scalc-pep30-50SimCLU553.txt", 553)</f>
        <v>553</v>
      </c>
      <c r="EE134">
        <f>HYPERLINK("http://exon.niaid.nih.gov/transcriptome/S_calcitrans/S1/links/cluster-b/Scalc-pep30-50SimCLTL553.txt", 6)</f>
        <v>6</v>
      </c>
      <c r="EF134" s="33">
        <f>HYPERLINK("http://exon.niaid.nih.gov/transcriptome/S_calcitrans/S1/links/cluster-b/Scalc-pep35-50SimCLU566.txt", 566)</f>
        <v>566</v>
      </c>
      <c r="EG134">
        <f>HYPERLINK("http://exon.niaid.nih.gov/transcriptome/S_calcitrans/S1/links/cluster-b/Scalc-pep35-50SimCLTL566.txt", 6)</f>
        <v>6</v>
      </c>
      <c r="EH134" s="33">
        <f>HYPERLINK("http://exon.niaid.nih.gov/transcriptome/S_calcitrans/S1/links/cluster-b/Scalc-pep40-50SimCLU548.txt", 548)</f>
        <v>548</v>
      </c>
      <c r="EI134">
        <f>HYPERLINK("http://exon.niaid.nih.gov/transcriptome/S_calcitrans/S1/links/cluster-b/Scalc-pep40-50SimCLTL548.txt", 6)</f>
        <v>6</v>
      </c>
      <c r="EJ134" s="33">
        <f>HYPERLINK("http://exon.niaid.nih.gov/transcriptome/S_calcitrans/S1/links/cluster-b/Scalc-pep45-50SimCLU532.txt", 532)</f>
        <v>532</v>
      </c>
      <c r="EK134">
        <f>HYPERLINK("http://exon.niaid.nih.gov/transcriptome/S_calcitrans/S1/links/cluster-b/Scalc-pep45-50SimCLTL532.txt", 6)</f>
        <v>6</v>
      </c>
      <c r="EL134" s="33">
        <f>HYPERLINK("http://exon.niaid.nih.gov/transcriptome/S_calcitrans/S1/links/cluster-b/Scalc-pep50-50SimCLU524.txt", 524)</f>
        <v>524</v>
      </c>
      <c r="EM134">
        <f>HYPERLINK("http://exon.niaid.nih.gov/transcriptome/S_calcitrans/S1/links/cluster-b/Scalc-pep50-50SimCLTL524.txt", 6)</f>
        <v>6</v>
      </c>
      <c r="EN134" s="33">
        <f>HYPERLINK("http://exon.niaid.nih.gov/transcriptome/S_calcitrans/S1/links/cluster-b/Scalc-pep55-50SimCLU476.txt", 476)</f>
        <v>476</v>
      </c>
      <c r="EO134">
        <f>HYPERLINK("http://exon.niaid.nih.gov/transcriptome/S_calcitrans/S1/links/cluster-b/Scalc-pep55-50SimCLTL476.txt", 6)</f>
        <v>6</v>
      </c>
      <c r="EP134" s="33">
        <f>HYPERLINK("http://exon.niaid.nih.gov/transcriptome/S_calcitrans/S1/links/cluster-b/Scalc-pep60-50SimCLU451.txt", 451)</f>
        <v>451</v>
      </c>
      <c r="EQ134">
        <f>HYPERLINK("http://exon.niaid.nih.gov/transcriptome/S_calcitrans/S1/links/cluster-b/Scalc-pep60-50SimCLTL451.txt", 6)</f>
        <v>6</v>
      </c>
      <c r="ER134" s="33">
        <f>HYPERLINK("http://exon.niaid.nih.gov/transcriptome/S_calcitrans/S1/links/cluster-b/Scalc-pep65-50SimCLU410.txt", 410)</f>
        <v>410</v>
      </c>
      <c r="ES134">
        <f>HYPERLINK("http://exon.niaid.nih.gov/transcriptome/S_calcitrans/S1/links/cluster-b/Scalc-pep65-50SimCLTL410.txt", 6)</f>
        <v>6</v>
      </c>
      <c r="ET134" s="33">
        <f>HYPERLINK("http://exon.niaid.nih.gov/transcriptome/S_calcitrans/S1/links/cluster-b/Scalc-pep70-50SimCLU367.txt", 367)</f>
        <v>367</v>
      </c>
      <c r="EU134">
        <f>HYPERLINK("http://exon.niaid.nih.gov/transcriptome/S_calcitrans/S1/links/cluster-b/Scalc-pep70-50SimCLTL367.txt", 6)</f>
        <v>6</v>
      </c>
      <c r="EV134" s="33">
        <f>HYPERLINK("http://exon.niaid.nih.gov/transcriptome/S_calcitrans/S1/links/cluster-b/Scalc-pep75-50SimCLU335.txt", 335)</f>
        <v>335</v>
      </c>
      <c r="EW134">
        <f>HYPERLINK("http://exon.niaid.nih.gov/transcriptome/S_calcitrans/S1/links/cluster-b/Scalc-pep75-50SimCLTL335.txt", 6)</f>
        <v>6</v>
      </c>
      <c r="EX134" s="33">
        <f>HYPERLINK("http://exon.niaid.nih.gov/transcriptome/S_calcitrans/S1/links/cluster-b/Scalc-pep80-50SimCLU304.txt", 304)</f>
        <v>304</v>
      </c>
      <c r="EY134">
        <f>HYPERLINK("http://exon.niaid.nih.gov/transcriptome/S_calcitrans/S1/links/cluster-b/Scalc-pep80-50SimCLTL304.txt", 6)</f>
        <v>6</v>
      </c>
      <c r="EZ134" s="33">
        <f>HYPERLINK("http://exon.niaid.nih.gov/transcriptome/S_calcitrans/S1/links/cluster-b/Scalc-pep85-50SimCLU274.txt", 274)</f>
        <v>274</v>
      </c>
      <c r="FA134">
        <f>HYPERLINK("http://exon.niaid.nih.gov/transcriptome/S_calcitrans/S1/links/cluster-b/Scalc-pep85-50SimCLTL274.txt", 6)</f>
        <v>6</v>
      </c>
      <c r="FB134" s="33">
        <f>HYPERLINK("http://exon.niaid.nih.gov/transcriptome/S_calcitrans/S1/links/cluster-b/Scalc-pep90-50SimCLU640.txt", 640)</f>
        <v>640</v>
      </c>
      <c r="FC134">
        <f>HYPERLINK("http://exon.niaid.nih.gov/transcriptome/S_calcitrans/S1/links/cluster-b/Scalc-pep90-50SimCLTL640.txt", 4)</f>
        <v>4</v>
      </c>
      <c r="FD134" s="33">
        <f>HYPERLINK("http://exon.niaid.nih.gov/transcriptome/S_calcitrans/S1/links/cluster-b/Scalc-pep95-50SimCLU561.txt", 561)</f>
        <v>561</v>
      </c>
      <c r="FE134">
        <f>HYPERLINK("http://exon.niaid.nih.gov/transcriptome/S_calcitrans/S1/links/cluster-b/Scalc-pep95-50SimCLTL561.txt", 4)</f>
        <v>4</v>
      </c>
      <c r="FF134" t="s">
        <v>1510</v>
      </c>
      <c r="FG134">
        <v>6895</v>
      </c>
      <c r="FH134" s="38" t="str">
        <f>HYPERLINK("http://exon.niaid.nih.gov/transcriptome/S_calcitrans/S1/links/SG_male-stripped_temp-95-h10-1gap/6895-SG_male-stripped_temp-95-h10-1gap.txt","429")</f>
        <v>429</v>
      </c>
      <c r="FI134" s="39">
        <v>100</v>
      </c>
      <c r="FJ134" s="39">
        <v>70.4513888888889</v>
      </c>
      <c r="FK134" s="39">
        <v>2</v>
      </c>
      <c r="FL134" s="39">
        <v>154</v>
      </c>
      <c r="FM134" s="39">
        <v>70.944055944055904</v>
      </c>
      <c r="FN134" s="38" t="str">
        <f>HYPERLINK("http://exon.niaid.nih.gov/transcriptome/S_calcitrans/S1/links/SG_female-stripped_temp-95-h10-1gap/6895-SG_female-stripped_temp-95-h10-1gap.txt","468")</f>
        <v>468</v>
      </c>
      <c r="FO134" s="39">
        <v>100</v>
      </c>
      <c r="FP134" s="39">
        <v>77.1388888888889</v>
      </c>
      <c r="FQ134" s="39">
        <v>1</v>
      </c>
      <c r="FR134" s="39">
        <v>174</v>
      </c>
      <c r="FS134" s="39">
        <v>71.205128205128204</v>
      </c>
      <c r="FT134" s="38" t="str">
        <f>HYPERLINK("http://exon.niaid.nih.gov/transcriptome/S_calcitrans/S1/links/SRR694289-stripped_temp-95-h10-1gap/6895-SRR694289-stripped_temp-95-h10-1gap.txt","14")</f>
        <v>14</v>
      </c>
      <c r="FU134" s="39">
        <v>80.787037037036995</v>
      </c>
      <c r="FV134" s="39">
        <v>2.88657407407407</v>
      </c>
      <c r="FW134" s="39">
        <v>0</v>
      </c>
      <c r="FX134" s="39">
        <v>7</v>
      </c>
      <c r="FY134" s="39">
        <v>89.071428571428598</v>
      </c>
      <c r="FZ134" s="38" t="str">
        <f>HYPERLINK("http://exon.niaid.nih.gov/transcriptome/S_calcitrans/S1/links/SRR694925-stripped_temp-95-h10-1gap/6895-SRR694925-stripped_temp-95-h10-1gap.txt","15")</f>
        <v>15</v>
      </c>
      <c r="GA134" s="39">
        <v>90.740740740740705</v>
      </c>
      <c r="GB134" s="39">
        <v>2.8981481481481501</v>
      </c>
      <c r="GC134" s="39">
        <v>0</v>
      </c>
      <c r="GD134" s="39">
        <v>7</v>
      </c>
      <c r="GE134" s="39">
        <v>83.466666666666697</v>
      </c>
      <c r="GF134">
        <f t="shared" ref="GF134:GF141" si="150">1*FH134</f>
        <v>429</v>
      </c>
      <c r="GG134">
        <f t="shared" ref="GG134:GG141" si="151">1*FN134</f>
        <v>468</v>
      </c>
      <c r="GH134">
        <f t="shared" ref="GH134:GH141" si="152">1*FT134</f>
        <v>14</v>
      </c>
      <c r="GI134">
        <f t="shared" ref="GI134:GI141" si="153">1*FZ134</f>
        <v>15</v>
      </c>
      <c r="GJ134">
        <f t="shared" si="93"/>
        <v>897</v>
      </c>
      <c r="GK134" s="34">
        <v>3.4840911620026651E-3</v>
      </c>
      <c r="GL134">
        <v>32.484451287859748</v>
      </c>
      <c r="GM134">
        <v>16.115186873268915</v>
      </c>
      <c r="GN134">
        <v>0.18628454609517364</v>
      </c>
      <c r="GO134">
        <v>0.20575543013336614</v>
      </c>
      <c r="GP134">
        <f t="shared" ref="GP134:GP141" si="154">MAX(GL134:GO134)</f>
        <v>32.484451287859748</v>
      </c>
      <c r="GQ134" t="s">
        <v>1503</v>
      </c>
      <c r="GR134">
        <v>25.334345993437211</v>
      </c>
      <c r="GS134">
        <v>13.226800592840011</v>
      </c>
      <c r="GT134">
        <v>0.3358072974808155</v>
      </c>
      <c r="GU134">
        <v>0.38955143676774778</v>
      </c>
      <c r="GV134">
        <f t="shared" ref="GV134:GV141" si="155">MAX(GR134:GU134)</f>
        <v>25.334345993437211</v>
      </c>
      <c r="GW134">
        <v>51.735016730102195</v>
      </c>
      <c r="GX134">
        <v>897</v>
      </c>
      <c r="GY134">
        <v>29</v>
      </c>
      <c r="GZ134">
        <v>926</v>
      </c>
      <c r="HA134">
        <v>205.57171627421266</v>
      </c>
      <c r="HB134">
        <v>720.42828372578731</v>
      </c>
      <c r="HC134">
        <v>2325.5780522758532</v>
      </c>
      <c r="HD134">
        <v>663.59564488996966</v>
      </c>
      <c r="HE134">
        <v>2989.1736971658229</v>
      </c>
      <c r="HF134">
        <v>0</v>
      </c>
      <c r="HG134">
        <v>205.57171627421266</v>
      </c>
      <c r="HH134">
        <v>1</v>
      </c>
      <c r="HI134">
        <v>1</v>
      </c>
      <c r="HJ134">
        <v>2</v>
      </c>
      <c r="HK134">
        <v>0</v>
      </c>
      <c r="HL134" s="30" t="s">
        <v>262</v>
      </c>
      <c r="HM134">
        <v>104.78487057367224</v>
      </c>
      <c r="HN134">
        <v>9.2149772687512791E-3</v>
      </c>
      <c r="HO134">
        <v>429</v>
      </c>
      <c r="HP134">
        <v>468</v>
      </c>
      <c r="HQ134">
        <v>897</v>
      </c>
      <c r="HR134">
        <v>280.39856244960225</v>
      </c>
      <c r="HS134">
        <v>616.60143755039769</v>
      </c>
      <c r="HT134">
        <v>78.753567953879099</v>
      </c>
      <c r="HU134">
        <v>35.813064805318184</v>
      </c>
      <c r="HV134">
        <v>114.56663275919729</v>
      </c>
      <c r="HW134">
        <v>9.7919995089008212E-27</v>
      </c>
      <c r="HX134">
        <v>280.39856244960225</v>
      </c>
      <c r="HY134">
        <v>1</v>
      </c>
      <c r="HZ134">
        <v>1</v>
      </c>
      <c r="IA134">
        <v>2</v>
      </c>
      <c r="IB134" s="37">
        <v>4.4680975609756102E-25</v>
      </c>
      <c r="IC134" s="30" t="s">
        <v>262</v>
      </c>
      <c r="ID134">
        <v>2.0114683323509142</v>
      </c>
      <c r="IE134">
        <v>0.49493554784169974</v>
      </c>
      <c r="IF134">
        <v>2.0114683323509142</v>
      </c>
      <c r="IG134" t="str">
        <f t="shared" ref="IG134:IG181" si="156">IF(IF134*1&gt;5,1,"")</f>
        <v/>
      </c>
    </row>
    <row r="135" spans="1:241">
      <c r="A135" t="str">
        <f>HYPERLINK("http://exon.niaid.nih.gov/transcriptome/S_calcitrans/S1/links/pep/XP_013100795.1-pep.txt","XP_013100795.1")</f>
        <v>XP_013100795.1</v>
      </c>
      <c r="B135" s="30" t="s">
        <v>232</v>
      </c>
      <c r="C135">
        <v>143</v>
      </c>
      <c r="D135" t="s">
        <v>1496</v>
      </c>
      <c r="E135">
        <v>1</v>
      </c>
      <c r="F135" t="s">
        <v>1511</v>
      </c>
      <c r="G135" t="str">
        <f>HYPERLINK("http://exon.niaid.nih.gov/transcriptome/S_calcitrans/S1/links/cds/XM_013245341_1-cds.txt","XM_013245341_1")</f>
        <v>XM_013245341_1</v>
      </c>
      <c r="H135">
        <v>432</v>
      </c>
      <c r="I135" t="s">
        <v>1498</v>
      </c>
      <c r="J135" s="30" t="s">
        <v>236</v>
      </c>
      <c r="K135" s="30" t="s">
        <v>91</v>
      </c>
      <c r="L135" s="31" t="s">
        <v>1499</v>
      </c>
      <c r="M135" s="30">
        <v>979612</v>
      </c>
      <c r="N135" s="30">
        <v>980358</v>
      </c>
      <c r="O135" s="30" t="s">
        <v>238</v>
      </c>
      <c r="P135" s="30">
        <v>2</v>
      </c>
      <c r="Q135" s="31" t="s">
        <v>1500</v>
      </c>
      <c r="R135" s="32" t="str">
        <f>HYPERLINK("http://exon.niaid.nih.gov/transcriptome/S_calcitrans/S1/links/Sigp/XP_013100795.1-SigP.txt","CYT")</f>
        <v>CYT</v>
      </c>
      <c r="S135" t="s">
        <v>242</v>
      </c>
      <c r="T135">
        <v>16.875</v>
      </c>
      <c r="U135">
        <v>6.44</v>
      </c>
      <c r="V135" t="s">
        <v>242</v>
      </c>
      <c r="W135" t="s">
        <v>242</v>
      </c>
      <c r="X135" t="s">
        <v>720</v>
      </c>
      <c r="Y135" s="32">
        <v>0</v>
      </c>
      <c r="Z135" t="s">
        <v>242</v>
      </c>
      <c r="AA135" t="s">
        <v>242</v>
      </c>
      <c r="AB135" t="s">
        <v>242</v>
      </c>
      <c r="AC135" t="s">
        <v>242</v>
      </c>
      <c r="AD135" t="s">
        <v>242</v>
      </c>
      <c r="AE135" s="32" t="str">
        <f>HYPERLINK("http://exon.niaid.nih.gov/transcriptome/S_calcitrans/S1/links/netoglyc/XP_013100795.1-netoglyc.txt","1")</f>
        <v>1</v>
      </c>
      <c r="AF135">
        <v>10.5</v>
      </c>
      <c r="AG135">
        <v>2.1</v>
      </c>
      <c r="AH135">
        <v>5.6</v>
      </c>
      <c r="AI135" t="s">
        <v>243</v>
      </c>
      <c r="AJ135" t="s">
        <v>242</v>
      </c>
      <c r="AK135">
        <v>104.78487057367224</v>
      </c>
      <c r="AL135" s="33">
        <f>HYPERLINK("http://exon.niaid.nih.gov/transcriptome/S_calcitrans/S1/links/cluster-b/Scalc-pep95-50SimCLU561.txt", 561)</f>
        <v>561</v>
      </c>
      <c r="AM135">
        <f>HYPERLINK("http://exon.niaid.nih.gov/transcriptome/S_calcitrans/S1/links/cluster-b/Scalc-pep95-50SimCLTL561.txt", 4)</f>
        <v>4</v>
      </c>
      <c r="AN135" s="30">
        <f t="shared" si="149"/>
        <v>1</v>
      </c>
      <c r="AO135" s="30">
        <v>1</v>
      </c>
      <c r="AP135">
        <v>897</v>
      </c>
      <c r="AQ135" s="34">
        <v>3.4840911620026651E-3</v>
      </c>
      <c r="AR135" s="35">
        <v>51.735016730102195</v>
      </c>
      <c r="AS135" t="s">
        <v>1512</v>
      </c>
      <c r="AT135" s="36" t="s">
        <v>1502</v>
      </c>
      <c r="AU135" t="s">
        <v>1503</v>
      </c>
      <c r="AV135" t="str">
        <f>HYPERLINK("http://exon.niaid.nih.gov/transcriptome/S_calcitrans/S1/links/NR-LIGHT/XP_013100795.1-NR-LIGHT.txt","NR-LIGHT")</f>
        <v>NR-LIGHT</v>
      </c>
      <c r="AW135" s="37">
        <v>4E-70</v>
      </c>
      <c r="AX135">
        <v>100</v>
      </c>
      <c r="AY135" s="33"/>
      <c r="BG135" s="31"/>
      <c r="BJ135" s="33"/>
      <c r="BK135" s="33"/>
      <c r="BL135" s="33" t="str">
        <f>HYPERLINK("http://exon.niaid.nih.gov/transcriptome/S_calcitrans/S1/links/NR-LIGHT/XP_013100795.1-NR-LIGHT.txt","transcription factor MafK isoform X1")</f>
        <v>transcription factor MafK isoform X1</v>
      </c>
      <c r="BM135" t="str">
        <f>HYPERLINK("http://www.ncbi.nlm.nih.gov/sutils/blink.cgi?pid=755864273","4E-070")</f>
        <v>4E-070</v>
      </c>
      <c r="BN135" t="str">
        <f>HYPERLINK("http://www.ncbi.nlm.nih.gov/protein/755864273","gi|755864273")</f>
        <v>gi|755864273</v>
      </c>
      <c r="BO135">
        <v>92</v>
      </c>
      <c r="BP135">
        <v>93</v>
      </c>
      <c r="BQ135">
        <v>100</v>
      </c>
      <c r="BR135" t="s">
        <v>251</v>
      </c>
      <c r="BS135" s="33" t="str">
        <f>HYPERLINK("http://exon.niaid.nih.gov/transcriptome/S_calcitrans/S1/links/SWISSP/XP_013100795.1-SWISSP.txt","Transcription factor MafG")</f>
        <v>Transcription factor MafG</v>
      </c>
      <c r="BT135" t="str">
        <f>HYPERLINK("http://www.uniprot.org/uniprot/Q76MX4","2E-023")</f>
        <v>2E-023</v>
      </c>
      <c r="BU135" t="str">
        <f>HYPERLINK("http://www.uniprot.org/uniprot/Q76MX4#expression","Q76MX4")</f>
        <v>Q76MX4</v>
      </c>
      <c r="BV135">
        <v>46</v>
      </c>
      <c r="BW135">
        <v>68</v>
      </c>
      <c r="BX135">
        <v>63</v>
      </c>
      <c r="BY135" t="s">
        <v>1216</v>
      </c>
      <c r="BZ135" s="33" t="str">
        <f>HYPERLINK("http://exon.niaid.nih.gov/transcriptome/S_calcitrans/S1/links/REFSEQ-INVERTEBRATE/XP_013100795.1-REFSEQ-INVERTEBRATE.txt","transcription factor MafK isoform X1")</f>
        <v>transcription factor MafK isoform X1</v>
      </c>
      <c r="CA135" t="str">
        <f>HYPERLINK("http://www.ncbi.nlm.nih.gov/sutils/blink.cgi?pid=907643392","5E-079")</f>
        <v>5E-079</v>
      </c>
      <c r="CB135" t="str">
        <f>HYPERLINK("http://www.ncbi.nlm.nih.gov/protein/907643392","gi|907643392")</f>
        <v>gi|907643392</v>
      </c>
      <c r="CC135">
        <v>100</v>
      </c>
      <c r="CD135">
        <v>100</v>
      </c>
      <c r="CE135">
        <v>100</v>
      </c>
      <c r="CF135" t="s">
        <v>253</v>
      </c>
      <c r="CG135" s="33" t="str">
        <f>HYPERLINK("http://exon.niaid.nih.gov/transcriptome/S_calcitrans/S1/links/DIPTERA/XP_013100795.1-DIPTERA.txt","transcription factor MafK isoform X1")</f>
        <v>transcription factor MafK isoform X1</v>
      </c>
      <c r="CH135" t="str">
        <f>HYPERLINK("http://www.ncbi.nlm.nih.gov/sutils/blink.cgi?pid=907643389","3E-079")</f>
        <v>3E-079</v>
      </c>
      <c r="CI135" t="str">
        <f>HYPERLINK("http://www.ncbi.nlm.nih.gov/protein/907643389","gi|907643389")</f>
        <v>gi|907643389</v>
      </c>
      <c r="CJ135">
        <v>100</v>
      </c>
      <c r="CK135">
        <v>100</v>
      </c>
      <c r="CL135">
        <v>100</v>
      </c>
      <c r="CM135" t="s">
        <v>253</v>
      </c>
      <c r="CN135" s="33" t="s">
        <v>242</v>
      </c>
      <c r="CO135" t="s">
        <v>242</v>
      </c>
      <c r="CP135" t="s">
        <v>242</v>
      </c>
      <c r="CQ135" t="s">
        <v>242</v>
      </c>
      <c r="CR135" t="s">
        <v>242</v>
      </c>
      <c r="CS135" t="s">
        <v>242</v>
      </c>
      <c r="CT135" t="s">
        <v>242</v>
      </c>
      <c r="CU135" s="33" t="s">
        <v>1504</v>
      </c>
      <c r="CV135">
        <f>HYPERLINK("http://exon.niaid.nih.gov/transcriptome/S_calcitrans/S1/links/GO/XP_013100795.1-GO.txt",3E-56)</f>
        <v>2.9999999999999999E-56</v>
      </c>
      <c r="CW135" t="str">
        <f>HYPERLINK("http://amigo.geneontology.org/cgi-bin/amigo/term_details?term=GO:0003700","GO:0003700")</f>
        <v>GO:0003700</v>
      </c>
      <c r="CX135" t="s">
        <v>1505</v>
      </c>
      <c r="CY135" t="s">
        <v>1506</v>
      </c>
      <c r="CZ135" t="s">
        <v>1507</v>
      </c>
      <c r="DA135" t="s">
        <v>242</v>
      </c>
      <c r="DC135" t="s">
        <v>1508</v>
      </c>
      <c r="DD135" s="37">
        <v>2.9999999999999999E-56</v>
      </c>
      <c r="DE135" s="33" t="str">
        <f>HYPERLINK("http://exon.niaid.nih.gov/transcriptome/S_calcitrans/S1/links/CDD/XP_013100795.1-CDD.txt","bZIP_Maf_small")</f>
        <v>bZIP_Maf_small</v>
      </c>
      <c r="DF135" t="str">
        <f>HYPERLINK("http://www.ncbi.nlm.nih.gov/Structure/cdd/cddsrv.cgi?uid=cd14717&amp;version=v4.0","5E-029")</f>
        <v>5E-029</v>
      </c>
      <c r="DG135" t="s">
        <v>1509</v>
      </c>
      <c r="DH135" s="33" t="str">
        <f>HYPERLINK("http://exon.niaid.nih.gov/transcriptome/S_calcitrans/S1/links/KOG/XP_013100795.1-KOG.txt","bZIP transcription factor MafK")</f>
        <v>bZIP transcription factor MafK</v>
      </c>
      <c r="DI135" t="str">
        <f>HYPERLINK("http://www.ncbi.nlm.nih.gov/Structure/cdd/cddsrv.cgi?uid=KOG4196","3E-049")</f>
        <v>3E-049</v>
      </c>
      <c r="DJ135" t="s">
        <v>392</v>
      </c>
      <c r="DK135" t="str">
        <f>HYPERLINK("http://exon.niaid.nih.gov/transcriptome/S_calcitrans/S1/links/KOG/XP_013100795.1-KOG.txt","KOG4196")</f>
        <v>KOG4196</v>
      </c>
      <c r="DL135" s="33" t="str">
        <f>HYPERLINK("http://exon.niaid.nih.gov/transcriptome/S_calcitrans/S1/links/PFAM/XP_013100795.1-PFAM.txt","bZIP_Maf")</f>
        <v>bZIP_Maf</v>
      </c>
      <c r="DM135" t="str">
        <f>HYPERLINK("http://pfam.sanger.ac.uk/family?acc=PF03131","1E-026")</f>
        <v>1E-026</v>
      </c>
      <c r="DN135" s="33" t="str">
        <f>HYPERLINK("http://exon.niaid.nih.gov/transcriptome/S_calcitrans/S1/links/SMART/XP_013100795.1-SMART.txt","BRLZ")</f>
        <v>BRLZ</v>
      </c>
      <c r="DO135" t="str">
        <f>HYPERLINK("http://smart.embl-heidelberg.de/smart/do_annotation.pl?DOMAIN=BRLZ&amp;BLAST=DUMMY","4E-008")</f>
        <v>4E-008</v>
      </c>
      <c r="DP135" s="33"/>
      <c r="EB135" s="33">
        <f>HYPERLINK("http://exon.niaid.nih.gov/transcriptome/S_calcitrans/S1/links/cluster-b/Scalc-pep25-50SimCLU480.txt", 480)</f>
        <v>480</v>
      </c>
      <c r="EC135">
        <f>HYPERLINK("http://exon.niaid.nih.gov/transcriptome/S_calcitrans/S1/links/cluster-b/Scalc-pep25-50SimCLTL480.txt", 6)</f>
        <v>6</v>
      </c>
      <c r="ED135" s="33">
        <f>HYPERLINK("http://exon.niaid.nih.gov/transcriptome/S_calcitrans/S1/links/cluster-b/Scalc-pep30-50SimCLU553.txt", 553)</f>
        <v>553</v>
      </c>
      <c r="EE135">
        <f>HYPERLINK("http://exon.niaid.nih.gov/transcriptome/S_calcitrans/S1/links/cluster-b/Scalc-pep30-50SimCLTL553.txt", 6)</f>
        <v>6</v>
      </c>
      <c r="EF135" s="33">
        <f>HYPERLINK("http://exon.niaid.nih.gov/transcriptome/S_calcitrans/S1/links/cluster-b/Scalc-pep35-50SimCLU566.txt", 566)</f>
        <v>566</v>
      </c>
      <c r="EG135">
        <f>HYPERLINK("http://exon.niaid.nih.gov/transcriptome/S_calcitrans/S1/links/cluster-b/Scalc-pep35-50SimCLTL566.txt", 6)</f>
        <v>6</v>
      </c>
      <c r="EH135" s="33">
        <f>HYPERLINK("http://exon.niaid.nih.gov/transcriptome/S_calcitrans/S1/links/cluster-b/Scalc-pep40-50SimCLU548.txt", 548)</f>
        <v>548</v>
      </c>
      <c r="EI135">
        <f>HYPERLINK("http://exon.niaid.nih.gov/transcriptome/S_calcitrans/S1/links/cluster-b/Scalc-pep40-50SimCLTL548.txt", 6)</f>
        <v>6</v>
      </c>
      <c r="EJ135" s="33">
        <f>HYPERLINK("http://exon.niaid.nih.gov/transcriptome/S_calcitrans/S1/links/cluster-b/Scalc-pep45-50SimCLU532.txt", 532)</f>
        <v>532</v>
      </c>
      <c r="EK135">
        <f>HYPERLINK("http://exon.niaid.nih.gov/transcriptome/S_calcitrans/S1/links/cluster-b/Scalc-pep45-50SimCLTL532.txt", 6)</f>
        <v>6</v>
      </c>
      <c r="EL135" s="33">
        <f>HYPERLINK("http://exon.niaid.nih.gov/transcriptome/S_calcitrans/S1/links/cluster-b/Scalc-pep50-50SimCLU524.txt", 524)</f>
        <v>524</v>
      </c>
      <c r="EM135">
        <f>HYPERLINK("http://exon.niaid.nih.gov/transcriptome/S_calcitrans/S1/links/cluster-b/Scalc-pep50-50SimCLTL524.txt", 6)</f>
        <v>6</v>
      </c>
      <c r="EN135" s="33">
        <f>HYPERLINK("http://exon.niaid.nih.gov/transcriptome/S_calcitrans/S1/links/cluster-b/Scalc-pep55-50SimCLU476.txt", 476)</f>
        <v>476</v>
      </c>
      <c r="EO135">
        <f>HYPERLINK("http://exon.niaid.nih.gov/transcriptome/S_calcitrans/S1/links/cluster-b/Scalc-pep55-50SimCLTL476.txt", 6)</f>
        <v>6</v>
      </c>
      <c r="EP135" s="33">
        <f>HYPERLINK("http://exon.niaid.nih.gov/transcriptome/S_calcitrans/S1/links/cluster-b/Scalc-pep60-50SimCLU451.txt", 451)</f>
        <v>451</v>
      </c>
      <c r="EQ135">
        <f>HYPERLINK("http://exon.niaid.nih.gov/transcriptome/S_calcitrans/S1/links/cluster-b/Scalc-pep60-50SimCLTL451.txt", 6)</f>
        <v>6</v>
      </c>
      <c r="ER135" s="33">
        <f>HYPERLINK("http://exon.niaid.nih.gov/transcriptome/S_calcitrans/S1/links/cluster-b/Scalc-pep65-50SimCLU410.txt", 410)</f>
        <v>410</v>
      </c>
      <c r="ES135">
        <f>HYPERLINK("http://exon.niaid.nih.gov/transcriptome/S_calcitrans/S1/links/cluster-b/Scalc-pep65-50SimCLTL410.txt", 6)</f>
        <v>6</v>
      </c>
      <c r="ET135" s="33">
        <f>HYPERLINK("http://exon.niaid.nih.gov/transcriptome/S_calcitrans/S1/links/cluster-b/Scalc-pep70-50SimCLU367.txt", 367)</f>
        <v>367</v>
      </c>
      <c r="EU135">
        <f>HYPERLINK("http://exon.niaid.nih.gov/transcriptome/S_calcitrans/S1/links/cluster-b/Scalc-pep70-50SimCLTL367.txt", 6)</f>
        <v>6</v>
      </c>
      <c r="EV135" s="33">
        <f>HYPERLINK("http://exon.niaid.nih.gov/transcriptome/S_calcitrans/S1/links/cluster-b/Scalc-pep75-50SimCLU335.txt", 335)</f>
        <v>335</v>
      </c>
      <c r="EW135">
        <f>HYPERLINK("http://exon.niaid.nih.gov/transcriptome/S_calcitrans/S1/links/cluster-b/Scalc-pep75-50SimCLTL335.txt", 6)</f>
        <v>6</v>
      </c>
      <c r="EX135" s="33">
        <f>HYPERLINK("http://exon.niaid.nih.gov/transcriptome/S_calcitrans/S1/links/cluster-b/Scalc-pep80-50SimCLU304.txt", 304)</f>
        <v>304</v>
      </c>
      <c r="EY135">
        <f>HYPERLINK("http://exon.niaid.nih.gov/transcriptome/S_calcitrans/S1/links/cluster-b/Scalc-pep80-50SimCLTL304.txt", 6)</f>
        <v>6</v>
      </c>
      <c r="EZ135" s="33">
        <f>HYPERLINK("http://exon.niaid.nih.gov/transcriptome/S_calcitrans/S1/links/cluster-b/Scalc-pep85-50SimCLU274.txt", 274)</f>
        <v>274</v>
      </c>
      <c r="FA135">
        <f>HYPERLINK("http://exon.niaid.nih.gov/transcriptome/S_calcitrans/S1/links/cluster-b/Scalc-pep85-50SimCLTL274.txt", 6)</f>
        <v>6</v>
      </c>
      <c r="FB135" s="33">
        <f>HYPERLINK("http://exon.niaid.nih.gov/transcriptome/S_calcitrans/S1/links/cluster-b/Scalc-pep90-50SimCLU640.txt", 640)</f>
        <v>640</v>
      </c>
      <c r="FC135">
        <f>HYPERLINK("http://exon.niaid.nih.gov/transcriptome/S_calcitrans/S1/links/cluster-b/Scalc-pep90-50SimCLTL640.txt", 4)</f>
        <v>4</v>
      </c>
      <c r="FD135" s="33">
        <f>HYPERLINK("http://exon.niaid.nih.gov/transcriptome/S_calcitrans/S1/links/cluster-b/Scalc-pep95-50SimCLU561.txt", 561)</f>
        <v>561</v>
      </c>
      <c r="FE135">
        <f>HYPERLINK("http://exon.niaid.nih.gov/transcriptome/S_calcitrans/S1/links/cluster-b/Scalc-pep95-50SimCLTL561.txt", 4)</f>
        <v>4</v>
      </c>
      <c r="FF135" t="s">
        <v>1513</v>
      </c>
      <c r="FG135">
        <v>6898</v>
      </c>
      <c r="FH135" s="38" t="str">
        <f>HYPERLINK("http://exon.niaid.nih.gov/transcriptome/S_calcitrans/S1/links/SG_male-stripped_temp-95-h10-1gap/6898-SG_male-stripped_temp-95-h10-1gap.txt","429")</f>
        <v>429</v>
      </c>
      <c r="FI135" s="39">
        <v>100</v>
      </c>
      <c r="FJ135" s="39">
        <v>70.4513888888889</v>
      </c>
      <c r="FK135" s="39">
        <v>2</v>
      </c>
      <c r="FL135" s="39">
        <v>154</v>
      </c>
      <c r="FM135" s="39">
        <v>70.944055944055904</v>
      </c>
      <c r="FN135" s="38" t="str">
        <f>HYPERLINK("http://exon.niaid.nih.gov/transcriptome/S_calcitrans/S1/links/SG_female-stripped_temp-95-h10-1gap/6898-SG_female-stripped_temp-95-h10-1gap.txt","468")</f>
        <v>468</v>
      </c>
      <c r="FO135" s="39">
        <v>100</v>
      </c>
      <c r="FP135" s="39">
        <v>77.1388888888889</v>
      </c>
      <c r="FQ135" s="39">
        <v>1</v>
      </c>
      <c r="FR135" s="39">
        <v>174</v>
      </c>
      <c r="FS135" s="39">
        <v>71.205128205128204</v>
      </c>
      <c r="FT135" s="38" t="str">
        <f>HYPERLINK("http://exon.niaid.nih.gov/transcriptome/S_calcitrans/S1/links/SRR694289-stripped_temp-95-h10-1gap/6898-SRR694289-stripped_temp-95-h10-1gap.txt","14")</f>
        <v>14</v>
      </c>
      <c r="FU135" s="39">
        <v>80.787037037036995</v>
      </c>
      <c r="FV135" s="39">
        <v>2.88657407407407</v>
      </c>
      <c r="FW135" s="39">
        <v>0</v>
      </c>
      <c r="FX135" s="39">
        <v>7</v>
      </c>
      <c r="FY135" s="39">
        <v>89.071428571428598</v>
      </c>
      <c r="FZ135" s="38" t="str">
        <f>HYPERLINK("http://exon.niaid.nih.gov/transcriptome/S_calcitrans/S1/links/SRR694925-stripped_temp-95-h10-1gap/6898-SRR694925-stripped_temp-95-h10-1gap.txt","15")</f>
        <v>15</v>
      </c>
      <c r="GA135" s="39">
        <v>90.740740740740705</v>
      </c>
      <c r="GB135" s="39">
        <v>2.8981481481481501</v>
      </c>
      <c r="GC135" s="39">
        <v>0</v>
      </c>
      <c r="GD135" s="39">
        <v>7</v>
      </c>
      <c r="GE135" s="39">
        <v>83.466666666666697</v>
      </c>
      <c r="GF135">
        <f t="shared" si="150"/>
        <v>429</v>
      </c>
      <c r="GG135">
        <f t="shared" si="151"/>
        <v>468</v>
      </c>
      <c r="GH135">
        <f t="shared" si="152"/>
        <v>14</v>
      </c>
      <c r="GI135">
        <f t="shared" si="153"/>
        <v>15</v>
      </c>
      <c r="GJ135">
        <f t="shared" si="93"/>
        <v>897</v>
      </c>
      <c r="GK135" s="34">
        <v>3.4840911620026651E-3</v>
      </c>
      <c r="GL135">
        <v>32.484451287859748</v>
      </c>
      <c r="GM135">
        <v>16.115186873268915</v>
      </c>
      <c r="GN135">
        <v>0.18628454609517364</v>
      </c>
      <c r="GO135">
        <v>0.20575543013336614</v>
      </c>
      <c r="GP135">
        <f t="shared" si="154"/>
        <v>32.484451287859748</v>
      </c>
      <c r="GQ135" t="s">
        <v>1503</v>
      </c>
      <c r="GR135">
        <v>25.334345993437211</v>
      </c>
      <c r="GS135">
        <v>13.226800592840011</v>
      </c>
      <c r="GT135">
        <v>0.3358072974808155</v>
      </c>
      <c r="GU135">
        <v>0.38955143676774778</v>
      </c>
      <c r="GV135">
        <f t="shared" si="155"/>
        <v>25.334345993437211</v>
      </c>
      <c r="GW135">
        <v>51.735016730102195</v>
      </c>
      <c r="GX135">
        <v>897</v>
      </c>
      <c r="GY135">
        <v>29</v>
      </c>
      <c r="GZ135">
        <v>926</v>
      </c>
      <c r="HA135">
        <v>205.57171627421266</v>
      </c>
      <c r="HB135">
        <v>720.42828372578731</v>
      </c>
      <c r="HC135">
        <v>2325.5780522758532</v>
      </c>
      <c r="HD135">
        <v>663.59564488996966</v>
      </c>
      <c r="HE135">
        <v>2989.1736971658229</v>
      </c>
      <c r="HF135">
        <v>0</v>
      </c>
      <c r="HG135">
        <v>205.57171627421266</v>
      </c>
      <c r="HH135">
        <v>1</v>
      </c>
      <c r="HI135">
        <v>1</v>
      </c>
      <c r="HJ135">
        <v>2</v>
      </c>
      <c r="HK135">
        <v>0</v>
      </c>
      <c r="HL135" s="30" t="s">
        <v>262</v>
      </c>
      <c r="HM135">
        <v>104.78487057367224</v>
      </c>
      <c r="HN135">
        <v>9.2149772687512791E-3</v>
      </c>
      <c r="HO135">
        <v>429</v>
      </c>
      <c r="HP135">
        <v>468</v>
      </c>
      <c r="HQ135">
        <v>897</v>
      </c>
      <c r="HR135">
        <v>280.39856244960225</v>
      </c>
      <c r="HS135">
        <v>616.60143755039769</v>
      </c>
      <c r="HT135">
        <v>78.753567953879099</v>
      </c>
      <c r="HU135">
        <v>35.813064805318184</v>
      </c>
      <c r="HV135">
        <v>114.56663275919729</v>
      </c>
      <c r="HW135">
        <v>9.7919995089008212E-27</v>
      </c>
      <c r="HX135">
        <v>280.39856244960225</v>
      </c>
      <c r="HY135">
        <v>1</v>
      </c>
      <c r="HZ135">
        <v>1</v>
      </c>
      <c r="IA135">
        <v>2</v>
      </c>
      <c r="IB135" s="37">
        <v>4.4680975609756102E-25</v>
      </c>
      <c r="IC135" s="30" t="s">
        <v>262</v>
      </c>
      <c r="ID135">
        <v>2.0114683323509142</v>
      </c>
      <c r="IE135">
        <v>0.49493554784169974</v>
      </c>
      <c r="IF135">
        <v>2.0114683323509142</v>
      </c>
      <c r="IG135" t="str">
        <f t="shared" si="156"/>
        <v/>
      </c>
    </row>
    <row r="136" spans="1:241">
      <c r="A136" t="str">
        <f>HYPERLINK("http://exon.niaid.nih.gov/transcriptome/S_calcitrans/S1/links/pep/XP_013100796.1-pep.txt","XP_013100796.1")</f>
        <v>XP_013100796.1</v>
      </c>
      <c r="B136" s="30" t="s">
        <v>232</v>
      </c>
      <c r="C136">
        <v>137</v>
      </c>
      <c r="D136" t="s">
        <v>1514</v>
      </c>
      <c r="E136">
        <v>1</v>
      </c>
      <c r="F136" t="s">
        <v>1515</v>
      </c>
      <c r="G136" t="str">
        <f>HYPERLINK("http://exon.niaid.nih.gov/transcriptome/S_calcitrans/S1/links/cds/XM_013245342_1-cds.txt","XM_013245342_1")</f>
        <v>XM_013245342_1</v>
      </c>
      <c r="H136">
        <v>414</v>
      </c>
      <c r="I136" t="s">
        <v>1498</v>
      </c>
      <c r="J136" s="30" t="s">
        <v>236</v>
      </c>
      <c r="K136" s="30" t="s">
        <v>91</v>
      </c>
      <c r="L136" s="31" t="s">
        <v>1499</v>
      </c>
      <c r="M136" s="30">
        <v>979612</v>
      </c>
      <c r="N136" s="30">
        <v>980358</v>
      </c>
      <c r="O136" s="30" t="s">
        <v>238</v>
      </c>
      <c r="P136" s="30">
        <v>2</v>
      </c>
      <c r="Q136" s="31" t="s">
        <v>1516</v>
      </c>
      <c r="R136" s="32" t="str">
        <f>HYPERLINK("http://exon.niaid.nih.gov/transcriptome/S_calcitrans/S1/links/Sigp/XP_013100796.1-SigP.txt","CYT")</f>
        <v>CYT</v>
      </c>
      <c r="S136" t="s">
        <v>242</v>
      </c>
      <c r="T136">
        <v>16.167999999999999</v>
      </c>
      <c r="U136">
        <v>7.7</v>
      </c>
      <c r="V136" t="s">
        <v>242</v>
      </c>
      <c r="W136" t="s">
        <v>242</v>
      </c>
      <c r="X136" t="s">
        <v>720</v>
      </c>
      <c r="Y136" s="32">
        <v>0</v>
      </c>
      <c r="Z136" t="s">
        <v>242</v>
      </c>
      <c r="AA136" t="s">
        <v>242</v>
      </c>
      <c r="AB136" t="s">
        <v>242</v>
      </c>
      <c r="AC136" t="s">
        <v>242</v>
      </c>
      <c r="AD136" t="s">
        <v>242</v>
      </c>
      <c r="AE136" s="32" t="str">
        <f>HYPERLINK("http://exon.niaid.nih.gov/transcriptome/S_calcitrans/S1/links/netoglyc/XP_013100796.1-netoglyc.txt","1")</f>
        <v>1</v>
      </c>
      <c r="AF136">
        <v>10.199999999999999</v>
      </c>
      <c r="AG136">
        <v>2.2000000000000002</v>
      </c>
      <c r="AH136">
        <v>5.8</v>
      </c>
      <c r="AI136" t="s">
        <v>243</v>
      </c>
      <c r="AJ136" t="s">
        <v>242</v>
      </c>
      <c r="AK136">
        <v>104.78487057367224</v>
      </c>
      <c r="AL136" s="33">
        <f>HYPERLINK("http://exon.niaid.nih.gov/transcriptome/S_calcitrans/S1/links/cluster-b/Scalc-pep95-50SimCLU561.txt", 561)</f>
        <v>561</v>
      </c>
      <c r="AM136">
        <f>HYPERLINK("http://exon.niaid.nih.gov/transcriptome/S_calcitrans/S1/links/cluster-b/Scalc-pep95-50SimCLTL561.txt", 4)</f>
        <v>4</v>
      </c>
      <c r="AN136" s="30">
        <f t="shared" si="149"/>
        <v>1</v>
      </c>
      <c r="AO136" s="30">
        <v>1</v>
      </c>
      <c r="AP136">
        <v>897</v>
      </c>
      <c r="AQ136" s="34">
        <v>3.4840911620026651E-3</v>
      </c>
      <c r="AR136" s="35">
        <v>51.79292276512632</v>
      </c>
      <c r="AS136" t="s">
        <v>1517</v>
      </c>
      <c r="AT136" s="36" t="s">
        <v>1518</v>
      </c>
      <c r="AU136" t="s">
        <v>1503</v>
      </c>
      <c r="AV136" t="str">
        <f>HYPERLINK("http://exon.niaid.nih.gov/transcriptome/S_calcitrans/S1/links/NR-LIGHT/XP_013100796.1-NR-LIGHT.txt","NR-LIGHT")</f>
        <v>NR-LIGHT</v>
      </c>
      <c r="AW136" s="37">
        <v>7.0000000000000001E-67</v>
      </c>
      <c r="AX136">
        <v>100</v>
      </c>
      <c r="AY136" s="33"/>
      <c r="BG136" s="31"/>
      <c r="BJ136" s="33"/>
      <c r="BK136" s="33"/>
      <c r="BL136" s="33" t="str">
        <f>HYPERLINK("http://exon.niaid.nih.gov/transcriptome/S_calcitrans/S1/links/NR-LIGHT/XP_013100796.1-NR-LIGHT.txt","transcription factor MafK isoform X2")</f>
        <v>transcription factor MafK isoform X2</v>
      </c>
      <c r="BM136" t="str">
        <f>HYPERLINK("http://www.ncbi.nlm.nih.gov/sutils/blink.cgi?pid=557760165","7E-067")</f>
        <v>7E-067</v>
      </c>
      <c r="BN136" t="str">
        <f>HYPERLINK("http://www.ncbi.nlm.nih.gov/protein/557760165","gi|557760165")</f>
        <v>gi|557760165</v>
      </c>
      <c r="BO136">
        <v>92</v>
      </c>
      <c r="BP136">
        <v>93</v>
      </c>
      <c r="BQ136">
        <v>100</v>
      </c>
      <c r="BR136" t="s">
        <v>251</v>
      </c>
      <c r="BS136" s="33" t="str">
        <f>HYPERLINK("http://exon.niaid.nih.gov/transcriptome/S_calcitrans/S1/links/SWISSP/XP_013100796.1-SWISSP.txt","Transcription factor MafK")</f>
        <v>Transcription factor MafK</v>
      </c>
      <c r="BT136" t="str">
        <f>HYPERLINK("http://www.uniprot.org/uniprot/Q90596","4E-023")</f>
        <v>4E-023</v>
      </c>
      <c r="BU136" t="str">
        <f>HYPERLINK("http://www.uniprot.org/uniprot/Q90596#expression","Q90596")</f>
        <v>Q90596</v>
      </c>
      <c r="BV136">
        <v>55</v>
      </c>
      <c r="BW136">
        <v>73</v>
      </c>
      <c r="BX136">
        <v>63</v>
      </c>
      <c r="BY136" t="s">
        <v>1171</v>
      </c>
      <c r="BZ136" s="33" t="str">
        <f>HYPERLINK("http://exon.niaid.nih.gov/transcriptome/S_calcitrans/S1/links/REFSEQ-INVERTEBRATE/XP_013100796.1-REFSEQ-INVERTEBRATE.txt","transcription factor MafK isoform X2")</f>
        <v>transcription factor MafK isoform X2</v>
      </c>
      <c r="CA136" t="str">
        <f>HYPERLINK("http://www.ncbi.nlm.nih.gov/sutils/blink.cgi?pid=907643401","3E-075")</f>
        <v>3E-075</v>
      </c>
      <c r="CB136" t="str">
        <f>HYPERLINK("http://www.ncbi.nlm.nih.gov/protein/907643401","gi|907643401")</f>
        <v>gi|907643401</v>
      </c>
      <c r="CC136">
        <v>100</v>
      </c>
      <c r="CD136">
        <v>100</v>
      </c>
      <c r="CE136">
        <v>100</v>
      </c>
      <c r="CF136" t="s">
        <v>253</v>
      </c>
      <c r="CG136" s="33" t="str">
        <f>HYPERLINK("http://exon.niaid.nih.gov/transcriptome/S_calcitrans/S1/links/DIPTERA/XP_013100796.1-DIPTERA.txt","transcription factor MafK isoform X2")</f>
        <v>transcription factor MafK isoform X2</v>
      </c>
      <c r="CH136" t="str">
        <f>HYPERLINK("http://www.ncbi.nlm.nih.gov/sutils/blink.cgi?pid=907643396","1E-075")</f>
        <v>1E-075</v>
      </c>
      <c r="CI136" t="str">
        <f>HYPERLINK("http://www.ncbi.nlm.nih.gov/protein/907643396","gi|907643396")</f>
        <v>gi|907643396</v>
      </c>
      <c r="CJ136">
        <v>100</v>
      </c>
      <c r="CK136">
        <v>100</v>
      </c>
      <c r="CL136">
        <v>100</v>
      </c>
      <c r="CM136" t="s">
        <v>253</v>
      </c>
      <c r="CN136" s="33" t="s">
        <v>242</v>
      </c>
      <c r="CO136" t="s">
        <v>242</v>
      </c>
      <c r="CP136" t="s">
        <v>242</v>
      </c>
      <c r="CQ136" t="s">
        <v>242</v>
      </c>
      <c r="CR136" t="s">
        <v>242</v>
      </c>
      <c r="CS136" t="s">
        <v>242</v>
      </c>
      <c r="CT136" t="s">
        <v>242</v>
      </c>
      <c r="CU136" s="33" t="s">
        <v>1504</v>
      </c>
      <c r="CV136">
        <f>HYPERLINK("http://exon.niaid.nih.gov/transcriptome/S_calcitrans/S1/links/GO/XP_013100796.1-GO.txt",1E-55)</f>
        <v>9.9999999999999999E-56</v>
      </c>
      <c r="CW136" t="str">
        <f>HYPERLINK("http://amigo.geneontology.org/cgi-bin/amigo/term_details?term=GO:0003700","GO:0003700")</f>
        <v>GO:0003700</v>
      </c>
      <c r="CX136" t="s">
        <v>1505</v>
      </c>
      <c r="CY136" t="s">
        <v>1506</v>
      </c>
      <c r="CZ136" t="s">
        <v>1507</v>
      </c>
      <c r="DA136" t="s">
        <v>242</v>
      </c>
      <c r="DC136" t="s">
        <v>1508</v>
      </c>
      <c r="DD136" s="37">
        <v>9.9999999999999999E-56</v>
      </c>
      <c r="DE136" s="33" t="str">
        <f>HYPERLINK("http://exon.niaid.nih.gov/transcriptome/S_calcitrans/S1/links/CDD/XP_013100796.1-CDD.txt","bZIP_Maf_small")</f>
        <v>bZIP_Maf_small</v>
      </c>
      <c r="DF136" t="str">
        <f>HYPERLINK("http://www.ncbi.nlm.nih.gov/Structure/cdd/cddsrv.cgi?uid=cd14717&amp;version=v4.0","2E-028")</f>
        <v>2E-028</v>
      </c>
      <c r="DG136" t="s">
        <v>1519</v>
      </c>
      <c r="DH136" s="33" t="str">
        <f>HYPERLINK("http://exon.niaid.nih.gov/transcriptome/S_calcitrans/S1/links/KOG/XP_013100796.1-KOG.txt","bZIP transcription factor MafK")</f>
        <v>bZIP transcription factor MafK</v>
      </c>
      <c r="DI136" t="str">
        <f>HYPERLINK("http://www.ncbi.nlm.nih.gov/Structure/cdd/cddsrv.cgi?uid=KOG4196","2E-038")</f>
        <v>2E-038</v>
      </c>
      <c r="DJ136" t="s">
        <v>392</v>
      </c>
      <c r="DK136" t="str">
        <f>HYPERLINK("http://exon.niaid.nih.gov/transcriptome/S_calcitrans/S1/links/KOG/XP_013100796.1-KOG.txt","KOG4196")</f>
        <v>KOG4196</v>
      </c>
      <c r="DL136" s="33" t="str">
        <f>HYPERLINK("http://exon.niaid.nih.gov/transcriptome/S_calcitrans/S1/links/PFAM/XP_013100796.1-PFAM.txt","bZIP_Maf")</f>
        <v>bZIP_Maf</v>
      </c>
      <c r="DM136" t="str">
        <f>HYPERLINK("http://pfam.sanger.ac.uk/family?acc=PF03131","5E-026")</f>
        <v>5E-026</v>
      </c>
      <c r="DN136" s="33" t="str">
        <f>HYPERLINK("http://exon.niaid.nih.gov/transcriptome/S_calcitrans/S1/links/SMART/XP_013100796.1-SMART.txt","BRLZ")</f>
        <v>BRLZ</v>
      </c>
      <c r="DO136" t="str">
        <f>HYPERLINK("http://smart.embl-heidelberg.de/smart/do_annotation.pl?DOMAIN=BRLZ&amp;BLAST=DUMMY","1E-007")</f>
        <v>1E-007</v>
      </c>
      <c r="DP136" s="33"/>
      <c r="EB136" s="33">
        <f>HYPERLINK("http://exon.niaid.nih.gov/transcriptome/S_calcitrans/S1/links/cluster-b/Scalc-pep25-50SimCLU480.txt", 480)</f>
        <v>480</v>
      </c>
      <c r="EC136">
        <f>HYPERLINK("http://exon.niaid.nih.gov/transcriptome/S_calcitrans/S1/links/cluster-b/Scalc-pep25-50SimCLTL480.txt", 6)</f>
        <v>6</v>
      </c>
      <c r="ED136" s="33">
        <f>HYPERLINK("http://exon.niaid.nih.gov/transcriptome/S_calcitrans/S1/links/cluster-b/Scalc-pep30-50SimCLU553.txt", 553)</f>
        <v>553</v>
      </c>
      <c r="EE136">
        <f>HYPERLINK("http://exon.niaid.nih.gov/transcriptome/S_calcitrans/S1/links/cluster-b/Scalc-pep30-50SimCLTL553.txt", 6)</f>
        <v>6</v>
      </c>
      <c r="EF136" s="33">
        <f>HYPERLINK("http://exon.niaid.nih.gov/transcriptome/S_calcitrans/S1/links/cluster-b/Scalc-pep35-50SimCLU566.txt", 566)</f>
        <v>566</v>
      </c>
      <c r="EG136">
        <f>HYPERLINK("http://exon.niaid.nih.gov/transcriptome/S_calcitrans/S1/links/cluster-b/Scalc-pep35-50SimCLTL566.txt", 6)</f>
        <v>6</v>
      </c>
      <c r="EH136" s="33">
        <f>HYPERLINK("http://exon.niaid.nih.gov/transcriptome/S_calcitrans/S1/links/cluster-b/Scalc-pep40-50SimCLU548.txt", 548)</f>
        <v>548</v>
      </c>
      <c r="EI136">
        <f>HYPERLINK("http://exon.niaid.nih.gov/transcriptome/S_calcitrans/S1/links/cluster-b/Scalc-pep40-50SimCLTL548.txt", 6)</f>
        <v>6</v>
      </c>
      <c r="EJ136" s="33">
        <f>HYPERLINK("http://exon.niaid.nih.gov/transcriptome/S_calcitrans/S1/links/cluster-b/Scalc-pep45-50SimCLU532.txt", 532)</f>
        <v>532</v>
      </c>
      <c r="EK136">
        <f>HYPERLINK("http://exon.niaid.nih.gov/transcriptome/S_calcitrans/S1/links/cluster-b/Scalc-pep45-50SimCLTL532.txt", 6)</f>
        <v>6</v>
      </c>
      <c r="EL136" s="33">
        <f>HYPERLINK("http://exon.niaid.nih.gov/transcriptome/S_calcitrans/S1/links/cluster-b/Scalc-pep50-50SimCLU524.txt", 524)</f>
        <v>524</v>
      </c>
      <c r="EM136">
        <f>HYPERLINK("http://exon.niaid.nih.gov/transcriptome/S_calcitrans/S1/links/cluster-b/Scalc-pep50-50SimCLTL524.txt", 6)</f>
        <v>6</v>
      </c>
      <c r="EN136" s="33">
        <f>HYPERLINK("http://exon.niaid.nih.gov/transcriptome/S_calcitrans/S1/links/cluster-b/Scalc-pep55-50SimCLU476.txt", 476)</f>
        <v>476</v>
      </c>
      <c r="EO136">
        <f>HYPERLINK("http://exon.niaid.nih.gov/transcriptome/S_calcitrans/S1/links/cluster-b/Scalc-pep55-50SimCLTL476.txt", 6)</f>
        <v>6</v>
      </c>
      <c r="EP136" s="33">
        <f>HYPERLINK("http://exon.niaid.nih.gov/transcriptome/S_calcitrans/S1/links/cluster-b/Scalc-pep60-50SimCLU451.txt", 451)</f>
        <v>451</v>
      </c>
      <c r="EQ136">
        <f>HYPERLINK("http://exon.niaid.nih.gov/transcriptome/S_calcitrans/S1/links/cluster-b/Scalc-pep60-50SimCLTL451.txt", 6)</f>
        <v>6</v>
      </c>
      <c r="ER136" s="33">
        <f>HYPERLINK("http://exon.niaid.nih.gov/transcriptome/S_calcitrans/S1/links/cluster-b/Scalc-pep65-50SimCLU410.txt", 410)</f>
        <v>410</v>
      </c>
      <c r="ES136">
        <f>HYPERLINK("http://exon.niaid.nih.gov/transcriptome/S_calcitrans/S1/links/cluster-b/Scalc-pep65-50SimCLTL410.txt", 6)</f>
        <v>6</v>
      </c>
      <c r="ET136" s="33">
        <f>HYPERLINK("http://exon.niaid.nih.gov/transcriptome/S_calcitrans/S1/links/cluster-b/Scalc-pep70-50SimCLU367.txt", 367)</f>
        <v>367</v>
      </c>
      <c r="EU136">
        <f>HYPERLINK("http://exon.niaid.nih.gov/transcriptome/S_calcitrans/S1/links/cluster-b/Scalc-pep70-50SimCLTL367.txt", 6)</f>
        <v>6</v>
      </c>
      <c r="EV136" s="33">
        <f>HYPERLINK("http://exon.niaid.nih.gov/transcriptome/S_calcitrans/S1/links/cluster-b/Scalc-pep75-50SimCLU335.txt", 335)</f>
        <v>335</v>
      </c>
      <c r="EW136">
        <f>HYPERLINK("http://exon.niaid.nih.gov/transcriptome/S_calcitrans/S1/links/cluster-b/Scalc-pep75-50SimCLTL335.txt", 6)</f>
        <v>6</v>
      </c>
      <c r="EX136" s="33">
        <f>HYPERLINK("http://exon.niaid.nih.gov/transcriptome/S_calcitrans/S1/links/cluster-b/Scalc-pep80-50SimCLU304.txt", 304)</f>
        <v>304</v>
      </c>
      <c r="EY136">
        <f>HYPERLINK("http://exon.niaid.nih.gov/transcriptome/S_calcitrans/S1/links/cluster-b/Scalc-pep80-50SimCLTL304.txt", 6)</f>
        <v>6</v>
      </c>
      <c r="EZ136" s="33">
        <f>HYPERLINK("http://exon.niaid.nih.gov/transcriptome/S_calcitrans/S1/links/cluster-b/Scalc-pep85-50SimCLU274.txt", 274)</f>
        <v>274</v>
      </c>
      <c r="FA136">
        <f>HYPERLINK("http://exon.niaid.nih.gov/transcriptome/S_calcitrans/S1/links/cluster-b/Scalc-pep85-50SimCLTL274.txt", 6)</f>
        <v>6</v>
      </c>
      <c r="FB136" s="33">
        <f>HYPERLINK("http://exon.niaid.nih.gov/transcriptome/S_calcitrans/S1/links/cluster-b/Scalc-pep90-50SimCLU640.txt", 640)</f>
        <v>640</v>
      </c>
      <c r="FC136">
        <f>HYPERLINK("http://exon.niaid.nih.gov/transcriptome/S_calcitrans/S1/links/cluster-b/Scalc-pep90-50SimCLTL640.txt", 4)</f>
        <v>4</v>
      </c>
      <c r="FD136" s="33">
        <f>HYPERLINK("http://exon.niaid.nih.gov/transcriptome/S_calcitrans/S1/links/cluster-b/Scalc-pep95-50SimCLU561.txt", 561)</f>
        <v>561</v>
      </c>
      <c r="FE136">
        <f>HYPERLINK("http://exon.niaid.nih.gov/transcriptome/S_calcitrans/S1/links/cluster-b/Scalc-pep95-50SimCLTL561.txt", 4)</f>
        <v>4</v>
      </c>
      <c r="FF136" t="s">
        <v>1520</v>
      </c>
      <c r="FG136">
        <v>6894</v>
      </c>
      <c r="FH136" s="38" t="str">
        <f>HYPERLINK("http://exon.niaid.nih.gov/transcriptome/S_calcitrans/S1/links/SG_male-stripped_temp-95-h10-1gap/6894-SG_male-stripped_temp-95-h10-1gap.txt","429")</f>
        <v>429</v>
      </c>
      <c r="FI136" s="39">
        <v>100</v>
      </c>
      <c r="FJ136" s="39">
        <v>73.649758454106305</v>
      </c>
      <c r="FK136" s="39">
        <v>2</v>
      </c>
      <c r="FL136" s="39">
        <v>154</v>
      </c>
      <c r="FM136" s="39">
        <v>71.074592074592104</v>
      </c>
      <c r="FN136" s="38" t="str">
        <f>HYPERLINK("http://exon.niaid.nih.gov/transcriptome/S_calcitrans/S1/links/SG_female-stripped_temp-95-h10-1gap/6894-SG_female-stripped_temp-95-h10-1gap.txt","468")</f>
        <v>468</v>
      </c>
      <c r="FO136" s="39">
        <v>100</v>
      </c>
      <c r="FP136" s="39">
        <v>80.746376811594203</v>
      </c>
      <c r="FQ136" s="39">
        <v>8</v>
      </c>
      <c r="FR136" s="39">
        <v>174</v>
      </c>
      <c r="FS136" s="39">
        <v>71.429487179487197</v>
      </c>
      <c r="FT136" s="38" t="str">
        <f>HYPERLINK("http://exon.niaid.nih.gov/transcriptome/S_calcitrans/S1/links/SRR694289-stripped_temp-95-h10-1gap/6894-SRR694289-stripped_temp-95-h10-1gap.txt","14")</f>
        <v>14</v>
      </c>
      <c r="FU136" s="39">
        <v>84.299516908212595</v>
      </c>
      <c r="FV136" s="39">
        <v>3.0120772946859899</v>
      </c>
      <c r="FW136" s="39">
        <v>0</v>
      </c>
      <c r="FX136" s="39">
        <v>7</v>
      </c>
      <c r="FY136" s="39">
        <v>89.071428571428598</v>
      </c>
      <c r="FZ136" s="38" t="str">
        <f>HYPERLINK("http://exon.niaid.nih.gov/transcriptome/S_calcitrans/S1/links/SRR694925-stripped_temp-95-h10-1gap/6894-SRR694925-stripped_temp-95-h10-1gap.txt","15")</f>
        <v>15</v>
      </c>
      <c r="GA136" s="39">
        <v>95.893719806763301</v>
      </c>
      <c r="GB136" s="39">
        <v>3.0772946859903398</v>
      </c>
      <c r="GC136" s="39">
        <v>0</v>
      </c>
      <c r="GD136" s="39">
        <v>7</v>
      </c>
      <c r="GE136" s="39">
        <v>84.933333333333294</v>
      </c>
      <c r="GF136">
        <f t="shared" si="150"/>
        <v>429</v>
      </c>
      <c r="GG136">
        <f t="shared" si="151"/>
        <v>468</v>
      </c>
      <c r="GH136">
        <f t="shared" si="152"/>
        <v>14</v>
      </c>
      <c r="GI136">
        <f t="shared" si="153"/>
        <v>15</v>
      </c>
      <c r="GJ136">
        <f t="shared" si="93"/>
        <v>897</v>
      </c>
      <c r="GK136" s="34">
        <v>3.4840911620026651E-3</v>
      </c>
      <c r="GL136">
        <v>33.896818735158</v>
      </c>
      <c r="GM136">
        <v>16.815847172106693</v>
      </c>
      <c r="GN136">
        <v>0.19438387418626815</v>
      </c>
      <c r="GO136">
        <v>0.21470131840003426</v>
      </c>
      <c r="GP136">
        <f t="shared" si="154"/>
        <v>33.896818735158</v>
      </c>
      <c r="GQ136" t="s">
        <v>1503</v>
      </c>
      <c r="GR136">
        <v>26.435839297499697</v>
      </c>
      <c r="GS136">
        <v>13.80187887948523</v>
      </c>
      <c r="GT136">
        <v>0.35040761476259014</v>
      </c>
      <c r="GU136">
        <v>0.40648845575764991</v>
      </c>
      <c r="GV136">
        <f t="shared" si="155"/>
        <v>26.435839297499697</v>
      </c>
      <c r="GW136">
        <v>51.79292276512632</v>
      </c>
      <c r="GX136">
        <v>897</v>
      </c>
      <c r="GY136">
        <v>29</v>
      </c>
      <c r="GZ136">
        <v>926</v>
      </c>
      <c r="HA136">
        <v>205.57171627421266</v>
      </c>
      <c r="HB136">
        <v>720.42828372578731</v>
      </c>
      <c r="HC136">
        <v>2325.5780522758532</v>
      </c>
      <c r="HD136">
        <v>663.59564488996966</v>
      </c>
      <c r="HE136">
        <v>2989.1736971658229</v>
      </c>
      <c r="HF136">
        <v>0</v>
      </c>
      <c r="HG136">
        <v>205.57171627421266</v>
      </c>
      <c r="HH136">
        <v>1</v>
      </c>
      <c r="HI136">
        <v>1</v>
      </c>
      <c r="HJ136">
        <v>2</v>
      </c>
      <c r="HK136">
        <v>0</v>
      </c>
      <c r="HL136" s="30" t="s">
        <v>262</v>
      </c>
      <c r="HM136">
        <v>104.78487057367224</v>
      </c>
      <c r="HN136">
        <v>9.2149772687512791E-3</v>
      </c>
      <c r="HO136">
        <v>429</v>
      </c>
      <c r="HP136">
        <v>468</v>
      </c>
      <c r="HQ136">
        <v>897</v>
      </c>
      <c r="HR136">
        <v>280.39856244960225</v>
      </c>
      <c r="HS136">
        <v>616.60143755039769</v>
      </c>
      <c r="HT136">
        <v>78.753567953879099</v>
      </c>
      <c r="HU136">
        <v>35.813064805318184</v>
      </c>
      <c r="HV136">
        <v>114.56663275919729</v>
      </c>
      <c r="HW136">
        <v>9.7919995089008212E-27</v>
      </c>
      <c r="HX136">
        <v>280.39856244960225</v>
      </c>
      <c r="HY136">
        <v>1</v>
      </c>
      <c r="HZ136">
        <v>1</v>
      </c>
      <c r="IA136">
        <v>2</v>
      </c>
      <c r="IB136" s="37">
        <v>4.4680975609756102E-25</v>
      </c>
      <c r="IC136" s="30" t="s">
        <v>262</v>
      </c>
      <c r="ID136">
        <v>2.0114683323509142</v>
      </c>
      <c r="IE136">
        <v>0.49493554784169974</v>
      </c>
      <c r="IF136">
        <v>2.0114683323509142</v>
      </c>
      <c r="IG136" t="str">
        <f t="shared" si="156"/>
        <v/>
      </c>
    </row>
    <row r="137" spans="1:241">
      <c r="A137" t="str">
        <f>HYPERLINK("http://exon.niaid.nih.gov/transcriptome/S_calcitrans/S1/links/pep/XP_013100797.1-pep.txt","XP_013100797.1")</f>
        <v>XP_013100797.1</v>
      </c>
      <c r="B137" s="30" t="s">
        <v>232</v>
      </c>
      <c r="C137">
        <v>137</v>
      </c>
      <c r="D137" t="s">
        <v>1514</v>
      </c>
      <c r="E137">
        <v>1</v>
      </c>
      <c r="F137" t="s">
        <v>1521</v>
      </c>
      <c r="G137" t="str">
        <f>HYPERLINK("http://exon.niaid.nih.gov/transcriptome/S_calcitrans/S1/links/cds/XM_013245343_1-cds.txt","XM_013245343_1")</f>
        <v>XM_013245343_1</v>
      </c>
      <c r="H137">
        <v>414</v>
      </c>
      <c r="I137" t="s">
        <v>1498</v>
      </c>
      <c r="J137" s="30" t="s">
        <v>236</v>
      </c>
      <c r="K137" s="30" t="s">
        <v>91</v>
      </c>
      <c r="L137" s="31" t="s">
        <v>1499</v>
      </c>
      <c r="M137" s="30">
        <v>979612</v>
      </c>
      <c r="N137" s="30">
        <v>980358</v>
      </c>
      <c r="O137" s="30" t="s">
        <v>238</v>
      </c>
      <c r="P137" s="30">
        <v>2</v>
      </c>
      <c r="Q137" s="31" t="s">
        <v>1516</v>
      </c>
      <c r="R137" s="32" t="str">
        <f>HYPERLINK("http://exon.niaid.nih.gov/transcriptome/S_calcitrans/S1/links/Sigp/XP_013100797.1-SigP.txt","CYT")</f>
        <v>CYT</v>
      </c>
      <c r="S137" t="s">
        <v>242</v>
      </c>
      <c r="T137">
        <v>16.167999999999999</v>
      </c>
      <c r="U137">
        <v>7.7</v>
      </c>
      <c r="V137" t="s">
        <v>242</v>
      </c>
      <c r="W137" t="s">
        <v>242</v>
      </c>
      <c r="X137" t="s">
        <v>720</v>
      </c>
      <c r="Y137" s="32">
        <v>0</v>
      </c>
      <c r="Z137" t="s">
        <v>242</v>
      </c>
      <c r="AA137" t="s">
        <v>242</v>
      </c>
      <c r="AB137" t="s">
        <v>242</v>
      </c>
      <c r="AC137" t="s">
        <v>242</v>
      </c>
      <c r="AD137" t="s">
        <v>242</v>
      </c>
      <c r="AE137" s="32" t="str">
        <f>HYPERLINK("http://exon.niaid.nih.gov/transcriptome/S_calcitrans/S1/links/netoglyc/XP_013100797.1-netoglyc.txt","1")</f>
        <v>1</v>
      </c>
      <c r="AF137">
        <v>10.199999999999999</v>
      </c>
      <c r="AG137">
        <v>2.2000000000000002</v>
      </c>
      <c r="AH137">
        <v>5.8</v>
      </c>
      <c r="AI137" t="s">
        <v>243</v>
      </c>
      <c r="AJ137" t="s">
        <v>242</v>
      </c>
      <c r="AK137">
        <v>104.78487057367224</v>
      </c>
      <c r="AL137" s="33">
        <f>HYPERLINK("http://exon.niaid.nih.gov/transcriptome/S_calcitrans/S1/links/cluster-b/Scalc-pep95-50SimCLU561.txt", 561)</f>
        <v>561</v>
      </c>
      <c r="AM137">
        <f>HYPERLINK("http://exon.niaid.nih.gov/transcriptome/S_calcitrans/S1/links/cluster-b/Scalc-pep95-50SimCLTL561.txt", 4)</f>
        <v>4</v>
      </c>
      <c r="AN137" s="30">
        <f t="shared" si="149"/>
        <v>1</v>
      </c>
      <c r="AO137" s="30">
        <v>1</v>
      </c>
      <c r="AP137">
        <v>897</v>
      </c>
      <c r="AQ137" s="34">
        <v>3.4840911620026651E-3</v>
      </c>
      <c r="AR137" s="35">
        <v>51.79292276512632</v>
      </c>
      <c r="AS137" t="s">
        <v>1522</v>
      </c>
      <c r="AT137" s="36" t="s">
        <v>1518</v>
      </c>
      <c r="AU137" t="s">
        <v>1503</v>
      </c>
      <c r="AV137" t="str">
        <f>HYPERLINK("http://exon.niaid.nih.gov/transcriptome/S_calcitrans/S1/links/NR-LIGHT/XP_013100797.1-NR-LIGHT.txt","NR-LIGHT")</f>
        <v>NR-LIGHT</v>
      </c>
      <c r="AW137" s="37">
        <v>7.0000000000000001E-67</v>
      </c>
      <c r="AX137">
        <v>100</v>
      </c>
      <c r="AY137" s="33"/>
      <c r="BG137" s="31"/>
      <c r="BJ137" s="33"/>
      <c r="BK137" s="33"/>
      <c r="BL137" s="33" t="str">
        <f>HYPERLINK("http://exon.niaid.nih.gov/transcriptome/S_calcitrans/S1/links/NR-LIGHT/XP_013100797.1-NR-LIGHT.txt","transcription factor MafK isoform X2")</f>
        <v>transcription factor MafK isoform X2</v>
      </c>
      <c r="BM137" t="str">
        <f>HYPERLINK("http://www.ncbi.nlm.nih.gov/sutils/blink.cgi?pid=557760165","7E-067")</f>
        <v>7E-067</v>
      </c>
      <c r="BN137" t="str">
        <f>HYPERLINK("http://www.ncbi.nlm.nih.gov/protein/557760165","gi|557760165")</f>
        <v>gi|557760165</v>
      </c>
      <c r="BO137">
        <v>92</v>
      </c>
      <c r="BP137">
        <v>93</v>
      </c>
      <c r="BQ137">
        <v>100</v>
      </c>
      <c r="BR137" t="s">
        <v>251</v>
      </c>
      <c r="BS137" s="33" t="str">
        <f>HYPERLINK("http://exon.niaid.nih.gov/transcriptome/S_calcitrans/S1/links/SWISSP/XP_013100797.1-SWISSP.txt","Transcription factor MafK")</f>
        <v>Transcription factor MafK</v>
      </c>
      <c r="BT137" t="str">
        <f>HYPERLINK("http://www.uniprot.org/uniprot/Q90596","4E-023")</f>
        <v>4E-023</v>
      </c>
      <c r="BU137" t="str">
        <f>HYPERLINK("http://www.uniprot.org/uniprot/Q90596#expression","Q90596")</f>
        <v>Q90596</v>
      </c>
      <c r="BV137">
        <v>55</v>
      </c>
      <c r="BW137">
        <v>73</v>
      </c>
      <c r="BX137">
        <v>63</v>
      </c>
      <c r="BY137" t="s">
        <v>1171</v>
      </c>
      <c r="BZ137" s="33" t="str">
        <f>HYPERLINK("http://exon.niaid.nih.gov/transcriptome/S_calcitrans/S1/links/REFSEQ-INVERTEBRATE/XP_013100797.1-REFSEQ-INVERTEBRATE.txt","transcription factor MafK isoform X2")</f>
        <v>transcription factor MafK isoform X2</v>
      </c>
      <c r="CA137" t="str">
        <f>HYPERLINK("http://www.ncbi.nlm.nih.gov/sutils/blink.cgi?pid=907643401","3E-075")</f>
        <v>3E-075</v>
      </c>
      <c r="CB137" t="str">
        <f>HYPERLINK("http://www.ncbi.nlm.nih.gov/protein/907643401","gi|907643401")</f>
        <v>gi|907643401</v>
      </c>
      <c r="CC137">
        <v>100</v>
      </c>
      <c r="CD137">
        <v>100</v>
      </c>
      <c r="CE137">
        <v>100</v>
      </c>
      <c r="CF137" t="s">
        <v>253</v>
      </c>
      <c r="CG137" s="33" t="str">
        <f>HYPERLINK("http://exon.niaid.nih.gov/transcriptome/S_calcitrans/S1/links/DIPTERA/XP_013100797.1-DIPTERA.txt","transcription factor MafK isoform X2")</f>
        <v>transcription factor MafK isoform X2</v>
      </c>
      <c r="CH137" t="str">
        <f>HYPERLINK("http://www.ncbi.nlm.nih.gov/sutils/blink.cgi?pid=907643396","1E-075")</f>
        <v>1E-075</v>
      </c>
      <c r="CI137" t="str">
        <f>HYPERLINK("http://www.ncbi.nlm.nih.gov/protein/907643396","gi|907643396")</f>
        <v>gi|907643396</v>
      </c>
      <c r="CJ137">
        <v>100</v>
      </c>
      <c r="CK137">
        <v>100</v>
      </c>
      <c r="CL137">
        <v>100</v>
      </c>
      <c r="CM137" t="s">
        <v>253</v>
      </c>
      <c r="CN137" s="33" t="s">
        <v>242</v>
      </c>
      <c r="CO137" t="s">
        <v>242</v>
      </c>
      <c r="CP137" t="s">
        <v>242</v>
      </c>
      <c r="CQ137" t="s">
        <v>242</v>
      </c>
      <c r="CR137" t="s">
        <v>242</v>
      </c>
      <c r="CS137" t="s">
        <v>242</v>
      </c>
      <c r="CT137" t="s">
        <v>242</v>
      </c>
      <c r="CU137" s="33" t="s">
        <v>1504</v>
      </c>
      <c r="CV137">
        <f>HYPERLINK("http://exon.niaid.nih.gov/transcriptome/S_calcitrans/S1/links/GO/XP_013100797.1-GO.txt",1E-55)</f>
        <v>9.9999999999999999E-56</v>
      </c>
      <c r="CW137" t="str">
        <f>HYPERLINK("http://amigo.geneontology.org/cgi-bin/amigo/term_details?term=GO:0003700","GO:0003700")</f>
        <v>GO:0003700</v>
      </c>
      <c r="CX137" t="s">
        <v>1505</v>
      </c>
      <c r="CY137" t="s">
        <v>1506</v>
      </c>
      <c r="CZ137" t="s">
        <v>1507</v>
      </c>
      <c r="DA137" t="s">
        <v>242</v>
      </c>
      <c r="DC137" t="s">
        <v>1508</v>
      </c>
      <c r="DD137" s="37">
        <v>9.9999999999999999E-56</v>
      </c>
      <c r="DE137" s="33" t="str">
        <f>HYPERLINK("http://exon.niaid.nih.gov/transcriptome/S_calcitrans/S1/links/CDD/XP_013100797.1-CDD.txt","bZIP_Maf_small")</f>
        <v>bZIP_Maf_small</v>
      </c>
      <c r="DF137" t="str">
        <f>HYPERLINK("http://www.ncbi.nlm.nih.gov/Structure/cdd/cddsrv.cgi?uid=cd14717&amp;version=v4.0","2E-028")</f>
        <v>2E-028</v>
      </c>
      <c r="DG137" t="s">
        <v>1519</v>
      </c>
      <c r="DH137" s="33" t="str">
        <f>HYPERLINK("http://exon.niaid.nih.gov/transcriptome/S_calcitrans/S1/links/KOG/XP_013100797.1-KOG.txt","bZIP transcription factor MafK")</f>
        <v>bZIP transcription factor MafK</v>
      </c>
      <c r="DI137" t="str">
        <f>HYPERLINK("http://www.ncbi.nlm.nih.gov/Structure/cdd/cddsrv.cgi?uid=KOG4196","2E-038")</f>
        <v>2E-038</v>
      </c>
      <c r="DJ137" t="s">
        <v>392</v>
      </c>
      <c r="DK137" t="str">
        <f>HYPERLINK("http://exon.niaid.nih.gov/transcriptome/S_calcitrans/S1/links/KOG/XP_013100797.1-KOG.txt","KOG4196")</f>
        <v>KOG4196</v>
      </c>
      <c r="DL137" s="33" t="str">
        <f>HYPERLINK("http://exon.niaid.nih.gov/transcriptome/S_calcitrans/S1/links/PFAM/XP_013100797.1-PFAM.txt","bZIP_Maf")</f>
        <v>bZIP_Maf</v>
      </c>
      <c r="DM137" t="str">
        <f>HYPERLINK("http://pfam.sanger.ac.uk/family?acc=PF03131","5E-026")</f>
        <v>5E-026</v>
      </c>
      <c r="DN137" s="33" t="str">
        <f>HYPERLINK("http://exon.niaid.nih.gov/transcriptome/S_calcitrans/S1/links/SMART/XP_013100797.1-SMART.txt","BRLZ")</f>
        <v>BRLZ</v>
      </c>
      <c r="DO137" t="str">
        <f>HYPERLINK("http://smart.embl-heidelberg.de/smart/do_annotation.pl?DOMAIN=BRLZ&amp;BLAST=DUMMY","1E-007")</f>
        <v>1E-007</v>
      </c>
      <c r="DP137" s="33"/>
      <c r="EB137" s="33">
        <f>HYPERLINK("http://exon.niaid.nih.gov/transcriptome/S_calcitrans/S1/links/cluster-b/Scalc-pep25-50SimCLU480.txt", 480)</f>
        <v>480</v>
      </c>
      <c r="EC137">
        <f>HYPERLINK("http://exon.niaid.nih.gov/transcriptome/S_calcitrans/S1/links/cluster-b/Scalc-pep25-50SimCLTL480.txt", 6)</f>
        <v>6</v>
      </c>
      <c r="ED137" s="33">
        <f>HYPERLINK("http://exon.niaid.nih.gov/transcriptome/S_calcitrans/S1/links/cluster-b/Scalc-pep30-50SimCLU553.txt", 553)</f>
        <v>553</v>
      </c>
      <c r="EE137">
        <f>HYPERLINK("http://exon.niaid.nih.gov/transcriptome/S_calcitrans/S1/links/cluster-b/Scalc-pep30-50SimCLTL553.txt", 6)</f>
        <v>6</v>
      </c>
      <c r="EF137" s="33">
        <f>HYPERLINK("http://exon.niaid.nih.gov/transcriptome/S_calcitrans/S1/links/cluster-b/Scalc-pep35-50SimCLU566.txt", 566)</f>
        <v>566</v>
      </c>
      <c r="EG137">
        <f>HYPERLINK("http://exon.niaid.nih.gov/transcriptome/S_calcitrans/S1/links/cluster-b/Scalc-pep35-50SimCLTL566.txt", 6)</f>
        <v>6</v>
      </c>
      <c r="EH137" s="33">
        <f>HYPERLINK("http://exon.niaid.nih.gov/transcriptome/S_calcitrans/S1/links/cluster-b/Scalc-pep40-50SimCLU548.txt", 548)</f>
        <v>548</v>
      </c>
      <c r="EI137">
        <f>HYPERLINK("http://exon.niaid.nih.gov/transcriptome/S_calcitrans/S1/links/cluster-b/Scalc-pep40-50SimCLTL548.txt", 6)</f>
        <v>6</v>
      </c>
      <c r="EJ137" s="33">
        <f>HYPERLINK("http://exon.niaid.nih.gov/transcriptome/S_calcitrans/S1/links/cluster-b/Scalc-pep45-50SimCLU532.txt", 532)</f>
        <v>532</v>
      </c>
      <c r="EK137">
        <f>HYPERLINK("http://exon.niaid.nih.gov/transcriptome/S_calcitrans/S1/links/cluster-b/Scalc-pep45-50SimCLTL532.txt", 6)</f>
        <v>6</v>
      </c>
      <c r="EL137" s="33">
        <f>HYPERLINK("http://exon.niaid.nih.gov/transcriptome/S_calcitrans/S1/links/cluster-b/Scalc-pep50-50SimCLU524.txt", 524)</f>
        <v>524</v>
      </c>
      <c r="EM137">
        <f>HYPERLINK("http://exon.niaid.nih.gov/transcriptome/S_calcitrans/S1/links/cluster-b/Scalc-pep50-50SimCLTL524.txt", 6)</f>
        <v>6</v>
      </c>
      <c r="EN137" s="33">
        <f>HYPERLINK("http://exon.niaid.nih.gov/transcriptome/S_calcitrans/S1/links/cluster-b/Scalc-pep55-50SimCLU476.txt", 476)</f>
        <v>476</v>
      </c>
      <c r="EO137">
        <f>HYPERLINK("http://exon.niaid.nih.gov/transcriptome/S_calcitrans/S1/links/cluster-b/Scalc-pep55-50SimCLTL476.txt", 6)</f>
        <v>6</v>
      </c>
      <c r="EP137" s="33">
        <f>HYPERLINK("http://exon.niaid.nih.gov/transcriptome/S_calcitrans/S1/links/cluster-b/Scalc-pep60-50SimCLU451.txt", 451)</f>
        <v>451</v>
      </c>
      <c r="EQ137">
        <f>HYPERLINK("http://exon.niaid.nih.gov/transcriptome/S_calcitrans/S1/links/cluster-b/Scalc-pep60-50SimCLTL451.txt", 6)</f>
        <v>6</v>
      </c>
      <c r="ER137" s="33">
        <f>HYPERLINK("http://exon.niaid.nih.gov/transcriptome/S_calcitrans/S1/links/cluster-b/Scalc-pep65-50SimCLU410.txt", 410)</f>
        <v>410</v>
      </c>
      <c r="ES137">
        <f>HYPERLINK("http://exon.niaid.nih.gov/transcriptome/S_calcitrans/S1/links/cluster-b/Scalc-pep65-50SimCLTL410.txt", 6)</f>
        <v>6</v>
      </c>
      <c r="ET137" s="33">
        <f>HYPERLINK("http://exon.niaid.nih.gov/transcriptome/S_calcitrans/S1/links/cluster-b/Scalc-pep70-50SimCLU367.txt", 367)</f>
        <v>367</v>
      </c>
      <c r="EU137">
        <f>HYPERLINK("http://exon.niaid.nih.gov/transcriptome/S_calcitrans/S1/links/cluster-b/Scalc-pep70-50SimCLTL367.txt", 6)</f>
        <v>6</v>
      </c>
      <c r="EV137" s="33">
        <f>HYPERLINK("http://exon.niaid.nih.gov/transcriptome/S_calcitrans/S1/links/cluster-b/Scalc-pep75-50SimCLU335.txt", 335)</f>
        <v>335</v>
      </c>
      <c r="EW137">
        <f>HYPERLINK("http://exon.niaid.nih.gov/transcriptome/S_calcitrans/S1/links/cluster-b/Scalc-pep75-50SimCLTL335.txt", 6)</f>
        <v>6</v>
      </c>
      <c r="EX137" s="33">
        <f>HYPERLINK("http://exon.niaid.nih.gov/transcriptome/S_calcitrans/S1/links/cluster-b/Scalc-pep80-50SimCLU304.txt", 304)</f>
        <v>304</v>
      </c>
      <c r="EY137">
        <f>HYPERLINK("http://exon.niaid.nih.gov/transcriptome/S_calcitrans/S1/links/cluster-b/Scalc-pep80-50SimCLTL304.txt", 6)</f>
        <v>6</v>
      </c>
      <c r="EZ137" s="33">
        <f>HYPERLINK("http://exon.niaid.nih.gov/transcriptome/S_calcitrans/S1/links/cluster-b/Scalc-pep85-50SimCLU274.txt", 274)</f>
        <v>274</v>
      </c>
      <c r="FA137">
        <f>HYPERLINK("http://exon.niaid.nih.gov/transcriptome/S_calcitrans/S1/links/cluster-b/Scalc-pep85-50SimCLTL274.txt", 6)</f>
        <v>6</v>
      </c>
      <c r="FB137" s="33">
        <f>HYPERLINK("http://exon.niaid.nih.gov/transcriptome/S_calcitrans/S1/links/cluster-b/Scalc-pep90-50SimCLU640.txt", 640)</f>
        <v>640</v>
      </c>
      <c r="FC137">
        <f>HYPERLINK("http://exon.niaid.nih.gov/transcriptome/S_calcitrans/S1/links/cluster-b/Scalc-pep90-50SimCLTL640.txt", 4)</f>
        <v>4</v>
      </c>
      <c r="FD137" s="33">
        <f>HYPERLINK("http://exon.niaid.nih.gov/transcriptome/S_calcitrans/S1/links/cluster-b/Scalc-pep95-50SimCLU561.txt", 561)</f>
        <v>561</v>
      </c>
      <c r="FE137">
        <f>HYPERLINK("http://exon.niaid.nih.gov/transcriptome/S_calcitrans/S1/links/cluster-b/Scalc-pep95-50SimCLTL561.txt", 4)</f>
        <v>4</v>
      </c>
      <c r="FF137" t="s">
        <v>1523</v>
      </c>
      <c r="FG137">
        <v>6897</v>
      </c>
      <c r="FH137" s="38" t="str">
        <f>HYPERLINK("http://exon.niaid.nih.gov/transcriptome/S_calcitrans/S1/links/SG_male-stripped_temp-95-h10-1gap/6897-SG_male-stripped_temp-95-h10-1gap.txt","429")</f>
        <v>429</v>
      </c>
      <c r="FI137" s="39">
        <v>100</v>
      </c>
      <c r="FJ137" s="39">
        <v>73.649758454106305</v>
      </c>
      <c r="FK137" s="39">
        <v>2</v>
      </c>
      <c r="FL137" s="39">
        <v>154</v>
      </c>
      <c r="FM137" s="39">
        <v>71.074592074592104</v>
      </c>
      <c r="FN137" s="38" t="str">
        <f>HYPERLINK("http://exon.niaid.nih.gov/transcriptome/S_calcitrans/S1/links/SG_female-stripped_temp-95-h10-1gap/6897-SG_female-stripped_temp-95-h10-1gap.txt","468")</f>
        <v>468</v>
      </c>
      <c r="FO137" s="39">
        <v>100</v>
      </c>
      <c r="FP137" s="39">
        <v>80.746376811594203</v>
      </c>
      <c r="FQ137" s="39">
        <v>8</v>
      </c>
      <c r="FR137" s="39">
        <v>174</v>
      </c>
      <c r="FS137" s="39">
        <v>71.429487179487197</v>
      </c>
      <c r="FT137" s="38" t="str">
        <f>HYPERLINK("http://exon.niaid.nih.gov/transcriptome/S_calcitrans/S1/links/SRR694289-stripped_temp-95-h10-1gap/6897-SRR694289-stripped_temp-95-h10-1gap.txt","14")</f>
        <v>14</v>
      </c>
      <c r="FU137" s="39">
        <v>84.299516908212595</v>
      </c>
      <c r="FV137" s="39">
        <v>3.0120772946859899</v>
      </c>
      <c r="FW137" s="39">
        <v>0</v>
      </c>
      <c r="FX137" s="39">
        <v>7</v>
      </c>
      <c r="FY137" s="39">
        <v>89.071428571428598</v>
      </c>
      <c r="FZ137" s="38" t="str">
        <f>HYPERLINK("http://exon.niaid.nih.gov/transcriptome/S_calcitrans/S1/links/SRR694925-stripped_temp-95-h10-1gap/6897-SRR694925-stripped_temp-95-h10-1gap.txt","15")</f>
        <v>15</v>
      </c>
      <c r="GA137" s="39">
        <v>95.893719806763301</v>
      </c>
      <c r="GB137" s="39">
        <v>3.0772946859903398</v>
      </c>
      <c r="GC137" s="39">
        <v>0</v>
      </c>
      <c r="GD137" s="39">
        <v>7</v>
      </c>
      <c r="GE137" s="39">
        <v>84.933333333333294</v>
      </c>
      <c r="GF137">
        <f t="shared" si="150"/>
        <v>429</v>
      </c>
      <c r="GG137">
        <f t="shared" si="151"/>
        <v>468</v>
      </c>
      <c r="GH137">
        <f t="shared" si="152"/>
        <v>14</v>
      </c>
      <c r="GI137">
        <f t="shared" si="153"/>
        <v>15</v>
      </c>
      <c r="GJ137">
        <f t="shared" si="93"/>
        <v>897</v>
      </c>
      <c r="GK137" s="34">
        <v>3.4840911620026651E-3</v>
      </c>
      <c r="GL137">
        <v>33.896818735158</v>
      </c>
      <c r="GM137">
        <v>16.815847172106693</v>
      </c>
      <c r="GN137">
        <v>0.19438387418626815</v>
      </c>
      <c r="GO137">
        <v>0.21470131840003426</v>
      </c>
      <c r="GP137">
        <f t="shared" si="154"/>
        <v>33.896818735158</v>
      </c>
      <c r="GQ137" t="s">
        <v>1503</v>
      </c>
      <c r="GR137">
        <v>26.435839297499697</v>
      </c>
      <c r="GS137">
        <v>13.80187887948523</v>
      </c>
      <c r="GT137">
        <v>0.35040761476259014</v>
      </c>
      <c r="GU137">
        <v>0.40648845575764991</v>
      </c>
      <c r="GV137">
        <f t="shared" si="155"/>
        <v>26.435839297499697</v>
      </c>
      <c r="GW137">
        <v>51.79292276512632</v>
      </c>
      <c r="GX137">
        <v>897</v>
      </c>
      <c r="GY137">
        <v>29</v>
      </c>
      <c r="GZ137">
        <v>926</v>
      </c>
      <c r="HA137">
        <v>205.57171627421266</v>
      </c>
      <c r="HB137">
        <v>720.42828372578731</v>
      </c>
      <c r="HC137">
        <v>2325.5780522758532</v>
      </c>
      <c r="HD137">
        <v>663.59564488996966</v>
      </c>
      <c r="HE137">
        <v>2989.1736971658229</v>
      </c>
      <c r="HF137">
        <v>0</v>
      </c>
      <c r="HG137">
        <v>205.57171627421266</v>
      </c>
      <c r="HH137">
        <v>1</v>
      </c>
      <c r="HI137">
        <v>1</v>
      </c>
      <c r="HJ137">
        <v>2</v>
      </c>
      <c r="HK137">
        <v>0</v>
      </c>
      <c r="HL137" s="30" t="s">
        <v>262</v>
      </c>
      <c r="HM137">
        <v>104.78487057367224</v>
      </c>
      <c r="HN137">
        <v>9.2149772687512791E-3</v>
      </c>
      <c r="HO137">
        <v>429</v>
      </c>
      <c r="HP137">
        <v>468</v>
      </c>
      <c r="HQ137">
        <v>897</v>
      </c>
      <c r="HR137">
        <v>280.39856244960225</v>
      </c>
      <c r="HS137">
        <v>616.60143755039769</v>
      </c>
      <c r="HT137">
        <v>78.753567953879099</v>
      </c>
      <c r="HU137">
        <v>35.813064805318184</v>
      </c>
      <c r="HV137">
        <v>114.56663275919729</v>
      </c>
      <c r="HW137">
        <v>9.7919995089008212E-27</v>
      </c>
      <c r="HX137">
        <v>280.39856244960225</v>
      </c>
      <c r="HY137">
        <v>1</v>
      </c>
      <c r="HZ137">
        <v>1</v>
      </c>
      <c r="IA137">
        <v>2</v>
      </c>
      <c r="IB137" s="37">
        <v>4.4680975609756102E-25</v>
      </c>
      <c r="IC137" s="30" t="s">
        <v>262</v>
      </c>
      <c r="ID137">
        <v>2.0114683323509142</v>
      </c>
      <c r="IE137">
        <v>0.49493554784169974</v>
      </c>
      <c r="IF137">
        <v>2.0114683323509142</v>
      </c>
      <c r="IG137" t="str">
        <f t="shared" si="156"/>
        <v/>
      </c>
    </row>
    <row r="138" spans="1:241">
      <c r="A138" t="str">
        <f>HYPERLINK("http://exon.niaid.nih.gov/transcriptome/S_calcitrans/S1/links/pep/XP_013112843.1-pep.txt","XP_013112843.1")</f>
        <v>XP_013112843.1</v>
      </c>
      <c r="B138" s="30" t="s">
        <v>232</v>
      </c>
      <c r="C138">
        <v>106</v>
      </c>
      <c r="D138" t="s">
        <v>1524</v>
      </c>
      <c r="E138">
        <v>0</v>
      </c>
      <c r="F138" t="s">
        <v>1525</v>
      </c>
      <c r="G138" t="str">
        <f>HYPERLINK("http://exon.niaid.nih.gov/transcriptome/S_calcitrans/S1/links/cds/XM_013257389_1-cds.txt","XM_013257389_1")</f>
        <v>XM_013257389_1</v>
      </c>
      <c r="H138">
        <v>321</v>
      </c>
      <c r="I138" t="s">
        <v>1526</v>
      </c>
      <c r="J138" s="30" t="s">
        <v>236</v>
      </c>
      <c r="K138" s="30" t="s">
        <v>91</v>
      </c>
      <c r="L138" s="31" t="s">
        <v>1527</v>
      </c>
      <c r="M138" s="30">
        <v>523109</v>
      </c>
      <c r="N138" s="30">
        <v>524291</v>
      </c>
      <c r="O138" s="30" t="s">
        <v>238</v>
      </c>
      <c r="P138" s="30">
        <v>2</v>
      </c>
      <c r="Q138" s="31" t="s">
        <v>1528</v>
      </c>
      <c r="R138" s="32" t="str">
        <f>HYPERLINK("http://exon.niaid.nih.gov/transcriptome/S_calcitrans/S1/links/Sigp/XP_013112843.1-SigP.txt","CYT")</f>
        <v>CYT</v>
      </c>
      <c r="S138" t="s">
        <v>242</v>
      </c>
      <c r="T138">
        <v>12.185</v>
      </c>
      <c r="U138">
        <v>9.39</v>
      </c>
      <c r="V138" t="s">
        <v>242</v>
      </c>
      <c r="W138" t="s">
        <v>242</v>
      </c>
      <c r="X138" t="s">
        <v>720</v>
      </c>
      <c r="Y138" s="32">
        <v>0</v>
      </c>
      <c r="Z138" t="s">
        <v>242</v>
      </c>
      <c r="AA138" t="s">
        <v>242</v>
      </c>
      <c r="AB138" t="s">
        <v>242</v>
      </c>
      <c r="AC138" t="s">
        <v>242</v>
      </c>
      <c r="AD138" t="s">
        <v>242</v>
      </c>
      <c r="AE138" s="32" t="str">
        <f>HYPERLINK("http://exon.niaid.nih.gov/transcriptome/S_calcitrans/S1/links/netoglyc/XP_013112843.1-netoglyc.txt","0")</f>
        <v>0</v>
      </c>
      <c r="AF138">
        <v>9.4</v>
      </c>
      <c r="AG138">
        <v>3.8</v>
      </c>
      <c r="AH138">
        <v>1.9</v>
      </c>
      <c r="AI138" t="s">
        <v>243</v>
      </c>
      <c r="AJ138" t="s">
        <v>242</v>
      </c>
      <c r="AK138">
        <v>481.87022421003121</v>
      </c>
      <c r="AL138" s="33">
        <f>HYPERLINK("http://exon.niaid.nih.gov/transcriptome/S_calcitrans/S1/links/cluster-b/Scalc-pep95-50SimCLU1513.txt", 1513)</f>
        <v>1513</v>
      </c>
      <c r="AM138">
        <f>HYPERLINK("http://exon.niaid.nih.gov/transcriptome/S_calcitrans/S1/links/cluster-b/Scalc-pep95-50SimCLTL1513.txt", 2)</f>
        <v>2</v>
      </c>
      <c r="AN138" s="30">
        <f t="shared" si="149"/>
        <v>1</v>
      </c>
      <c r="AO138" s="30" t="s">
        <v>244</v>
      </c>
      <c r="AP138">
        <v>550</v>
      </c>
      <c r="AQ138" s="34">
        <v>2.1362877804921581E-3</v>
      </c>
      <c r="AR138" s="35">
        <v>258.83110792568624</v>
      </c>
      <c r="AS138" t="s">
        <v>1529</v>
      </c>
      <c r="AT138" s="36" t="s">
        <v>1530</v>
      </c>
      <c r="AU138" t="s">
        <v>1503</v>
      </c>
      <c r="AV138" t="str">
        <f>HYPERLINK("http://exon.niaid.nih.gov/transcriptome/S_calcitrans/S1/links/NR-LIGHT/XP_013112843.1-NR-LIGHT.txt","NR-LIGHT")</f>
        <v>NR-LIGHT</v>
      </c>
      <c r="AW138" s="37">
        <v>6.9999999999999999E-43</v>
      </c>
      <c r="AX138">
        <v>100</v>
      </c>
      <c r="AY138" s="33"/>
      <c r="BG138" s="31"/>
      <c r="BJ138" s="33"/>
      <c r="BK138" s="33"/>
      <c r="BL138" s="33" t="str">
        <f>HYPERLINK("http://exon.niaid.nih.gov/transcriptome/S_calcitrans/S1/links/NR-LIGHT/XP_013112843.1-NR-LIGHT.txt","enhancer of yellow 2 transcription factor")</f>
        <v>enhancer of yellow 2 transcription factor</v>
      </c>
      <c r="BM138" t="str">
        <f>HYPERLINK("http://www.ncbi.nlm.nih.gov/sutils/blink.cgi?pid=557757966","7E-043")</f>
        <v>7E-043</v>
      </c>
      <c r="BN138" t="str">
        <f>HYPERLINK("http://www.ncbi.nlm.nih.gov/protein/557757966","gi|557757966")</f>
        <v>gi|557757966</v>
      </c>
      <c r="BO138">
        <v>95</v>
      </c>
      <c r="BP138">
        <v>96</v>
      </c>
      <c r="BQ138">
        <v>100</v>
      </c>
      <c r="BR138" t="s">
        <v>251</v>
      </c>
      <c r="BS138" s="33" t="str">
        <f>HYPERLINK("http://exon.niaid.nih.gov/transcriptome/S_calcitrans/S1/links/SWISSP/XP_013112843.1-SWISSP.txt","Enhancer of yellow 2 transcription factor")</f>
        <v>Enhancer of yellow 2 transcription factor</v>
      </c>
      <c r="BT138" t="str">
        <f>HYPERLINK("http://www.uniprot.org/uniprot/B4L1Z8","2E-031")</f>
        <v>2E-031</v>
      </c>
      <c r="BU138" t="str">
        <f>HYPERLINK("http://www.uniprot.org/uniprot/B4L1Z8#expression","B4L1Z8")</f>
        <v>B4L1Z8</v>
      </c>
      <c r="BV138">
        <v>76</v>
      </c>
      <c r="BW138">
        <v>84</v>
      </c>
      <c r="BX138">
        <v>98</v>
      </c>
      <c r="BY138" t="s">
        <v>1383</v>
      </c>
      <c r="BZ138" s="33" t="str">
        <f>HYPERLINK("http://exon.niaid.nih.gov/transcriptome/S_calcitrans/S1/links/REFSEQ-INVERTEBRATE/XP_013112843.1-REFSEQ-INVERTEBRATE.txt","enhancer of yellow 2 transcription factor")</f>
        <v>enhancer of yellow 2 transcription factor</v>
      </c>
      <c r="CA138" t="str">
        <f>HYPERLINK("http://www.ncbi.nlm.nih.gov/sutils/blink.cgi?pid=907607444","4E-053")</f>
        <v>4E-053</v>
      </c>
      <c r="CB138" t="str">
        <f>HYPERLINK("http://www.ncbi.nlm.nih.gov/protein/907607444","gi|907607444")</f>
        <v>gi|907607444</v>
      </c>
      <c r="CC138">
        <v>100</v>
      </c>
      <c r="CD138">
        <v>100</v>
      </c>
      <c r="CE138">
        <v>100</v>
      </c>
      <c r="CF138" t="s">
        <v>253</v>
      </c>
      <c r="CG138" s="33" t="str">
        <f>HYPERLINK("http://exon.niaid.nih.gov/transcriptome/S_calcitrans/S1/links/DIPTERA/XP_013112843.1-DIPTERA.txt","enhancer of yellow 2 transcription factor")</f>
        <v>enhancer of yellow 2 transcription factor</v>
      </c>
      <c r="CH138" t="str">
        <f>HYPERLINK("http://www.ncbi.nlm.nih.gov/sutils/blink.cgi?pid=907607245","2E-053")</f>
        <v>2E-053</v>
      </c>
      <c r="CI138" t="str">
        <f>HYPERLINK("http://www.ncbi.nlm.nih.gov/protein/907607245","gi|907607245")</f>
        <v>gi|907607245</v>
      </c>
      <c r="CJ138">
        <v>100</v>
      </c>
      <c r="CK138">
        <v>100</v>
      </c>
      <c r="CL138">
        <v>100</v>
      </c>
      <c r="CM138" t="s">
        <v>253</v>
      </c>
      <c r="CN138" s="33" t="s">
        <v>242</v>
      </c>
      <c r="CO138" t="s">
        <v>242</v>
      </c>
      <c r="CP138" t="s">
        <v>242</v>
      </c>
      <c r="CQ138" t="s">
        <v>242</v>
      </c>
      <c r="CR138" t="s">
        <v>242</v>
      </c>
      <c r="CS138" t="s">
        <v>242</v>
      </c>
      <c r="CT138" t="s">
        <v>242</v>
      </c>
      <c r="CU138" s="33" t="s">
        <v>1531</v>
      </c>
      <c r="CV138">
        <f>HYPERLINK("http://exon.niaid.nih.gov/transcriptome/S_calcitrans/S1/links/GO/XP_013112843.1-GO.txt",4E-31)</f>
        <v>4.0000000000000003E-31</v>
      </c>
      <c r="CW138" t="str">
        <f>HYPERLINK("http://amigo.geneontology.org/cgi-bin/amigo/term_details?term=GO:0043035","GO:0043035")</f>
        <v>GO:0043035</v>
      </c>
      <c r="CX138" t="s">
        <v>1532</v>
      </c>
      <c r="CY138" t="s">
        <v>1533</v>
      </c>
      <c r="CZ138" t="s">
        <v>242</v>
      </c>
      <c r="DA138" t="s">
        <v>242</v>
      </c>
      <c r="DC138" t="s">
        <v>1534</v>
      </c>
      <c r="DD138" s="37">
        <v>4.0000000000000003E-31</v>
      </c>
      <c r="DE138" s="33" t="str">
        <f>HYPERLINK("http://exon.niaid.nih.gov/transcriptome/S_calcitrans/S1/links/CDD/XP_013112843.1-CDD.txt","EnY2")</f>
        <v>EnY2</v>
      </c>
      <c r="DF138" t="str">
        <f>HYPERLINK("http://www.ncbi.nlm.nih.gov/Structure/cdd/cddsrv.cgi?uid=pfam10163&amp;version=v4.0","3E-022")</f>
        <v>3E-022</v>
      </c>
      <c r="DG138" t="s">
        <v>1535</v>
      </c>
      <c r="DH138" s="33" t="str">
        <f>HYPERLINK("http://exon.niaid.nih.gov/transcriptome/S_calcitrans/S1/links/KOG/XP_013112843.1-KOG.txt","Transcription factor e(y)2")</f>
        <v>Transcription factor e(y)2</v>
      </c>
      <c r="DI138" t="str">
        <f>HYPERLINK("http://www.ncbi.nlm.nih.gov/Structure/cdd/cddsrv.cgi?uid=KOG4479","2E-035")</f>
        <v>2E-035</v>
      </c>
      <c r="DJ138" t="s">
        <v>392</v>
      </c>
      <c r="DK138" t="str">
        <f>HYPERLINK("http://exon.niaid.nih.gov/transcriptome/S_calcitrans/S1/links/KOG/XP_013112843.1-KOG.txt","KOG4479")</f>
        <v>KOG4479</v>
      </c>
      <c r="DL138" s="33" t="str">
        <f>HYPERLINK("http://exon.niaid.nih.gov/transcriptome/S_calcitrans/S1/links/PFAM/XP_013112843.1-PFAM.txt","EnY2")</f>
        <v>EnY2</v>
      </c>
      <c r="DM138" t="str">
        <f>HYPERLINK("http://pfam.sanger.ac.uk/family?acc=PF10163","6E-023")</f>
        <v>6E-023</v>
      </c>
      <c r="DN138" s="33" t="str">
        <f>HYPERLINK("http://exon.niaid.nih.gov/transcriptome/S_calcitrans/S1/links/SMART/XP_013112843.1-SMART.txt","NDK")</f>
        <v>NDK</v>
      </c>
      <c r="DO138" t="str">
        <f>HYPERLINK("http://smart.embl-heidelberg.de/smart/do_annotation.pl?DOMAIN=NDK&amp;BLAST=DUMMY","0.38")</f>
        <v>0.38</v>
      </c>
      <c r="DP138" s="33"/>
      <c r="EB138" s="33">
        <f>HYPERLINK("http://exon.niaid.nih.gov/transcriptome/S_calcitrans/S1/links/cluster-b/Scalc-pep25-50SimCLU1526.txt", 1526)</f>
        <v>1526</v>
      </c>
      <c r="EC138">
        <f>HYPERLINK("http://exon.niaid.nih.gov/transcriptome/S_calcitrans/S1/links/cluster-b/Scalc-pep25-50SimCLTL1526.txt", 2)</f>
        <v>2</v>
      </c>
      <c r="ED138" s="33">
        <f>HYPERLINK("http://exon.niaid.nih.gov/transcriptome/S_calcitrans/S1/links/cluster-b/Scalc-pep30-50SimCLU1829.txt", 1829)</f>
        <v>1829</v>
      </c>
      <c r="EE138">
        <f>HYPERLINK("http://exon.niaid.nih.gov/transcriptome/S_calcitrans/S1/links/cluster-b/Scalc-pep30-50SimCLTL1829.txt", 2)</f>
        <v>2</v>
      </c>
      <c r="EF138" s="33">
        <f>HYPERLINK("http://exon.niaid.nih.gov/transcriptome/S_calcitrans/S1/links/cluster-b/Scalc-pep35-50SimCLU1929.txt", 1929)</f>
        <v>1929</v>
      </c>
      <c r="EG138">
        <f>HYPERLINK("http://exon.niaid.nih.gov/transcriptome/S_calcitrans/S1/links/cluster-b/Scalc-pep35-50SimCLTL1929.txt", 2)</f>
        <v>2</v>
      </c>
      <c r="EH138" s="33">
        <f>HYPERLINK("http://exon.niaid.nih.gov/transcriptome/S_calcitrans/S1/links/cluster-b/Scalc-pep40-50SimCLU1985.txt", 1985)</f>
        <v>1985</v>
      </c>
      <c r="EI138">
        <f>HYPERLINK("http://exon.niaid.nih.gov/transcriptome/S_calcitrans/S1/links/cluster-b/Scalc-pep40-50SimCLTL1985.txt", 2)</f>
        <v>2</v>
      </c>
      <c r="EJ138" s="33">
        <f>HYPERLINK("http://exon.niaid.nih.gov/transcriptome/S_calcitrans/S1/links/cluster-b/Scalc-pep45-50SimCLU2060.txt", 2060)</f>
        <v>2060</v>
      </c>
      <c r="EK138">
        <f>HYPERLINK("http://exon.niaid.nih.gov/transcriptome/S_calcitrans/S1/links/cluster-b/Scalc-pep45-50SimCLTL2060.txt", 2)</f>
        <v>2</v>
      </c>
      <c r="EL138" s="33">
        <f>HYPERLINK("http://exon.niaid.nih.gov/transcriptome/S_calcitrans/S1/links/cluster-b/Scalc-pep50-50SimCLU2095.txt", 2095)</f>
        <v>2095</v>
      </c>
      <c r="EM138">
        <f>HYPERLINK("http://exon.niaid.nih.gov/transcriptome/S_calcitrans/S1/links/cluster-b/Scalc-pep50-50SimCLTL2095.txt", 2)</f>
        <v>2</v>
      </c>
      <c r="EN138" s="33">
        <f>HYPERLINK("http://exon.niaid.nih.gov/transcriptome/S_calcitrans/S1/links/cluster-b/Scalc-pep55-50SimCLU2116.txt", 2116)</f>
        <v>2116</v>
      </c>
      <c r="EO138">
        <f>HYPERLINK("http://exon.niaid.nih.gov/transcriptome/S_calcitrans/S1/links/cluster-b/Scalc-pep55-50SimCLTL2116.txt", 2)</f>
        <v>2</v>
      </c>
      <c r="EP138" s="33">
        <f>HYPERLINK("http://exon.niaid.nih.gov/transcriptome/S_calcitrans/S1/links/cluster-b/Scalc-pep60-50SimCLU2133.txt", 2133)</f>
        <v>2133</v>
      </c>
      <c r="EQ138">
        <f>HYPERLINK("http://exon.niaid.nih.gov/transcriptome/S_calcitrans/S1/links/cluster-b/Scalc-pep60-50SimCLTL2133.txt", 2)</f>
        <v>2</v>
      </c>
      <c r="ER138" s="33">
        <f>HYPERLINK("http://exon.niaid.nih.gov/transcriptome/S_calcitrans/S1/links/cluster-b/Scalc-pep65-50SimCLU2119.txt", 2119)</f>
        <v>2119</v>
      </c>
      <c r="ES138">
        <f>HYPERLINK("http://exon.niaid.nih.gov/transcriptome/S_calcitrans/S1/links/cluster-b/Scalc-pep65-50SimCLTL2119.txt", 2)</f>
        <v>2</v>
      </c>
      <c r="ET138" s="33">
        <f>HYPERLINK("http://exon.niaid.nih.gov/transcriptome/S_calcitrans/S1/links/cluster-b/Scalc-pep70-50SimCLU2064.txt", 2064)</f>
        <v>2064</v>
      </c>
      <c r="EU138">
        <f>HYPERLINK("http://exon.niaid.nih.gov/transcriptome/S_calcitrans/S1/links/cluster-b/Scalc-pep70-50SimCLTL2064.txt", 2)</f>
        <v>2</v>
      </c>
      <c r="EV138" s="33">
        <f>HYPERLINK("http://exon.niaid.nih.gov/transcriptome/S_calcitrans/S1/links/cluster-b/Scalc-pep75-50SimCLU2011.txt", 2011)</f>
        <v>2011</v>
      </c>
      <c r="EW138">
        <f>HYPERLINK("http://exon.niaid.nih.gov/transcriptome/S_calcitrans/S1/links/cluster-b/Scalc-pep75-50SimCLTL2011.txt", 2)</f>
        <v>2</v>
      </c>
      <c r="EX138" s="33">
        <f>HYPERLINK("http://exon.niaid.nih.gov/transcriptome/S_calcitrans/S1/links/cluster-b/Scalc-pep80-50SimCLU1932.txt", 1932)</f>
        <v>1932</v>
      </c>
      <c r="EY138">
        <f>HYPERLINK("http://exon.niaid.nih.gov/transcriptome/S_calcitrans/S1/links/cluster-b/Scalc-pep80-50SimCLTL1932.txt", 2)</f>
        <v>2</v>
      </c>
      <c r="EZ138" s="33">
        <f>HYPERLINK("http://exon.niaid.nih.gov/transcriptome/S_calcitrans/S1/links/cluster-b/Scalc-pep85-50SimCLU1817.txt", 1817)</f>
        <v>1817</v>
      </c>
      <c r="FA138">
        <f>HYPERLINK("http://exon.niaid.nih.gov/transcriptome/S_calcitrans/S1/links/cluster-b/Scalc-pep85-50SimCLTL1817.txt", 2)</f>
        <v>2</v>
      </c>
      <c r="FB138" s="33">
        <f>HYPERLINK("http://exon.niaid.nih.gov/transcriptome/S_calcitrans/S1/links/cluster-b/Scalc-pep90-50SimCLU1707.txt", 1707)</f>
        <v>1707</v>
      </c>
      <c r="FC138">
        <f>HYPERLINK("http://exon.niaid.nih.gov/transcriptome/S_calcitrans/S1/links/cluster-b/Scalc-pep90-50SimCLTL1707.txt", 2)</f>
        <v>2</v>
      </c>
      <c r="FD138" s="33">
        <f>HYPERLINK("http://exon.niaid.nih.gov/transcriptome/S_calcitrans/S1/links/cluster-b/Scalc-pep95-50SimCLU1513.txt", 1513)</f>
        <v>1513</v>
      </c>
      <c r="FE138">
        <f>HYPERLINK("http://exon.niaid.nih.gov/transcriptome/S_calcitrans/S1/links/cluster-b/Scalc-pep95-50SimCLTL1513.txt", 2)</f>
        <v>2</v>
      </c>
      <c r="FF138" t="s">
        <v>1536</v>
      </c>
      <c r="FG138">
        <v>1826</v>
      </c>
      <c r="FH138" s="38" t="str">
        <f>HYPERLINK("http://exon.niaid.nih.gov/transcriptome/S_calcitrans/S1/links/SG_male-stripped_temp-95-h10-1gap/1826-SG_male-stripped_temp-95-h10-1gap.txt","275")</f>
        <v>275</v>
      </c>
      <c r="FI138" s="39">
        <v>77.258566978193102</v>
      </c>
      <c r="FJ138" s="39">
        <v>60.161993769470399</v>
      </c>
      <c r="FK138" s="39">
        <v>0</v>
      </c>
      <c r="FL138" s="39">
        <v>142</v>
      </c>
      <c r="FM138" s="39">
        <v>70.225454545454497</v>
      </c>
      <c r="FN138" s="38" t="str">
        <f>HYPERLINK("http://exon.niaid.nih.gov/transcriptome/S_calcitrans/S1/links/SG_female-stripped_temp-95-h10-1gap/1826-SG_female-stripped_temp-95-h10-1gap.txt","275")</f>
        <v>275</v>
      </c>
      <c r="FO138" s="39">
        <v>78.504672897196301</v>
      </c>
      <c r="FP138" s="39">
        <v>60.355140186915897</v>
      </c>
      <c r="FQ138" s="39">
        <v>0</v>
      </c>
      <c r="FR138" s="39">
        <v>142</v>
      </c>
      <c r="FS138" s="39">
        <v>70.450909090909093</v>
      </c>
      <c r="FT138" s="38">
        <v>0</v>
      </c>
      <c r="FU138" s="39" t="s">
        <v>242</v>
      </c>
      <c r="FV138" s="39" t="s">
        <v>242</v>
      </c>
      <c r="FW138" s="39" t="s">
        <v>242</v>
      </c>
      <c r="FX138" s="39" t="s">
        <v>242</v>
      </c>
      <c r="FY138" s="39" t="s">
        <v>242</v>
      </c>
      <c r="FZ138" s="38" t="str">
        <f>HYPERLINK("http://exon.niaid.nih.gov/transcriptome/S_calcitrans/S1/links/SRR694925-stripped_temp-95-h10-1gap/1826-SRR694925-stripped_temp-95-h10-1gap.txt","3")</f>
        <v>3</v>
      </c>
      <c r="GA138" s="39">
        <v>80.685358255451703</v>
      </c>
      <c r="GB138" s="39">
        <v>0.934579439252336</v>
      </c>
      <c r="GC138" s="39">
        <v>0</v>
      </c>
      <c r="GD138" s="39">
        <v>2</v>
      </c>
      <c r="GE138" s="39">
        <v>100</v>
      </c>
      <c r="GF138">
        <f t="shared" si="150"/>
        <v>275</v>
      </c>
      <c r="GG138">
        <f t="shared" si="151"/>
        <v>275</v>
      </c>
      <c r="GH138">
        <f t="shared" si="152"/>
        <v>0</v>
      </c>
      <c r="GI138">
        <f t="shared" si="153"/>
        <v>3</v>
      </c>
      <c r="GJ138">
        <f t="shared" si="93"/>
        <v>550</v>
      </c>
      <c r="GK138" s="34">
        <v>2.1362877804921581E-3</v>
      </c>
      <c r="GL138">
        <v>28.023969479102586</v>
      </c>
      <c r="GM138">
        <v>12.743857340471465</v>
      </c>
      <c r="GN138">
        <v>0</v>
      </c>
      <c r="GO138">
        <v>5.5380900820943414E-2</v>
      </c>
      <c r="GP138">
        <f t="shared" si="154"/>
        <v>28.023969479102586</v>
      </c>
      <c r="GQ138" t="s">
        <v>1503</v>
      </c>
      <c r="GR138">
        <v>21.855654343727284</v>
      </c>
      <c r="GS138">
        <v>10.459727284057522</v>
      </c>
      <c r="GT138">
        <v>0</v>
      </c>
      <c r="GU138">
        <v>0.10485122784029101</v>
      </c>
      <c r="GV138">
        <f t="shared" si="155"/>
        <v>21.855654343727284</v>
      </c>
      <c r="GW138">
        <v>258.83110792568624</v>
      </c>
      <c r="GX138">
        <v>550</v>
      </c>
      <c r="GY138">
        <v>3</v>
      </c>
      <c r="GZ138">
        <v>553</v>
      </c>
      <c r="HA138">
        <v>122.76583056116587</v>
      </c>
      <c r="HB138">
        <v>430.23416943883416</v>
      </c>
      <c r="HC138">
        <v>1486.8065055377815</v>
      </c>
      <c r="HD138">
        <v>424.25508827940826</v>
      </c>
      <c r="HE138">
        <v>1911.0615938171898</v>
      </c>
      <c r="HF138">
        <v>0</v>
      </c>
      <c r="HG138">
        <v>122.76583056116587</v>
      </c>
      <c r="HH138">
        <v>1</v>
      </c>
      <c r="HI138">
        <v>1</v>
      </c>
      <c r="HJ138">
        <v>2</v>
      </c>
      <c r="HK138">
        <v>0</v>
      </c>
      <c r="HL138" s="30" t="s">
        <v>262</v>
      </c>
      <c r="HM138">
        <v>481.87022421003121</v>
      </c>
      <c r="HN138">
        <v>1.553610911947928E-3</v>
      </c>
      <c r="HO138">
        <v>275</v>
      </c>
      <c r="HP138">
        <v>275</v>
      </c>
      <c r="HQ138">
        <v>550</v>
      </c>
      <c r="HR138">
        <v>171.92776961792779</v>
      </c>
      <c r="HS138">
        <v>378.07223038207218</v>
      </c>
      <c r="HT138">
        <v>61.792720859138988</v>
      </c>
      <c r="HU138">
        <v>28.100145480662992</v>
      </c>
      <c r="HV138">
        <v>89.892866339801984</v>
      </c>
      <c r="HW138">
        <v>2.5141189158253815E-21</v>
      </c>
      <c r="HX138">
        <v>171.92776961792779</v>
      </c>
      <c r="HY138">
        <v>1</v>
      </c>
      <c r="HZ138">
        <v>1</v>
      </c>
      <c r="IA138">
        <v>2</v>
      </c>
      <c r="IB138" s="37">
        <v>9.4726192953020099E-20</v>
      </c>
      <c r="IC138" s="30" t="s">
        <v>262</v>
      </c>
      <c r="ID138">
        <v>2.1910503713131244</v>
      </c>
      <c r="IE138">
        <v>0.45310083404775947</v>
      </c>
      <c r="IF138">
        <v>2.1910503713131244</v>
      </c>
      <c r="IG138" t="str">
        <f t="shared" si="156"/>
        <v/>
      </c>
    </row>
    <row r="139" spans="1:241">
      <c r="A139" t="str">
        <f>HYPERLINK("http://exon.niaid.nih.gov/transcriptome/S_calcitrans/S1/links/pep/XP_013112852.1-pep.txt","XP_013112852.1")</f>
        <v>XP_013112852.1</v>
      </c>
      <c r="B139" s="30" t="s">
        <v>232</v>
      </c>
      <c r="C139">
        <v>106</v>
      </c>
      <c r="D139" t="s">
        <v>1524</v>
      </c>
      <c r="E139">
        <v>0</v>
      </c>
      <c r="F139" t="s">
        <v>1537</v>
      </c>
      <c r="G139" t="str">
        <f>HYPERLINK("http://exon.niaid.nih.gov/transcriptome/S_calcitrans/S1/links/cds/XM_013257398_1-cds.txt","XM_013257398_1")</f>
        <v>XM_013257398_1</v>
      </c>
      <c r="H139">
        <v>321</v>
      </c>
      <c r="I139" t="s">
        <v>1526</v>
      </c>
      <c r="J139" s="30" t="s">
        <v>236</v>
      </c>
      <c r="K139" s="30" t="s">
        <v>91</v>
      </c>
      <c r="L139" s="31" t="s">
        <v>1527</v>
      </c>
      <c r="M139" s="30">
        <v>523109</v>
      </c>
      <c r="N139" s="30">
        <v>524291</v>
      </c>
      <c r="O139" s="30" t="s">
        <v>238</v>
      </c>
      <c r="P139" s="30">
        <v>2</v>
      </c>
      <c r="Q139" s="31" t="s">
        <v>1528</v>
      </c>
      <c r="R139" s="32" t="str">
        <f>HYPERLINK("http://exon.niaid.nih.gov/transcriptome/S_calcitrans/S1/links/Sigp/XP_013112852.1-SigP.txt","CYT")</f>
        <v>CYT</v>
      </c>
      <c r="S139" t="s">
        <v>242</v>
      </c>
      <c r="T139">
        <v>12.191000000000001</v>
      </c>
      <c r="U139">
        <v>9.39</v>
      </c>
      <c r="V139" t="s">
        <v>242</v>
      </c>
      <c r="W139" t="s">
        <v>242</v>
      </c>
      <c r="X139" t="s">
        <v>720</v>
      </c>
      <c r="Y139" s="32">
        <v>0</v>
      </c>
      <c r="Z139" t="s">
        <v>242</v>
      </c>
      <c r="AA139" t="s">
        <v>242</v>
      </c>
      <c r="AB139" t="s">
        <v>242</v>
      </c>
      <c r="AC139" t="s">
        <v>242</v>
      </c>
      <c r="AD139" t="s">
        <v>242</v>
      </c>
      <c r="AE139" s="32" t="str">
        <f>HYPERLINK("http://exon.niaid.nih.gov/transcriptome/S_calcitrans/S1/links/netoglyc/XP_013112852.1-netoglyc.txt","0")</f>
        <v>0</v>
      </c>
      <c r="AF139">
        <v>9.4</v>
      </c>
      <c r="AG139">
        <v>3.8</v>
      </c>
      <c r="AH139">
        <v>1.9</v>
      </c>
      <c r="AI139" t="s">
        <v>243</v>
      </c>
      <c r="AJ139" t="s">
        <v>242</v>
      </c>
      <c r="AK139">
        <v>481.87022421003121</v>
      </c>
      <c r="AL139" s="33">
        <f>HYPERLINK("http://exon.niaid.nih.gov/transcriptome/S_calcitrans/S1/links/cluster-b/Scalc-pep95-50SimCLU1513.txt", 1513)</f>
        <v>1513</v>
      </c>
      <c r="AM139">
        <f>HYPERLINK("http://exon.niaid.nih.gov/transcriptome/S_calcitrans/S1/links/cluster-b/Scalc-pep95-50SimCLTL1513.txt", 2)</f>
        <v>2</v>
      </c>
      <c r="AN139" s="30">
        <f t="shared" si="149"/>
        <v>1</v>
      </c>
      <c r="AO139" s="30">
        <v>1</v>
      </c>
      <c r="AP139">
        <v>550</v>
      </c>
      <c r="AQ139" s="34">
        <v>2.1362877804921581E-3</v>
      </c>
      <c r="AR139" s="35">
        <v>258.83110792568624</v>
      </c>
      <c r="AS139" t="s">
        <v>1538</v>
      </c>
      <c r="AT139" s="36" t="s">
        <v>1530</v>
      </c>
      <c r="AU139" t="s">
        <v>1503</v>
      </c>
      <c r="AV139" t="str">
        <f>HYPERLINK("http://exon.niaid.nih.gov/transcriptome/S_calcitrans/S1/links/NR-LIGHT/XP_013112852.1-NR-LIGHT.txt","NR-LIGHT")</f>
        <v>NR-LIGHT</v>
      </c>
      <c r="AW139" s="37">
        <v>6.9999999999999999E-43</v>
      </c>
      <c r="AX139">
        <v>100</v>
      </c>
      <c r="AY139" s="33"/>
      <c r="BG139" s="31"/>
      <c r="BJ139" s="33"/>
      <c r="BK139" s="33"/>
      <c r="BL139" s="33" t="str">
        <f>HYPERLINK("http://exon.niaid.nih.gov/transcriptome/S_calcitrans/S1/links/NR-LIGHT/XP_013112852.1-NR-LIGHT.txt","enhancer of yellow 2 transcription factor")</f>
        <v>enhancer of yellow 2 transcription factor</v>
      </c>
      <c r="BM139" t="str">
        <f>HYPERLINK("http://www.ncbi.nlm.nih.gov/sutils/blink.cgi?pid=557757966","7E-043")</f>
        <v>7E-043</v>
      </c>
      <c r="BN139" t="str">
        <f>HYPERLINK("http://www.ncbi.nlm.nih.gov/protein/557757966","gi|557757966")</f>
        <v>gi|557757966</v>
      </c>
      <c r="BO139">
        <v>95</v>
      </c>
      <c r="BP139">
        <v>96</v>
      </c>
      <c r="BQ139">
        <v>100</v>
      </c>
      <c r="BR139" t="s">
        <v>251</v>
      </c>
      <c r="BS139" s="33" t="str">
        <f>HYPERLINK("http://exon.niaid.nih.gov/transcriptome/S_calcitrans/S1/links/SWISSP/XP_013112852.1-SWISSP.txt","Enhancer of yellow 2 transcription factor")</f>
        <v>Enhancer of yellow 2 transcription factor</v>
      </c>
      <c r="BT139" t="str">
        <f>HYPERLINK("http://www.uniprot.org/uniprot/B4L1Z8","2E-031")</f>
        <v>2E-031</v>
      </c>
      <c r="BU139" t="str">
        <f>HYPERLINK("http://www.uniprot.org/uniprot/B4L1Z8#expression","B4L1Z8")</f>
        <v>B4L1Z8</v>
      </c>
      <c r="BV139">
        <v>76</v>
      </c>
      <c r="BW139">
        <v>84</v>
      </c>
      <c r="BX139">
        <v>98</v>
      </c>
      <c r="BY139" t="s">
        <v>1383</v>
      </c>
      <c r="BZ139" s="33" t="str">
        <f>HYPERLINK("http://exon.niaid.nih.gov/transcriptome/S_calcitrans/S1/links/REFSEQ-INVERTEBRATE/XP_013112852.1-REFSEQ-INVERTEBRATE.txt","enhancer of yellow 2 transcription factor")</f>
        <v>enhancer of yellow 2 transcription factor</v>
      </c>
      <c r="CA139" t="str">
        <f>HYPERLINK("http://www.ncbi.nlm.nih.gov/sutils/blink.cgi?pid=907607444","4E-053")</f>
        <v>4E-053</v>
      </c>
      <c r="CB139" t="str">
        <f>HYPERLINK("http://www.ncbi.nlm.nih.gov/protein/907607444","gi|907607444")</f>
        <v>gi|907607444</v>
      </c>
      <c r="CC139">
        <v>100</v>
      </c>
      <c r="CD139">
        <v>100</v>
      </c>
      <c r="CE139">
        <v>100</v>
      </c>
      <c r="CF139" t="s">
        <v>253</v>
      </c>
      <c r="CG139" s="33" t="str">
        <f>HYPERLINK("http://exon.niaid.nih.gov/transcriptome/S_calcitrans/S1/links/DIPTERA/XP_013112852.1-DIPTERA.txt","enhancer of yellow 2 transcription factor")</f>
        <v>enhancer of yellow 2 transcription factor</v>
      </c>
      <c r="CH139" t="str">
        <f>HYPERLINK("http://www.ncbi.nlm.nih.gov/sutils/blink.cgi?pid=907607245","2E-053")</f>
        <v>2E-053</v>
      </c>
      <c r="CI139" t="str">
        <f>HYPERLINK("http://www.ncbi.nlm.nih.gov/protein/907607245","gi|907607245")</f>
        <v>gi|907607245</v>
      </c>
      <c r="CJ139">
        <v>100</v>
      </c>
      <c r="CK139">
        <v>100</v>
      </c>
      <c r="CL139">
        <v>100</v>
      </c>
      <c r="CM139" t="s">
        <v>253</v>
      </c>
      <c r="CN139" s="33" t="s">
        <v>242</v>
      </c>
      <c r="CO139" t="s">
        <v>242</v>
      </c>
      <c r="CP139" t="s">
        <v>242</v>
      </c>
      <c r="CQ139" t="s">
        <v>242</v>
      </c>
      <c r="CR139" t="s">
        <v>242</v>
      </c>
      <c r="CS139" t="s">
        <v>242</v>
      </c>
      <c r="CT139" t="s">
        <v>242</v>
      </c>
      <c r="CU139" s="33" t="s">
        <v>1531</v>
      </c>
      <c r="CV139">
        <f>HYPERLINK("http://exon.niaid.nih.gov/transcriptome/S_calcitrans/S1/links/GO/XP_013112852.1-GO.txt",4E-31)</f>
        <v>4.0000000000000003E-31</v>
      </c>
      <c r="CW139" t="str">
        <f>HYPERLINK("http://amigo.geneontology.org/cgi-bin/amigo/term_details?term=GO:0043035","GO:0043035")</f>
        <v>GO:0043035</v>
      </c>
      <c r="CX139" t="s">
        <v>1532</v>
      </c>
      <c r="CY139" t="s">
        <v>1533</v>
      </c>
      <c r="CZ139" t="s">
        <v>242</v>
      </c>
      <c r="DA139" t="s">
        <v>242</v>
      </c>
      <c r="DC139" t="s">
        <v>1534</v>
      </c>
      <c r="DD139" s="37">
        <v>4.0000000000000003E-31</v>
      </c>
      <c r="DE139" s="33" t="str">
        <f>HYPERLINK("http://exon.niaid.nih.gov/transcriptome/S_calcitrans/S1/links/CDD/XP_013112852.1-CDD.txt","EnY2")</f>
        <v>EnY2</v>
      </c>
      <c r="DF139" t="str">
        <f>HYPERLINK("http://www.ncbi.nlm.nih.gov/Structure/cdd/cddsrv.cgi?uid=pfam10163&amp;version=v4.0","3E-022")</f>
        <v>3E-022</v>
      </c>
      <c r="DG139" t="s">
        <v>1535</v>
      </c>
      <c r="DH139" s="33" t="str">
        <f>HYPERLINK("http://exon.niaid.nih.gov/transcriptome/S_calcitrans/S1/links/KOG/XP_013112852.1-KOG.txt","Transcription factor e(y)2")</f>
        <v>Transcription factor e(y)2</v>
      </c>
      <c r="DI139" t="str">
        <f>HYPERLINK("http://www.ncbi.nlm.nih.gov/Structure/cdd/cddsrv.cgi?uid=KOG4479","2E-035")</f>
        <v>2E-035</v>
      </c>
      <c r="DJ139" t="s">
        <v>392</v>
      </c>
      <c r="DK139" t="str">
        <f>HYPERLINK("http://exon.niaid.nih.gov/transcriptome/S_calcitrans/S1/links/KOG/XP_013112852.1-KOG.txt","KOG4479")</f>
        <v>KOG4479</v>
      </c>
      <c r="DL139" s="33" t="str">
        <f>HYPERLINK("http://exon.niaid.nih.gov/transcriptome/S_calcitrans/S1/links/PFAM/XP_013112852.1-PFAM.txt","EnY2")</f>
        <v>EnY2</v>
      </c>
      <c r="DM139" t="str">
        <f>HYPERLINK("http://pfam.sanger.ac.uk/family?acc=PF10163","6E-023")</f>
        <v>6E-023</v>
      </c>
      <c r="DN139" s="33" t="str">
        <f>HYPERLINK("http://exon.niaid.nih.gov/transcriptome/S_calcitrans/S1/links/SMART/XP_013112852.1-SMART.txt","NDK")</f>
        <v>NDK</v>
      </c>
      <c r="DO139" t="str">
        <f>HYPERLINK("http://smart.embl-heidelberg.de/smart/do_annotation.pl?DOMAIN=NDK&amp;BLAST=DUMMY","0.38")</f>
        <v>0.38</v>
      </c>
      <c r="DP139" s="33"/>
      <c r="EB139" s="33">
        <f>HYPERLINK("http://exon.niaid.nih.gov/transcriptome/S_calcitrans/S1/links/cluster-b/Scalc-pep25-50SimCLU1526.txt", 1526)</f>
        <v>1526</v>
      </c>
      <c r="EC139">
        <f>HYPERLINK("http://exon.niaid.nih.gov/transcriptome/S_calcitrans/S1/links/cluster-b/Scalc-pep25-50SimCLTL1526.txt", 2)</f>
        <v>2</v>
      </c>
      <c r="ED139" s="33">
        <f>HYPERLINK("http://exon.niaid.nih.gov/transcriptome/S_calcitrans/S1/links/cluster-b/Scalc-pep30-50SimCLU1829.txt", 1829)</f>
        <v>1829</v>
      </c>
      <c r="EE139">
        <f>HYPERLINK("http://exon.niaid.nih.gov/transcriptome/S_calcitrans/S1/links/cluster-b/Scalc-pep30-50SimCLTL1829.txt", 2)</f>
        <v>2</v>
      </c>
      <c r="EF139" s="33">
        <f>HYPERLINK("http://exon.niaid.nih.gov/transcriptome/S_calcitrans/S1/links/cluster-b/Scalc-pep35-50SimCLU1929.txt", 1929)</f>
        <v>1929</v>
      </c>
      <c r="EG139">
        <f>HYPERLINK("http://exon.niaid.nih.gov/transcriptome/S_calcitrans/S1/links/cluster-b/Scalc-pep35-50SimCLTL1929.txt", 2)</f>
        <v>2</v>
      </c>
      <c r="EH139" s="33">
        <f>HYPERLINK("http://exon.niaid.nih.gov/transcriptome/S_calcitrans/S1/links/cluster-b/Scalc-pep40-50SimCLU1985.txt", 1985)</f>
        <v>1985</v>
      </c>
      <c r="EI139">
        <f>HYPERLINK("http://exon.niaid.nih.gov/transcriptome/S_calcitrans/S1/links/cluster-b/Scalc-pep40-50SimCLTL1985.txt", 2)</f>
        <v>2</v>
      </c>
      <c r="EJ139" s="33">
        <f>HYPERLINK("http://exon.niaid.nih.gov/transcriptome/S_calcitrans/S1/links/cluster-b/Scalc-pep45-50SimCLU2060.txt", 2060)</f>
        <v>2060</v>
      </c>
      <c r="EK139">
        <f>HYPERLINK("http://exon.niaid.nih.gov/transcriptome/S_calcitrans/S1/links/cluster-b/Scalc-pep45-50SimCLTL2060.txt", 2)</f>
        <v>2</v>
      </c>
      <c r="EL139" s="33">
        <f>HYPERLINK("http://exon.niaid.nih.gov/transcriptome/S_calcitrans/S1/links/cluster-b/Scalc-pep50-50SimCLU2095.txt", 2095)</f>
        <v>2095</v>
      </c>
      <c r="EM139">
        <f>HYPERLINK("http://exon.niaid.nih.gov/transcriptome/S_calcitrans/S1/links/cluster-b/Scalc-pep50-50SimCLTL2095.txt", 2)</f>
        <v>2</v>
      </c>
      <c r="EN139" s="33">
        <f>HYPERLINK("http://exon.niaid.nih.gov/transcriptome/S_calcitrans/S1/links/cluster-b/Scalc-pep55-50SimCLU2116.txt", 2116)</f>
        <v>2116</v>
      </c>
      <c r="EO139">
        <f>HYPERLINK("http://exon.niaid.nih.gov/transcriptome/S_calcitrans/S1/links/cluster-b/Scalc-pep55-50SimCLTL2116.txt", 2)</f>
        <v>2</v>
      </c>
      <c r="EP139" s="33">
        <f>HYPERLINK("http://exon.niaid.nih.gov/transcriptome/S_calcitrans/S1/links/cluster-b/Scalc-pep60-50SimCLU2133.txt", 2133)</f>
        <v>2133</v>
      </c>
      <c r="EQ139">
        <f>HYPERLINK("http://exon.niaid.nih.gov/transcriptome/S_calcitrans/S1/links/cluster-b/Scalc-pep60-50SimCLTL2133.txt", 2)</f>
        <v>2</v>
      </c>
      <c r="ER139" s="33">
        <f>HYPERLINK("http://exon.niaid.nih.gov/transcriptome/S_calcitrans/S1/links/cluster-b/Scalc-pep65-50SimCLU2119.txt", 2119)</f>
        <v>2119</v>
      </c>
      <c r="ES139">
        <f>HYPERLINK("http://exon.niaid.nih.gov/transcriptome/S_calcitrans/S1/links/cluster-b/Scalc-pep65-50SimCLTL2119.txt", 2)</f>
        <v>2</v>
      </c>
      <c r="ET139" s="33">
        <f>HYPERLINK("http://exon.niaid.nih.gov/transcriptome/S_calcitrans/S1/links/cluster-b/Scalc-pep70-50SimCLU2064.txt", 2064)</f>
        <v>2064</v>
      </c>
      <c r="EU139">
        <f>HYPERLINK("http://exon.niaid.nih.gov/transcriptome/S_calcitrans/S1/links/cluster-b/Scalc-pep70-50SimCLTL2064.txt", 2)</f>
        <v>2</v>
      </c>
      <c r="EV139" s="33">
        <f>HYPERLINK("http://exon.niaid.nih.gov/transcriptome/S_calcitrans/S1/links/cluster-b/Scalc-pep75-50SimCLU2011.txt", 2011)</f>
        <v>2011</v>
      </c>
      <c r="EW139">
        <f>HYPERLINK("http://exon.niaid.nih.gov/transcriptome/S_calcitrans/S1/links/cluster-b/Scalc-pep75-50SimCLTL2011.txt", 2)</f>
        <v>2</v>
      </c>
      <c r="EX139" s="33">
        <f>HYPERLINK("http://exon.niaid.nih.gov/transcriptome/S_calcitrans/S1/links/cluster-b/Scalc-pep80-50SimCLU1932.txt", 1932)</f>
        <v>1932</v>
      </c>
      <c r="EY139">
        <f>HYPERLINK("http://exon.niaid.nih.gov/transcriptome/S_calcitrans/S1/links/cluster-b/Scalc-pep80-50SimCLTL1932.txt", 2)</f>
        <v>2</v>
      </c>
      <c r="EZ139" s="33">
        <f>HYPERLINK("http://exon.niaid.nih.gov/transcriptome/S_calcitrans/S1/links/cluster-b/Scalc-pep85-50SimCLU1817.txt", 1817)</f>
        <v>1817</v>
      </c>
      <c r="FA139">
        <f>HYPERLINK("http://exon.niaid.nih.gov/transcriptome/S_calcitrans/S1/links/cluster-b/Scalc-pep85-50SimCLTL1817.txt", 2)</f>
        <v>2</v>
      </c>
      <c r="FB139" s="33">
        <f>HYPERLINK("http://exon.niaid.nih.gov/transcriptome/S_calcitrans/S1/links/cluster-b/Scalc-pep90-50SimCLU1707.txt", 1707)</f>
        <v>1707</v>
      </c>
      <c r="FC139">
        <f>HYPERLINK("http://exon.niaid.nih.gov/transcriptome/S_calcitrans/S1/links/cluster-b/Scalc-pep90-50SimCLTL1707.txt", 2)</f>
        <v>2</v>
      </c>
      <c r="FD139" s="33">
        <f>HYPERLINK("http://exon.niaid.nih.gov/transcriptome/S_calcitrans/S1/links/cluster-b/Scalc-pep95-50SimCLU1513.txt", 1513)</f>
        <v>1513</v>
      </c>
      <c r="FE139">
        <f>HYPERLINK("http://exon.niaid.nih.gov/transcriptome/S_calcitrans/S1/links/cluster-b/Scalc-pep95-50SimCLTL1513.txt", 2)</f>
        <v>2</v>
      </c>
      <c r="FF139" t="s">
        <v>1539</v>
      </c>
      <c r="FG139">
        <v>1825</v>
      </c>
      <c r="FH139" s="38" t="str">
        <f>HYPERLINK("http://exon.niaid.nih.gov/transcriptome/S_calcitrans/S1/links/SG_male-stripped_temp-95-h10-1gap/1825-SG_male-stripped_temp-95-h10-1gap.txt","275")</f>
        <v>275</v>
      </c>
      <c r="FI139" s="39">
        <v>77.258566978193102</v>
      </c>
      <c r="FJ139" s="39">
        <v>60.161993769470399</v>
      </c>
      <c r="FK139" s="39">
        <v>0</v>
      </c>
      <c r="FL139" s="39">
        <v>142</v>
      </c>
      <c r="FM139" s="39">
        <v>70.225454545454497</v>
      </c>
      <c r="FN139" s="38" t="str">
        <f>HYPERLINK("http://exon.niaid.nih.gov/transcriptome/S_calcitrans/S1/links/SG_female-stripped_temp-95-h10-1gap/1825-SG_female-stripped_temp-95-h10-1gap.txt","275")</f>
        <v>275</v>
      </c>
      <c r="FO139" s="39">
        <v>78.504672897196301</v>
      </c>
      <c r="FP139" s="39">
        <v>60.355140186915897</v>
      </c>
      <c r="FQ139" s="39">
        <v>0</v>
      </c>
      <c r="FR139" s="39">
        <v>142</v>
      </c>
      <c r="FS139" s="39">
        <v>70.450909090909093</v>
      </c>
      <c r="FT139" s="38">
        <v>0</v>
      </c>
      <c r="FU139" s="39" t="s">
        <v>242</v>
      </c>
      <c r="FV139" s="39" t="s">
        <v>242</v>
      </c>
      <c r="FW139" s="39" t="s">
        <v>242</v>
      </c>
      <c r="FX139" s="39" t="s">
        <v>242</v>
      </c>
      <c r="FY139" s="39" t="s">
        <v>242</v>
      </c>
      <c r="FZ139" s="38" t="str">
        <f>HYPERLINK("http://exon.niaid.nih.gov/transcriptome/S_calcitrans/S1/links/SRR694925-stripped_temp-95-h10-1gap/1825-SRR694925-stripped_temp-95-h10-1gap.txt","3")</f>
        <v>3</v>
      </c>
      <c r="GA139" s="39">
        <v>80.685358255451703</v>
      </c>
      <c r="GB139" s="39">
        <v>0.934579439252336</v>
      </c>
      <c r="GC139" s="39">
        <v>0</v>
      </c>
      <c r="GD139" s="39">
        <v>2</v>
      </c>
      <c r="GE139" s="39">
        <v>100</v>
      </c>
      <c r="GF139">
        <f t="shared" si="150"/>
        <v>275</v>
      </c>
      <c r="GG139">
        <f t="shared" si="151"/>
        <v>275</v>
      </c>
      <c r="GH139">
        <f t="shared" si="152"/>
        <v>0</v>
      </c>
      <c r="GI139">
        <f t="shared" si="153"/>
        <v>3</v>
      </c>
      <c r="GJ139">
        <f t="shared" si="93"/>
        <v>550</v>
      </c>
      <c r="GK139" s="34">
        <v>2.1362877804921581E-3</v>
      </c>
      <c r="GL139">
        <v>28.023969479102586</v>
      </c>
      <c r="GM139">
        <v>12.743857340471465</v>
      </c>
      <c r="GN139">
        <v>0</v>
      </c>
      <c r="GO139">
        <v>5.5380900820943414E-2</v>
      </c>
      <c r="GP139">
        <f t="shared" si="154"/>
        <v>28.023969479102586</v>
      </c>
      <c r="GQ139" t="s">
        <v>1503</v>
      </c>
      <c r="GR139">
        <v>21.855654343727284</v>
      </c>
      <c r="GS139">
        <v>10.459727284057522</v>
      </c>
      <c r="GT139">
        <v>0</v>
      </c>
      <c r="GU139">
        <v>0.10485122784029101</v>
      </c>
      <c r="GV139">
        <f t="shared" si="155"/>
        <v>21.855654343727284</v>
      </c>
      <c r="GW139">
        <v>258.83110792568624</v>
      </c>
      <c r="GX139">
        <v>550</v>
      </c>
      <c r="GY139">
        <v>3</v>
      </c>
      <c r="GZ139">
        <v>553</v>
      </c>
      <c r="HA139">
        <v>122.76583056116587</v>
      </c>
      <c r="HB139">
        <v>430.23416943883416</v>
      </c>
      <c r="HC139">
        <v>1486.8065055377815</v>
      </c>
      <c r="HD139">
        <v>424.25508827940826</v>
      </c>
      <c r="HE139">
        <v>1911.0615938171898</v>
      </c>
      <c r="HF139">
        <v>0</v>
      </c>
      <c r="HG139">
        <v>122.76583056116587</v>
      </c>
      <c r="HH139">
        <v>1</v>
      </c>
      <c r="HI139">
        <v>1</v>
      </c>
      <c r="HJ139">
        <v>2</v>
      </c>
      <c r="HK139">
        <v>0</v>
      </c>
      <c r="HL139" s="30" t="s">
        <v>262</v>
      </c>
      <c r="HM139">
        <v>481.87022421003121</v>
      </c>
      <c r="HN139">
        <v>1.553610911947928E-3</v>
      </c>
      <c r="HO139">
        <v>275</v>
      </c>
      <c r="HP139">
        <v>275</v>
      </c>
      <c r="HQ139">
        <v>550</v>
      </c>
      <c r="HR139">
        <v>171.92776961792779</v>
      </c>
      <c r="HS139">
        <v>378.07223038207218</v>
      </c>
      <c r="HT139">
        <v>61.792720859138988</v>
      </c>
      <c r="HU139">
        <v>28.100145480662992</v>
      </c>
      <c r="HV139">
        <v>89.892866339801984</v>
      </c>
      <c r="HW139">
        <v>2.5141189158253815E-21</v>
      </c>
      <c r="HX139">
        <v>171.92776961792779</v>
      </c>
      <c r="HY139">
        <v>1</v>
      </c>
      <c r="HZ139">
        <v>1</v>
      </c>
      <c r="IA139">
        <v>2</v>
      </c>
      <c r="IB139" s="37">
        <v>9.4726192953020099E-20</v>
      </c>
      <c r="IC139" s="30" t="s">
        <v>262</v>
      </c>
      <c r="ID139">
        <v>2.1910503713131244</v>
      </c>
      <c r="IE139">
        <v>0.45310083404775947</v>
      </c>
      <c r="IF139">
        <v>2.1910503713131244</v>
      </c>
      <c r="IG139" t="str">
        <f t="shared" si="156"/>
        <v/>
      </c>
    </row>
    <row r="140" spans="1:241">
      <c r="A140" t="str">
        <f>HYPERLINK("http://exon.niaid.nih.gov/transcriptome/S_calcitrans/S1/links/pep/XP_013100800.1-pep.txt","XP_013100800.1")</f>
        <v>XP_013100800.1</v>
      </c>
      <c r="B140" s="30" t="s">
        <v>232</v>
      </c>
      <c r="C140">
        <v>122</v>
      </c>
      <c r="D140" t="s">
        <v>1540</v>
      </c>
      <c r="E140">
        <v>0</v>
      </c>
      <c r="F140" t="s">
        <v>1541</v>
      </c>
      <c r="G140" t="str">
        <f>HYPERLINK("http://exon.niaid.nih.gov/transcriptome/S_calcitrans/S1/links/cds/XM_013245346_1-cds.txt","XM_013245346_1")</f>
        <v>XM_013245346_1</v>
      </c>
      <c r="H140">
        <v>369</v>
      </c>
      <c r="I140" t="s">
        <v>1498</v>
      </c>
      <c r="J140" s="30" t="s">
        <v>236</v>
      </c>
      <c r="K140" s="30" t="s">
        <v>91</v>
      </c>
      <c r="L140" s="31" t="s">
        <v>1499</v>
      </c>
      <c r="M140" s="30">
        <v>979612</v>
      </c>
      <c r="N140" s="30">
        <v>980313</v>
      </c>
      <c r="O140" s="30" t="s">
        <v>238</v>
      </c>
      <c r="P140" s="30">
        <v>2</v>
      </c>
      <c r="Q140" s="31" t="s">
        <v>1542</v>
      </c>
      <c r="R140" s="32" t="str">
        <f>HYPERLINK("http://exon.niaid.nih.gov/transcriptome/S_calcitrans/S1/links/Sigp/XP_013100800.1-SigP.txt","CYT")</f>
        <v>CYT</v>
      </c>
      <c r="S140" t="s">
        <v>242</v>
      </c>
      <c r="T140">
        <v>14.432</v>
      </c>
      <c r="U140">
        <v>6.44</v>
      </c>
      <c r="V140" t="s">
        <v>242</v>
      </c>
      <c r="W140" t="s">
        <v>242</v>
      </c>
      <c r="X140" t="s">
        <v>720</v>
      </c>
      <c r="Y140" s="32">
        <v>0</v>
      </c>
      <c r="Z140" t="s">
        <v>242</v>
      </c>
      <c r="AA140" t="s">
        <v>242</v>
      </c>
      <c r="AB140" t="s">
        <v>242</v>
      </c>
      <c r="AC140" t="s">
        <v>242</v>
      </c>
      <c r="AD140" t="s">
        <v>242</v>
      </c>
      <c r="AE140" s="32" t="str">
        <f>HYPERLINK("http://exon.niaid.nih.gov/transcriptome/S_calcitrans/S1/links/netoglyc/XP_013100800.1-netoglyc.txt","0")</f>
        <v>0</v>
      </c>
      <c r="AF140">
        <v>8.1999999999999993</v>
      </c>
      <c r="AG140">
        <v>2.5</v>
      </c>
      <c r="AH140">
        <v>5.7</v>
      </c>
      <c r="AI140" t="s">
        <v>243</v>
      </c>
      <c r="AJ140" t="s">
        <v>242</v>
      </c>
      <c r="AK140">
        <v>103.1494322369594</v>
      </c>
      <c r="AL140" s="33">
        <v>6622</v>
      </c>
      <c r="AM140">
        <v>1</v>
      </c>
      <c r="AN140" s="30">
        <f t="shared" si="149"/>
        <v>1</v>
      </c>
      <c r="AO140" s="30">
        <v>1</v>
      </c>
      <c r="AP140">
        <v>883</v>
      </c>
      <c r="AQ140" s="34">
        <v>3.4297129275901372E-3</v>
      </c>
      <c r="AR140" s="35">
        <v>51.239425437768496</v>
      </c>
      <c r="AS140" t="s">
        <v>1543</v>
      </c>
      <c r="AT140" s="36" t="s">
        <v>1518</v>
      </c>
      <c r="AU140" t="s">
        <v>1503</v>
      </c>
      <c r="AV140" t="str">
        <f>HYPERLINK("http://exon.niaid.nih.gov/transcriptome/S_calcitrans/S1/links/NR-LIGHT/XP_013100800.1-NR-LIGHT.txt","NR-LIGHT")</f>
        <v>NR-LIGHT</v>
      </c>
      <c r="AW140" s="37">
        <v>3.0000000000000001E-62</v>
      </c>
      <c r="AX140">
        <v>88.4</v>
      </c>
      <c r="AY140" s="33"/>
      <c r="BG140" s="31"/>
      <c r="BJ140" s="33"/>
      <c r="BK140" s="33"/>
      <c r="BL140" s="33" t="str">
        <f>HYPERLINK("http://exon.niaid.nih.gov/transcriptome/S_calcitrans/S1/links/NR-LIGHT/XP_013100800.1-NR-LIGHT.txt","transcription factor MafK isoform X2")</f>
        <v>transcription factor MafK isoform X2</v>
      </c>
      <c r="BM140" t="str">
        <f>HYPERLINK("http://www.ncbi.nlm.nih.gov/sutils/blink.cgi?pid=557760165","3E-062")</f>
        <v>3E-062</v>
      </c>
      <c r="BN140" t="str">
        <f>HYPERLINK("http://www.ncbi.nlm.nih.gov/protein/557760165","gi|557760165")</f>
        <v>gi|557760165</v>
      </c>
      <c r="BO140">
        <v>95</v>
      </c>
      <c r="BP140">
        <v>95</v>
      </c>
      <c r="BQ140">
        <v>88</v>
      </c>
      <c r="BR140" t="s">
        <v>251</v>
      </c>
      <c r="BS140" s="33" t="str">
        <f>HYPERLINK("http://exon.niaid.nih.gov/transcriptome/S_calcitrans/S1/links/SWISSP/XP_013100800.1-SWISSP.txt","Transcription factor MafK")</f>
        <v>Transcription factor MafK</v>
      </c>
      <c r="BT140" t="str">
        <f>HYPERLINK("http://www.uniprot.org/uniprot/Q90596","4E-023")</f>
        <v>4E-023</v>
      </c>
      <c r="BU140" t="str">
        <f>HYPERLINK("http://www.uniprot.org/uniprot/Q90596#expression","Q90596")</f>
        <v>Q90596</v>
      </c>
      <c r="BV140">
        <v>55</v>
      </c>
      <c r="BW140">
        <v>73</v>
      </c>
      <c r="BX140">
        <v>63</v>
      </c>
      <c r="BY140" t="s">
        <v>1171</v>
      </c>
      <c r="BZ140" s="33" t="str">
        <f>HYPERLINK("http://exon.niaid.nih.gov/transcriptome/S_calcitrans/S1/links/REFSEQ-INVERTEBRATE/XP_013100800.1-REFSEQ-INVERTEBRATE.txt","transcription factor MafK isoform X4")</f>
        <v>transcription factor MafK isoform X4</v>
      </c>
      <c r="CA140" t="str">
        <f>HYPERLINK("http://www.ncbi.nlm.nih.gov/sutils/blink.cgi?pid=907643407","1E-066")</f>
        <v>1E-066</v>
      </c>
      <c r="CB140" t="str">
        <f>HYPERLINK("http://www.ncbi.nlm.nih.gov/protein/907643407","gi|907643407")</f>
        <v>gi|907643407</v>
      </c>
      <c r="CC140">
        <v>100</v>
      </c>
      <c r="CD140">
        <v>100</v>
      </c>
      <c r="CE140">
        <v>100</v>
      </c>
      <c r="CF140" t="s">
        <v>253</v>
      </c>
      <c r="CG140" s="33" t="str">
        <f>HYPERLINK("http://exon.niaid.nih.gov/transcriptome/S_calcitrans/S1/links/DIPTERA/XP_013100800.1-DIPTERA.txt","transcription factor MafK isoform X2")</f>
        <v>transcription factor MafK isoform X2</v>
      </c>
      <c r="CH140" t="str">
        <f>HYPERLINK("http://www.ncbi.nlm.nih.gov/sutils/blink.cgi?pid=907643396","6E-067")</f>
        <v>6E-067</v>
      </c>
      <c r="CI140" t="str">
        <f>HYPERLINK("http://www.ncbi.nlm.nih.gov/protein/907643396","gi|907643396")</f>
        <v>gi|907643396</v>
      </c>
      <c r="CJ140">
        <v>100</v>
      </c>
      <c r="CK140">
        <v>100</v>
      </c>
      <c r="CL140">
        <v>89</v>
      </c>
      <c r="CM140" t="s">
        <v>253</v>
      </c>
      <c r="CN140" s="33" t="s">
        <v>242</v>
      </c>
      <c r="CO140" t="s">
        <v>242</v>
      </c>
      <c r="CP140" t="s">
        <v>242</v>
      </c>
      <c r="CQ140" t="s">
        <v>242</v>
      </c>
      <c r="CR140" t="s">
        <v>242</v>
      </c>
      <c r="CS140" t="s">
        <v>242</v>
      </c>
      <c r="CT140" t="s">
        <v>242</v>
      </c>
      <c r="CU140" s="33" t="s">
        <v>1504</v>
      </c>
      <c r="CV140">
        <f>HYPERLINK("http://exon.niaid.nih.gov/transcriptome/S_calcitrans/S1/links/GO/XP_013100800.1-GO.txt",1E-55)</f>
        <v>9.9999999999999999E-56</v>
      </c>
      <c r="CW140" t="str">
        <f>HYPERLINK("http://amigo.geneontology.org/cgi-bin/amigo/term_details?term=GO:0003700","GO:0003700")</f>
        <v>GO:0003700</v>
      </c>
      <c r="CX140" t="s">
        <v>1505</v>
      </c>
      <c r="CY140" t="s">
        <v>1506</v>
      </c>
      <c r="CZ140" t="s">
        <v>1507</v>
      </c>
      <c r="DA140" t="s">
        <v>242</v>
      </c>
      <c r="DC140" t="s">
        <v>1508</v>
      </c>
      <c r="DD140" s="37">
        <v>9.9999999999999999E-56</v>
      </c>
      <c r="DE140" s="33" t="str">
        <f>HYPERLINK("http://exon.niaid.nih.gov/transcriptome/S_calcitrans/S1/links/CDD/XP_013100800.1-CDD.txt","bZIP_Maf_small")</f>
        <v>bZIP_Maf_small</v>
      </c>
      <c r="DF140" t="str">
        <f>HYPERLINK("http://www.ncbi.nlm.nih.gov/Structure/cdd/cddsrv.cgi?uid=cd14717&amp;version=v4.0","3E-022")</f>
        <v>3E-022</v>
      </c>
      <c r="DG140" t="s">
        <v>1544</v>
      </c>
      <c r="DH140" s="33" t="str">
        <f>HYPERLINK("http://exon.niaid.nih.gov/transcriptome/S_calcitrans/S1/links/KOG/XP_013100800.1-KOG.txt","bZIP transcription factor MafK")</f>
        <v>bZIP transcription factor MafK</v>
      </c>
      <c r="DI140" t="str">
        <f>HYPERLINK("http://www.ncbi.nlm.nih.gov/Structure/cdd/cddsrv.cgi?uid=KOG4196","1E-049")</f>
        <v>1E-049</v>
      </c>
      <c r="DJ140" t="s">
        <v>392</v>
      </c>
      <c r="DK140" t="str">
        <f>HYPERLINK("http://exon.niaid.nih.gov/transcriptome/S_calcitrans/S1/links/KOG/XP_013100800.1-KOG.txt","KOG4196")</f>
        <v>KOG4196</v>
      </c>
      <c r="DL140" s="33" t="str">
        <f>HYPERLINK("http://exon.niaid.nih.gov/transcriptome/S_calcitrans/S1/links/PFAM/XP_013100800.1-PFAM.txt","bZIP_Maf")</f>
        <v>bZIP_Maf</v>
      </c>
      <c r="DM140" t="str">
        <f>HYPERLINK("http://pfam.sanger.ac.uk/family?acc=PF03131","4E-027")</f>
        <v>4E-027</v>
      </c>
      <c r="DN140" s="33" t="str">
        <f>HYPERLINK("http://exon.niaid.nih.gov/transcriptome/S_calcitrans/S1/links/SMART/XP_013100800.1-SMART.txt","BRLZ")</f>
        <v>BRLZ</v>
      </c>
      <c r="DO140" t="str">
        <f>HYPERLINK("http://smart.embl-heidelberg.de/smart/do_annotation.pl?DOMAIN=BRLZ&amp;BLAST=DUMMY","6E-008")</f>
        <v>6E-008</v>
      </c>
      <c r="DP140" s="33"/>
      <c r="EB140" s="33">
        <f>HYPERLINK("http://exon.niaid.nih.gov/transcriptome/S_calcitrans/S1/links/cluster-b/Scalc-pep25-50SimCLU480.txt", 480)</f>
        <v>480</v>
      </c>
      <c r="EC140">
        <f>HYPERLINK("http://exon.niaid.nih.gov/transcriptome/S_calcitrans/S1/links/cluster-b/Scalc-pep25-50SimCLTL480.txt", 6)</f>
        <v>6</v>
      </c>
      <c r="ED140" s="33">
        <f>HYPERLINK("http://exon.niaid.nih.gov/transcriptome/S_calcitrans/S1/links/cluster-b/Scalc-pep30-50SimCLU553.txt", 553)</f>
        <v>553</v>
      </c>
      <c r="EE140">
        <f>HYPERLINK("http://exon.niaid.nih.gov/transcriptome/S_calcitrans/S1/links/cluster-b/Scalc-pep30-50SimCLTL553.txt", 6)</f>
        <v>6</v>
      </c>
      <c r="EF140" s="33">
        <f>HYPERLINK("http://exon.niaid.nih.gov/transcriptome/S_calcitrans/S1/links/cluster-b/Scalc-pep35-50SimCLU566.txt", 566)</f>
        <v>566</v>
      </c>
      <c r="EG140">
        <f>HYPERLINK("http://exon.niaid.nih.gov/transcriptome/S_calcitrans/S1/links/cluster-b/Scalc-pep35-50SimCLTL566.txt", 6)</f>
        <v>6</v>
      </c>
      <c r="EH140" s="33">
        <f>HYPERLINK("http://exon.niaid.nih.gov/transcriptome/S_calcitrans/S1/links/cluster-b/Scalc-pep40-50SimCLU548.txt", 548)</f>
        <v>548</v>
      </c>
      <c r="EI140">
        <f>HYPERLINK("http://exon.niaid.nih.gov/transcriptome/S_calcitrans/S1/links/cluster-b/Scalc-pep40-50SimCLTL548.txt", 6)</f>
        <v>6</v>
      </c>
      <c r="EJ140" s="33">
        <f>HYPERLINK("http://exon.niaid.nih.gov/transcriptome/S_calcitrans/S1/links/cluster-b/Scalc-pep45-50SimCLU532.txt", 532)</f>
        <v>532</v>
      </c>
      <c r="EK140">
        <f>HYPERLINK("http://exon.niaid.nih.gov/transcriptome/S_calcitrans/S1/links/cluster-b/Scalc-pep45-50SimCLTL532.txt", 6)</f>
        <v>6</v>
      </c>
      <c r="EL140" s="33">
        <f>HYPERLINK("http://exon.niaid.nih.gov/transcriptome/S_calcitrans/S1/links/cluster-b/Scalc-pep50-50SimCLU524.txt", 524)</f>
        <v>524</v>
      </c>
      <c r="EM140">
        <f>HYPERLINK("http://exon.niaid.nih.gov/transcriptome/S_calcitrans/S1/links/cluster-b/Scalc-pep50-50SimCLTL524.txt", 6)</f>
        <v>6</v>
      </c>
      <c r="EN140" s="33">
        <f>HYPERLINK("http://exon.niaid.nih.gov/transcriptome/S_calcitrans/S1/links/cluster-b/Scalc-pep55-50SimCLU476.txt", 476)</f>
        <v>476</v>
      </c>
      <c r="EO140">
        <f>HYPERLINK("http://exon.niaid.nih.gov/transcriptome/S_calcitrans/S1/links/cluster-b/Scalc-pep55-50SimCLTL476.txt", 6)</f>
        <v>6</v>
      </c>
      <c r="EP140" s="33">
        <f>HYPERLINK("http://exon.niaid.nih.gov/transcriptome/S_calcitrans/S1/links/cluster-b/Scalc-pep60-50SimCLU451.txt", 451)</f>
        <v>451</v>
      </c>
      <c r="EQ140">
        <f>HYPERLINK("http://exon.niaid.nih.gov/transcriptome/S_calcitrans/S1/links/cluster-b/Scalc-pep60-50SimCLTL451.txt", 6)</f>
        <v>6</v>
      </c>
      <c r="ER140" s="33">
        <f>HYPERLINK("http://exon.niaid.nih.gov/transcriptome/S_calcitrans/S1/links/cluster-b/Scalc-pep65-50SimCLU410.txt", 410)</f>
        <v>410</v>
      </c>
      <c r="ES140">
        <f>HYPERLINK("http://exon.niaid.nih.gov/transcriptome/S_calcitrans/S1/links/cluster-b/Scalc-pep65-50SimCLTL410.txt", 6)</f>
        <v>6</v>
      </c>
      <c r="ET140" s="33">
        <f>HYPERLINK("http://exon.niaid.nih.gov/transcriptome/S_calcitrans/S1/links/cluster-b/Scalc-pep70-50SimCLU367.txt", 367)</f>
        <v>367</v>
      </c>
      <c r="EU140">
        <f>HYPERLINK("http://exon.niaid.nih.gov/transcriptome/S_calcitrans/S1/links/cluster-b/Scalc-pep70-50SimCLTL367.txt", 6)</f>
        <v>6</v>
      </c>
      <c r="EV140" s="33">
        <f>HYPERLINK("http://exon.niaid.nih.gov/transcriptome/S_calcitrans/S1/links/cluster-b/Scalc-pep75-50SimCLU335.txt", 335)</f>
        <v>335</v>
      </c>
      <c r="EW140">
        <f>HYPERLINK("http://exon.niaid.nih.gov/transcriptome/S_calcitrans/S1/links/cluster-b/Scalc-pep75-50SimCLTL335.txt", 6)</f>
        <v>6</v>
      </c>
      <c r="EX140" s="33">
        <f>HYPERLINK("http://exon.niaid.nih.gov/transcriptome/S_calcitrans/S1/links/cluster-b/Scalc-pep80-50SimCLU304.txt", 304)</f>
        <v>304</v>
      </c>
      <c r="EY140">
        <f>HYPERLINK("http://exon.niaid.nih.gov/transcriptome/S_calcitrans/S1/links/cluster-b/Scalc-pep80-50SimCLTL304.txt", 6)</f>
        <v>6</v>
      </c>
      <c r="EZ140" s="33">
        <f>HYPERLINK("http://exon.niaid.nih.gov/transcriptome/S_calcitrans/S1/links/cluster-b/Scalc-pep85-50SimCLU274.txt", 274)</f>
        <v>274</v>
      </c>
      <c r="FA140">
        <f>HYPERLINK("http://exon.niaid.nih.gov/transcriptome/S_calcitrans/S1/links/cluster-b/Scalc-pep85-50SimCLTL274.txt", 6)</f>
        <v>6</v>
      </c>
      <c r="FB140" s="33">
        <f>HYPERLINK("http://exon.niaid.nih.gov/transcriptome/S_calcitrans/S1/links/cluster-b/Scalc-pep90-50SimCLU2116.txt", 2116)</f>
        <v>2116</v>
      </c>
      <c r="FC140">
        <f>HYPERLINK("http://exon.niaid.nih.gov/transcriptome/S_calcitrans/S1/links/cluster-b/Scalc-pep90-50SimCLTL2116.txt", 2)</f>
        <v>2</v>
      </c>
      <c r="FD140" s="33">
        <v>6622</v>
      </c>
      <c r="FE140">
        <v>1</v>
      </c>
      <c r="FF140" t="s">
        <v>1545</v>
      </c>
      <c r="FG140">
        <v>6893</v>
      </c>
      <c r="FH140" s="38" t="str">
        <f>HYPERLINK("http://exon.niaid.nih.gov/transcriptome/S_calcitrans/S1/links/SG_male-stripped_temp-95-h10-1gap/6893-SG_male-stripped_temp-95-h10-1gap.txt","425")</f>
        <v>425</v>
      </c>
      <c r="FI140" s="39">
        <v>100</v>
      </c>
      <c r="FJ140" s="39">
        <v>81.878048780487802</v>
      </c>
      <c r="FK140" s="39">
        <v>8</v>
      </c>
      <c r="FL140" s="39">
        <v>154</v>
      </c>
      <c r="FM140" s="39">
        <v>71.089411764705901</v>
      </c>
      <c r="FN140" s="38" t="str">
        <f>HYPERLINK("http://exon.niaid.nih.gov/transcriptome/S_calcitrans/S1/links/SG_female-stripped_temp-95-h10-1gap/6893-SG_female-stripped_temp-95-h10-1gap.txt","458")</f>
        <v>458</v>
      </c>
      <c r="FO140" s="39">
        <v>100</v>
      </c>
      <c r="FP140" s="39">
        <v>89.165311653116504</v>
      </c>
      <c r="FQ140" s="39">
        <v>6</v>
      </c>
      <c r="FR140" s="39">
        <v>174</v>
      </c>
      <c r="FS140" s="39">
        <v>71.838427947598205</v>
      </c>
      <c r="FT140" s="38" t="str">
        <f>HYPERLINK("http://exon.niaid.nih.gov/transcriptome/S_calcitrans/S1/links/SRR694289-stripped_temp-95-h10-1gap/6893-SRR694289-stripped_temp-95-h10-1gap.txt","14")</f>
        <v>14</v>
      </c>
      <c r="FU140" s="39">
        <v>94.579945799458002</v>
      </c>
      <c r="FV140" s="39">
        <v>3.3794037940379398</v>
      </c>
      <c r="FW140" s="39">
        <v>0</v>
      </c>
      <c r="FX140" s="39">
        <v>7</v>
      </c>
      <c r="FY140" s="39">
        <v>89.071428571428598</v>
      </c>
      <c r="FZ140" s="38" t="str">
        <f>HYPERLINK("http://exon.niaid.nih.gov/transcriptome/S_calcitrans/S1/links/SRR694925-stripped_temp-95-h10-1gap/6893-SRR694925-stripped_temp-95-h10-1gap.txt","15")</f>
        <v>15</v>
      </c>
      <c r="GA140" s="39">
        <v>100</v>
      </c>
      <c r="GB140" s="39">
        <v>3.3766937669376702</v>
      </c>
      <c r="GC140" s="39">
        <v>1</v>
      </c>
      <c r="GD140" s="39">
        <v>7</v>
      </c>
      <c r="GE140" s="39">
        <v>83.066666666666706</v>
      </c>
      <c r="GF140">
        <f t="shared" si="150"/>
        <v>425</v>
      </c>
      <c r="GG140">
        <f t="shared" si="151"/>
        <v>458</v>
      </c>
      <c r="GH140">
        <f t="shared" si="152"/>
        <v>14</v>
      </c>
      <c r="GI140">
        <f t="shared" si="153"/>
        <v>15</v>
      </c>
      <c r="GJ140">
        <f t="shared" si="93"/>
        <v>883</v>
      </c>
      <c r="GK140" s="34">
        <v>3.4297129275901372E-3</v>
      </c>
      <c r="GL140">
        <v>37.675979661853361</v>
      </c>
      <c r="GM140">
        <v>18.463428612775893</v>
      </c>
      <c r="GN140">
        <v>0.21808922469678868</v>
      </c>
      <c r="GO140">
        <v>0.24088440600979452</v>
      </c>
      <c r="GP140">
        <f t="shared" si="154"/>
        <v>37.675979661853361</v>
      </c>
      <c r="GQ140" t="s">
        <v>1503</v>
      </c>
      <c r="GR140">
        <v>29.383174612889817</v>
      </c>
      <c r="GS140">
        <v>15.154158027569043</v>
      </c>
      <c r="GT140">
        <v>0.39314025070924746</v>
      </c>
      <c r="GU140">
        <v>0.4560602186549243</v>
      </c>
      <c r="GV140">
        <f t="shared" si="155"/>
        <v>29.383174612889817</v>
      </c>
      <c r="GW140">
        <v>51.239425437768496</v>
      </c>
      <c r="GX140">
        <v>883</v>
      </c>
      <c r="GY140">
        <v>29</v>
      </c>
      <c r="GZ140">
        <v>912</v>
      </c>
      <c r="HA140">
        <v>202.46372056380338</v>
      </c>
      <c r="HB140">
        <v>709.53627943619665</v>
      </c>
      <c r="HC140">
        <v>2287.4697073588195</v>
      </c>
      <c r="HD140">
        <v>652.72156061825012</v>
      </c>
      <c r="HE140">
        <v>2940.1912679770694</v>
      </c>
      <c r="HF140">
        <v>0</v>
      </c>
      <c r="HG140">
        <v>202.46372056380338</v>
      </c>
      <c r="HH140">
        <v>1</v>
      </c>
      <c r="HI140">
        <v>1</v>
      </c>
      <c r="HJ140">
        <v>2</v>
      </c>
      <c r="HK140">
        <v>0</v>
      </c>
      <c r="HL140" s="30" t="s">
        <v>262</v>
      </c>
      <c r="HM140">
        <v>103.1494322369594</v>
      </c>
      <c r="HN140">
        <v>9.3609158227812763E-3</v>
      </c>
      <c r="HO140">
        <v>425</v>
      </c>
      <c r="HP140">
        <v>458</v>
      </c>
      <c r="HQ140">
        <v>883</v>
      </c>
      <c r="HR140">
        <v>276.02221922296411</v>
      </c>
      <c r="HS140">
        <v>606.97778077703595</v>
      </c>
      <c r="HT140">
        <v>80.407944069613023</v>
      </c>
      <c r="HU140">
        <v>36.565389818450946</v>
      </c>
      <c r="HV140">
        <v>116.97333388806396</v>
      </c>
      <c r="HW140">
        <v>2.9095333388609522E-27</v>
      </c>
      <c r="HX140">
        <v>276.02221922296411</v>
      </c>
      <c r="HY140">
        <v>1</v>
      </c>
      <c r="HZ140">
        <v>1</v>
      </c>
      <c r="IA140">
        <v>2</v>
      </c>
      <c r="IB140" s="37">
        <v>1.3636523695198301E-25</v>
      </c>
      <c r="IC140" s="30" t="s">
        <v>262</v>
      </c>
      <c r="ID140">
        <v>2.0361276177859335</v>
      </c>
      <c r="IE140">
        <v>0.48890798318659134</v>
      </c>
      <c r="IF140">
        <v>2.0361276177859335</v>
      </c>
      <c r="IG140" t="str">
        <f t="shared" si="156"/>
        <v/>
      </c>
    </row>
    <row r="141" spans="1:241">
      <c r="A141" t="str">
        <f>HYPERLINK("http://exon.niaid.nih.gov/transcriptome/S_calcitrans/S1/links/pep/XP_013100798.1-pep.txt","XP_013100798.1")</f>
        <v>XP_013100798.1</v>
      </c>
      <c r="B141" s="30" t="s">
        <v>232</v>
      </c>
      <c r="C141">
        <v>128</v>
      </c>
      <c r="D141" t="s">
        <v>1546</v>
      </c>
      <c r="E141">
        <v>0</v>
      </c>
      <c r="F141" t="s">
        <v>1547</v>
      </c>
      <c r="G141" t="str">
        <f>HYPERLINK("http://exon.niaid.nih.gov/transcriptome/S_calcitrans/S1/links/cds/XM_013245344_1-cds.txt","XM_013245344_1")</f>
        <v>XM_013245344_1</v>
      </c>
      <c r="H141">
        <v>387</v>
      </c>
      <c r="I141" t="s">
        <v>1498</v>
      </c>
      <c r="J141" s="30" t="s">
        <v>236</v>
      </c>
      <c r="K141" s="30" t="s">
        <v>91</v>
      </c>
      <c r="L141" s="31" t="s">
        <v>1499</v>
      </c>
      <c r="M141" s="30">
        <v>979612</v>
      </c>
      <c r="N141" s="30">
        <v>980313</v>
      </c>
      <c r="O141" s="30" t="s">
        <v>238</v>
      </c>
      <c r="P141" s="30">
        <v>2</v>
      </c>
      <c r="Q141" s="31" t="s">
        <v>1548</v>
      </c>
      <c r="R141" s="32" t="str">
        <f>HYPERLINK("http://exon.niaid.nih.gov/transcriptome/S_calcitrans/S1/links/Sigp/XP_013100798.1-SigP.txt","CYT")</f>
        <v>CYT</v>
      </c>
      <c r="S141" t="s">
        <v>242</v>
      </c>
      <c r="T141">
        <v>15.131</v>
      </c>
      <c r="U141">
        <v>5.84</v>
      </c>
      <c r="V141" t="s">
        <v>242</v>
      </c>
      <c r="W141" t="s">
        <v>242</v>
      </c>
      <c r="X141" t="s">
        <v>720</v>
      </c>
      <c r="Y141" s="32">
        <v>0</v>
      </c>
      <c r="Z141" t="s">
        <v>242</v>
      </c>
      <c r="AA141" t="s">
        <v>242</v>
      </c>
      <c r="AB141" t="s">
        <v>242</v>
      </c>
      <c r="AC141" t="s">
        <v>242</v>
      </c>
      <c r="AD141" t="s">
        <v>242</v>
      </c>
      <c r="AE141" s="32" t="str">
        <f>HYPERLINK("http://exon.niaid.nih.gov/transcriptome/S_calcitrans/S1/links/netoglyc/XP_013100798.1-netoglyc.txt","0")</f>
        <v>0</v>
      </c>
      <c r="AF141">
        <v>8.6</v>
      </c>
      <c r="AG141">
        <v>2.2999999999999998</v>
      </c>
      <c r="AH141">
        <v>5.5</v>
      </c>
      <c r="AI141" t="s">
        <v>243</v>
      </c>
      <c r="AJ141" t="s">
        <v>242</v>
      </c>
      <c r="AK141">
        <v>107.06884480252981</v>
      </c>
      <c r="AL141" s="33">
        <v>6623</v>
      </c>
      <c r="AM141">
        <v>1</v>
      </c>
      <c r="AN141" s="30">
        <f t="shared" si="149"/>
        <v>1</v>
      </c>
      <c r="AO141" s="30">
        <v>1</v>
      </c>
      <c r="AP141">
        <v>886</v>
      </c>
      <c r="AQ141" s="34">
        <v>3.4413654063928218E-3</v>
      </c>
      <c r="AR141" s="35">
        <v>53.23908233234885</v>
      </c>
      <c r="AS141" t="s">
        <v>1549</v>
      </c>
      <c r="AT141" s="36" t="s">
        <v>1502</v>
      </c>
      <c r="AU141" t="s">
        <v>1503</v>
      </c>
      <c r="AV141" t="str">
        <f>HYPERLINK("http://exon.niaid.nih.gov/transcriptome/S_calcitrans/S1/links/NR-LIGHT/XP_013100798.1-NR-LIGHT.txt","NR-LIGHT")</f>
        <v>NR-LIGHT</v>
      </c>
      <c r="AW141" s="37">
        <v>1.9999999999999998E-65</v>
      </c>
      <c r="AX141">
        <v>88.8</v>
      </c>
      <c r="AY141" s="33"/>
      <c r="BG141" s="31"/>
      <c r="BJ141" s="33"/>
      <c r="BK141" s="33"/>
      <c r="BL141" s="33" t="str">
        <f>HYPERLINK("http://exon.niaid.nih.gov/transcriptome/S_calcitrans/S1/links/NR-LIGHT/XP_013100798.1-NR-LIGHT.txt","transcription factor MafK isoform X1")</f>
        <v>transcription factor MafK isoform X1</v>
      </c>
      <c r="BM141" t="str">
        <f>HYPERLINK("http://www.ncbi.nlm.nih.gov/sutils/blink.cgi?pid=755864273","2E-065")</f>
        <v>2E-065</v>
      </c>
      <c r="BN141" t="str">
        <f>HYPERLINK("http://www.ncbi.nlm.nih.gov/protein/755864273","gi|755864273")</f>
        <v>gi|755864273</v>
      </c>
      <c r="BO141">
        <v>95</v>
      </c>
      <c r="BP141">
        <v>96</v>
      </c>
      <c r="BQ141">
        <v>89</v>
      </c>
      <c r="BR141" t="s">
        <v>251</v>
      </c>
      <c r="BS141" s="33" t="str">
        <f>HYPERLINK("http://exon.niaid.nih.gov/transcriptome/S_calcitrans/S1/links/SWISSP/XP_013100798.1-SWISSP.txt","Transcription factor MafG")</f>
        <v>Transcription factor MafG</v>
      </c>
      <c r="BT141" t="str">
        <f>HYPERLINK("http://www.uniprot.org/uniprot/Q76MX4","2E-023")</f>
        <v>2E-023</v>
      </c>
      <c r="BU141" t="str">
        <f>HYPERLINK("http://www.uniprot.org/uniprot/Q76MX4#expression","Q76MX4")</f>
        <v>Q76MX4</v>
      </c>
      <c r="BV141">
        <v>46</v>
      </c>
      <c r="BW141">
        <v>68</v>
      </c>
      <c r="BX141">
        <v>63</v>
      </c>
      <c r="BY141" t="s">
        <v>1216</v>
      </c>
      <c r="BZ141" s="33" t="str">
        <f>HYPERLINK("http://exon.niaid.nih.gov/transcriptome/S_calcitrans/S1/links/REFSEQ-INVERTEBRATE/XP_013100798.1-REFSEQ-INVERTEBRATE.txt","transcription factor MafK isoform X3")</f>
        <v>transcription factor MafK isoform X3</v>
      </c>
      <c r="CA141" t="str">
        <f>HYPERLINK("http://www.ncbi.nlm.nih.gov/sutils/blink.cgi?pid=907643404","2E-070")</f>
        <v>2E-070</v>
      </c>
      <c r="CB141" t="str">
        <f>HYPERLINK("http://www.ncbi.nlm.nih.gov/protein/907643404","gi|907643404")</f>
        <v>gi|907643404</v>
      </c>
      <c r="CC141">
        <v>100</v>
      </c>
      <c r="CD141">
        <v>100</v>
      </c>
      <c r="CE141">
        <v>100</v>
      </c>
      <c r="CF141" t="s">
        <v>253</v>
      </c>
      <c r="CG141" s="33" t="str">
        <f>HYPERLINK("http://exon.niaid.nih.gov/transcriptome/S_calcitrans/S1/links/DIPTERA/XP_013100798.1-DIPTERA.txt","transcription factor MafK isoform X1")</f>
        <v>transcription factor MafK isoform X1</v>
      </c>
      <c r="CH141" t="str">
        <f>HYPERLINK("http://www.ncbi.nlm.nih.gov/sutils/blink.cgi?pid=907643389","1E-070")</f>
        <v>1E-070</v>
      </c>
      <c r="CI141" t="str">
        <f>HYPERLINK("http://www.ncbi.nlm.nih.gov/protein/907643389","gi|907643389")</f>
        <v>gi|907643389</v>
      </c>
      <c r="CJ141">
        <v>100</v>
      </c>
      <c r="CK141">
        <v>100</v>
      </c>
      <c r="CL141">
        <v>90</v>
      </c>
      <c r="CM141" t="s">
        <v>253</v>
      </c>
      <c r="CN141" s="33" t="s">
        <v>242</v>
      </c>
      <c r="CO141" t="s">
        <v>242</v>
      </c>
      <c r="CP141" t="s">
        <v>242</v>
      </c>
      <c r="CQ141" t="s">
        <v>242</v>
      </c>
      <c r="CR141" t="s">
        <v>242</v>
      </c>
      <c r="CS141" t="s">
        <v>242</v>
      </c>
      <c r="CT141" t="s">
        <v>242</v>
      </c>
      <c r="CU141" s="33" t="s">
        <v>1504</v>
      </c>
      <c r="CV141">
        <f>HYPERLINK("http://exon.niaid.nih.gov/transcriptome/S_calcitrans/S1/links/GO/XP_013100798.1-GO.txt",3E-56)</f>
        <v>2.9999999999999999E-56</v>
      </c>
      <c r="CW141" t="str">
        <f>HYPERLINK("http://amigo.geneontology.org/cgi-bin/amigo/term_details?term=GO:0003700","GO:0003700")</f>
        <v>GO:0003700</v>
      </c>
      <c r="CX141" t="s">
        <v>1505</v>
      </c>
      <c r="CY141" t="s">
        <v>1506</v>
      </c>
      <c r="CZ141" t="s">
        <v>1507</v>
      </c>
      <c r="DA141" t="s">
        <v>242</v>
      </c>
      <c r="DC141" t="s">
        <v>1508</v>
      </c>
      <c r="DD141" s="37">
        <v>2.9999999999999999E-56</v>
      </c>
      <c r="DE141" s="33" t="str">
        <f>HYPERLINK("http://exon.niaid.nih.gov/transcriptome/S_calcitrans/S1/links/CDD/XP_013100798.1-CDD.txt","bZIP_Maf_small")</f>
        <v>bZIP_Maf_small</v>
      </c>
      <c r="DF141" t="str">
        <f>HYPERLINK("http://www.ncbi.nlm.nih.gov/Structure/cdd/cddsrv.cgi?uid=cd14717&amp;version=v4.0","1E-022")</f>
        <v>1E-022</v>
      </c>
      <c r="DG141" t="s">
        <v>1550</v>
      </c>
      <c r="DH141" s="33" t="str">
        <f>HYPERLINK("http://exon.niaid.nih.gov/transcriptome/S_calcitrans/S1/links/KOG/XP_013100798.1-KOG.txt","bZIP transcription factor MafK")</f>
        <v>bZIP transcription factor MafK</v>
      </c>
      <c r="DI141" t="str">
        <f>HYPERLINK("http://www.ncbi.nlm.nih.gov/Structure/cdd/cddsrv.cgi?uid=KOG4196","1E-050")</f>
        <v>1E-050</v>
      </c>
      <c r="DJ141" t="s">
        <v>392</v>
      </c>
      <c r="DK141" t="str">
        <f>HYPERLINK("http://exon.niaid.nih.gov/transcriptome/S_calcitrans/S1/links/KOG/XP_013100798.1-KOG.txt","KOG4196")</f>
        <v>KOG4196</v>
      </c>
      <c r="DL141" s="33" t="str">
        <f>HYPERLINK("http://exon.niaid.nih.gov/transcriptome/S_calcitrans/S1/links/PFAM/XP_013100798.1-PFAM.txt","bZIP_Maf")</f>
        <v>bZIP_Maf</v>
      </c>
      <c r="DM141" t="str">
        <f>HYPERLINK("http://pfam.sanger.ac.uk/family?acc=PF03131","1E-027")</f>
        <v>1E-027</v>
      </c>
      <c r="DN141" s="33" t="str">
        <f>HYPERLINK("http://exon.niaid.nih.gov/transcriptome/S_calcitrans/S1/links/SMART/XP_013100798.1-SMART.txt","BRLZ")</f>
        <v>BRLZ</v>
      </c>
      <c r="DO141" t="str">
        <f>HYPERLINK("http://smart.embl-heidelberg.de/smart/do_annotation.pl?DOMAIN=BRLZ&amp;BLAST=DUMMY","2E-008")</f>
        <v>2E-008</v>
      </c>
      <c r="DP141" s="33"/>
      <c r="EB141" s="33">
        <f>HYPERLINK("http://exon.niaid.nih.gov/transcriptome/S_calcitrans/S1/links/cluster-b/Scalc-pep25-50SimCLU480.txt", 480)</f>
        <v>480</v>
      </c>
      <c r="EC141">
        <f>HYPERLINK("http://exon.niaid.nih.gov/transcriptome/S_calcitrans/S1/links/cluster-b/Scalc-pep25-50SimCLTL480.txt", 6)</f>
        <v>6</v>
      </c>
      <c r="ED141" s="33">
        <f>HYPERLINK("http://exon.niaid.nih.gov/transcriptome/S_calcitrans/S1/links/cluster-b/Scalc-pep30-50SimCLU553.txt", 553)</f>
        <v>553</v>
      </c>
      <c r="EE141">
        <f>HYPERLINK("http://exon.niaid.nih.gov/transcriptome/S_calcitrans/S1/links/cluster-b/Scalc-pep30-50SimCLTL553.txt", 6)</f>
        <v>6</v>
      </c>
      <c r="EF141" s="33">
        <f>HYPERLINK("http://exon.niaid.nih.gov/transcriptome/S_calcitrans/S1/links/cluster-b/Scalc-pep35-50SimCLU566.txt", 566)</f>
        <v>566</v>
      </c>
      <c r="EG141">
        <f>HYPERLINK("http://exon.niaid.nih.gov/transcriptome/S_calcitrans/S1/links/cluster-b/Scalc-pep35-50SimCLTL566.txt", 6)</f>
        <v>6</v>
      </c>
      <c r="EH141" s="33">
        <f>HYPERLINK("http://exon.niaid.nih.gov/transcriptome/S_calcitrans/S1/links/cluster-b/Scalc-pep40-50SimCLU548.txt", 548)</f>
        <v>548</v>
      </c>
      <c r="EI141">
        <f>HYPERLINK("http://exon.niaid.nih.gov/transcriptome/S_calcitrans/S1/links/cluster-b/Scalc-pep40-50SimCLTL548.txt", 6)</f>
        <v>6</v>
      </c>
      <c r="EJ141" s="33">
        <f>HYPERLINK("http://exon.niaid.nih.gov/transcriptome/S_calcitrans/S1/links/cluster-b/Scalc-pep45-50SimCLU532.txt", 532)</f>
        <v>532</v>
      </c>
      <c r="EK141">
        <f>HYPERLINK("http://exon.niaid.nih.gov/transcriptome/S_calcitrans/S1/links/cluster-b/Scalc-pep45-50SimCLTL532.txt", 6)</f>
        <v>6</v>
      </c>
      <c r="EL141" s="33">
        <f>HYPERLINK("http://exon.niaid.nih.gov/transcriptome/S_calcitrans/S1/links/cluster-b/Scalc-pep50-50SimCLU524.txt", 524)</f>
        <v>524</v>
      </c>
      <c r="EM141">
        <f>HYPERLINK("http://exon.niaid.nih.gov/transcriptome/S_calcitrans/S1/links/cluster-b/Scalc-pep50-50SimCLTL524.txt", 6)</f>
        <v>6</v>
      </c>
      <c r="EN141" s="33">
        <f>HYPERLINK("http://exon.niaid.nih.gov/transcriptome/S_calcitrans/S1/links/cluster-b/Scalc-pep55-50SimCLU476.txt", 476)</f>
        <v>476</v>
      </c>
      <c r="EO141">
        <f>HYPERLINK("http://exon.niaid.nih.gov/transcriptome/S_calcitrans/S1/links/cluster-b/Scalc-pep55-50SimCLTL476.txt", 6)</f>
        <v>6</v>
      </c>
      <c r="EP141" s="33">
        <f>HYPERLINK("http://exon.niaid.nih.gov/transcriptome/S_calcitrans/S1/links/cluster-b/Scalc-pep60-50SimCLU451.txt", 451)</f>
        <v>451</v>
      </c>
      <c r="EQ141">
        <f>HYPERLINK("http://exon.niaid.nih.gov/transcriptome/S_calcitrans/S1/links/cluster-b/Scalc-pep60-50SimCLTL451.txt", 6)</f>
        <v>6</v>
      </c>
      <c r="ER141" s="33">
        <f>HYPERLINK("http://exon.niaid.nih.gov/transcriptome/S_calcitrans/S1/links/cluster-b/Scalc-pep65-50SimCLU410.txt", 410)</f>
        <v>410</v>
      </c>
      <c r="ES141">
        <f>HYPERLINK("http://exon.niaid.nih.gov/transcriptome/S_calcitrans/S1/links/cluster-b/Scalc-pep65-50SimCLTL410.txt", 6)</f>
        <v>6</v>
      </c>
      <c r="ET141" s="33">
        <f>HYPERLINK("http://exon.niaid.nih.gov/transcriptome/S_calcitrans/S1/links/cluster-b/Scalc-pep70-50SimCLU367.txt", 367)</f>
        <v>367</v>
      </c>
      <c r="EU141">
        <f>HYPERLINK("http://exon.niaid.nih.gov/transcriptome/S_calcitrans/S1/links/cluster-b/Scalc-pep70-50SimCLTL367.txt", 6)</f>
        <v>6</v>
      </c>
      <c r="EV141" s="33">
        <f>HYPERLINK("http://exon.niaid.nih.gov/transcriptome/S_calcitrans/S1/links/cluster-b/Scalc-pep75-50SimCLU335.txt", 335)</f>
        <v>335</v>
      </c>
      <c r="EW141">
        <f>HYPERLINK("http://exon.niaid.nih.gov/transcriptome/S_calcitrans/S1/links/cluster-b/Scalc-pep75-50SimCLTL335.txt", 6)</f>
        <v>6</v>
      </c>
      <c r="EX141" s="33">
        <f>HYPERLINK("http://exon.niaid.nih.gov/transcriptome/S_calcitrans/S1/links/cluster-b/Scalc-pep80-50SimCLU304.txt", 304)</f>
        <v>304</v>
      </c>
      <c r="EY141">
        <f>HYPERLINK("http://exon.niaid.nih.gov/transcriptome/S_calcitrans/S1/links/cluster-b/Scalc-pep80-50SimCLTL304.txt", 6)</f>
        <v>6</v>
      </c>
      <c r="EZ141" s="33">
        <f>HYPERLINK("http://exon.niaid.nih.gov/transcriptome/S_calcitrans/S1/links/cluster-b/Scalc-pep85-50SimCLU274.txt", 274)</f>
        <v>274</v>
      </c>
      <c r="FA141">
        <f>HYPERLINK("http://exon.niaid.nih.gov/transcriptome/S_calcitrans/S1/links/cluster-b/Scalc-pep85-50SimCLTL274.txt", 6)</f>
        <v>6</v>
      </c>
      <c r="FB141" s="33">
        <f>HYPERLINK("http://exon.niaid.nih.gov/transcriptome/S_calcitrans/S1/links/cluster-b/Scalc-pep90-50SimCLU2116.txt", 2116)</f>
        <v>2116</v>
      </c>
      <c r="FC141">
        <f>HYPERLINK("http://exon.niaid.nih.gov/transcriptome/S_calcitrans/S1/links/cluster-b/Scalc-pep90-50SimCLTL2116.txt", 2)</f>
        <v>2</v>
      </c>
      <c r="FD141" s="33">
        <v>6623</v>
      </c>
      <c r="FE141">
        <v>1</v>
      </c>
      <c r="FF141" t="s">
        <v>1551</v>
      </c>
      <c r="FG141">
        <v>6896</v>
      </c>
      <c r="FH141" s="38" t="str">
        <f>HYPERLINK("http://exon.niaid.nih.gov/transcriptome/S_calcitrans/S1/links/SG_male-stripped_temp-95-h10-1gap/6896-SG_male-stripped_temp-95-h10-1gap.txt","427")</f>
        <v>427</v>
      </c>
      <c r="FI141" s="39">
        <v>100</v>
      </c>
      <c r="FJ141" s="39">
        <v>78.284237726098198</v>
      </c>
      <c r="FK141" s="39">
        <v>2</v>
      </c>
      <c r="FL141" s="39">
        <v>154</v>
      </c>
      <c r="FM141" s="39">
        <v>70.950819672131104</v>
      </c>
      <c r="FN141" s="38" t="str">
        <f>HYPERLINK("http://exon.niaid.nih.gov/transcriptome/S_calcitrans/S1/links/SG_female-stripped_temp-95-h10-1gap/6896-SG_female-stripped_temp-95-h10-1gap.txt","459")</f>
        <v>459</v>
      </c>
      <c r="FO141" s="39">
        <v>100</v>
      </c>
      <c r="FP141" s="39">
        <v>85.098191214470305</v>
      </c>
      <c r="FQ141" s="39">
        <v>1</v>
      </c>
      <c r="FR141" s="39">
        <v>174</v>
      </c>
      <c r="FS141" s="39">
        <v>71.749455337690605</v>
      </c>
      <c r="FT141" s="38" t="str">
        <f>HYPERLINK("http://exon.niaid.nih.gov/transcriptome/S_calcitrans/S1/links/SRR694289-stripped_temp-95-h10-1gap/6896-SRR694289-stripped_temp-95-h10-1gap.txt","14")</f>
        <v>14</v>
      </c>
      <c r="FU141" s="39">
        <v>90.180878552971606</v>
      </c>
      <c r="FV141" s="39">
        <v>3.2222222222222201</v>
      </c>
      <c r="FW141" s="39">
        <v>0</v>
      </c>
      <c r="FX141" s="39">
        <v>7</v>
      </c>
      <c r="FY141" s="39">
        <v>89.071428571428598</v>
      </c>
      <c r="FZ141" s="38" t="str">
        <f>HYPERLINK("http://exon.niaid.nih.gov/transcriptome/S_calcitrans/S1/links/SRR694925-stripped_temp-95-h10-1gap/6896-SRR694925-stripped_temp-95-h10-1gap.txt","14")</f>
        <v>14</v>
      </c>
      <c r="GA141" s="39">
        <v>93.023255813953497</v>
      </c>
      <c r="GB141" s="39">
        <v>3.1524547803617602</v>
      </c>
      <c r="GC141" s="39">
        <v>0</v>
      </c>
      <c r="GD141" s="39">
        <v>7</v>
      </c>
      <c r="GE141" s="39">
        <v>87.142857142857096</v>
      </c>
      <c r="GF141">
        <f t="shared" si="150"/>
        <v>427</v>
      </c>
      <c r="GG141">
        <f t="shared" si="151"/>
        <v>459</v>
      </c>
      <c r="GH141">
        <f t="shared" si="152"/>
        <v>14</v>
      </c>
      <c r="GI141">
        <f t="shared" si="153"/>
        <v>14</v>
      </c>
      <c r="GJ141">
        <f t="shared" si="93"/>
        <v>886</v>
      </c>
      <c r="GK141" s="34">
        <v>3.4413654063928218E-3</v>
      </c>
      <c r="GL141">
        <v>36.092660790154135</v>
      </c>
      <c r="GM141">
        <v>17.643102623328403</v>
      </c>
      <c r="GN141">
        <v>0.20794553982717059</v>
      </c>
      <c r="GO141">
        <v>0.21436844813894892</v>
      </c>
      <c r="GP141">
        <f t="shared" si="154"/>
        <v>36.092660790154135</v>
      </c>
      <c r="GQ141" t="s">
        <v>1503</v>
      </c>
      <c r="GR141">
        <v>28.148357753644987</v>
      </c>
      <c r="GS141">
        <v>14.480862187509995</v>
      </c>
      <c r="GT141">
        <v>0.37485465765300341</v>
      </c>
      <c r="GU141">
        <v>0.40585824109756052</v>
      </c>
      <c r="GV141">
        <f t="shared" si="155"/>
        <v>28.148357753644987</v>
      </c>
      <c r="GW141">
        <v>53.23908233234885</v>
      </c>
      <c r="GX141">
        <v>886</v>
      </c>
      <c r="GY141">
        <v>28</v>
      </c>
      <c r="GZ141">
        <v>914</v>
      </c>
      <c r="HA141">
        <v>202.90771995100471</v>
      </c>
      <c r="HB141">
        <v>711.09228004899524</v>
      </c>
      <c r="HC141">
        <v>2299.6417444107428</v>
      </c>
      <c r="HD141">
        <v>656.19480924527056</v>
      </c>
      <c r="HE141">
        <v>2955.8365536560132</v>
      </c>
      <c r="HF141">
        <v>0</v>
      </c>
      <c r="HG141">
        <v>202.90771995100471</v>
      </c>
      <c r="HH141">
        <v>1</v>
      </c>
      <c r="HI141">
        <v>1</v>
      </c>
      <c r="HJ141">
        <v>2</v>
      </c>
      <c r="HK141">
        <v>0</v>
      </c>
      <c r="HL141" s="30" t="s">
        <v>262</v>
      </c>
      <c r="HM141">
        <v>107.06884480252981</v>
      </c>
      <c r="HN141">
        <v>9.0075569896778031E-3</v>
      </c>
      <c r="HO141">
        <v>427</v>
      </c>
      <c r="HP141">
        <v>459</v>
      </c>
      <c r="HQ141">
        <v>886</v>
      </c>
      <c r="HR141">
        <v>276.96000705724367</v>
      </c>
      <c r="HS141">
        <v>609.03999294275627</v>
      </c>
      <c r="HT141">
        <v>81.282491726718732</v>
      </c>
      <c r="HU141">
        <v>36.963089030473995</v>
      </c>
      <c r="HV141">
        <v>118.24558075719273</v>
      </c>
      <c r="HW141">
        <v>1.5319611884075456E-27</v>
      </c>
      <c r="HX141">
        <v>276.96000705724367</v>
      </c>
      <c r="HY141">
        <v>1</v>
      </c>
      <c r="HZ141">
        <v>1</v>
      </c>
      <c r="IA141">
        <v>2</v>
      </c>
      <c r="IB141" s="37">
        <v>7.2405267368421001E-26</v>
      </c>
      <c r="IC141" s="30" t="s">
        <v>262</v>
      </c>
      <c r="ID141">
        <v>2.0412622004742635</v>
      </c>
      <c r="IE141">
        <v>0.48768586287600985</v>
      </c>
      <c r="IF141">
        <v>2.0412622004742635</v>
      </c>
      <c r="IG141" t="str">
        <f t="shared" si="156"/>
        <v/>
      </c>
    </row>
    <row r="142" spans="1:241">
      <c r="A142" s="22" t="s">
        <v>1552</v>
      </c>
      <c r="B142" s="23"/>
      <c r="C142" s="24"/>
      <c r="D142" s="24"/>
      <c r="E142" s="24"/>
      <c r="F142" s="24"/>
      <c r="G142" s="24"/>
      <c r="H142" s="24"/>
      <c r="I142" s="24"/>
      <c r="J142" s="23"/>
      <c r="K142" s="23"/>
      <c r="L142" s="25"/>
      <c r="M142" s="23"/>
      <c r="N142" s="23"/>
      <c r="O142" s="23"/>
      <c r="P142" s="23"/>
      <c r="Q142" s="25"/>
      <c r="R142" s="23"/>
      <c r="S142" s="24"/>
      <c r="T142" s="24"/>
      <c r="U142" s="24"/>
      <c r="V142" s="24"/>
      <c r="W142" s="24"/>
      <c r="X142" s="24"/>
      <c r="Y142" s="23"/>
      <c r="Z142" s="24"/>
      <c r="AA142" s="24"/>
      <c r="AB142" s="24"/>
      <c r="AC142" s="24"/>
      <c r="AD142" s="24"/>
      <c r="AE142" s="23"/>
      <c r="AF142" s="24"/>
      <c r="AG142" s="24"/>
      <c r="AH142" s="24"/>
      <c r="AI142" s="24"/>
      <c r="AJ142" s="24"/>
      <c r="AK142" s="24"/>
      <c r="AL142" s="24"/>
      <c r="AM142" s="24"/>
      <c r="AN142" s="23" t="str">
        <f t="shared" si="149"/>
        <v/>
      </c>
      <c r="AO142" s="23" t="s">
        <v>244</v>
      </c>
      <c r="AP142" s="24" t="s">
        <v>244</v>
      </c>
      <c r="AQ142" s="26"/>
      <c r="AR142" s="27"/>
      <c r="AS142" s="24"/>
      <c r="AT142" s="24"/>
      <c r="AU142" s="24"/>
      <c r="AV142" s="24"/>
      <c r="AW142" s="28"/>
      <c r="AX142" s="24"/>
      <c r="AY142" s="24"/>
      <c r="AZ142" s="24"/>
      <c r="BA142" s="24"/>
      <c r="BB142" s="24"/>
      <c r="BC142" s="24"/>
      <c r="BD142" s="24"/>
      <c r="BE142" s="24"/>
      <c r="BF142" s="24"/>
      <c r="BG142" s="25"/>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8"/>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9"/>
      <c r="FI142" s="29"/>
      <c r="FJ142" s="29"/>
      <c r="FK142" s="29"/>
      <c r="FL142" s="29"/>
      <c r="FM142" s="29"/>
      <c r="FN142" s="29"/>
      <c r="FO142" s="29"/>
      <c r="FP142" s="29"/>
      <c r="FQ142" s="29"/>
      <c r="FR142" s="29"/>
      <c r="FS142" s="29"/>
      <c r="FT142" s="29"/>
      <c r="FU142" s="29"/>
      <c r="FV142" s="29"/>
      <c r="FW142" s="29"/>
      <c r="FX142" s="29"/>
      <c r="FY142" s="29"/>
      <c r="FZ142" s="29"/>
      <c r="GA142" s="29"/>
      <c r="GB142" s="29"/>
      <c r="GC142" s="29"/>
      <c r="GD142" s="29"/>
      <c r="GE142" s="29"/>
      <c r="GF142" s="24"/>
      <c r="GG142" s="24"/>
      <c r="GH142" s="24"/>
      <c r="GI142" s="24"/>
      <c r="GJ142" s="24" t="str">
        <f t="shared" si="93"/>
        <v/>
      </c>
      <c r="GK142" s="26"/>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3"/>
      <c r="HM142" s="24"/>
      <c r="HN142" s="24"/>
      <c r="HO142" s="24"/>
      <c r="HP142" s="24"/>
      <c r="HQ142" s="24"/>
      <c r="HR142" s="24"/>
      <c r="HS142" s="24"/>
      <c r="HT142" s="24"/>
      <c r="HU142" s="24"/>
      <c r="HV142" s="24"/>
      <c r="HW142" s="24"/>
      <c r="HX142" s="24"/>
      <c r="HY142" s="24"/>
      <c r="HZ142" s="24"/>
      <c r="IA142" s="24"/>
      <c r="IB142" s="28"/>
      <c r="IC142" s="23"/>
      <c r="ID142" s="24"/>
      <c r="IE142" s="24"/>
      <c r="IF142" s="24"/>
      <c r="IG142" s="24" t="str">
        <f t="shared" si="156"/>
        <v/>
      </c>
    </row>
    <row r="143" spans="1:241">
      <c r="A143" t="str">
        <f>HYPERLINK("http://exon.niaid.nih.gov/transcriptome/S_calcitrans/S1/links/pep/XP_013118923.1-pep.txt","XP_013118923.1")</f>
        <v>XP_013118923.1</v>
      </c>
      <c r="B143" s="30" t="s">
        <v>232</v>
      </c>
      <c r="C143">
        <v>125</v>
      </c>
      <c r="D143" t="s">
        <v>1553</v>
      </c>
      <c r="E143">
        <v>1</v>
      </c>
      <c r="F143" t="s">
        <v>1554</v>
      </c>
      <c r="G143" t="str">
        <f>HYPERLINK("http://exon.niaid.nih.gov/transcriptome/S_calcitrans/S1/links/cds/XM_013263469_1-cds.txt","XM_013263469_1")</f>
        <v>XM_013263469_1</v>
      </c>
      <c r="H143">
        <v>378</v>
      </c>
      <c r="I143" t="s">
        <v>1555</v>
      </c>
      <c r="J143" s="30" t="s">
        <v>236</v>
      </c>
      <c r="K143" s="30" t="s">
        <v>91</v>
      </c>
      <c r="L143" s="31" t="s">
        <v>893</v>
      </c>
      <c r="M143" s="30">
        <v>465031</v>
      </c>
      <c r="N143" s="30">
        <v>465473</v>
      </c>
      <c r="O143" s="30" t="s">
        <v>276</v>
      </c>
      <c r="P143" s="30">
        <v>2</v>
      </c>
      <c r="Q143" s="31" t="s">
        <v>1556</v>
      </c>
      <c r="R143" s="32" t="str">
        <f>HYPERLINK("http://exon.niaid.nih.gov/transcriptome/S_calcitrans/S1/links/Sigp/XP_013118923.1-SigP.txt","CYT")</f>
        <v>CYT</v>
      </c>
      <c r="S143" t="s">
        <v>242</v>
      </c>
      <c r="T143">
        <v>14.569000000000001</v>
      </c>
      <c r="U143">
        <v>4.74</v>
      </c>
      <c r="V143" t="s">
        <v>242</v>
      </c>
      <c r="W143" t="s">
        <v>242</v>
      </c>
      <c r="X143" t="s">
        <v>720</v>
      </c>
      <c r="Y143" s="32">
        <v>0</v>
      </c>
      <c r="Z143" t="s">
        <v>242</v>
      </c>
      <c r="AA143" t="s">
        <v>242</v>
      </c>
      <c r="AB143" t="s">
        <v>242</v>
      </c>
      <c r="AC143" t="s">
        <v>242</v>
      </c>
      <c r="AD143" t="s">
        <v>242</v>
      </c>
      <c r="AE143" s="32" t="str">
        <f>HYPERLINK("http://exon.niaid.nih.gov/transcriptome/S_calcitrans/S1/links/netoglyc/XP_013118923.1-netoglyc.txt","3")</f>
        <v>3</v>
      </c>
      <c r="AF143">
        <v>15.2</v>
      </c>
      <c r="AG143">
        <v>2.4</v>
      </c>
      <c r="AH143">
        <v>5.6</v>
      </c>
      <c r="AI143" t="s">
        <v>243</v>
      </c>
      <c r="AJ143" t="s">
        <v>242</v>
      </c>
      <c r="AK143">
        <v>283.86536844372745</v>
      </c>
      <c r="AL143" s="33">
        <v>4610</v>
      </c>
      <c r="AM143">
        <v>1</v>
      </c>
      <c r="AN143" s="30">
        <f t="shared" si="149"/>
        <v>1</v>
      </c>
      <c r="AO143" s="30" t="s">
        <v>244</v>
      </c>
      <c r="AP143">
        <v>81</v>
      </c>
      <c r="AQ143" s="34">
        <v>3.1461692767248146E-4</v>
      </c>
      <c r="AR143" s="35">
        <v>206.47491597758599</v>
      </c>
      <c r="AS143" t="s">
        <v>1557</v>
      </c>
      <c r="AT143" s="36" t="s">
        <v>1558</v>
      </c>
      <c r="AU143" t="s">
        <v>1559</v>
      </c>
      <c r="AV143" t="str">
        <f>HYPERLINK("http://exon.niaid.nih.gov/transcriptome/S_calcitrans/S1/links/DIPTERA/XP_013118923.1-DIPTERA.txt","DIPTERA")</f>
        <v>DIPTERA</v>
      </c>
      <c r="AW143" s="37">
        <v>1.9999999999999999E-67</v>
      </c>
      <c r="AX143">
        <v>100</v>
      </c>
      <c r="AY143" s="33"/>
      <c r="BG143" s="31"/>
      <c r="BJ143" s="33"/>
      <c r="BK143" s="33"/>
      <c r="BL143" s="33" t="str">
        <f>HYPERLINK("http://exon.niaid.nih.gov/transcriptome/S_calcitrans/S1/links/NR-LIGHT/XP_013118923.1-NR-LIGHT.txt","DNA-directed RNA polymerase III subunit RPC9")</f>
        <v>DNA-directed RNA polymerase III subunit RPC9</v>
      </c>
      <c r="BM143" t="str">
        <f>HYPERLINK("http://www.ncbi.nlm.nih.gov/sutils/blink.cgi?pid=557756292","3E-053")</f>
        <v>3E-053</v>
      </c>
      <c r="BN143" t="str">
        <f>HYPERLINK("http://www.ncbi.nlm.nih.gov/protein/557756292","gi|557756292")</f>
        <v>gi|557756292</v>
      </c>
      <c r="BO143">
        <v>80</v>
      </c>
      <c r="BP143">
        <v>92</v>
      </c>
      <c r="BQ143">
        <v>100</v>
      </c>
      <c r="BR143" t="s">
        <v>251</v>
      </c>
      <c r="BS143" s="33" t="str">
        <f>HYPERLINK("http://exon.niaid.nih.gov/transcriptome/S_calcitrans/S1/links/SWISSP/XP_013118923.1-SWISSP.txt","DNA-directed RNA polymerase III subunit RPC9")</f>
        <v>DNA-directed RNA polymerase III subunit RPC9</v>
      </c>
      <c r="BT143" t="str">
        <f>HYPERLINK("http://www.uniprot.org/uniprot/A0JN61","7E-019")</f>
        <v>7E-019</v>
      </c>
      <c r="BU143" t="str">
        <f>HYPERLINK("http://www.uniprot.org/uniprot/A0JN61#expression","A0JN61")</f>
        <v>A0JN61</v>
      </c>
      <c r="BV143">
        <v>36</v>
      </c>
      <c r="BW143">
        <v>64</v>
      </c>
      <c r="BX143">
        <v>86</v>
      </c>
      <c r="BY143" t="s">
        <v>896</v>
      </c>
      <c r="BZ143" s="33" t="str">
        <f>HYPERLINK("http://exon.niaid.nih.gov/transcriptome/S_calcitrans/S1/links/REFSEQ-INVERTEBRATE/XP_013118923.1-REFSEQ-INVERTEBRATE.txt","DNA-directed RNA polymerase III subunit RPC9")</f>
        <v>DNA-directed RNA polymerase III subunit RPC9</v>
      </c>
      <c r="CA143" t="str">
        <f>HYPERLINK("http://www.ncbi.nlm.nih.gov/sutils/blink.cgi?pid=907614802","4E-067")</f>
        <v>4E-067</v>
      </c>
      <c r="CB143" t="str">
        <f>HYPERLINK("http://www.ncbi.nlm.nih.gov/protein/907614802","gi|907614802")</f>
        <v>gi|907614802</v>
      </c>
      <c r="CC143">
        <v>100</v>
      </c>
      <c r="CD143">
        <v>100</v>
      </c>
      <c r="CE143">
        <v>100</v>
      </c>
      <c r="CF143" t="s">
        <v>253</v>
      </c>
      <c r="CG143" s="33" t="str">
        <f>HYPERLINK("http://exon.niaid.nih.gov/transcriptome/S_calcitrans/S1/links/DIPTERA/XP_013118923.1-DIPTERA.txt","DNA-directed RNA polymerase III subunit RPC9")</f>
        <v>DNA-directed RNA polymerase III subunit RPC9</v>
      </c>
      <c r="CH143" t="str">
        <f>HYPERLINK("http://www.ncbi.nlm.nih.gov/sutils/blink.cgi?pid=907614802","2E-067")</f>
        <v>2E-067</v>
      </c>
      <c r="CI143" t="str">
        <f>HYPERLINK("http://www.ncbi.nlm.nih.gov/protein/907614802","gi|907614802")</f>
        <v>gi|907614802</v>
      </c>
      <c r="CJ143">
        <v>100</v>
      </c>
      <c r="CK143">
        <v>100</v>
      </c>
      <c r="CL143">
        <v>100</v>
      </c>
      <c r="CM143" t="s">
        <v>253</v>
      </c>
      <c r="CN143" s="33" t="s">
        <v>242</v>
      </c>
      <c r="CO143" t="s">
        <v>242</v>
      </c>
      <c r="CP143" t="s">
        <v>242</v>
      </c>
      <c r="CQ143" t="s">
        <v>242</v>
      </c>
      <c r="CR143" t="s">
        <v>242</v>
      </c>
      <c r="CS143" t="s">
        <v>242</v>
      </c>
      <c r="CT143" t="s">
        <v>242</v>
      </c>
      <c r="CU143" s="33" t="s">
        <v>1560</v>
      </c>
      <c r="CV143">
        <f>HYPERLINK("http://exon.niaid.nih.gov/transcriptome/S_calcitrans/S1/links/GO/XP_013118923.1-GO.txt",1E-37)</f>
        <v>1.0000000000000001E-37</v>
      </c>
      <c r="CW143" t="str">
        <f>HYPERLINK("http://amigo.geneontology.org/cgi-bin/amigo/term_details?term=GO:0001056","GO:0001056")</f>
        <v>GO:0001056</v>
      </c>
      <c r="CX143" t="s">
        <v>1561</v>
      </c>
      <c r="CY143" t="s">
        <v>1562</v>
      </c>
      <c r="CZ143" t="s">
        <v>1563</v>
      </c>
      <c r="DA143" t="s">
        <v>242</v>
      </c>
      <c r="DC143" t="s">
        <v>1564</v>
      </c>
      <c r="DD143" s="37">
        <v>6E-34</v>
      </c>
      <c r="DE143" s="33" t="str">
        <f>HYPERLINK("http://exon.niaid.nih.gov/transcriptome/S_calcitrans/S1/links/CDD/XP_013118923.1-CDD.txt","RNA_pol_Rpb4")</f>
        <v>RNA_pol_Rpb4</v>
      </c>
      <c r="DF143" t="str">
        <f>HYPERLINK("http://www.ncbi.nlm.nih.gov/Structure/cdd/cddsrv.cgi?uid=pfam03874&amp;version=v4.0","5E-016")</f>
        <v>5E-016</v>
      </c>
      <c r="DG143" t="s">
        <v>1565</v>
      </c>
      <c r="DH143" s="33" t="str">
        <f>HYPERLINK("http://exon.niaid.nih.gov/transcriptome/S_calcitrans/S1/links/KOG/XP_013118923.1-KOG.txt","Predicted RNA polymerase III subunit C17")</f>
        <v>Predicted RNA polymerase III subunit C17</v>
      </c>
      <c r="DI143" t="str">
        <f>HYPERLINK("http://www.ncbi.nlm.nih.gov/Structure/cdd/cddsrv.cgi?uid=KOG4168","6E-011")</f>
        <v>6E-011</v>
      </c>
      <c r="DJ143" t="s">
        <v>392</v>
      </c>
      <c r="DK143" t="str">
        <f>HYPERLINK("http://exon.niaid.nih.gov/transcriptome/S_calcitrans/S1/links/KOG/XP_013118923.1-KOG.txt","KOG4168")</f>
        <v>KOG4168</v>
      </c>
      <c r="DL143" s="33" t="str">
        <f>HYPERLINK("http://exon.niaid.nih.gov/transcriptome/S_calcitrans/S1/links/PFAM/XP_013118923.1-PFAM.txt","RNA_pol_Rpb4")</f>
        <v>RNA_pol_Rpb4</v>
      </c>
      <c r="DM143" t="str">
        <f>HYPERLINK("http://pfam.sanger.ac.uk/family?acc=PF03874","1E-016")</f>
        <v>1E-016</v>
      </c>
      <c r="DN143" s="33" t="str">
        <f>HYPERLINK("http://exon.niaid.nih.gov/transcriptome/S_calcitrans/S1/links/SMART/XP_013118923.1-SMART.txt","RPOL4c")</f>
        <v>RPOL4c</v>
      </c>
      <c r="DO143" t="str">
        <f>HYPERLINK("http://smart.embl-heidelberg.de/smart/do_annotation.pl?DOMAIN=RPOL4c&amp;BLAST=DUMMY","4E-010")</f>
        <v>4E-010</v>
      </c>
      <c r="DP143" s="33"/>
      <c r="EB143" s="33">
        <f>HYPERLINK("http://exon.niaid.nih.gov/transcriptome/S_calcitrans/S1/links/cluster-b/Scalc-pep25-50SimCLU1.txt", 1)</f>
        <v>1</v>
      </c>
      <c r="EC143">
        <f>HYPERLINK("http://exon.niaid.nih.gov/transcriptome/S_calcitrans/S1/links/cluster-b/Scalc-pep25-50SimCLTL1.txt", 5170)</f>
        <v>5170</v>
      </c>
      <c r="ED143" s="33">
        <f>HYPERLINK("http://exon.niaid.nih.gov/transcriptome/S_calcitrans/S1/links/cluster-b/Scalc-pep30-50SimCLU1913.txt", 1913)</f>
        <v>1913</v>
      </c>
      <c r="EE143">
        <f>HYPERLINK("http://exon.niaid.nih.gov/transcriptome/S_calcitrans/S1/links/cluster-b/Scalc-pep30-50SimCLTL1913.txt", 2)</f>
        <v>2</v>
      </c>
      <c r="EF143" s="33">
        <v>3818</v>
      </c>
      <c r="EG143">
        <v>1</v>
      </c>
      <c r="EH143" s="33">
        <v>4031</v>
      </c>
      <c r="EI143">
        <v>1</v>
      </c>
      <c r="EJ143" s="33">
        <v>4255</v>
      </c>
      <c r="EK143">
        <v>1</v>
      </c>
      <c r="EL143" s="33">
        <v>4409</v>
      </c>
      <c r="EM143">
        <v>1</v>
      </c>
      <c r="EN143" s="33">
        <v>4583</v>
      </c>
      <c r="EO143">
        <v>1</v>
      </c>
      <c r="EP143" s="33">
        <v>4701</v>
      </c>
      <c r="EQ143">
        <v>1</v>
      </c>
      <c r="ER143" s="33">
        <v>4795</v>
      </c>
      <c r="ES143">
        <v>1</v>
      </c>
      <c r="ET143" s="33">
        <v>4833</v>
      </c>
      <c r="EU143">
        <v>1</v>
      </c>
      <c r="EV143" s="33">
        <v>4843</v>
      </c>
      <c r="EW143">
        <v>1</v>
      </c>
      <c r="EX143" s="33">
        <v>4841</v>
      </c>
      <c r="EY143">
        <v>1</v>
      </c>
      <c r="EZ143" s="33">
        <v>4785</v>
      </c>
      <c r="FA143">
        <v>1</v>
      </c>
      <c r="FB143" s="33">
        <v>4713</v>
      </c>
      <c r="FC143">
        <v>1</v>
      </c>
      <c r="FD143" s="33">
        <v>4610</v>
      </c>
      <c r="FE143">
        <v>1</v>
      </c>
      <c r="FF143" t="s">
        <v>1566</v>
      </c>
      <c r="FG143">
        <v>2979</v>
      </c>
      <c r="FH143" s="38" t="str">
        <f>HYPERLINK("http://exon.niaid.nih.gov/transcriptome/S_calcitrans/S1/links/SG_male-stripped_temp-95-h10-1gap/2979-SG_male-stripped_temp-95-h10-1gap.txt","43")</f>
        <v>43</v>
      </c>
      <c r="FI143" s="39">
        <v>89.417989417989403</v>
      </c>
      <c r="FJ143" s="39">
        <v>8.4656084656084705</v>
      </c>
      <c r="FK143" s="39">
        <v>0</v>
      </c>
      <c r="FL143" s="39">
        <v>19</v>
      </c>
      <c r="FM143" s="39">
        <v>74.441860465116307</v>
      </c>
      <c r="FN143" s="38" t="str">
        <f>HYPERLINK("http://exon.niaid.nih.gov/transcriptome/S_calcitrans/S1/links/SG_female-stripped_temp-95-h10-1gap/2979-SG_female-stripped_temp-95-h10-1gap.txt","38")</f>
        <v>38</v>
      </c>
      <c r="FO143" s="39">
        <v>73.544973544973502</v>
      </c>
      <c r="FP143" s="39">
        <v>7.4894179894179898</v>
      </c>
      <c r="FQ143" s="39">
        <v>0</v>
      </c>
      <c r="FR143" s="39">
        <v>20</v>
      </c>
      <c r="FS143" s="39">
        <v>74.5</v>
      </c>
      <c r="FT143" s="38">
        <v>0</v>
      </c>
      <c r="FU143" s="39" t="s">
        <v>242</v>
      </c>
      <c r="FV143" s="39" t="s">
        <v>242</v>
      </c>
      <c r="FW143" s="39" t="s">
        <v>242</v>
      </c>
      <c r="FX143" s="39" t="s">
        <v>242</v>
      </c>
      <c r="FY143" s="39" t="s">
        <v>242</v>
      </c>
      <c r="FZ143" s="38">
        <v>0</v>
      </c>
      <c r="GA143" s="39" t="s">
        <v>242</v>
      </c>
      <c r="GB143" s="39" t="s">
        <v>242</v>
      </c>
      <c r="GC143" s="39" t="s">
        <v>242</v>
      </c>
      <c r="GD143" s="39" t="s">
        <v>242</v>
      </c>
      <c r="GE143" s="39" t="s">
        <v>242</v>
      </c>
      <c r="GF143">
        <f t="shared" ref="GF143:GF151" si="157">1*FH143</f>
        <v>43</v>
      </c>
      <c r="GG143">
        <f t="shared" ref="GG143:GG151" si="158">1*FN143</f>
        <v>38</v>
      </c>
      <c r="GH143">
        <f t="shared" ref="GH143:GH151" si="159">1*FT143</f>
        <v>0</v>
      </c>
      <c r="GI143">
        <f t="shared" ref="GI143:GI151" si="160">1*FZ143</f>
        <v>0</v>
      </c>
      <c r="GJ143">
        <f t="shared" si="93"/>
        <v>81</v>
      </c>
      <c r="GK143" s="34">
        <v>3.1461692767248146E-4</v>
      </c>
      <c r="GL143">
        <v>3.7211625850894947</v>
      </c>
      <c r="GM143">
        <v>1.4954263765182387</v>
      </c>
      <c r="GN143">
        <v>0</v>
      </c>
      <c r="GO143">
        <v>0</v>
      </c>
      <c r="GP143">
        <f t="shared" ref="GP143:GP151" si="161">MAX(GL143:GO143)</f>
        <v>3.7211625850894947</v>
      </c>
      <c r="GQ143" t="s">
        <v>1559</v>
      </c>
      <c r="GR143">
        <v>2.9021029043431237</v>
      </c>
      <c r="GS143">
        <v>1.2273954152085969</v>
      </c>
      <c r="GT143">
        <v>0</v>
      </c>
      <c r="GU143">
        <v>0</v>
      </c>
      <c r="GV143">
        <f t="shared" ref="GV143:GV151" si="162">MAX(GR143:GU143)</f>
        <v>2.9021029043431237</v>
      </c>
      <c r="GW143">
        <v>206.47491597758599</v>
      </c>
      <c r="GX143">
        <v>81</v>
      </c>
      <c r="GY143">
        <v>0</v>
      </c>
      <c r="GZ143">
        <v>81</v>
      </c>
      <c r="HA143">
        <v>17.981975181653588</v>
      </c>
      <c r="HB143">
        <v>63.018024818346412</v>
      </c>
      <c r="HC143">
        <v>220.84734362538109</v>
      </c>
      <c r="HD143">
        <v>63.018024818346412</v>
      </c>
      <c r="HE143">
        <v>283.8653684437275</v>
      </c>
      <c r="HF143">
        <v>1.0796565173718391E-63</v>
      </c>
      <c r="HG143">
        <v>17.981975181653588</v>
      </c>
      <c r="HH143">
        <v>1</v>
      </c>
      <c r="HI143">
        <v>1</v>
      </c>
      <c r="HJ143">
        <v>2</v>
      </c>
      <c r="HK143" s="37">
        <v>2.20689857051807E-63</v>
      </c>
      <c r="HL143" s="30" t="s">
        <v>262</v>
      </c>
      <c r="HM143">
        <v>283.86536844372745</v>
      </c>
      <c r="HN143">
        <v>0</v>
      </c>
      <c r="HO143">
        <v>43</v>
      </c>
      <c r="HP143">
        <v>38</v>
      </c>
      <c r="HQ143">
        <v>81</v>
      </c>
      <c r="HR143">
        <v>25.320271525549366</v>
      </c>
      <c r="HS143">
        <v>55.679728474450634</v>
      </c>
      <c r="HT143">
        <v>12.344764889859086</v>
      </c>
      <c r="HU143">
        <v>5.6137629886921712</v>
      </c>
      <c r="HV143">
        <v>17.958527878551259</v>
      </c>
      <c r="HW143">
        <v>2.2577062735311741E-5</v>
      </c>
      <c r="HX143">
        <v>25.320271525549366</v>
      </c>
      <c r="HY143">
        <v>1</v>
      </c>
      <c r="HZ143">
        <v>1</v>
      </c>
      <c r="IA143">
        <v>2</v>
      </c>
      <c r="IB143">
        <v>2.1989409761388301E-4</v>
      </c>
      <c r="IC143" s="30" t="s">
        <v>262</v>
      </c>
      <c r="ID143">
        <v>2.4245581171789428</v>
      </c>
      <c r="IE143">
        <v>0.39273731797461991</v>
      </c>
      <c r="IF143">
        <v>2.4245581171789428</v>
      </c>
      <c r="IG143" t="str">
        <f t="shared" si="156"/>
        <v/>
      </c>
    </row>
    <row r="144" spans="1:241">
      <c r="A144" t="str">
        <f>HYPERLINK("http://exon.niaid.nih.gov/transcriptome/S_calcitrans/S1/links/pep/XP_013100256.1-pep.txt","XP_013100256.1")</f>
        <v>XP_013100256.1</v>
      </c>
      <c r="B144" s="30" t="s">
        <v>232</v>
      </c>
      <c r="C144">
        <v>58</v>
      </c>
      <c r="D144" t="s">
        <v>1567</v>
      </c>
      <c r="E144">
        <v>1</v>
      </c>
      <c r="F144" t="s">
        <v>1568</v>
      </c>
      <c r="G144" t="str">
        <f>HYPERLINK("http://exon.niaid.nih.gov/transcriptome/S_calcitrans/S1/links/cds/XM_013244802_1-cds.txt","XM_013244802_1")</f>
        <v>XM_013244802_1</v>
      </c>
      <c r="H144">
        <v>177</v>
      </c>
      <c r="I144" t="s">
        <v>1569</v>
      </c>
      <c r="J144" s="30" t="s">
        <v>236</v>
      </c>
      <c r="K144" s="30" t="s">
        <v>91</v>
      </c>
      <c r="L144" s="31" t="s">
        <v>1570</v>
      </c>
      <c r="M144" s="30">
        <v>266120</v>
      </c>
      <c r="N144" s="30">
        <v>266522</v>
      </c>
      <c r="O144" s="30" t="s">
        <v>238</v>
      </c>
      <c r="P144" s="30">
        <v>3</v>
      </c>
      <c r="Q144" s="31" t="s">
        <v>1571</v>
      </c>
      <c r="R144" s="32" t="str">
        <f>HYPERLINK("http://exon.niaid.nih.gov/transcriptome/S_calcitrans/S1/links/Sigp/XP_013100256.1-SigP.txt","CYT")</f>
        <v>CYT</v>
      </c>
      <c r="S144" t="s">
        <v>242</v>
      </c>
      <c r="T144">
        <v>6.9880000000000004</v>
      </c>
      <c r="U144">
        <v>9.3000000000000007</v>
      </c>
      <c r="V144" t="s">
        <v>242</v>
      </c>
      <c r="W144" t="s">
        <v>242</v>
      </c>
      <c r="X144" t="s">
        <v>1461</v>
      </c>
      <c r="Y144" s="32">
        <v>0</v>
      </c>
      <c r="Z144" t="s">
        <v>242</v>
      </c>
      <c r="AA144" t="s">
        <v>242</v>
      </c>
      <c r="AB144" t="s">
        <v>242</v>
      </c>
      <c r="AC144" t="s">
        <v>242</v>
      </c>
      <c r="AD144" t="s">
        <v>242</v>
      </c>
      <c r="AE144" s="32" t="str">
        <f>HYPERLINK("http://exon.niaid.nih.gov/transcriptome/S_calcitrans/S1/links/netoglyc/XP_013100256.1-netoglyc.txt","0")</f>
        <v>0</v>
      </c>
      <c r="AF144">
        <v>12.1</v>
      </c>
      <c r="AG144">
        <v>3.4</v>
      </c>
      <c r="AH144">
        <v>3.4</v>
      </c>
      <c r="AI144" t="s">
        <v>243</v>
      </c>
      <c r="AJ144" t="s">
        <v>1572</v>
      </c>
      <c r="AK144">
        <v>393.90700509969093</v>
      </c>
      <c r="AL144" s="33">
        <v>6375</v>
      </c>
      <c r="AM144">
        <v>1</v>
      </c>
      <c r="AN144" s="30">
        <f t="shared" si="149"/>
        <v>1</v>
      </c>
      <c r="AO144" s="30" t="s">
        <v>244</v>
      </c>
      <c r="AP144">
        <v>562</v>
      </c>
      <c r="AQ144" s="34">
        <v>2.1828976957028959E-3</v>
      </c>
      <c r="AR144" s="35">
        <v>239.15571093222212</v>
      </c>
      <c r="AS144" t="s">
        <v>1573</v>
      </c>
      <c r="AT144" s="36" t="s">
        <v>1574</v>
      </c>
      <c r="AU144" t="s">
        <v>1559</v>
      </c>
      <c r="AV144" t="str">
        <f>HYPERLINK("http://exon.niaid.nih.gov/transcriptome/S_calcitrans/S1/links/DIPTERA/XP_013100256.1-DIPTERA.txt","DIPTERA")</f>
        <v>DIPTERA</v>
      </c>
      <c r="AW144" s="37">
        <v>9.9999999999999997E-29</v>
      </c>
      <c r="AX144">
        <v>100</v>
      </c>
      <c r="AY144" s="33"/>
      <c r="BG144" s="31"/>
      <c r="BJ144" s="33"/>
      <c r="BK144" s="33"/>
      <c r="BL144" s="33" t="str">
        <f>HYPERLINK("http://exon.niaid.nih.gov/transcriptome/S_calcitrans/S1/links/NR-LIGHT/XP_013100256.1-NR-LIGHT.txt","DNA-directed RNA polymerases I, II, and III subunit RPABC4")</f>
        <v>DNA-directed RNA polymerases I, II, and III subunit RPABC4</v>
      </c>
      <c r="BM144" t="str">
        <f>HYPERLINK("http://www.ncbi.nlm.nih.gov/sutils/blink.cgi?pid=557768883","3E-028")</f>
        <v>3E-028</v>
      </c>
      <c r="BN144" t="str">
        <f>HYPERLINK("http://www.ncbi.nlm.nih.gov/protein/557768883","gi|557768883")</f>
        <v>gi|557768883</v>
      </c>
      <c r="BO144">
        <v>100</v>
      </c>
      <c r="BP144">
        <v>100</v>
      </c>
      <c r="BQ144">
        <v>100</v>
      </c>
      <c r="BR144" t="s">
        <v>251</v>
      </c>
      <c r="BS144" s="33" t="str">
        <f>HYPERLINK("http://exon.niaid.nih.gov/transcriptome/S_calcitrans/S1/links/SWISSP/XP_013100256.1-SWISSP.txt","DNA-directed RNA polymerases I, II, and III subunit RPABC4")</f>
        <v>DNA-directed RNA polymerases I, II, and III subunit RPABC4</v>
      </c>
      <c r="BT144" t="str">
        <f>HYPERLINK("http://www.uniprot.org/uniprot/Q63871","6E-018")</f>
        <v>6E-018</v>
      </c>
      <c r="BU144" t="str">
        <f>HYPERLINK("http://www.uniprot.org/uniprot/Q63871#expression","Q63871")</f>
        <v>Q63871</v>
      </c>
      <c r="BV144">
        <v>88</v>
      </c>
      <c r="BW144">
        <v>93</v>
      </c>
      <c r="BX144">
        <v>76</v>
      </c>
      <c r="BY144" t="s">
        <v>620</v>
      </c>
      <c r="BZ144" s="33" t="str">
        <f>HYPERLINK("http://exon.niaid.nih.gov/transcriptome/S_calcitrans/S1/links/REFSEQ-INVERTEBRATE/XP_013100256.1-REFSEQ-INVERTEBRATE.txt","DNA-directed RNA polymerases I, II, and III subunit RPABC4")</f>
        <v>DNA-directed RNA polymerases I, II, and III subunit RPABC4</v>
      </c>
      <c r="CA144" t="str">
        <f>HYPERLINK("http://www.ncbi.nlm.nih.gov/sutils/blink.cgi?pid=907639267","2E-028")</f>
        <v>2E-028</v>
      </c>
      <c r="CB144" t="str">
        <f>HYPERLINK("http://www.ncbi.nlm.nih.gov/protein/907639267","gi|907639267")</f>
        <v>gi|907639267</v>
      </c>
      <c r="CC144">
        <v>100</v>
      </c>
      <c r="CD144">
        <v>100</v>
      </c>
      <c r="CE144">
        <v>100</v>
      </c>
      <c r="CF144" t="s">
        <v>253</v>
      </c>
      <c r="CG144" s="33" t="str">
        <f>HYPERLINK("http://exon.niaid.nih.gov/transcriptome/S_calcitrans/S1/links/DIPTERA/XP_013100256.1-DIPTERA.txt","DNA-directed RNA polymerases I, II, and III subunit RPABC4")</f>
        <v>DNA-directed RNA polymerases I, II, and III subunit RPABC4</v>
      </c>
      <c r="CH144" t="str">
        <f>HYPERLINK("http://www.ncbi.nlm.nih.gov/sutils/blink.cgi?pid=557768883","1E-028")</f>
        <v>1E-028</v>
      </c>
      <c r="CI144" t="str">
        <f>HYPERLINK("http://www.ncbi.nlm.nih.gov/protein/557768883","gi|557768883")</f>
        <v>gi|557768883</v>
      </c>
      <c r="CJ144">
        <v>100</v>
      </c>
      <c r="CK144">
        <v>100</v>
      </c>
      <c r="CL144">
        <v>100</v>
      </c>
      <c r="CM144" t="s">
        <v>251</v>
      </c>
      <c r="CN144" s="33" t="s">
        <v>242</v>
      </c>
      <c r="CO144" t="s">
        <v>242</v>
      </c>
      <c r="CP144" t="s">
        <v>242</v>
      </c>
      <c r="CQ144" t="s">
        <v>242</v>
      </c>
      <c r="CR144" t="s">
        <v>242</v>
      </c>
      <c r="CS144" t="s">
        <v>242</v>
      </c>
      <c r="CT144" t="s">
        <v>242</v>
      </c>
      <c r="CU144" s="33" t="s">
        <v>1575</v>
      </c>
      <c r="CV144">
        <f>HYPERLINK("http://exon.niaid.nih.gov/transcriptome/S_calcitrans/S1/links/GO/XP_013100256.1-GO.txt",8E-26)</f>
        <v>8.0000000000000003E-26</v>
      </c>
      <c r="CW144" t="str">
        <f>HYPERLINK("http://amigo.geneontology.org/cgi-bin/amigo/term_details?term=GO:0003899","GO:0003899")</f>
        <v>GO:0003899</v>
      </c>
      <c r="CX144" t="s">
        <v>1576</v>
      </c>
      <c r="CY144" t="s">
        <v>1577</v>
      </c>
      <c r="CZ144" t="s">
        <v>1578</v>
      </c>
      <c r="DA144" t="str">
        <f>HYPERLINK("http://www.genome.jp/dbget-bin/www_bfind_sub?mode=bfind&amp;max_hit=1000&amp;dbkey=kegg&amp;keywords=EC:2.7.7.6","EC:2.7.7.6")</f>
        <v>EC:2.7.7.6</v>
      </c>
      <c r="DC144" t="s">
        <v>1579</v>
      </c>
      <c r="DD144" s="37">
        <v>8.0000000000000003E-26</v>
      </c>
      <c r="DE144" s="33" t="str">
        <f>HYPERLINK("http://exon.niaid.nih.gov/transcriptome/S_calcitrans/S1/links/CDD/XP_013100256.1-CDD.txt","RPOLCX")</f>
        <v>RPOLCX</v>
      </c>
      <c r="DF144" t="str">
        <f>HYPERLINK("http://www.ncbi.nlm.nih.gov/Structure/cdd/cddsrv.cgi?uid=smart00659&amp;version=v4.0","4E-012")</f>
        <v>4E-012</v>
      </c>
      <c r="DG144" t="s">
        <v>1580</v>
      </c>
      <c r="DH144" s="33" t="str">
        <f>HYPERLINK("http://exon.niaid.nih.gov/transcriptome/S_calcitrans/S1/links/KOG/XP_013100256.1-KOG.txt","DNA-directed RNA polymerase, subunit RPB7.0")</f>
        <v>DNA-directed RNA polymerase, subunit RPB7.0</v>
      </c>
      <c r="DI144" t="str">
        <f>HYPERLINK("http://www.ncbi.nlm.nih.gov/Structure/cdd/cddsrv.cgi?uid=KOG3507","4E-016")</f>
        <v>4E-016</v>
      </c>
      <c r="DJ144" t="s">
        <v>392</v>
      </c>
      <c r="DK144" t="str">
        <f>HYPERLINK("http://exon.niaid.nih.gov/transcriptome/S_calcitrans/S1/links/KOG/XP_013100256.1-KOG.txt","KOG3507")</f>
        <v>KOG3507</v>
      </c>
      <c r="DL144" s="33" t="str">
        <f>HYPERLINK("http://exon.niaid.nih.gov/transcriptome/S_calcitrans/S1/links/PFAM/XP_013100256.1-PFAM.txt","DNA_RNApol_7kD")</f>
        <v>DNA_RNApol_7kD</v>
      </c>
      <c r="DM144" t="str">
        <f>HYPERLINK("http://pfam.sanger.ac.uk/family?acc=PF03604","6E-010")</f>
        <v>6E-010</v>
      </c>
      <c r="DN144" s="33" t="str">
        <f>HYPERLINK("http://exon.niaid.nih.gov/transcriptome/S_calcitrans/S1/links/SMART/XP_013100256.1-SMART.txt","RPOLCX")</f>
        <v>RPOLCX</v>
      </c>
      <c r="DO144" t="str">
        <f>HYPERLINK("http://smart.embl-heidelberg.de/smart/do_annotation.pl?DOMAIN=RPOLCX&amp;BLAST=DUMMY","5E-014")</f>
        <v>5E-014</v>
      </c>
      <c r="DP144" s="33"/>
      <c r="EB144" s="33">
        <v>3448</v>
      </c>
      <c r="EC144">
        <v>1</v>
      </c>
      <c r="ED144" s="33">
        <v>4164</v>
      </c>
      <c r="EE144">
        <v>1</v>
      </c>
      <c r="EF144" s="33">
        <v>4561</v>
      </c>
      <c r="EG144">
        <v>1</v>
      </c>
      <c r="EH144" s="33">
        <v>4865</v>
      </c>
      <c r="EI144">
        <v>1</v>
      </c>
      <c r="EJ144" s="33">
        <v>5168</v>
      </c>
      <c r="EK144">
        <v>1</v>
      </c>
      <c r="EL144" s="33">
        <v>5388</v>
      </c>
      <c r="EM144">
        <v>1</v>
      </c>
      <c r="EN144" s="33">
        <v>5650</v>
      </c>
      <c r="EO144">
        <v>1</v>
      </c>
      <c r="EP144" s="33">
        <v>5839</v>
      </c>
      <c r="EQ144">
        <v>1</v>
      </c>
      <c r="ER144" s="33">
        <v>5985</v>
      </c>
      <c r="ES144">
        <v>1</v>
      </c>
      <c r="ET144" s="33">
        <v>6094</v>
      </c>
      <c r="EU144">
        <v>1</v>
      </c>
      <c r="EV144" s="33">
        <v>6185</v>
      </c>
      <c r="EW144">
        <v>1</v>
      </c>
      <c r="EX144" s="33">
        <v>6257</v>
      </c>
      <c r="EY144">
        <v>1</v>
      </c>
      <c r="EZ144" s="33">
        <v>6295</v>
      </c>
      <c r="FA144">
        <v>1</v>
      </c>
      <c r="FB144" s="33">
        <v>6325</v>
      </c>
      <c r="FC144">
        <v>1</v>
      </c>
      <c r="FD144" s="33">
        <v>6375</v>
      </c>
      <c r="FE144">
        <v>1</v>
      </c>
      <c r="FF144" t="s">
        <v>1581</v>
      </c>
      <c r="FG144">
        <v>6398</v>
      </c>
      <c r="FH144" s="38" t="str">
        <f>HYPERLINK("http://exon.niaid.nih.gov/transcriptome/S_calcitrans/S1/links/SG_male-stripped_temp-95-h10-1gap/6398-SG_male-stripped_temp-95-h10-1gap.txt","293")</f>
        <v>293</v>
      </c>
      <c r="FI144" s="39">
        <v>100</v>
      </c>
      <c r="FJ144" s="39">
        <v>114.64971751412401</v>
      </c>
      <c r="FK144" s="39">
        <v>33</v>
      </c>
      <c r="FL144" s="39">
        <v>144</v>
      </c>
      <c r="FM144" s="39">
        <v>69.259385665528995</v>
      </c>
      <c r="FN144" s="38" t="str">
        <f>HYPERLINK("http://exon.niaid.nih.gov/transcriptome/S_calcitrans/S1/links/SG_female-stripped_temp-95-h10-1gap/6398-SG_female-stripped_temp-95-h10-1gap.txt","269")</f>
        <v>269</v>
      </c>
      <c r="FO144" s="39">
        <v>100</v>
      </c>
      <c r="FP144" s="39">
        <v>104.768361581921</v>
      </c>
      <c r="FQ144" s="39">
        <v>38</v>
      </c>
      <c r="FR144" s="39">
        <v>137</v>
      </c>
      <c r="FS144" s="39">
        <v>68.936802973977706</v>
      </c>
      <c r="FT144" s="38" t="str">
        <f>HYPERLINK("http://exon.niaid.nih.gov/transcriptome/S_calcitrans/S1/links/SRR694289-stripped_temp-95-h10-1gap/6398-SRR694289-stripped_temp-95-h10-1gap.txt","4")</f>
        <v>4</v>
      </c>
      <c r="FU144" s="39">
        <v>74.576271186440707</v>
      </c>
      <c r="FV144" s="39">
        <v>2.1129943502824902</v>
      </c>
      <c r="FW144" s="39">
        <v>0</v>
      </c>
      <c r="FX144" s="39">
        <v>4</v>
      </c>
      <c r="FY144" s="39">
        <v>93.5</v>
      </c>
      <c r="FZ144" s="38">
        <v>0</v>
      </c>
      <c r="GA144" s="39" t="s">
        <v>242</v>
      </c>
      <c r="GB144" s="39" t="s">
        <v>242</v>
      </c>
      <c r="GC144" s="39" t="s">
        <v>242</v>
      </c>
      <c r="GD144" s="39" t="s">
        <v>242</v>
      </c>
      <c r="GE144" s="39" t="s">
        <v>242</v>
      </c>
      <c r="GF144">
        <f t="shared" si="157"/>
        <v>293</v>
      </c>
      <c r="GG144">
        <f t="shared" si="158"/>
        <v>269</v>
      </c>
      <c r="GH144">
        <f t="shared" si="159"/>
        <v>4</v>
      </c>
      <c r="GI144">
        <f t="shared" si="160"/>
        <v>0</v>
      </c>
      <c r="GJ144">
        <f t="shared" si="93"/>
        <v>562</v>
      </c>
      <c r="GK144" s="34">
        <v>2.1828976957028959E-3</v>
      </c>
      <c r="GL144">
        <v>54.149736033241609</v>
      </c>
      <c r="GM144">
        <v>22.607485105133446</v>
      </c>
      <c r="GN144">
        <v>0.12990302487992739</v>
      </c>
      <c r="GO144">
        <v>0</v>
      </c>
      <c r="GP144">
        <f t="shared" si="161"/>
        <v>54.149736033241609</v>
      </c>
      <c r="GQ144" t="s">
        <v>1559</v>
      </c>
      <c r="GR144">
        <v>42.230916445620586</v>
      </c>
      <c r="GS144">
        <v>18.555459501819886</v>
      </c>
      <c r="GT144">
        <v>0.23417070623359534</v>
      </c>
      <c r="GU144">
        <v>0</v>
      </c>
      <c r="GV144">
        <f t="shared" si="162"/>
        <v>42.230916445620586</v>
      </c>
      <c r="GW144">
        <v>239.15571093222212</v>
      </c>
      <c r="GX144">
        <v>562</v>
      </c>
      <c r="GY144">
        <v>4</v>
      </c>
      <c r="GZ144">
        <v>566</v>
      </c>
      <c r="HA144">
        <v>125.65182657797448</v>
      </c>
      <c r="HB144">
        <v>440.34817342202552</v>
      </c>
      <c r="HC144">
        <v>1515.2961451824469</v>
      </c>
      <c r="HD144">
        <v>432.38450830647764</v>
      </c>
      <c r="HE144">
        <v>1947.6806534889247</v>
      </c>
      <c r="HF144">
        <v>0</v>
      </c>
      <c r="HG144">
        <v>125.65182657797448</v>
      </c>
      <c r="HH144">
        <v>1</v>
      </c>
      <c r="HI144">
        <v>1</v>
      </c>
      <c r="HJ144">
        <v>2</v>
      </c>
      <c r="HK144">
        <v>0</v>
      </c>
      <c r="HL144" s="30" t="s">
        <v>262</v>
      </c>
      <c r="HM144">
        <v>393.90700509969093</v>
      </c>
      <c r="HN144">
        <v>2.0273288631931516E-3</v>
      </c>
      <c r="HO144">
        <v>293</v>
      </c>
      <c r="HP144">
        <v>269</v>
      </c>
      <c r="HQ144">
        <v>562</v>
      </c>
      <c r="HR144">
        <v>175.67892095504624</v>
      </c>
      <c r="HS144">
        <v>386.32107904495376</v>
      </c>
      <c r="HT144">
        <v>78.34881677008002</v>
      </c>
      <c r="HU144">
        <v>35.629004822360812</v>
      </c>
      <c r="HV144">
        <v>113.97782159244083</v>
      </c>
      <c r="HW144">
        <v>1.3177415018467433E-26</v>
      </c>
      <c r="HX144">
        <v>175.67892095504624</v>
      </c>
      <c r="HY144">
        <v>1</v>
      </c>
      <c r="HZ144">
        <v>1</v>
      </c>
      <c r="IA144">
        <v>2</v>
      </c>
      <c r="IB144" s="37">
        <v>5.9885147773279398E-25</v>
      </c>
      <c r="IC144" s="30" t="s">
        <v>262</v>
      </c>
      <c r="ID144">
        <v>2.3863415680451143</v>
      </c>
      <c r="IE144">
        <v>0.41607938556638036</v>
      </c>
      <c r="IF144">
        <v>2.3863415680451143</v>
      </c>
      <c r="IG144" t="str">
        <f t="shared" si="156"/>
        <v/>
      </c>
    </row>
    <row r="145" spans="1:241">
      <c r="A145" t="str">
        <f>HYPERLINK("http://exon.niaid.nih.gov/transcriptome/S_calcitrans/S1/links/pep/XP_013102083.1-pep.txt","XP_013102083.1")</f>
        <v>XP_013102083.1</v>
      </c>
      <c r="B145" s="30" t="s">
        <v>232</v>
      </c>
      <c r="C145">
        <v>144</v>
      </c>
      <c r="D145" t="s">
        <v>1582</v>
      </c>
      <c r="E145">
        <v>0</v>
      </c>
      <c r="F145" t="s">
        <v>1583</v>
      </c>
      <c r="G145" t="str">
        <f>HYPERLINK("http://exon.niaid.nih.gov/transcriptome/S_calcitrans/S1/links/cds/XM_013246629_1-cds.txt","XM_013246629_1")</f>
        <v>XM_013246629_1</v>
      </c>
      <c r="H145">
        <v>435</v>
      </c>
      <c r="I145" t="s">
        <v>1584</v>
      </c>
      <c r="J145" s="30" t="s">
        <v>236</v>
      </c>
      <c r="K145" s="30" t="s">
        <v>91</v>
      </c>
      <c r="L145" s="31" t="s">
        <v>1585</v>
      </c>
      <c r="M145" s="30">
        <v>684089</v>
      </c>
      <c r="N145" s="30">
        <v>690368</v>
      </c>
      <c r="O145" s="30" t="s">
        <v>276</v>
      </c>
      <c r="P145" s="30">
        <v>4</v>
      </c>
      <c r="Q145" s="31" t="s">
        <v>1586</v>
      </c>
      <c r="R145" s="32" t="str">
        <f>HYPERLINK("http://exon.niaid.nih.gov/transcriptome/S_calcitrans/S1/links/Sigp/XP_013102083.1-SigP.txt","CYT")</f>
        <v>CYT</v>
      </c>
      <c r="S145" t="s">
        <v>242</v>
      </c>
      <c r="T145">
        <v>17.123999999999999</v>
      </c>
      <c r="U145">
        <v>8.8699999999999992</v>
      </c>
      <c r="V145" t="s">
        <v>242</v>
      </c>
      <c r="W145" t="s">
        <v>242</v>
      </c>
      <c r="X145" t="s">
        <v>1461</v>
      </c>
      <c r="Y145" s="32">
        <v>0</v>
      </c>
      <c r="Z145" t="s">
        <v>242</v>
      </c>
      <c r="AA145" t="s">
        <v>242</v>
      </c>
      <c r="AB145" t="s">
        <v>242</v>
      </c>
      <c r="AC145" t="s">
        <v>242</v>
      </c>
      <c r="AD145" t="s">
        <v>242</v>
      </c>
      <c r="AE145" s="32" t="str">
        <f>HYPERLINK("http://exon.niaid.nih.gov/transcriptome/S_calcitrans/S1/links/netoglyc/XP_013102083.1-netoglyc.txt","0")</f>
        <v>0</v>
      </c>
      <c r="AF145">
        <v>13.2</v>
      </c>
      <c r="AG145" t="s">
        <v>460</v>
      </c>
      <c r="AH145">
        <v>2.8</v>
      </c>
      <c r="AI145" t="s">
        <v>243</v>
      </c>
      <c r="AJ145" t="s">
        <v>242</v>
      </c>
      <c r="AK145">
        <v>264.59055947532619</v>
      </c>
      <c r="AL145" s="33">
        <v>7229</v>
      </c>
      <c r="AM145">
        <v>1</v>
      </c>
      <c r="AN145" s="30">
        <f t="shared" si="149"/>
        <v>1</v>
      </c>
      <c r="AO145" s="30" t="s">
        <v>244</v>
      </c>
      <c r="AP145">
        <v>151</v>
      </c>
      <c r="AQ145" s="34">
        <v>5.865080997351197E-4</v>
      </c>
      <c r="AR145" s="35">
        <v>143.30863097374564</v>
      </c>
      <c r="AS145" t="s">
        <v>1587</v>
      </c>
      <c r="AT145" s="36" t="s">
        <v>1588</v>
      </c>
      <c r="AU145" t="s">
        <v>1559</v>
      </c>
      <c r="AV145" t="str">
        <f>HYPERLINK("http://exon.niaid.nih.gov/transcriptome/S_calcitrans/S1/links/DIPTERA/XP_013102083.1-DIPTERA.txt","DIPTERA")</f>
        <v>DIPTERA</v>
      </c>
      <c r="AW145" s="37">
        <v>2E-79</v>
      </c>
      <c r="AX145">
        <v>100</v>
      </c>
      <c r="AY145" s="33"/>
      <c r="BG145" s="31"/>
      <c r="BJ145" s="33"/>
      <c r="BK145" s="33"/>
      <c r="BL145" s="33" t="str">
        <f>HYPERLINK("http://exon.niaid.nih.gov/transcriptome/S_calcitrans/S1/links/NR-LIGHT/XP_013102083.1-NR-LIGHT.txt","putative RNA polymerase II subunit B1 CTD phosphatase RPAP2 homolog")</f>
        <v>putative RNA polymerase II subunit B1 CTD phosphatase RPAP2 homolog</v>
      </c>
      <c r="BM145" t="str">
        <f>HYPERLINK("http://www.ncbi.nlm.nih.gov/sutils/blink.cgi?pid=557760155","1E-065")</f>
        <v>1E-065</v>
      </c>
      <c r="BN145" t="str">
        <f>HYPERLINK("http://www.ncbi.nlm.nih.gov/protein/557760155","gi|557760155")</f>
        <v>gi|557760155</v>
      </c>
      <c r="BO145">
        <v>84</v>
      </c>
      <c r="BP145">
        <v>94</v>
      </c>
      <c r="BQ145">
        <v>94</v>
      </c>
      <c r="BR145" t="s">
        <v>251</v>
      </c>
      <c r="BS145" s="33" t="str">
        <f>HYPERLINK("http://exon.niaid.nih.gov/transcriptome/S_calcitrans/S1/links/SWISSP/XP_013102083.1-SWISSP.txt","Putative RNA polymerase II subunit B1 CTD phosphatase RPAP2 homolog")</f>
        <v>Putative RNA polymerase II subunit B1 CTD phosphatase RPAP2 homolog</v>
      </c>
      <c r="BT145" t="str">
        <f>HYPERLINK("http://www.uniprot.org/uniprot/A8DYY5","1E-036")</f>
        <v>1E-036</v>
      </c>
      <c r="BU145" t="str">
        <f>HYPERLINK("http://www.uniprot.org/uniprot/A8DYY5#expression","A8DYY5")</f>
        <v>A8DYY5</v>
      </c>
      <c r="BV145">
        <v>55</v>
      </c>
      <c r="BW145">
        <v>73</v>
      </c>
      <c r="BX145">
        <v>95</v>
      </c>
      <c r="BY145" t="s">
        <v>304</v>
      </c>
      <c r="BZ145" s="33" t="str">
        <f>HYPERLINK("http://exon.niaid.nih.gov/transcriptome/S_calcitrans/S1/links/REFSEQ-INVERTEBRATE/XP_013102083.1-REFSEQ-INVERTEBRATE.txt","putative RNA polymerase II subunit B1 CTD phosphatase RPAP2 homolog")</f>
        <v>putative RNA polymerase II subunit B1 CTD phosphatase RPAP2 homolog</v>
      </c>
      <c r="CA145" t="str">
        <f>HYPERLINK("http://www.ncbi.nlm.nih.gov/sutils/blink.cgi?pid=907651429","3E-079")</f>
        <v>3E-079</v>
      </c>
      <c r="CB145" t="str">
        <f>HYPERLINK("http://www.ncbi.nlm.nih.gov/protein/907651429","gi|907651429")</f>
        <v>gi|907651429</v>
      </c>
      <c r="CC145">
        <v>100</v>
      </c>
      <c r="CD145">
        <v>100</v>
      </c>
      <c r="CE145">
        <v>100</v>
      </c>
      <c r="CF145" t="s">
        <v>253</v>
      </c>
      <c r="CG145" s="33" t="str">
        <f>HYPERLINK("http://exon.niaid.nih.gov/transcriptome/S_calcitrans/S1/links/DIPTERA/XP_013102083.1-DIPTERA.txt","putative RNA polymerase II subunit B1 CTD phosphatase RPAP2 homolog")</f>
        <v>putative RNA polymerase II subunit B1 CTD phosphatase RPAP2 homolog</v>
      </c>
      <c r="CH145" t="str">
        <f>HYPERLINK("http://www.ncbi.nlm.nih.gov/sutils/blink.cgi?pid=907651429","2E-079")</f>
        <v>2E-079</v>
      </c>
      <c r="CI145" t="str">
        <f>HYPERLINK("http://www.ncbi.nlm.nih.gov/protein/907651429","gi|907651429")</f>
        <v>gi|907651429</v>
      </c>
      <c r="CJ145">
        <v>100</v>
      </c>
      <c r="CK145">
        <v>100</v>
      </c>
      <c r="CL145">
        <v>100</v>
      </c>
      <c r="CM145" t="s">
        <v>253</v>
      </c>
      <c r="CN145" s="33" t="s">
        <v>242</v>
      </c>
      <c r="CO145" t="s">
        <v>242</v>
      </c>
      <c r="CP145" t="s">
        <v>242</v>
      </c>
      <c r="CQ145" t="s">
        <v>242</v>
      </c>
      <c r="CR145" t="s">
        <v>242</v>
      </c>
      <c r="CS145" t="s">
        <v>242</v>
      </c>
      <c r="CT145" t="s">
        <v>242</v>
      </c>
      <c r="CU145" s="33" t="s">
        <v>1589</v>
      </c>
      <c r="CV145">
        <f>HYPERLINK("http://exon.niaid.nih.gov/transcriptome/S_calcitrans/S1/links/GO/XP_013102083.1-GO.txt",2E-36)</f>
        <v>1.9999999999999999E-36</v>
      </c>
      <c r="CW145" t="str">
        <f>HYPERLINK("http://amigo.geneontology.org/cgi-bin/amigo/term_details?term=GO:0008420","GO:0008420")</f>
        <v>GO:0008420</v>
      </c>
      <c r="CX145" t="s">
        <v>1590</v>
      </c>
      <c r="CY145" t="s">
        <v>1591</v>
      </c>
      <c r="CZ145" t="s">
        <v>242</v>
      </c>
      <c r="DA145" t="s">
        <v>242</v>
      </c>
      <c r="DC145" t="s">
        <v>1592</v>
      </c>
      <c r="DD145" s="37">
        <v>1.9999999999999999E-36</v>
      </c>
      <c r="DE145" s="33" t="str">
        <f>HYPERLINK("http://exon.niaid.nih.gov/transcriptome/S_calcitrans/S1/links/CDD/XP_013102083.1-CDD.txt","RPAP2_Rtr1")</f>
        <v>RPAP2_Rtr1</v>
      </c>
      <c r="DF145" t="str">
        <f>HYPERLINK("http://www.ncbi.nlm.nih.gov/Structure/cdd/cddsrv.cgi?uid=pfam04181&amp;version=v4.0","4E-018")</f>
        <v>4E-018</v>
      </c>
      <c r="DG145" t="s">
        <v>1593</v>
      </c>
      <c r="DH145" s="33" t="str">
        <f>HYPERLINK("http://exon.niaid.nih.gov/transcriptome/S_calcitrans/S1/links/KOG/XP_013102083.1-KOG.txt","Uncharacterized conserved protein")</f>
        <v>Uncharacterized conserved protein</v>
      </c>
      <c r="DI145" t="str">
        <f>HYPERLINK("http://www.ncbi.nlm.nih.gov/Structure/cdd/cddsrv.cgi?uid=KOG4780","3E-019")</f>
        <v>3E-019</v>
      </c>
      <c r="DJ145" t="s">
        <v>260</v>
      </c>
      <c r="DK145" t="str">
        <f>HYPERLINK("http://exon.niaid.nih.gov/transcriptome/S_calcitrans/S1/links/KOG/XP_013102083.1-KOG.txt","KOG4780")</f>
        <v>KOG4780</v>
      </c>
      <c r="DL145" s="33" t="str">
        <f>HYPERLINK("http://exon.niaid.nih.gov/transcriptome/S_calcitrans/S1/links/PFAM/XP_013102083.1-PFAM.txt","RPAP2_Rtr1")</f>
        <v>RPAP2_Rtr1</v>
      </c>
      <c r="DM145" t="str">
        <f>HYPERLINK("http://pfam.sanger.ac.uk/family?acc=PF04181","1E-018")</f>
        <v>1E-018</v>
      </c>
      <c r="DN145" s="33" t="str">
        <f>HYPERLINK("http://exon.niaid.nih.gov/transcriptome/S_calcitrans/S1/links/SMART/XP_013102083.1-SMART.txt","SH2")</f>
        <v>SH2</v>
      </c>
      <c r="DO145" t="str">
        <f>HYPERLINK("http://smart.embl-heidelberg.de/smart/do_annotation.pl?DOMAIN=SH2&amp;BLAST=DUMMY","0.34")</f>
        <v>0.34</v>
      </c>
      <c r="DP145" s="33"/>
      <c r="EB145" s="33">
        <v>3689</v>
      </c>
      <c r="EC145">
        <v>1</v>
      </c>
      <c r="ED145" s="33">
        <v>4465</v>
      </c>
      <c r="EE145">
        <v>1</v>
      </c>
      <c r="EF145" s="33">
        <v>4899</v>
      </c>
      <c r="EG145">
        <v>1</v>
      </c>
      <c r="EH145" s="33">
        <v>5244</v>
      </c>
      <c r="EI145">
        <v>1</v>
      </c>
      <c r="EJ145" s="33">
        <v>5582</v>
      </c>
      <c r="EK145">
        <v>1</v>
      </c>
      <c r="EL145" s="33">
        <v>5841</v>
      </c>
      <c r="EM145">
        <v>1</v>
      </c>
      <c r="EN145" s="33">
        <v>6148</v>
      </c>
      <c r="EO145">
        <v>1</v>
      </c>
      <c r="EP145" s="33">
        <v>6370</v>
      </c>
      <c r="EQ145">
        <v>1</v>
      </c>
      <c r="ER145" s="33">
        <v>6547</v>
      </c>
      <c r="ES145">
        <v>1</v>
      </c>
      <c r="ET145" s="33">
        <v>6680</v>
      </c>
      <c r="EU145">
        <v>1</v>
      </c>
      <c r="EV145" s="33">
        <v>6797</v>
      </c>
      <c r="EW145">
        <v>1</v>
      </c>
      <c r="EX145" s="33">
        <v>6902</v>
      </c>
      <c r="EY145">
        <v>1</v>
      </c>
      <c r="EZ145" s="33">
        <v>7001</v>
      </c>
      <c r="FA145">
        <v>1</v>
      </c>
      <c r="FB145" s="33">
        <v>7088</v>
      </c>
      <c r="FC145">
        <v>1</v>
      </c>
      <c r="FD145" s="33">
        <v>7229</v>
      </c>
      <c r="FE145">
        <v>1</v>
      </c>
      <c r="FF145" t="s">
        <v>1594</v>
      </c>
      <c r="FG145">
        <v>8032</v>
      </c>
      <c r="FH145" s="38" t="str">
        <f>HYPERLINK("http://exon.niaid.nih.gov/transcriptome/S_calcitrans/S1/links/SG_male-stripped_temp-95-h10-1gap/8032-SG_male-stripped_temp-95-h10-1gap.txt","76")</f>
        <v>76</v>
      </c>
      <c r="FI145" s="39">
        <v>100</v>
      </c>
      <c r="FJ145" s="39">
        <v>12.301149425287401</v>
      </c>
      <c r="FK145" s="39">
        <v>1</v>
      </c>
      <c r="FL145" s="39">
        <v>27</v>
      </c>
      <c r="FM145" s="39">
        <v>70.407894736842096</v>
      </c>
      <c r="FN145" s="38" t="str">
        <f>HYPERLINK("http://exon.niaid.nih.gov/transcriptome/S_calcitrans/S1/links/SG_female-stripped_temp-95-h10-1gap/8032-SG_female-stripped_temp-95-h10-1gap.txt","75")</f>
        <v>75</v>
      </c>
      <c r="FO145" s="39">
        <v>90.114942528735597</v>
      </c>
      <c r="FP145" s="39">
        <v>12.190804597701099</v>
      </c>
      <c r="FQ145" s="39">
        <v>0</v>
      </c>
      <c r="FR145" s="39">
        <v>35</v>
      </c>
      <c r="FS145" s="39">
        <v>70.706666666666706</v>
      </c>
      <c r="FT145" s="38">
        <v>0</v>
      </c>
      <c r="FU145" s="39" t="s">
        <v>242</v>
      </c>
      <c r="FV145" s="39" t="s">
        <v>242</v>
      </c>
      <c r="FW145" s="39" t="s">
        <v>242</v>
      </c>
      <c r="FX145" s="39" t="s">
        <v>242</v>
      </c>
      <c r="FY145" s="39" t="s">
        <v>242</v>
      </c>
      <c r="FZ145" s="38" t="str">
        <f>HYPERLINK("http://exon.niaid.nih.gov/transcriptome/S_calcitrans/S1/links/SRR694925-stripped_temp-95-h10-1gap/8032-SRR694925-stripped_temp-95-h10-1gap.txt","1")</f>
        <v>1</v>
      </c>
      <c r="GA145" s="39">
        <v>21.149425287356301</v>
      </c>
      <c r="GB145" s="39">
        <v>0.21149425287356299</v>
      </c>
      <c r="GC145" s="39">
        <v>0</v>
      </c>
      <c r="GD145" s="39">
        <v>1</v>
      </c>
      <c r="GE145" s="39">
        <v>92</v>
      </c>
      <c r="GF145">
        <f t="shared" si="157"/>
        <v>76</v>
      </c>
      <c r="GG145">
        <f t="shared" si="158"/>
        <v>75</v>
      </c>
      <c r="GH145">
        <f t="shared" si="159"/>
        <v>0</v>
      </c>
      <c r="GI145">
        <f t="shared" si="160"/>
        <v>1</v>
      </c>
      <c r="GJ145">
        <f t="shared" si="93"/>
        <v>151</v>
      </c>
      <c r="GK145" s="34">
        <v>5.865080997351197E-4</v>
      </c>
      <c r="GL145">
        <v>5.7151327850548519</v>
      </c>
      <c r="GM145">
        <v>2.564751226514947</v>
      </c>
      <c r="GN145">
        <v>0</v>
      </c>
      <c r="GO145">
        <v>1.3622428477795276E-2</v>
      </c>
      <c r="GP145">
        <f t="shared" si="161"/>
        <v>5.7151327850548519</v>
      </c>
      <c r="GQ145" t="s">
        <v>1559</v>
      </c>
      <c r="GR145">
        <v>4.4571832256599446</v>
      </c>
      <c r="GS145">
        <v>2.1050611023087553</v>
      </c>
      <c r="GT145">
        <v>0</v>
      </c>
      <c r="GU145">
        <v>2.5790991675657786E-2</v>
      </c>
      <c r="GV145">
        <f t="shared" si="162"/>
        <v>4.4571832256599446</v>
      </c>
      <c r="GW145">
        <v>143.30863097374564</v>
      </c>
      <c r="GX145">
        <v>151</v>
      </c>
      <c r="GY145">
        <v>1</v>
      </c>
      <c r="GZ145">
        <v>152</v>
      </c>
      <c r="HA145">
        <v>33.743953427300568</v>
      </c>
      <c r="HB145">
        <v>118.25604657269943</v>
      </c>
      <c r="HC145">
        <v>407.45019659538281</v>
      </c>
      <c r="HD145">
        <v>116.26450279991978</v>
      </c>
      <c r="HE145">
        <v>523.71469939530255</v>
      </c>
      <c r="HF145">
        <v>6.5821128523945726E-116</v>
      </c>
      <c r="HG145">
        <v>33.743953427300568</v>
      </c>
      <c r="HH145">
        <v>1</v>
      </c>
      <c r="HI145">
        <v>1</v>
      </c>
      <c r="HJ145">
        <v>2</v>
      </c>
      <c r="HK145" s="37">
        <v>1.6578945921687399E-115</v>
      </c>
      <c r="HL145" s="30" t="s">
        <v>262</v>
      </c>
      <c r="HM145">
        <v>264.59055947532619</v>
      </c>
      <c r="HN145">
        <v>1.8772798519370796E-3</v>
      </c>
      <c r="HO145">
        <v>76</v>
      </c>
      <c r="HP145">
        <v>75</v>
      </c>
      <c r="HQ145">
        <v>151</v>
      </c>
      <c r="HR145">
        <v>47.20198765874018</v>
      </c>
      <c r="HS145">
        <v>103.79801234125982</v>
      </c>
      <c r="HT145">
        <v>17.56971593660824</v>
      </c>
      <c r="HU145">
        <v>7.9898015010225309</v>
      </c>
      <c r="HV145">
        <v>25.55951743763077</v>
      </c>
      <c r="HW145">
        <v>4.2894501094229593E-7</v>
      </c>
      <c r="HX145">
        <v>47.20198765874018</v>
      </c>
      <c r="HY145">
        <v>1</v>
      </c>
      <c r="HZ145">
        <v>1</v>
      </c>
      <c r="IA145">
        <v>2</v>
      </c>
      <c r="IB145" s="37">
        <v>5.7422869707811601E-6</v>
      </c>
      <c r="IC145" s="30" t="s">
        <v>262</v>
      </c>
      <c r="ID145">
        <v>2.1990178272088086</v>
      </c>
      <c r="IE145">
        <v>0.4429368247834059</v>
      </c>
      <c r="IF145">
        <v>2.1990178272088086</v>
      </c>
      <c r="IG145" t="str">
        <f t="shared" si="156"/>
        <v/>
      </c>
    </row>
    <row r="146" spans="1:241">
      <c r="A146" t="str">
        <f>HYPERLINK("http://exon.niaid.nih.gov/transcriptome/S_calcitrans/S1/links/pep/XP_013102181.1-pep.txt","XP_013102181.1")</f>
        <v>XP_013102181.1</v>
      </c>
      <c r="B146" s="30" t="s">
        <v>232</v>
      </c>
      <c r="C146">
        <v>85</v>
      </c>
      <c r="D146" t="s">
        <v>1595</v>
      </c>
      <c r="E146">
        <v>0</v>
      </c>
      <c r="F146" t="s">
        <v>1596</v>
      </c>
      <c r="G146" t="str">
        <f>HYPERLINK("http://exon.niaid.nih.gov/transcriptome/S_calcitrans/S1/links/cds/XM_013246727_1-cds.txt","XM_013246727_1")</f>
        <v>XM_013246727_1</v>
      </c>
      <c r="H146">
        <v>258</v>
      </c>
      <c r="I146" t="s">
        <v>1597</v>
      </c>
      <c r="J146" s="30" t="s">
        <v>236</v>
      </c>
      <c r="K146" s="30" t="s">
        <v>91</v>
      </c>
      <c r="L146" s="31" t="s">
        <v>1598</v>
      </c>
      <c r="M146" s="30">
        <v>836588</v>
      </c>
      <c r="N146" s="30">
        <v>836845</v>
      </c>
      <c r="O146" s="30" t="s">
        <v>238</v>
      </c>
      <c r="P146" s="30">
        <v>1</v>
      </c>
      <c r="Q146" s="31" t="s">
        <v>1599</v>
      </c>
      <c r="R146" s="32" t="str">
        <f>HYPERLINK("http://exon.niaid.nih.gov/transcriptome/S_calcitrans/S1/links/Sigp/XP_013102181.1-SigP.txt","CYT")</f>
        <v>CYT</v>
      </c>
      <c r="S146" t="s">
        <v>242</v>
      </c>
      <c r="T146">
        <v>10.01</v>
      </c>
      <c r="U146">
        <v>5.89</v>
      </c>
      <c r="V146" t="s">
        <v>242</v>
      </c>
      <c r="W146" t="s">
        <v>242</v>
      </c>
      <c r="X146" t="s">
        <v>1600</v>
      </c>
      <c r="Y146" s="32">
        <v>0</v>
      </c>
      <c r="Z146" t="s">
        <v>242</v>
      </c>
      <c r="AA146" t="s">
        <v>242</v>
      </c>
      <c r="AB146" t="s">
        <v>242</v>
      </c>
      <c r="AC146" t="s">
        <v>242</v>
      </c>
      <c r="AD146" t="s">
        <v>242</v>
      </c>
      <c r="AE146" s="32" t="str">
        <f>HYPERLINK("http://exon.niaid.nih.gov/transcriptome/S_calcitrans/S1/links/netoglyc/XP_013102181.1-netoglyc.txt","0")</f>
        <v>0</v>
      </c>
      <c r="AF146">
        <v>10.6</v>
      </c>
      <c r="AG146">
        <v>7.1</v>
      </c>
      <c r="AH146">
        <v>4.7</v>
      </c>
      <c r="AI146" t="s">
        <v>243</v>
      </c>
      <c r="AJ146" t="s">
        <v>242</v>
      </c>
      <c r="AK146">
        <v>255.30360606327832</v>
      </c>
      <c r="AL146" s="33">
        <v>7284</v>
      </c>
      <c r="AM146">
        <v>1</v>
      </c>
      <c r="AN146" s="30">
        <f t="shared" si="149"/>
        <v>1</v>
      </c>
      <c r="AO146" s="30" t="s">
        <v>244</v>
      </c>
      <c r="AP146">
        <v>1457</v>
      </c>
      <c r="AQ146" s="34">
        <v>5.6592205385037715E-3</v>
      </c>
      <c r="AR146" s="35">
        <v>132.34349331447848</v>
      </c>
      <c r="AS146" t="s">
        <v>1601</v>
      </c>
      <c r="AT146" s="36" t="s">
        <v>1602</v>
      </c>
      <c r="AU146" t="s">
        <v>1559</v>
      </c>
      <c r="AV146" t="str">
        <f>HYPERLINK("http://exon.niaid.nih.gov/transcriptome/S_calcitrans/S1/links/CDD/XP_013102181.1-CDD.txt","CDD")</f>
        <v>CDD</v>
      </c>
      <c r="AW146" s="37">
        <v>2.9999999999999999E-48</v>
      </c>
      <c r="AX146">
        <v>100</v>
      </c>
      <c r="AY146" s="33"/>
      <c r="BG146" s="31"/>
      <c r="BJ146" s="33"/>
      <c r="BK146" s="33"/>
      <c r="BL146" s="33" t="str">
        <f>HYPERLINK("http://exon.niaid.nih.gov/transcriptome/S_calcitrans/S1/links/NR-LIGHT/XP_013102181.1-NR-LIGHT.txt","probable splicing factor 3B subunit 5")</f>
        <v>probable splicing factor 3B subunit 5</v>
      </c>
      <c r="BM146" t="str">
        <f>HYPERLINK("http://www.ncbi.nlm.nih.gov/sutils/blink.cgi?pid=557780408","8E-045")</f>
        <v>8E-045</v>
      </c>
      <c r="BN146" t="str">
        <f>HYPERLINK("http://www.ncbi.nlm.nih.gov/protein/557780408","gi|557780408")</f>
        <v>gi|557780408</v>
      </c>
      <c r="BO146">
        <v>97</v>
      </c>
      <c r="BP146">
        <v>98</v>
      </c>
      <c r="BQ146">
        <v>100</v>
      </c>
      <c r="BR146" t="s">
        <v>251</v>
      </c>
      <c r="BS146" s="33" t="str">
        <f>HYPERLINK("http://exon.niaid.nih.gov/transcriptome/S_calcitrans/S1/links/SWISSP/XP_013102181.1-SWISSP.txt","Probable splicing factor 3B subunit 5")</f>
        <v>Probable splicing factor 3B subunit 5</v>
      </c>
      <c r="BT146" t="str">
        <f>HYPERLINK("http://www.uniprot.org/uniprot/Q9VHI4","1E-041")</f>
        <v>1E-041</v>
      </c>
      <c r="BU146" t="str">
        <f>HYPERLINK("http://www.uniprot.org/uniprot/Q9VHI4#expression","Q9VHI4")</f>
        <v>Q9VHI4</v>
      </c>
      <c r="BV146">
        <v>88</v>
      </c>
      <c r="BW146">
        <v>97</v>
      </c>
      <c r="BX146">
        <v>100</v>
      </c>
      <c r="BY146" t="s">
        <v>304</v>
      </c>
      <c r="BZ146" s="33" t="str">
        <f>HYPERLINK("http://exon.niaid.nih.gov/transcriptome/S_calcitrans/S1/links/REFSEQ-INVERTEBRATE/XP_013102181.1-REFSEQ-INVERTEBRATE.txt","probable splicing factor 3B subunit 5")</f>
        <v>probable splicing factor 3B subunit 5</v>
      </c>
      <c r="CA146" t="str">
        <f>HYPERLINK("http://www.ncbi.nlm.nih.gov/sutils/blink.cgi?pid=907651709","6E-046")</f>
        <v>6E-046</v>
      </c>
      <c r="CB146" t="str">
        <f>HYPERLINK("http://www.ncbi.nlm.nih.gov/protein/907651709","gi|907651709")</f>
        <v>gi|907651709</v>
      </c>
      <c r="CC146">
        <v>100</v>
      </c>
      <c r="CD146">
        <v>100</v>
      </c>
      <c r="CE146">
        <v>100</v>
      </c>
      <c r="CF146" t="s">
        <v>253</v>
      </c>
      <c r="CG146" s="33" t="str">
        <f>HYPERLINK("http://exon.niaid.nih.gov/transcriptome/S_calcitrans/S1/links/DIPTERA/XP_013102181.1-DIPTERA.txt","probable splicing factor 3B subunit 5")</f>
        <v>probable splicing factor 3B subunit 5</v>
      </c>
      <c r="CH146" t="str">
        <f>HYPERLINK("http://www.ncbi.nlm.nih.gov/sutils/blink.cgi?pid=907651709","3E-046")</f>
        <v>3E-046</v>
      </c>
      <c r="CI146" t="str">
        <f>HYPERLINK("http://www.ncbi.nlm.nih.gov/protein/907651709","gi|907651709")</f>
        <v>gi|907651709</v>
      </c>
      <c r="CJ146">
        <v>100</v>
      </c>
      <c r="CK146">
        <v>100</v>
      </c>
      <c r="CL146">
        <v>100</v>
      </c>
      <c r="CM146" t="s">
        <v>253</v>
      </c>
      <c r="CN146" s="33" t="s">
        <v>242</v>
      </c>
      <c r="CO146" t="s">
        <v>242</v>
      </c>
      <c r="CP146" t="s">
        <v>242</v>
      </c>
      <c r="CQ146" t="s">
        <v>242</v>
      </c>
      <c r="CR146" t="s">
        <v>242</v>
      </c>
      <c r="CS146" t="s">
        <v>242</v>
      </c>
      <c r="CT146" t="s">
        <v>242</v>
      </c>
      <c r="CU146" s="33" t="s">
        <v>1603</v>
      </c>
      <c r="CV146">
        <f>HYPERLINK("http://exon.niaid.nih.gov/transcriptome/S_calcitrans/S1/links/GO/XP_013102181.1-GO.txt",2E-41)</f>
        <v>2E-41</v>
      </c>
      <c r="CW146" t="str">
        <f>HYPERLINK("http://amigo.geneontology.org/cgi-bin/amigo/term_details?term=GO:0003674","GO:0003674")</f>
        <v>GO:0003674</v>
      </c>
      <c r="CX146" t="s">
        <v>255</v>
      </c>
      <c r="CY146" t="s">
        <v>256</v>
      </c>
      <c r="CZ146" t="s">
        <v>257</v>
      </c>
      <c r="DA146" t="s">
        <v>242</v>
      </c>
      <c r="DC146" t="s">
        <v>258</v>
      </c>
      <c r="DD146" s="37">
        <v>2E-41</v>
      </c>
      <c r="DE146" s="33" t="str">
        <f>HYPERLINK("http://exon.niaid.nih.gov/transcriptome/S_calcitrans/S1/links/CDD/XP_013102181.1-CDD.txt","SF3b10")</f>
        <v>SF3b10</v>
      </c>
      <c r="DF146" t="str">
        <f>HYPERLINK("http://www.ncbi.nlm.nih.gov/Structure/cdd/cddsrv.cgi?uid=pfam07189&amp;version=v4.0","3E-048")</f>
        <v>3E-048</v>
      </c>
      <c r="DG146" t="s">
        <v>1604</v>
      </c>
      <c r="DH146" s="33" t="str">
        <f>HYPERLINK("http://exon.niaid.nih.gov/transcriptome/S_calcitrans/S1/links/KOG/XP_013102181.1-KOG.txt","Uncharacterized conserved protein")</f>
        <v>Uncharacterized conserved protein</v>
      </c>
      <c r="DI146" t="str">
        <f>HYPERLINK("http://www.ncbi.nlm.nih.gov/Structure/cdd/cddsrv.cgi?uid=KOG3485","3E-048")</f>
        <v>3E-048</v>
      </c>
      <c r="DJ146" t="s">
        <v>260</v>
      </c>
      <c r="DK146" t="str">
        <f>HYPERLINK("http://exon.niaid.nih.gov/transcriptome/S_calcitrans/S1/links/KOG/XP_013102181.1-KOG.txt","KOG3485")</f>
        <v>KOG3485</v>
      </c>
      <c r="DL146" s="33" t="str">
        <f>HYPERLINK("http://exon.niaid.nih.gov/transcriptome/S_calcitrans/S1/links/PFAM/XP_013102181.1-PFAM.txt","SF3b10")</f>
        <v>SF3b10</v>
      </c>
      <c r="DM146" t="str">
        <f>HYPERLINK("http://pfam.sanger.ac.uk/family?acc=PF07189","3E-037")</f>
        <v>3E-037</v>
      </c>
      <c r="DN146" s="33" t="str">
        <f>HYPERLINK("http://exon.niaid.nih.gov/transcriptome/S_calcitrans/S1/links/SMART/XP_013102181.1-SMART.txt","LamG")</f>
        <v>LamG</v>
      </c>
      <c r="DO146" t="str">
        <f>HYPERLINK("http://smart.embl-heidelberg.de/smart/do_annotation.pl?DOMAIN=LamG&amp;BLAST=DUMMY","1.8")</f>
        <v>1.8</v>
      </c>
      <c r="DP146" s="33"/>
      <c r="EB146" s="33">
        <v>3707</v>
      </c>
      <c r="EC146">
        <v>1</v>
      </c>
      <c r="ED146" s="33">
        <v>4494</v>
      </c>
      <c r="EE146">
        <v>1</v>
      </c>
      <c r="EF146" s="33">
        <v>4932</v>
      </c>
      <c r="EG146">
        <v>1</v>
      </c>
      <c r="EH146" s="33">
        <v>5277</v>
      </c>
      <c r="EI146">
        <v>1</v>
      </c>
      <c r="EJ146" s="33">
        <v>5617</v>
      </c>
      <c r="EK146">
        <v>1</v>
      </c>
      <c r="EL146" s="33">
        <v>5878</v>
      </c>
      <c r="EM146">
        <v>1</v>
      </c>
      <c r="EN146" s="33">
        <v>6187</v>
      </c>
      <c r="EO146">
        <v>1</v>
      </c>
      <c r="EP146" s="33">
        <v>6412</v>
      </c>
      <c r="EQ146">
        <v>1</v>
      </c>
      <c r="ER146" s="33">
        <v>6589</v>
      </c>
      <c r="ES146">
        <v>1</v>
      </c>
      <c r="ET146" s="33">
        <v>6723</v>
      </c>
      <c r="EU146">
        <v>1</v>
      </c>
      <c r="EV146" s="33">
        <v>6841</v>
      </c>
      <c r="EW146">
        <v>1</v>
      </c>
      <c r="EX146" s="33">
        <v>6947</v>
      </c>
      <c r="EY146">
        <v>1</v>
      </c>
      <c r="EZ146" s="33">
        <v>7050</v>
      </c>
      <c r="FA146">
        <v>1</v>
      </c>
      <c r="FB146" s="33">
        <v>7140</v>
      </c>
      <c r="FC146">
        <v>1</v>
      </c>
      <c r="FD146" s="33">
        <v>7284</v>
      </c>
      <c r="FE146">
        <v>1</v>
      </c>
      <c r="FF146" t="s">
        <v>1605</v>
      </c>
      <c r="FG146">
        <v>8150</v>
      </c>
      <c r="FH146" s="38" t="str">
        <f>HYPERLINK("http://exon.niaid.nih.gov/transcriptome/S_calcitrans/S1/links/SG_male-stripped_temp-95-h10-1gap/8150-SG_male-stripped_temp-95-h10-1gap.txt","741")</f>
        <v>741</v>
      </c>
      <c r="FI146" s="39">
        <v>100</v>
      </c>
      <c r="FJ146" s="39">
        <v>204.17441860465101</v>
      </c>
      <c r="FK146" s="39">
        <v>12</v>
      </c>
      <c r="FL146" s="39">
        <v>325</v>
      </c>
      <c r="FM146" s="39">
        <v>71.090418353576297</v>
      </c>
      <c r="FN146" s="38" t="str">
        <f>HYPERLINK("http://exon.niaid.nih.gov/transcriptome/S_calcitrans/S1/links/SG_female-stripped_temp-95-h10-1gap/8150-SG_female-stripped_temp-95-h10-1gap.txt","716")</f>
        <v>716</v>
      </c>
      <c r="FO146" s="39">
        <v>100</v>
      </c>
      <c r="FP146" s="39">
        <v>197.957364341085</v>
      </c>
      <c r="FQ146" s="39">
        <v>13</v>
      </c>
      <c r="FR146" s="39">
        <v>301</v>
      </c>
      <c r="FS146" s="39">
        <v>71.332402234636902</v>
      </c>
      <c r="FT146" s="38" t="str">
        <f>HYPERLINK("http://exon.niaid.nih.gov/transcriptome/S_calcitrans/S1/links/SRR694289-stripped_temp-95-h10-1gap/8150-SRR694289-stripped_temp-95-h10-1gap.txt","11")</f>
        <v>11</v>
      </c>
      <c r="FU146" s="39">
        <v>67.829457364341096</v>
      </c>
      <c r="FV146" s="39">
        <v>3.8333333333333299</v>
      </c>
      <c r="FW146" s="39">
        <v>0</v>
      </c>
      <c r="FX146" s="39">
        <v>10</v>
      </c>
      <c r="FY146" s="39">
        <v>89.909090909090907</v>
      </c>
      <c r="FZ146" s="38" t="str">
        <f>HYPERLINK("http://exon.niaid.nih.gov/transcriptome/S_calcitrans/S1/links/SRR694925-stripped_temp-95-h10-1gap/8150-SRR694925-stripped_temp-95-h10-1gap.txt","8")</f>
        <v>8</v>
      </c>
      <c r="GA146" s="39">
        <v>83.720930232558104</v>
      </c>
      <c r="GB146" s="39">
        <v>3.0387596899224798</v>
      </c>
      <c r="GC146" s="39">
        <v>0</v>
      </c>
      <c r="GD146" s="39">
        <v>6</v>
      </c>
      <c r="GE146" s="39">
        <v>98</v>
      </c>
      <c r="GF146">
        <f t="shared" si="157"/>
        <v>741</v>
      </c>
      <c r="GG146">
        <f t="shared" si="158"/>
        <v>716</v>
      </c>
      <c r="GH146">
        <f t="shared" si="159"/>
        <v>11</v>
      </c>
      <c r="GI146">
        <f t="shared" si="160"/>
        <v>8</v>
      </c>
      <c r="GJ146">
        <f t="shared" si="93"/>
        <v>1457</v>
      </c>
      <c r="GK146" s="34">
        <v>5.6592205385037715E-3</v>
      </c>
      <c r="GL146">
        <v>93.950802033387177</v>
      </c>
      <c r="GM146">
        <v>41.282553850663845</v>
      </c>
      <c r="GN146">
        <v>0.24507867193916533</v>
      </c>
      <c r="GO146">
        <v>0.18374438411909907</v>
      </c>
      <c r="GP146">
        <f t="shared" si="161"/>
        <v>93.950802033387177</v>
      </c>
      <c r="GQ146" t="s">
        <v>1559</v>
      </c>
      <c r="GR146">
        <v>73.271427735776129</v>
      </c>
      <c r="GS146">
        <v>33.883324595611626</v>
      </c>
      <c r="GT146">
        <v>0.44179298937675399</v>
      </c>
      <c r="GU146">
        <v>0.34787849236933754</v>
      </c>
      <c r="GV146">
        <f t="shared" si="162"/>
        <v>73.271427735776129</v>
      </c>
      <c r="GW146">
        <v>132.34349331447848</v>
      </c>
      <c r="GX146">
        <v>1457</v>
      </c>
      <c r="GY146">
        <v>19</v>
      </c>
      <c r="GZ146">
        <v>1476</v>
      </c>
      <c r="HA146">
        <v>327.67154775457652</v>
      </c>
      <c r="HB146">
        <v>1148.3284522454235</v>
      </c>
      <c r="HC146">
        <v>3892.259678299245</v>
      </c>
      <c r="HD146">
        <v>1110.6428222318973</v>
      </c>
      <c r="HE146">
        <v>5002.9025005311423</v>
      </c>
      <c r="HF146">
        <v>0</v>
      </c>
      <c r="HG146">
        <v>327.67154775457652</v>
      </c>
      <c r="HH146">
        <v>1</v>
      </c>
      <c r="HI146">
        <v>1</v>
      </c>
      <c r="HJ146">
        <v>2</v>
      </c>
      <c r="HK146">
        <v>0</v>
      </c>
      <c r="HL146" s="30" t="s">
        <v>262</v>
      </c>
      <c r="HM146">
        <v>255.30360606327832</v>
      </c>
      <c r="HN146">
        <v>3.7185076902567123E-3</v>
      </c>
      <c r="HO146">
        <v>741</v>
      </c>
      <c r="HP146">
        <v>716</v>
      </c>
      <c r="HQ146">
        <v>1457</v>
      </c>
      <c r="HR146">
        <v>455.45229151512876</v>
      </c>
      <c r="HS146">
        <v>1001.5477084848712</v>
      </c>
      <c r="HT146">
        <v>179.02532348605513</v>
      </c>
      <c r="HU146">
        <v>81.41149256315498</v>
      </c>
      <c r="HV146">
        <v>260.43681604921011</v>
      </c>
      <c r="HW146">
        <v>1.378164237114462E-58</v>
      </c>
      <c r="HX146">
        <v>455.45229151512876</v>
      </c>
      <c r="HY146">
        <v>1</v>
      </c>
      <c r="HZ146">
        <v>1</v>
      </c>
      <c r="IA146">
        <v>2</v>
      </c>
      <c r="IB146" s="37">
        <v>1.2838046473029001E-56</v>
      </c>
      <c r="IC146" s="30" t="s">
        <v>262</v>
      </c>
      <c r="ID146">
        <v>2.2726251184961326</v>
      </c>
      <c r="IE146">
        <v>0.43881389081686856</v>
      </c>
      <c r="IF146">
        <v>2.2726251184961326</v>
      </c>
      <c r="IG146" t="str">
        <f t="shared" si="156"/>
        <v/>
      </c>
    </row>
    <row r="147" spans="1:241">
      <c r="A147" t="str">
        <f>HYPERLINK("http://exon.niaid.nih.gov/transcriptome/S_calcitrans/S1/links/pep/XP_013103958.1-pep.txt","XP_013103958.1")</f>
        <v>XP_013103958.1</v>
      </c>
      <c r="B147" s="30" t="s">
        <v>232</v>
      </c>
      <c r="C147">
        <v>556</v>
      </c>
      <c r="D147" t="s">
        <v>1606</v>
      </c>
      <c r="E147">
        <v>1</v>
      </c>
      <c r="F147" t="s">
        <v>1607</v>
      </c>
      <c r="G147" t="str">
        <f>HYPERLINK("http://exon.niaid.nih.gov/transcriptome/S_calcitrans/S1/links/cds/XM_013248504_1-cds.txt","XM_013248504_1")</f>
        <v>XM_013248504_1</v>
      </c>
      <c r="H147">
        <v>1671</v>
      </c>
      <c r="I147" t="s">
        <v>1608</v>
      </c>
      <c r="J147" s="30" t="s">
        <v>236</v>
      </c>
      <c r="K147" s="30" t="s">
        <v>91</v>
      </c>
      <c r="L147" s="31" t="s">
        <v>1609</v>
      </c>
      <c r="M147" s="30">
        <v>282806</v>
      </c>
      <c r="N147" s="30">
        <v>309480</v>
      </c>
      <c r="O147" s="30" t="s">
        <v>238</v>
      </c>
      <c r="P147" s="30">
        <v>4</v>
      </c>
      <c r="Q147" s="31" t="s">
        <v>1610</v>
      </c>
      <c r="R147" s="32" t="str">
        <f>HYPERLINK("http://exon.niaid.nih.gov/transcriptome/S_calcitrans/S1/links/Sigp/XP_013103958.1-SigP.txt","CYT")</f>
        <v>CYT</v>
      </c>
      <c r="S147" t="s">
        <v>242</v>
      </c>
      <c r="T147">
        <v>61.682000000000002</v>
      </c>
      <c r="U147">
        <v>8.7899999999999991</v>
      </c>
      <c r="V147" t="s">
        <v>242</v>
      </c>
      <c r="W147" t="s">
        <v>242</v>
      </c>
      <c r="X147" t="s">
        <v>1611</v>
      </c>
      <c r="Y147" s="32">
        <v>0</v>
      </c>
      <c r="Z147" t="s">
        <v>242</v>
      </c>
      <c r="AA147" t="s">
        <v>242</v>
      </c>
      <c r="AB147" t="s">
        <v>242</v>
      </c>
      <c r="AC147" t="s">
        <v>242</v>
      </c>
      <c r="AD147" t="s">
        <v>242</v>
      </c>
      <c r="AE147" s="32" t="str">
        <f>HYPERLINK("http://exon.niaid.nih.gov/transcriptome/S_calcitrans/S1/links/netoglyc/XP_013103958.1-netoglyc.txt","8")</f>
        <v>8</v>
      </c>
      <c r="AF147">
        <v>19.8</v>
      </c>
      <c r="AG147">
        <v>3.4</v>
      </c>
      <c r="AH147">
        <v>6.7</v>
      </c>
      <c r="AI147" t="s">
        <v>243</v>
      </c>
      <c r="AJ147" t="s">
        <v>1612</v>
      </c>
      <c r="AK147">
        <v>106.98492452663116</v>
      </c>
      <c r="AL147" s="33">
        <v>8054</v>
      </c>
      <c r="AM147">
        <v>1</v>
      </c>
      <c r="AN147" s="30">
        <f t="shared" si="149"/>
        <v>1</v>
      </c>
      <c r="AO147" s="30" t="s">
        <v>244</v>
      </c>
      <c r="AP147">
        <v>1099</v>
      </c>
      <c r="AQ147" s="34">
        <v>4.2686914013834211E-3</v>
      </c>
      <c r="AR147" s="35">
        <v>42.050321810192941</v>
      </c>
      <c r="AS147" t="s">
        <v>1613</v>
      </c>
      <c r="AT147" s="36" t="s">
        <v>1614</v>
      </c>
      <c r="AU147" t="s">
        <v>1559</v>
      </c>
      <c r="AV147" t="str">
        <f>HYPERLINK("http://exon.niaid.nih.gov/transcriptome/S_calcitrans/S1/links/KOG/XP_013103958.1-KOG.txt","KOG")</f>
        <v>KOG</v>
      </c>
      <c r="AW147" s="37">
        <v>2.0000000000000001E-18</v>
      </c>
      <c r="AX147">
        <v>72.599999999999994</v>
      </c>
      <c r="AY147" s="33"/>
      <c r="BG147" s="31"/>
      <c r="BJ147" s="33"/>
      <c r="BK147" s="33"/>
      <c r="BL147" s="33" t="str">
        <f>HYPERLINK("http://exon.niaid.nih.gov/transcriptome/S_calcitrans/S1/links/NR-LIGHT/XP_013103958.1-NR-LIGHT.txt","zinc finger protein sens")</f>
        <v>zinc finger protein sens</v>
      </c>
      <c r="BM147" t="str">
        <f>HYPERLINK("http://www.ncbi.nlm.nih.gov/sutils/blink.cgi?pid=557763628","0.0")</f>
        <v>0.0</v>
      </c>
      <c r="BN147" t="str">
        <f>HYPERLINK("http://www.ncbi.nlm.nih.gov/protein/557763628","gi|557763628")</f>
        <v>gi|557763628</v>
      </c>
      <c r="BO147">
        <v>81</v>
      </c>
      <c r="BP147">
        <v>86</v>
      </c>
      <c r="BQ147">
        <v>103</v>
      </c>
      <c r="BR147" t="s">
        <v>251</v>
      </c>
      <c r="BS147" s="33" t="str">
        <f>HYPERLINK("http://exon.niaid.nih.gov/transcriptome/S_calcitrans/S1/links/SWISSP/XP_013103958.1-SWISSP.txt","Zinc finger protein sens")</f>
        <v>Zinc finger protein sens</v>
      </c>
      <c r="BT147" t="str">
        <f>HYPERLINK("http://www.uniprot.org/uniprot/Q9N658","1E-142")</f>
        <v>1E-142</v>
      </c>
      <c r="BU147" t="str">
        <f>HYPERLINK("http://www.uniprot.org/uniprot/Q9N658#expression","Q9N658")</f>
        <v>Q9N658</v>
      </c>
      <c r="BV147">
        <v>51</v>
      </c>
      <c r="BW147">
        <v>61</v>
      </c>
      <c r="BX147">
        <v>113</v>
      </c>
      <c r="BY147" t="s">
        <v>304</v>
      </c>
      <c r="BZ147" s="33" t="str">
        <f>HYPERLINK("http://exon.niaid.nih.gov/transcriptome/S_calcitrans/S1/links/REFSEQ-INVERTEBRATE/XP_013103958.1-REFSEQ-INVERTEBRATE.txt","zinc finger protein sens")</f>
        <v>zinc finger protein sens</v>
      </c>
      <c r="CA147" t="str">
        <f>HYPERLINK("http://www.ncbi.nlm.nih.gov/sutils/blink.cgi?pid=907668391","0.0")</f>
        <v>0.0</v>
      </c>
      <c r="CB147" t="str">
        <f>HYPERLINK("http://www.ncbi.nlm.nih.gov/protein/907668391","gi|907668391")</f>
        <v>gi|907668391</v>
      </c>
      <c r="CC147">
        <v>100</v>
      </c>
      <c r="CD147">
        <v>100</v>
      </c>
      <c r="CE147">
        <v>100</v>
      </c>
      <c r="CF147" t="s">
        <v>253</v>
      </c>
      <c r="CG147" s="33" t="str">
        <f>HYPERLINK("http://exon.niaid.nih.gov/transcriptome/S_calcitrans/S1/links/DIPTERA/XP_013103958.1-DIPTERA.txt","zinc finger protein sens")</f>
        <v>zinc finger protein sens</v>
      </c>
      <c r="CH147" t="str">
        <f>HYPERLINK("http://www.ncbi.nlm.nih.gov/sutils/blink.cgi?pid=907668391","0.0")</f>
        <v>0.0</v>
      </c>
      <c r="CI147" t="str">
        <f>HYPERLINK("http://www.ncbi.nlm.nih.gov/protein/907668391","gi|907668391")</f>
        <v>gi|907668391</v>
      </c>
      <c r="CJ147">
        <v>100</v>
      </c>
      <c r="CK147">
        <v>100</v>
      </c>
      <c r="CL147">
        <v>100</v>
      </c>
      <c r="CM147" t="s">
        <v>253</v>
      </c>
      <c r="CN147" s="33" t="str">
        <f>HYPERLINK("http://exon.niaid.nih.gov/transcriptome/S_calcitrans/S1/links/VIRUS/XP_013103958.1-VIRUS.txt","hypothetical protein")</f>
        <v>hypothetical protein</v>
      </c>
      <c r="CO147" t="str">
        <f>HYPERLINK("http://www.ncbi.nlm.nih.gov/sutils/blink.cgi?pid=110645261","2E-009")</f>
        <v>2E-009</v>
      </c>
      <c r="CP147" t="str">
        <f>HYPERLINK("http://www.ncbi.nlm.nih.gov/protein/110645261","gi|110645261")</f>
        <v>gi|110645261</v>
      </c>
      <c r="CQ147">
        <v>35</v>
      </c>
      <c r="CR147">
        <v>57</v>
      </c>
      <c r="CS147">
        <v>34</v>
      </c>
      <c r="CT147" t="s">
        <v>661</v>
      </c>
      <c r="CU147" s="33" t="s">
        <v>1615</v>
      </c>
      <c r="CV147">
        <f>HYPERLINK("http://exon.niaid.nih.gov/transcriptome/S_calcitrans/S1/links/GO/XP_013103958.1-GO.txt",0)</f>
        <v>0</v>
      </c>
      <c r="CW147" t="str">
        <f>HYPERLINK("http://amigo.geneontology.org/cgi-bin/amigo/term_details?term=GO:0003700","GO:0003700")</f>
        <v>GO:0003700</v>
      </c>
      <c r="CX147" t="s">
        <v>1505</v>
      </c>
      <c r="CY147" t="s">
        <v>1506</v>
      </c>
      <c r="CZ147" t="s">
        <v>1507</v>
      </c>
      <c r="DA147" t="s">
        <v>242</v>
      </c>
      <c r="DC147" t="s">
        <v>1616</v>
      </c>
      <c r="DD147" s="37">
        <v>1E-141</v>
      </c>
      <c r="DE147" s="33" t="str">
        <f>HYPERLINK("http://exon.niaid.nih.gov/transcriptome/S_calcitrans/S1/links/CDD/XP_013103958.1-CDD.txt","ZF_C2H2")</f>
        <v>ZF_C2H2</v>
      </c>
      <c r="DF147" t="str">
        <f>HYPERLINK("http://www.ncbi.nlm.nih.gov/Structure/cdd/cddsrv.cgi?uid=sd00017&amp;version=v4.0","2E-029")</f>
        <v>2E-029</v>
      </c>
      <c r="DG147" t="s">
        <v>1617</v>
      </c>
      <c r="DH147" s="33" t="str">
        <f>HYPERLINK("http://exon.niaid.nih.gov/transcriptome/S_calcitrans/S1/links/KOG/XP_013103958.1-KOG.txt","C2H2-type Zn-finger protein")</f>
        <v>C2H2-type Zn-finger protein</v>
      </c>
      <c r="DI147" t="str">
        <f>HYPERLINK("http://www.ncbi.nlm.nih.gov/Structure/cdd/cddsrv.cgi?uid=KOG2462","2E-022")</f>
        <v>2E-022</v>
      </c>
      <c r="DJ147" t="s">
        <v>392</v>
      </c>
      <c r="DK147" t="str">
        <f>HYPERLINK("http://exon.niaid.nih.gov/transcriptome/S_calcitrans/S1/links/KOG/XP_013103958.1-KOG.txt","KOG2462")</f>
        <v>KOG2462</v>
      </c>
      <c r="DL147" s="33" t="str">
        <f>HYPERLINK("http://exon.niaid.nih.gov/transcriptome/S_calcitrans/S1/links/PFAM/XP_013103958.1-PFAM.txt","zf-H2C2_2")</f>
        <v>zf-H2C2_2</v>
      </c>
      <c r="DM147" t="str">
        <f>HYPERLINK("http://pfam.sanger.ac.uk/family?acc=PF13465","2E-004")</f>
        <v>2E-004</v>
      </c>
      <c r="DN147" s="33" t="str">
        <f>HYPERLINK("http://exon.niaid.nih.gov/transcriptome/S_calcitrans/S1/links/SMART/XP_013103958.1-SMART.txt","ZnF_C2H2")</f>
        <v>ZnF_C2H2</v>
      </c>
      <c r="DO147" t="str">
        <f>HYPERLINK("http://smart.embl-heidelberg.de/smart/do_annotation.pl?DOMAIN=ZnF_C2H2&amp;BLAST=DUMMY","0.001")</f>
        <v>0.001</v>
      </c>
      <c r="DP147" s="33" t="str">
        <f>HYPERLINK("http://exon.niaid.nih.gov/transcriptome/S_calcitrans/S1/links/REPBASE-RPS/XP_013103958.1-REPBASE-RPS.txt","ENSPM-2_NV")</f>
        <v>ENSPM-2_NV</v>
      </c>
      <c r="DQ147" t="str">
        <f>HYPERLINK("http://www.girinst.org/protected/repbase_extract.php?access=EnSpm-2_NV","2E-038")</f>
        <v>2E-038</v>
      </c>
      <c r="DR147">
        <v>9</v>
      </c>
      <c r="DS147">
        <v>20</v>
      </c>
      <c r="DT147">
        <v>28</v>
      </c>
      <c r="DU147" t="s">
        <v>1618</v>
      </c>
      <c r="DV147" t="s">
        <v>589</v>
      </c>
      <c r="DW147" t="s">
        <v>590</v>
      </c>
      <c r="DX147" t="s">
        <v>1619</v>
      </c>
      <c r="DY147" t="s">
        <v>1620</v>
      </c>
      <c r="DZ147" t="s">
        <v>1621</v>
      </c>
      <c r="EA147" t="s">
        <v>1622</v>
      </c>
      <c r="EB147" s="33">
        <f>HYPERLINK("http://exon.niaid.nih.gov/transcriptome/S_calcitrans/S1/links/cluster-b/Scalc-pep25-50SimCLU1.txt", 1)</f>
        <v>1</v>
      </c>
      <c r="EC147">
        <f>HYPERLINK("http://exon.niaid.nih.gov/transcriptome/S_calcitrans/S1/links/cluster-b/Scalc-pep25-50SimCLTL1.txt", 5170)</f>
        <v>5170</v>
      </c>
      <c r="ED147" s="33">
        <f>HYPERLINK("http://exon.niaid.nih.gov/transcriptome/S_calcitrans/S1/links/cluster-b/Scalc-pep30-50SimCLU2.txt", 2)</f>
        <v>2</v>
      </c>
      <c r="EE147">
        <f>HYPERLINK("http://exon.niaid.nih.gov/transcriptome/S_calcitrans/S1/links/cluster-b/Scalc-pep30-50SimCLTL2.txt", 334)</f>
        <v>334</v>
      </c>
      <c r="EF147" s="33">
        <v>5270</v>
      </c>
      <c r="EG147">
        <v>1</v>
      </c>
      <c r="EH147" s="33">
        <v>5637</v>
      </c>
      <c r="EI147">
        <v>1</v>
      </c>
      <c r="EJ147" s="33">
        <v>6010</v>
      </c>
      <c r="EK147">
        <v>1</v>
      </c>
      <c r="EL147" s="33">
        <v>6299</v>
      </c>
      <c r="EM147">
        <v>1</v>
      </c>
      <c r="EN147" s="33">
        <v>6642</v>
      </c>
      <c r="EO147">
        <v>1</v>
      </c>
      <c r="EP147" s="33">
        <v>6899</v>
      </c>
      <c r="EQ147">
        <v>1</v>
      </c>
      <c r="ER147" s="33">
        <v>7101</v>
      </c>
      <c r="ES147">
        <v>1</v>
      </c>
      <c r="ET147" s="33">
        <v>7262</v>
      </c>
      <c r="EU147">
        <v>1</v>
      </c>
      <c r="EV147" s="33">
        <v>7413</v>
      </c>
      <c r="EW147">
        <v>1</v>
      </c>
      <c r="EX147" s="33">
        <v>7552</v>
      </c>
      <c r="EY147">
        <v>1</v>
      </c>
      <c r="EZ147" s="33">
        <v>7692</v>
      </c>
      <c r="FA147">
        <v>1</v>
      </c>
      <c r="FB147" s="33">
        <v>7839</v>
      </c>
      <c r="FC147">
        <v>1</v>
      </c>
      <c r="FD147" s="33">
        <v>8054</v>
      </c>
      <c r="FE147">
        <v>1</v>
      </c>
      <c r="FF147" t="s">
        <v>1623</v>
      </c>
      <c r="FG147">
        <v>9714</v>
      </c>
      <c r="FH147" s="38" t="str">
        <f>HYPERLINK("http://exon.niaid.nih.gov/transcriptome/S_calcitrans/S1/links/SG_male-stripped_temp-95-h10-1gap/9714-SG_male-stripped_temp-95-h10-1gap.txt","303")</f>
        <v>303</v>
      </c>
      <c r="FI147" s="39">
        <v>100</v>
      </c>
      <c r="FJ147" s="39">
        <v>13.308797127468599</v>
      </c>
      <c r="FK147" s="39">
        <v>1</v>
      </c>
      <c r="FL147" s="39">
        <v>36</v>
      </c>
      <c r="FM147" s="39">
        <v>73.396039603960403</v>
      </c>
      <c r="FN147" s="38" t="str">
        <f>HYPERLINK("http://exon.niaid.nih.gov/transcriptome/S_calcitrans/S1/links/SG_female-stripped_temp-95-h10-1gap/9714-SG_female-stripped_temp-95-h10-1gap.txt","796")</f>
        <v>796</v>
      </c>
      <c r="FO147" s="39">
        <v>100</v>
      </c>
      <c r="FP147" s="39">
        <v>35.1137043686415</v>
      </c>
      <c r="FQ147" s="39">
        <v>9</v>
      </c>
      <c r="FR147" s="39">
        <v>95</v>
      </c>
      <c r="FS147" s="39">
        <v>73.712311557788993</v>
      </c>
      <c r="FT147" s="38" t="str">
        <f>HYPERLINK("http://exon.niaid.nih.gov/transcriptome/S_calcitrans/S1/links/SRR694289-stripped_temp-95-h10-1gap/9714-SRR694289-stripped_temp-95-h10-1gap.txt","13")</f>
        <v>13</v>
      </c>
      <c r="FU147" s="39">
        <v>43.746259724715699</v>
      </c>
      <c r="FV147" s="39">
        <v>0.76660682226211896</v>
      </c>
      <c r="FW147" s="39">
        <v>0</v>
      </c>
      <c r="FX147" s="39">
        <v>3</v>
      </c>
      <c r="FY147" s="39">
        <v>98.538461538461505</v>
      </c>
      <c r="FZ147" s="38" t="str">
        <f>HYPERLINK("http://exon.niaid.nih.gov/transcriptome/S_calcitrans/S1/links/SRR694925-stripped_temp-95-h10-1gap/9714-SRR694925-stripped_temp-95-h10-1gap.txt","22")</f>
        <v>22</v>
      </c>
      <c r="GA147" s="39">
        <v>57.450628366247798</v>
      </c>
      <c r="GB147" s="39">
        <v>1.31358467983244</v>
      </c>
      <c r="GC147" s="39">
        <v>0</v>
      </c>
      <c r="GD147" s="39">
        <v>5</v>
      </c>
      <c r="GE147" s="39">
        <v>99.772727272727295</v>
      </c>
      <c r="GF147">
        <f t="shared" si="157"/>
        <v>303</v>
      </c>
      <c r="GG147">
        <f t="shared" si="158"/>
        <v>796</v>
      </c>
      <c r="GH147">
        <f t="shared" si="159"/>
        <v>13</v>
      </c>
      <c r="GI147">
        <f t="shared" si="160"/>
        <v>22</v>
      </c>
      <c r="GJ147">
        <f t="shared" ref="GJ147:GJ181" si="163">IF(FZ147&lt;&gt;"",SUM(GF147:GG147),"")</f>
        <v>1099</v>
      </c>
      <c r="GK147" s="34">
        <v>4.2686914013834211E-3</v>
      </c>
      <c r="GL147">
        <v>5.931549629391121</v>
      </c>
      <c r="GM147">
        <v>7.0861421080635587</v>
      </c>
      <c r="GN147">
        <v>4.4719757667371775E-2</v>
      </c>
      <c r="GO147">
        <v>7.8017139756134529E-2</v>
      </c>
      <c r="GP147">
        <f t="shared" si="161"/>
        <v>7.0861421080635587</v>
      </c>
      <c r="GQ147" t="s">
        <v>1559</v>
      </c>
      <c r="GR147">
        <v>4.6259648733669483</v>
      </c>
      <c r="GS147">
        <v>5.8160658869772961</v>
      </c>
      <c r="GT147">
        <v>8.0614421759949581E-2</v>
      </c>
      <c r="GU147">
        <v>0.14770783383365949</v>
      </c>
      <c r="GV147">
        <f t="shared" si="162"/>
        <v>5.8160658869772961</v>
      </c>
      <c r="GW147">
        <v>42.050321810192941</v>
      </c>
      <c r="GX147">
        <v>1099</v>
      </c>
      <c r="GY147">
        <v>35</v>
      </c>
      <c r="GZ147">
        <v>1134</v>
      </c>
      <c r="HA147">
        <v>251.74765254315025</v>
      </c>
      <c r="HB147">
        <v>882.25234745684975</v>
      </c>
      <c r="HC147">
        <v>2851.4130440525291</v>
      </c>
      <c r="HD147">
        <v>813.64083908685927</v>
      </c>
      <c r="HE147">
        <v>3665.0538831393883</v>
      </c>
      <c r="HF147">
        <v>0</v>
      </c>
      <c r="HG147">
        <v>251.74765254315025</v>
      </c>
      <c r="HH147">
        <v>1</v>
      </c>
      <c r="HI147">
        <v>1</v>
      </c>
      <c r="HJ147">
        <v>2</v>
      </c>
      <c r="HK147">
        <v>0</v>
      </c>
      <c r="HL147" s="30" t="s">
        <v>262</v>
      </c>
      <c r="HM147">
        <v>106.98492452663116</v>
      </c>
      <c r="HN147">
        <v>9.0792080111866038E-3</v>
      </c>
      <c r="HO147">
        <v>303</v>
      </c>
      <c r="HP147">
        <v>796</v>
      </c>
      <c r="HQ147">
        <v>1099</v>
      </c>
      <c r="HR147">
        <v>343.54294329109575</v>
      </c>
      <c r="HS147">
        <v>755.45705670890425</v>
      </c>
      <c r="HT147">
        <v>4.7846427435193064</v>
      </c>
      <c r="HU147">
        <v>2.1758089835917369</v>
      </c>
      <c r="HV147">
        <v>6.9604517271110433</v>
      </c>
      <c r="HW147">
        <v>8.3330991250228168E-3</v>
      </c>
      <c r="HX147">
        <v>343.54294329109575</v>
      </c>
      <c r="HY147">
        <v>1</v>
      </c>
      <c r="HZ147">
        <v>1</v>
      </c>
      <c r="IA147">
        <v>2</v>
      </c>
      <c r="IB147">
        <v>4.0624988610206303E-2</v>
      </c>
      <c r="IC147" s="30" t="s">
        <v>262</v>
      </c>
      <c r="ID147">
        <v>0.83601305099657341</v>
      </c>
      <c r="IE147">
        <v>1.1907229765186191</v>
      </c>
      <c r="IF147">
        <v>1.1907229765186191</v>
      </c>
      <c r="IG147" t="str">
        <f t="shared" si="156"/>
        <v/>
      </c>
    </row>
    <row r="148" spans="1:241">
      <c r="A148" t="str">
        <f>HYPERLINK("http://exon.niaid.nih.gov/transcriptome/S_calcitrans/S1/links/pep/XP_013104344.1-pep.txt","XP_013104344.1")</f>
        <v>XP_013104344.1</v>
      </c>
      <c r="B148" s="30" t="s">
        <v>232</v>
      </c>
      <c r="C148">
        <v>102</v>
      </c>
      <c r="D148" t="s">
        <v>1624</v>
      </c>
      <c r="E148">
        <v>0</v>
      </c>
      <c r="F148" t="s">
        <v>1625</v>
      </c>
      <c r="G148" t="str">
        <f>HYPERLINK("http://exon.niaid.nih.gov/transcriptome/S_calcitrans/S1/links/cds/XM_013248890_1-cds.txt","XM_013248890_1")</f>
        <v>XM_013248890_1</v>
      </c>
      <c r="H148">
        <v>309</v>
      </c>
      <c r="I148" t="s">
        <v>1626</v>
      </c>
      <c r="J148" s="30" t="s">
        <v>236</v>
      </c>
      <c r="K148" s="30" t="s">
        <v>91</v>
      </c>
      <c r="L148" s="31" t="s">
        <v>1627</v>
      </c>
      <c r="M148" s="30">
        <v>421991</v>
      </c>
      <c r="N148" s="30">
        <v>426565</v>
      </c>
      <c r="O148" s="30" t="s">
        <v>238</v>
      </c>
      <c r="P148" s="30">
        <v>3</v>
      </c>
      <c r="Q148" s="31" t="s">
        <v>1628</v>
      </c>
      <c r="R148" s="32" t="str">
        <f>HYPERLINK("http://exon.niaid.nih.gov/transcriptome/S_calcitrans/S1/links/Sigp/XP_013104344.1-SigP.txt","CYT")</f>
        <v>CYT</v>
      </c>
      <c r="S148" t="s">
        <v>242</v>
      </c>
      <c r="T148">
        <v>11.821</v>
      </c>
      <c r="U148">
        <v>4.82</v>
      </c>
      <c r="V148" t="s">
        <v>242</v>
      </c>
      <c r="W148" t="s">
        <v>242</v>
      </c>
      <c r="X148" t="s">
        <v>1629</v>
      </c>
      <c r="Y148" s="32">
        <v>0</v>
      </c>
      <c r="Z148" t="s">
        <v>242</v>
      </c>
      <c r="AA148" t="s">
        <v>242</v>
      </c>
      <c r="AB148" t="s">
        <v>242</v>
      </c>
      <c r="AC148" t="s">
        <v>242</v>
      </c>
      <c r="AD148" t="s">
        <v>242</v>
      </c>
      <c r="AE148" s="32" t="str">
        <f>HYPERLINK("http://exon.niaid.nih.gov/transcriptome/S_calcitrans/S1/links/netoglyc/XP_013104344.1-netoglyc.txt","2")</f>
        <v>2</v>
      </c>
      <c r="AF148">
        <v>10.8</v>
      </c>
      <c r="AG148">
        <v>4.9000000000000004</v>
      </c>
      <c r="AH148">
        <v>4.9000000000000004</v>
      </c>
      <c r="AI148" t="s">
        <v>243</v>
      </c>
      <c r="AJ148" t="s">
        <v>242</v>
      </c>
      <c r="AK148">
        <v>130.36779884082299</v>
      </c>
      <c r="AL148" s="33">
        <v>8241</v>
      </c>
      <c r="AM148">
        <v>1</v>
      </c>
      <c r="AN148" s="30">
        <f t="shared" si="149"/>
        <v>1</v>
      </c>
      <c r="AO148" s="30" t="s">
        <v>244</v>
      </c>
      <c r="AP148">
        <v>186</v>
      </c>
      <c r="AQ148" s="34">
        <v>7.2245368576643893E-4</v>
      </c>
      <c r="AR148" s="35">
        <v>67.963067986347284</v>
      </c>
      <c r="AS148" t="s">
        <v>1630</v>
      </c>
      <c r="AT148" s="36" t="s">
        <v>1631</v>
      </c>
      <c r="AU148" t="s">
        <v>1559</v>
      </c>
      <c r="AV148" t="str">
        <f>HYPERLINK("http://exon.niaid.nih.gov/transcriptome/S_calcitrans/S1/links/KOG/XP_013104344.1-KOG.txt","KOG")</f>
        <v>KOG</v>
      </c>
      <c r="AW148" s="37">
        <v>9.0000000000000002E-35</v>
      </c>
      <c r="AX148">
        <v>97</v>
      </c>
      <c r="AY148" s="33"/>
      <c r="BG148" s="31"/>
      <c r="BJ148" s="33"/>
      <c r="BK148" s="33"/>
      <c r="BL148" s="33" t="str">
        <f>HYPERLINK("http://exon.niaid.nih.gov/transcriptome/S_calcitrans/S1/links/NR-LIGHT/XP_013104344.1-NR-LIGHT.txt","U6 snRNA-associated Sm-like protein LSm3")</f>
        <v>U6 snRNA-associated Sm-like protein LSm3</v>
      </c>
      <c r="BM148" t="str">
        <f>HYPERLINK("http://www.ncbi.nlm.nih.gov/sutils/blink.cgi?pid=557766566","4E-051")</f>
        <v>4E-051</v>
      </c>
      <c r="BN148" t="str">
        <f>HYPERLINK("http://www.ncbi.nlm.nih.gov/protein/557766566","gi|557766566")</f>
        <v>gi|557766566</v>
      </c>
      <c r="BO148">
        <v>100</v>
      </c>
      <c r="BP148">
        <v>100</v>
      </c>
      <c r="BQ148">
        <v>100</v>
      </c>
      <c r="BR148" t="s">
        <v>251</v>
      </c>
      <c r="BS148" s="33" t="str">
        <f>HYPERLINK("http://exon.niaid.nih.gov/transcriptome/S_calcitrans/S1/links/SWISSP/XP_013104344.1-SWISSP.txt","U6 snRNA-associated Sm-like protein LSm3")</f>
        <v>U6 snRNA-associated Sm-like protein LSm3</v>
      </c>
      <c r="BT148" t="str">
        <f>HYPERLINK("http://www.uniprot.org/uniprot/P62311","4E-042")</f>
        <v>4E-042</v>
      </c>
      <c r="BU148" t="str">
        <f>HYPERLINK("http://www.uniprot.org/uniprot/P62311#expression","P62311")</f>
        <v>P62311</v>
      </c>
      <c r="BV148">
        <v>77</v>
      </c>
      <c r="BW148">
        <v>91</v>
      </c>
      <c r="BX148">
        <v>100</v>
      </c>
      <c r="BY148" t="s">
        <v>620</v>
      </c>
      <c r="BZ148" s="33" t="str">
        <f>HYPERLINK("http://exon.niaid.nih.gov/transcriptome/S_calcitrans/S1/links/REFSEQ-INVERTEBRATE/XP_013104344.1-REFSEQ-INVERTEBRATE.txt","U6 snRNA-associated Sm-like protein LSm3")</f>
        <v>U6 snRNA-associated Sm-like protein LSm3</v>
      </c>
      <c r="CA148" t="str">
        <f>HYPERLINK("http://www.ncbi.nlm.nih.gov/sutils/blink.cgi?pid=907671801","3E-051")</f>
        <v>3E-051</v>
      </c>
      <c r="CB148" t="str">
        <f>HYPERLINK("http://www.ncbi.nlm.nih.gov/protein/907671801","gi|907671801")</f>
        <v>gi|907671801</v>
      </c>
      <c r="CC148">
        <v>100</v>
      </c>
      <c r="CD148">
        <v>100</v>
      </c>
      <c r="CE148">
        <v>100</v>
      </c>
      <c r="CF148" t="s">
        <v>253</v>
      </c>
      <c r="CG148" s="33" t="str">
        <f>HYPERLINK("http://exon.niaid.nih.gov/transcriptome/S_calcitrans/S1/links/DIPTERA/XP_013104344.1-DIPTERA.txt","U6 snRNA-associated Sm-like protein LSm3")</f>
        <v>U6 snRNA-associated Sm-like protein LSm3</v>
      </c>
      <c r="CH148" t="str">
        <f>HYPERLINK("http://www.ncbi.nlm.nih.gov/sutils/blink.cgi?pid=557766566","2E-051")</f>
        <v>2E-051</v>
      </c>
      <c r="CI148" t="str">
        <f>HYPERLINK("http://www.ncbi.nlm.nih.gov/protein/557766566","gi|557766566")</f>
        <v>gi|557766566</v>
      </c>
      <c r="CJ148">
        <v>100</v>
      </c>
      <c r="CK148">
        <v>100</v>
      </c>
      <c r="CL148">
        <v>100</v>
      </c>
      <c r="CM148" t="s">
        <v>251</v>
      </c>
      <c r="CN148" s="33" t="s">
        <v>242</v>
      </c>
      <c r="CO148" t="s">
        <v>242</v>
      </c>
      <c r="CP148" t="s">
        <v>242</v>
      </c>
      <c r="CQ148" t="s">
        <v>242</v>
      </c>
      <c r="CR148" t="s">
        <v>242</v>
      </c>
      <c r="CS148" t="s">
        <v>242</v>
      </c>
      <c r="CT148" t="s">
        <v>242</v>
      </c>
      <c r="CU148" s="33" t="s">
        <v>1632</v>
      </c>
      <c r="CV148">
        <f>HYPERLINK("http://exon.niaid.nih.gov/transcriptome/S_calcitrans/S1/links/GO/XP_013104344.1-GO.txt",7E-48)</f>
        <v>6.9999999999999998E-48</v>
      </c>
      <c r="CW148" t="str">
        <f>HYPERLINK("http://amigo.geneontology.org/cgi-bin/amigo/term_details?term=GO:0003729","GO:0003729")</f>
        <v>GO:0003729</v>
      </c>
      <c r="CX148" t="s">
        <v>1243</v>
      </c>
      <c r="CY148" t="s">
        <v>1244</v>
      </c>
      <c r="CZ148" t="s">
        <v>242</v>
      </c>
      <c r="DA148" t="s">
        <v>242</v>
      </c>
      <c r="DC148" t="s">
        <v>1633</v>
      </c>
      <c r="DD148" s="37">
        <v>6.9999999999999998E-48</v>
      </c>
      <c r="DE148" s="33" t="str">
        <f>HYPERLINK("http://exon.niaid.nih.gov/transcriptome/S_calcitrans/S1/links/CDD/XP_013104344.1-CDD.txt","LSm3")</f>
        <v>LSm3</v>
      </c>
      <c r="DF148" t="str">
        <f>HYPERLINK("http://www.ncbi.nlm.nih.gov/Structure/cdd/cddsrv.cgi?uid=cd01730&amp;version=v4.0","1E-040")</f>
        <v>1E-040</v>
      </c>
      <c r="DG148" t="s">
        <v>1634</v>
      </c>
      <c r="DH148" s="33" t="str">
        <f>HYPERLINK("http://exon.niaid.nih.gov/transcriptome/S_calcitrans/S1/links/KOG/XP_013104344.1-KOG.txt","Small nuclear ribonucleoprotein (snRNP) LSM3")</f>
        <v>Small nuclear ribonucleoprotein (snRNP) LSM3</v>
      </c>
      <c r="DI148" t="str">
        <f>HYPERLINK("http://www.ncbi.nlm.nih.gov/Structure/cdd/cddsrv.cgi?uid=KOG3460","9E-035")</f>
        <v>9E-035</v>
      </c>
      <c r="DJ148" t="s">
        <v>1635</v>
      </c>
      <c r="DK148" t="str">
        <f>HYPERLINK("http://exon.niaid.nih.gov/transcriptome/S_calcitrans/S1/links/KOG/XP_013104344.1-KOG.txt","KOG3460")</f>
        <v>KOG3460</v>
      </c>
      <c r="DL148" s="33" t="str">
        <f>HYPERLINK("http://exon.niaid.nih.gov/transcriptome/S_calcitrans/S1/links/PFAM/XP_013104344.1-PFAM.txt","LSM")</f>
        <v>LSM</v>
      </c>
      <c r="DM148" t="str">
        <f>HYPERLINK("http://pfam.sanger.ac.uk/family?acc=PF01423","5E-013")</f>
        <v>5E-013</v>
      </c>
      <c r="DN148" s="33" t="str">
        <f>HYPERLINK("http://exon.niaid.nih.gov/transcriptome/S_calcitrans/S1/links/SMART/XP_013104344.1-SMART.txt","Sm")</f>
        <v>Sm</v>
      </c>
      <c r="DO148" t="str">
        <f>HYPERLINK("http://smart.embl-heidelberg.de/smart/do_annotation.pl?DOMAIN=Sm&amp;BLAST=DUMMY","1E-014")</f>
        <v>1E-014</v>
      </c>
      <c r="DP148" s="33"/>
      <c r="EB148" s="33">
        <f>HYPERLINK("http://exon.niaid.nih.gov/transcriptome/S_calcitrans/S1/links/cluster-b/Scalc-pep25-50SimCLU1.txt", 1)</f>
        <v>1</v>
      </c>
      <c r="EC148">
        <f>HYPERLINK("http://exon.niaid.nih.gov/transcriptome/S_calcitrans/S1/links/cluster-b/Scalc-pep25-50SimCLTL1.txt", 5170)</f>
        <v>5170</v>
      </c>
      <c r="ED148" s="33">
        <f>HYPERLINK("http://exon.niaid.nih.gov/transcriptome/S_calcitrans/S1/links/cluster-b/Scalc-pep30-50SimCLU91.txt", 91)</f>
        <v>91</v>
      </c>
      <c r="EE148">
        <f>HYPERLINK("http://exon.niaid.nih.gov/transcriptome/S_calcitrans/S1/links/cluster-b/Scalc-pep30-50SimCLTL91.txt", 19)</f>
        <v>19</v>
      </c>
      <c r="EF148" s="33">
        <f>HYPERLINK("http://exon.niaid.nih.gov/transcriptome/S_calcitrans/S1/links/cluster-b/Scalc-pep35-50SimCLU303.txt", 303)</f>
        <v>303</v>
      </c>
      <c r="EG148">
        <f>HYPERLINK("http://exon.niaid.nih.gov/transcriptome/S_calcitrans/S1/links/cluster-b/Scalc-pep35-50SimCLTL303.txt", 9)</f>
        <v>9</v>
      </c>
      <c r="EH148" s="33">
        <f>HYPERLINK("http://exon.niaid.nih.gov/transcriptome/S_calcitrans/S1/links/cluster-b/Scalc-pep40-50SimCLU432.txt", 432)</f>
        <v>432</v>
      </c>
      <c r="EI148">
        <f>HYPERLINK("http://exon.niaid.nih.gov/transcriptome/S_calcitrans/S1/links/cluster-b/Scalc-pep40-50SimCLTL432.txt", 7)</f>
        <v>7</v>
      </c>
      <c r="EJ148" s="33">
        <v>6110</v>
      </c>
      <c r="EK148">
        <v>1</v>
      </c>
      <c r="EL148" s="33">
        <v>6406</v>
      </c>
      <c r="EM148">
        <v>1</v>
      </c>
      <c r="EN148" s="33">
        <v>6753</v>
      </c>
      <c r="EO148">
        <v>1</v>
      </c>
      <c r="EP148" s="33">
        <v>7017</v>
      </c>
      <c r="EQ148">
        <v>1</v>
      </c>
      <c r="ER148" s="33">
        <v>7226</v>
      </c>
      <c r="ES148">
        <v>1</v>
      </c>
      <c r="ET148" s="33">
        <v>7396</v>
      </c>
      <c r="EU148">
        <v>1</v>
      </c>
      <c r="EV148" s="33">
        <v>7554</v>
      </c>
      <c r="EW148">
        <v>1</v>
      </c>
      <c r="EX148" s="33">
        <v>7699</v>
      </c>
      <c r="EY148">
        <v>1</v>
      </c>
      <c r="EZ148" s="33">
        <v>7848</v>
      </c>
      <c r="FA148">
        <v>1</v>
      </c>
      <c r="FB148" s="33">
        <v>8011</v>
      </c>
      <c r="FC148">
        <v>1</v>
      </c>
      <c r="FD148" s="33">
        <v>8241</v>
      </c>
      <c r="FE148">
        <v>1</v>
      </c>
      <c r="FF148" t="s">
        <v>1636</v>
      </c>
      <c r="FG148">
        <v>10056</v>
      </c>
      <c r="FH148" s="38" t="str">
        <f>HYPERLINK("http://exon.niaid.nih.gov/transcriptome/S_calcitrans/S1/links/SG_male-stripped_temp-95-h10-1gap/10056-SG_male-stripped_temp-95-h10-1gap.txt","77")</f>
        <v>77</v>
      </c>
      <c r="FI148" s="39">
        <v>100</v>
      </c>
      <c r="FJ148" s="39">
        <v>18</v>
      </c>
      <c r="FK148" s="39">
        <v>5</v>
      </c>
      <c r="FL148" s="39">
        <v>37</v>
      </c>
      <c r="FM148" s="39">
        <v>72.233766233766204</v>
      </c>
      <c r="FN148" s="38" t="str">
        <f>HYPERLINK("http://exon.niaid.nih.gov/transcriptome/S_calcitrans/S1/links/SG_female-stripped_temp-95-h10-1gap/10056-SG_female-stripped_temp-95-h10-1gap.txt","109")</f>
        <v>109</v>
      </c>
      <c r="FO148" s="39">
        <v>100</v>
      </c>
      <c r="FP148" s="39">
        <v>25.294498381876998</v>
      </c>
      <c r="FQ148" s="39">
        <v>6</v>
      </c>
      <c r="FR148" s="39">
        <v>48</v>
      </c>
      <c r="FS148" s="39">
        <v>71.706422018348604</v>
      </c>
      <c r="FT148" s="38" t="str">
        <f>HYPERLINK("http://exon.niaid.nih.gov/transcriptome/S_calcitrans/S1/links/SRR694289-stripped_temp-95-h10-1gap/10056-SRR694289-stripped_temp-95-h10-1gap.txt","3")</f>
        <v>3</v>
      </c>
      <c r="FU148" s="39">
        <v>36.245954692556602</v>
      </c>
      <c r="FV148" s="39">
        <v>0.77346278317152095</v>
      </c>
      <c r="FW148" s="39">
        <v>0</v>
      </c>
      <c r="FX148" s="39">
        <v>3</v>
      </c>
      <c r="FY148" s="39">
        <v>79.6666666666667</v>
      </c>
      <c r="FZ148" s="38" t="str">
        <f>HYPERLINK("http://exon.niaid.nih.gov/transcriptome/S_calcitrans/S1/links/SRR694925-stripped_temp-95-h10-1gap/10056-SRR694925-stripped_temp-95-h10-1gap.txt","1")</f>
        <v>1</v>
      </c>
      <c r="GA148" s="39">
        <v>17.799352750809099</v>
      </c>
      <c r="GB148" s="39">
        <v>0.177993527508091</v>
      </c>
      <c r="GC148" s="39">
        <v>0</v>
      </c>
      <c r="GD148" s="39">
        <v>1</v>
      </c>
      <c r="GE148" s="39">
        <v>55</v>
      </c>
      <c r="GF148">
        <f t="shared" si="157"/>
        <v>77</v>
      </c>
      <c r="GG148">
        <f t="shared" si="158"/>
        <v>109</v>
      </c>
      <c r="GH148">
        <f t="shared" si="159"/>
        <v>3</v>
      </c>
      <c r="GI148">
        <f t="shared" si="160"/>
        <v>1</v>
      </c>
      <c r="GJ148">
        <f t="shared" si="163"/>
        <v>186</v>
      </c>
      <c r="GK148" s="34">
        <v>7.2245368576643893E-4</v>
      </c>
      <c r="GL148">
        <v>8.1514381125622659</v>
      </c>
      <c r="GM148">
        <v>5.2473648071286387</v>
      </c>
      <c r="GN148">
        <v>5.5807852921716382E-2</v>
      </c>
      <c r="GO148">
        <v>1.9177205138643835E-2</v>
      </c>
      <c r="GP148">
        <f t="shared" si="161"/>
        <v>8.1514381125622659</v>
      </c>
      <c r="GQ148" t="s">
        <v>1559</v>
      </c>
      <c r="GR148">
        <v>6.3572369333793146</v>
      </c>
      <c r="GS148">
        <v>4.3068596403870387</v>
      </c>
      <c r="GT148">
        <v>0.10060246360035528</v>
      </c>
      <c r="GU148">
        <v>3.6307706727867761E-2</v>
      </c>
      <c r="GV148">
        <f t="shared" si="162"/>
        <v>6.3572369333793146</v>
      </c>
      <c r="GW148">
        <v>67.963067986347284</v>
      </c>
      <c r="GX148">
        <v>186</v>
      </c>
      <c r="GY148">
        <v>4</v>
      </c>
      <c r="GZ148">
        <v>190</v>
      </c>
      <c r="HA148">
        <v>42.179941784125702</v>
      </c>
      <c r="HB148">
        <v>147.8200582158743</v>
      </c>
      <c r="HC148">
        <v>490.38022032078561</v>
      </c>
      <c r="HD148">
        <v>139.92829792429487</v>
      </c>
      <c r="HE148">
        <v>630.30851824508045</v>
      </c>
      <c r="HF148">
        <v>4.2827377434443694E-139</v>
      </c>
      <c r="HG148">
        <v>42.179941784125702</v>
      </c>
      <c r="HH148">
        <v>1</v>
      </c>
      <c r="HI148">
        <v>1</v>
      </c>
      <c r="HJ148">
        <v>2</v>
      </c>
      <c r="HK148" s="37">
        <v>1.16668626380294E-138</v>
      </c>
      <c r="HL148" s="30" t="s">
        <v>262</v>
      </c>
      <c r="HM148">
        <v>130.36779884082299</v>
      </c>
      <c r="HN148">
        <v>6.103669251217885E-3</v>
      </c>
      <c r="HO148">
        <v>77</v>
      </c>
      <c r="HP148">
        <v>109</v>
      </c>
      <c r="HQ148">
        <v>186</v>
      </c>
      <c r="HR148">
        <v>58.142845725335583</v>
      </c>
      <c r="HS148">
        <v>127.85715427466441</v>
      </c>
      <c r="HT148">
        <v>6.1158387227604534</v>
      </c>
      <c r="HU148">
        <v>2.7811683230068325</v>
      </c>
      <c r="HV148">
        <v>8.8970070457672854</v>
      </c>
      <c r="HW148">
        <v>2.8563846243040265E-3</v>
      </c>
      <c r="HX148">
        <v>58.142845725335583</v>
      </c>
      <c r="HY148">
        <v>1</v>
      </c>
      <c r="HZ148">
        <v>1</v>
      </c>
      <c r="IA148">
        <v>2</v>
      </c>
      <c r="IB148">
        <v>1.65687727460604E-2</v>
      </c>
      <c r="IC148" s="30" t="s">
        <v>262</v>
      </c>
      <c r="ID148">
        <v>1.5393124790461659</v>
      </c>
      <c r="IE148">
        <v>0.6354818410952352</v>
      </c>
      <c r="IF148">
        <v>1.5393124790461659</v>
      </c>
      <c r="IG148" t="str">
        <f t="shared" si="156"/>
        <v/>
      </c>
    </row>
    <row r="149" spans="1:241">
      <c r="A149" t="str">
        <f>HYPERLINK("http://exon.niaid.nih.gov/transcriptome/S_calcitrans/S1/links/pep/XP_013105827.1-pep.txt","XP_013105827.1")</f>
        <v>XP_013105827.1</v>
      </c>
      <c r="B149" s="30" t="s">
        <v>232</v>
      </c>
      <c r="C149">
        <v>338</v>
      </c>
      <c r="D149" t="s">
        <v>1637</v>
      </c>
      <c r="E149">
        <v>0</v>
      </c>
      <c r="F149" t="s">
        <v>1638</v>
      </c>
      <c r="G149" t="str">
        <f>HYPERLINK("http://exon.niaid.nih.gov/transcriptome/S_calcitrans/S1/links/cds/XM_013250373_1-cds.txt","XM_013250373_1")</f>
        <v>XM_013250373_1</v>
      </c>
      <c r="H149">
        <v>1017</v>
      </c>
      <c r="I149" t="s">
        <v>1639</v>
      </c>
      <c r="J149" s="30" t="s">
        <v>236</v>
      </c>
      <c r="K149" s="30" t="s">
        <v>91</v>
      </c>
      <c r="L149" s="31" t="s">
        <v>1640</v>
      </c>
      <c r="M149" s="30">
        <v>500447</v>
      </c>
      <c r="N149" s="30">
        <v>513741</v>
      </c>
      <c r="O149" s="30" t="s">
        <v>238</v>
      </c>
      <c r="P149" s="30">
        <v>3</v>
      </c>
      <c r="Q149" s="31" t="s">
        <v>1641</v>
      </c>
      <c r="R149" s="32" t="str">
        <f>HYPERLINK("http://exon.niaid.nih.gov/transcriptome/S_calcitrans/S1/links/Sigp/XP_013105827.1-SigP.txt","CYT")</f>
        <v>CYT</v>
      </c>
      <c r="S149" t="s">
        <v>242</v>
      </c>
      <c r="T149">
        <v>38.207000000000001</v>
      </c>
      <c r="U149">
        <v>6.09</v>
      </c>
      <c r="V149" t="s">
        <v>242</v>
      </c>
      <c r="W149" t="s">
        <v>242</v>
      </c>
      <c r="X149" t="s">
        <v>720</v>
      </c>
      <c r="Y149" s="32">
        <v>0</v>
      </c>
      <c r="Z149" t="s">
        <v>242</v>
      </c>
      <c r="AA149" t="s">
        <v>242</v>
      </c>
      <c r="AB149" t="s">
        <v>242</v>
      </c>
      <c r="AC149" t="s">
        <v>242</v>
      </c>
      <c r="AD149" t="s">
        <v>242</v>
      </c>
      <c r="AE149" s="32" t="str">
        <f>HYPERLINK("http://exon.niaid.nih.gov/transcriptome/S_calcitrans/S1/links/netoglyc/XP_013105827.1-netoglyc.txt","4")</f>
        <v>4</v>
      </c>
      <c r="AF149">
        <v>19.8</v>
      </c>
      <c r="AG149">
        <v>2.4</v>
      </c>
      <c r="AH149">
        <v>6.2</v>
      </c>
      <c r="AI149" t="s">
        <v>243</v>
      </c>
      <c r="AJ149" t="s">
        <v>242</v>
      </c>
      <c r="AK149">
        <v>445.2622946459669</v>
      </c>
      <c r="AL149" s="33">
        <v>8965</v>
      </c>
      <c r="AM149">
        <v>1</v>
      </c>
      <c r="AN149" s="30">
        <f t="shared" si="149"/>
        <v>1</v>
      </c>
      <c r="AO149" s="30" t="s">
        <v>244</v>
      </c>
      <c r="AP149">
        <v>4701</v>
      </c>
      <c r="AQ149" s="34">
        <v>1.8259434283806608E-2</v>
      </c>
      <c r="AR149" s="35">
        <v>198.23725620911284</v>
      </c>
      <c r="AS149" t="s">
        <v>1642</v>
      </c>
      <c r="AT149" s="36" t="s">
        <v>1643</v>
      </c>
      <c r="AU149" t="s">
        <v>1559</v>
      </c>
      <c r="AV149" t="str">
        <f>HYPERLINK("http://exon.niaid.nih.gov/transcriptome/S_calcitrans/S1/links/KOG/XP_013105827.1-KOG.txt","KOG")</f>
        <v>KOG</v>
      </c>
      <c r="AW149">
        <v>3E-9</v>
      </c>
      <c r="AX149">
        <v>46.4</v>
      </c>
      <c r="AY149" s="33"/>
      <c r="BG149" s="31"/>
      <c r="BJ149" s="33"/>
      <c r="BK149" s="33"/>
      <c r="BL149" s="33" t="str">
        <f>HYPERLINK("http://exon.niaid.nih.gov/transcriptome/S_calcitrans/S1/links/NR-LIGHT/XP_013105827.1-NR-LIGHT.txt","uncharacterized protein LOC101900398")</f>
        <v>uncharacterized protein LOC101900398</v>
      </c>
      <c r="BM149" t="str">
        <f>HYPERLINK("http://www.ncbi.nlm.nih.gov/sutils/blink.cgi?pid=557778204","1E-105")</f>
        <v>1E-105</v>
      </c>
      <c r="BN149" t="str">
        <f>HYPERLINK("http://www.ncbi.nlm.nih.gov/protein/557778204","gi|557778204")</f>
        <v>gi|557778204</v>
      </c>
      <c r="BO149">
        <v>57</v>
      </c>
      <c r="BP149">
        <v>70</v>
      </c>
      <c r="BQ149">
        <v>101</v>
      </c>
      <c r="BR149" t="s">
        <v>251</v>
      </c>
      <c r="BS149" s="33" t="str">
        <f>HYPERLINK("http://exon.niaid.nih.gov/transcriptome/S_calcitrans/S1/links/SWISSP/XP_013105827.1-SWISSP.txt","Neurogenin-1")</f>
        <v>Neurogenin-1</v>
      </c>
      <c r="BT149" t="str">
        <f>HYPERLINK("http://www.uniprot.org/uniprot/Q92886","2E-007")</f>
        <v>2E-007</v>
      </c>
      <c r="BU149" t="str">
        <f>HYPERLINK("http://www.uniprot.org/uniprot/Q92886#expression","Q92886")</f>
        <v>Q92886</v>
      </c>
      <c r="BV149">
        <v>43</v>
      </c>
      <c r="BW149">
        <v>59</v>
      </c>
      <c r="BX149">
        <v>36</v>
      </c>
      <c r="BY149" t="s">
        <v>353</v>
      </c>
      <c r="BZ149" s="33" t="str">
        <f>HYPERLINK("http://exon.niaid.nih.gov/transcriptome/S_calcitrans/S1/links/REFSEQ-INVERTEBRATE/XP_013105827.1-REFSEQ-INVERTEBRATE.txt","uncharacterized protein LOC106085905")</f>
        <v>uncharacterized protein LOC106085905</v>
      </c>
      <c r="CA149" t="str">
        <f>HYPERLINK("http://www.ncbi.nlm.nih.gov/sutils/blink.cgi?pid=907678218","0.0")</f>
        <v>0.0</v>
      </c>
      <c r="CB149" t="str">
        <f>HYPERLINK("http://www.ncbi.nlm.nih.gov/protein/907678218","gi|907678218")</f>
        <v>gi|907678218</v>
      </c>
      <c r="CC149">
        <v>100</v>
      </c>
      <c r="CD149">
        <v>100</v>
      </c>
      <c r="CE149">
        <v>100</v>
      </c>
      <c r="CF149" t="s">
        <v>253</v>
      </c>
      <c r="CG149" s="33" t="str">
        <f>HYPERLINK("http://exon.niaid.nih.gov/transcriptome/S_calcitrans/S1/links/DIPTERA/XP_013105827.1-DIPTERA.txt","uncharacterized protein LOC106085905")</f>
        <v>uncharacterized protein LOC106085905</v>
      </c>
      <c r="CH149" t="str">
        <f>HYPERLINK("http://www.ncbi.nlm.nih.gov/sutils/blink.cgi?pid=907678218","0.0")</f>
        <v>0.0</v>
      </c>
      <c r="CI149" t="str">
        <f>HYPERLINK("http://www.ncbi.nlm.nih.gov/protein/907678218","gi|907678218")</f>
        <v>gi|907678218</v>
      </c>
      <c r="CJ149">
        <v>100</v>
      </c>
      <c r="CK149">
        <v>100</v>
      </c>
      <c r="CL149">
        <v>100</v>
      </c>
      <c r="CM149" t="s">
        <v>253</v>
      </c>
      <c r="CN149" s="33" t="s">
        <v>242</v>
      </c>
      <c r="CO149" t="s">
        <v>242</v>
      </c>
      <c r="CP149" t="s">
        <v>242</v>
      </c>
      <c r="CQ149" t="s">
        <v>242</v>
      </c>
      <c r="CR149" t="s">
        <v>242</v>
      </c>
      <c r="CS149" t="s">
        <v>242</v>
      </c>
      <c r="CT149" t="s">
        <v>242</v>
      </c>
      <c r="CU149" s="33" t="s">
        <v>1644</v>
      </c>
      <c r="CV149">
        <f>HYPERLINK("http://exon.niaid.nih.gov/transcriptome/S_calcitrans/S1/links/GO/XP_013105827.1-GO.txt",5E-35)</f>
        <v>4.9999999999999996E-35</v>
      </c>
      <c r="CW149" t="str">
        <f>HYPERLINK("http://amigo.geneontology.org/cgi-bin/amigo/term_details?term=GO:0003700","GO:0003700")</f>
        <v>GO:0003700</v>
      </c>
      <c r="CX149" t="s">
        <v>1505</v>
      </c>
      <c r="CY149" t="s">
        <v>1506</v>
      </c>
      <c r="CZ149" t="s">
        <v>1507</v>
      </c>
      <c r="DA149" t="s">
        <v>242</v>
      </c>
      <c r="DD149" s="37">
        <v>4.9999999999999996E-35</v>
      </c>
      <c r="DE149" s="33" t="str">
        <f>HYPERLINK("http://exon.niaid.nih.gov/transcriptome/S_calcitrans/S1/links/CDD/XP_013105827.1-CDD.txt","HLH")</f>
        <v>HLH</v>
      </c>
      <c r="DF149" t="str">
        <f>HYPERLINK("http://www.ncbi.nlm.nih.gov/Structure/cdd/cddsrv.cgi?uid=pfam00010&amp;version=v4.0","6E-013")</f>
        <v>6E-013</v>
      </c>
      <c r="DG149" t="s">
        <v>1645</v>
      </c>
      <c r="DH149" s="33" t="str">
        <f>HYPERLINK("http://exon.niaid.nih.gov/transcriptome/S_calcitrans/S1/links/KOG/XP_013105827.1-KOG.txt","Transcription factor NeuroD and related HTH proteins")</f>
        <v>Transcription factor NeuroD and related HTH proteins</v>
      </c>
      <c r="DI149" t="str">
        <f>HYPERLINK("http://www.ncbi.nlm.nih.gov/Structure/cdd/cddsrv.cgi?uid=KOG3898","2E-010")</f>
        <v>2E-010</v>
      </c>
      <c r="DJ149" t="s">
        <v>392</v>
      </c>
      <c r="DK149" t="str">
        <f>HYPERLINK("http://exon.niaid.nih.gov/transcriptome/S_calcitrans/S1/links/KOG/XP_013105827.1-KOG.txt","KOG3898")</f>
        <v>KOG3898</v>
      </c>
      <c r="DL149" s="33" t="str">
        <f>HYPERLINK("http://exon.niaid.nih.gov/transcriptome/S_calcitrans/S1/links/PFAM/XP_013105827.1-PFAM.txt","HLH")</f>
        <v>HLH</v>
      </c>
      <c r="DM149" t="str">
        <f>HYPERLINK("http://pfam.sanger.ac.uk/family?acc=PF00010","1E-013")</f>
        <v>1E-013</v>
      </c>
      <c r="DN149" s="33" t="str">
        <f>HYPERLINK("http://exon.niaid.nih.gov/transcriptome/S_calcitrans/S1/links/SMART/XP_013105827.1-SMART.txt","HLH")</f>
        <v>HLH</v>
      </c>
      <c r="DO149" t="str">
        <f>HYPERLINK("http://smart.embl-heidelberg.de/smart/do_annotation.pl?DOMAIN=HLH&amp;BLAST=DUMMY","2E-015")</f>
        <v>2E-015</v>
      </c>
      <c r="DP149" s="33"/>
      <c r="EB149" s="33">
        <v>4204</v>
      </c>
      <c r="EC149">
        <v>1</v>
      </c>
      <c r="ED149" s="33">
        <v>5097</v>
      </c>
      <c r="EE149">
        <v>1</v>
      </c>
      <c r="EF149" s="33">
        <v>5635</v>
      </c>
      <c r="EG149">
        <v>1</v>
      </c>
      <c r="EH149" s="33">
        <v>6036</v>
      </c>
      <c r="EI149">
        <v>1</v>
      </c>
      <c r="EJ149" s="33">
        <v>6442</v>
      </c>
      <c r="EK149">
        <v>1</v>
      </c>
      <c r="EL149" s="33">
        <v>6758</v>
      </c>
      <c r="EM149">
        <v>1</v>
      </c>
      <c r="EN149" s="33">
        <v>7136</v>
      </c>
      <c r="EO149">
        <v>1</v>
      </c>
      <c r="EP149" s="33">
        <v>7424</v>
      </c>
      <c r="EQ149">
        <v>1</v>
      </c>
      <c r="ER149" s="33">
        <v>7668</v>
      </c>
      <c r="ES149">
        <v>1</v>
      </c>
      <c r="ET149" s="33">
        <v>7864</v>
      </c>
      <c r="EU149">
        <v>1</v>
      </c>
      <c r="EV149" s="33">
        <v>8058</v>
      </c>
      <c r="EW149">
        <v>1</v>
      </c>
      <c r="EX149" s="33">
        <v>8249</v>
      </c>
      <c r="EY149">
        <v>1</v>
      </c>
      <c r="EZ149" s="33">
        <v>8445</v>
      </c>
      <c r="FA149">
        <v>1</v>
      </c>
      <c r="FB149" s="33">
        <v>8656</v>
      </c>
      <c r="FC149">
        <v>1</v>
      </c>
      <c r="FD149" s="33">
        <v>8965</v>
      </c>
      <c r="FE149">
        <v>1</v>
      </c>
      <c r="FF149" t="s">
        <v>1646</v>
      </c>
      <c r="FG149">
        <v>11405</v>
      </c>
      <c r="FH149" s="38" t="str">
        <f>HYPERLINK("http://exon.niaid.nih.gov/transcriptome/S_calcitrans/S1/links/SG_male-stripped_temp-95-h10-1gap/11405-SG_male-stripped_temp-95-h10-1gap.txt","1688")</f>
        <v>1688</v>
      </c>
      <c r="FI149" s="39">
        <v>100</v>
      </c>
      <c r="FJ149" s="39">
        <v>116.73058013766</v>
      </c>
      <c r="FK149" s="39">
        <v>8</v>
      </c>
      <c r="FL149" s="39">
        <v>276</v>
      </c>
      <c r="FM149" s="39">
        <v>70.3287914691943</v>
      </c>
      <c r="FN149" s="38" t="str">
        <f>HYPERLINK("http://exon.niaid.nih.gov/transcriptome/S_calcitrans/S1/links/SG_female-stripped_temp-95-h10-1gap/11405-SG_female-stripped_temp-95-h10-1gap.txt","3013")</f>
        <v>3013</v>
      </c>
      <c r="FO149" s="39">
        <v>100</v>
      </c>
      <c r="FP149" s="39">
        <v>212.37954768928199</v>
      </c>
      <c r="FQ149" s="39">
        <v>22</v>
      </c>
      <c r="FR149" s="39">
        <v>383</v>
      </c>
      <c r="FS149" s="39">
        <v>71.686691005642203</v>
      </c>
      <c r="FT149" s="38" t="str">
        <f>HYPERLINK("http://exon.niaid.nih.gov/transcriptome/S_calcitrans/S1/links/SRR694289-stripped_temp-95-h10-1gap/11405-SRR694289-stripped_temp-95-h10-1gap.txt","25")</f>
        <v>25</v>
      </c>
      <c r="FU149" s="39">
        <v>75.811209439528</v>
      </c>
      <c r="FV149" s="39">
        <v>2.26745329400197</v>
      </c>
      <c r="FW149" s="39">
        <v>0</v>
      </c>
      <c r="FX149" s="39">
        <v>7</v>
      </c>
      <c r="FY149" s="39">
        <v>92.24</v>
      </c>
      <c r="FZ149" s="38" t="str">
        <f>HYPERLINK("http://exon.niaid.nih.gov/transcriptome/S_calcitrans/S1/links/SRR694925-stripped_temp-95-h10-1gap/11405-SRR694925-stripped_temp-95-h10-1gap.txt","11")</f>
        <v>11</v>
      </c>
      <c r="GA149" s="39">
        <v>51.622418879055999</v>
      </c>
      <c r="GB149" s="39">
        <v>1.0216322517207499</v>
      </c>
      <c r="GC149" s="39">
        <v>0</v>
      </c>
      <c r="GD149" s="39">
        <v>5</v>
      </c>
      <c r="GE149" s="39">
        <v>94.454545454545496</v>
      </c>
      <c r="GF149">
        <f t="shared" si="157"/>
        <v>1688</v>
      </c>
      <c r="GG149">
        <f t="shared" si="158"/>
        <v>3013</v>
      </c>
      <c r="GH149">
        <f t="shared" si="159"/>
        <v>25</v>
      </c>
      <c r="GI149">
        <f t="shared" si="160"/>
        <v>11</v>
      </c>
      <c r="GJ149">
        <f t="shared" si="163"/>
        <v>4701</v>
      </c>
      <c r="GK149" s="34">
        <v>1.8259434283806608E-2</v>
      </c>
      <c r="GL149">
        <v>54.29420511062046</v>
      </c>
      <c r="GM149">
        <v>44.070849148317897</v>
      </c>
      <c r="GN149">
        <v>0.14130306909874107</v>
      </c>
      <c r="GO149">
        <v>6.4093726908800788E-2</v>
      </c>
      <c r="GP149">
        <f t="shared" si="161"/>
        <v>54.29420511062046</v>
      </c>
      <c r="GQ149" t="s">
        <v>1559</v>
      </c>
      <c r="GR149">
        <v>42.343586644640894</v>
      </c>
      <c r="GS149">
        <v>36.171863114342592</v>
      </c>
      <c r="GT149">
        <v>0.25472108532046689</v>
      </c>
      <c r="GU149">
        <v>0.1213469962320772</v>
      </c>
      <c r="GV149">
        <f t="shared" si="162"/>
        <v>42.343586644640894</v>
      </c>
      <c r="GW149">
        <v>198.23725620911284</v>
      </c>
      <c r="GX149">
        <v>4701</v>
      </c>
      <c r="GY149">
        <v>36</v>
      </c>
      <c r="GZ149">
        <v>4737</v>
      </c>
      <c r="HA149">
        <v>1051.612548586334</v>
      </c>
      <c r="HB149">
        <v>3685.387451413666</v>
      </c>
      <c r="HC149">
        <v>12664.387457565761</v>
      </c>
      <c r="HD149">
        <v>3613.7391105043548</v>
      </c>
      <c r="HE149">
        <v>16278.126568070116</v>
      </c>
      <c r="HF149">
        <v>0</v>
      </c>
      <c r="HG149">
        <v>1051.612548586334</v>
      </c>
      <c r="HH149">
        <v>1</v>
      </c>
      <c r="HI149">
        <v>1</v>
      </c>
      <c r="HJ149">
        <v>2</v>
      </c>
      <c r="HK149">
        <v>0</v>
      </c>
      <c r="HL149" s="30" t="s">
        <v>262</v>
      </c>
      <c r="HM149">
        <v>445.2622946459669</v>
      </c>
      <c r="HN149">
        <v>2.1847033921309445E-3</v>
      </c>
      <c r="HO149">
        <v>1688</v>
      </c>
      <c r="HP149">
        <v>3013</v>
      </c>
      <c r="HQ149">
        <v>4701</v>
      </c>
      <c r="HR149">
        <v>1469.513536316143</v>
      </c>
      <c r="HS149">
        <v>3231.486463683857</v>
      </c>
      <c r="HT149">
        <v>32.484447154359266</v>
      </c>
      <c r="HU149">
        <v>14.772252754126809</v>
      </c>
      <c r="HV149">
        <v>47.256699908486077</v>
      </c>
      <c r="HW149">
        <v>6.2272763556863097E-12</v>
      </c>
      <c r="HX149">
        <v>1469.513536316143</v>
      </c>
      <c r="HY149">
        <v>1</v>
      </c>
      <c r="HZ149">
        <v>1</v>
      </c>
      <c r="IA149">
        <v>2</v>
      </c>
      <c r="IB149" s="37">
        <v>1.4193140710659901E-10</v>
      </c>
      <c r="IC149" s="30" t="s">
        <v>262</v>
      </c>
      <c r="ID149">
        <v>1.2315667194188682</v>
      </c>
      <c r="IE149">
        <v>0.81122389016439667</v>
      </c>
      <c r="IF149">
        <v>1.2315667194188682</v>
      </c>
      <c r="IG149" t="str">
        <f t="shared" si="156"/>
        <v/>
      </c>
    </row>
    <row r="150" spans="1:241">
      <c r="A150" t="str">
        <f>HYPERLINK("http://exon.niaid.nih.gov/transcriptome/S_calcitrans/S1/links/pep/XP_013107384.1-pep.txt","XP_013107384.1")</f>
        <v>XP_013107384.1</v>
      </c>
      <c r="B150" s="30" t="s">
        <v>232</v>
      </c>
      <c r="C150">
        <v>91</v>
      </c>
      <c r="D150" t="s">
        <v>1647</v>
      </c>
      <c r="E150">
        <v>0</v>
      </c>
      <c r="F150" t="s">
        <v>1648</v>
      </c>
      <c r="G150" t="str">
        <f>HYPERLINK("http://exon.niaid.nih.gov/transcriptome/S_calcitrans/S1/links/cds/XM_013251930_1-cds.txt","XM_013251930_1")</f>
        <v>XM_013251930_1</v>
      </c>
      <c r="H150">
        <v>276</v>
      </c>
      <c r="I150" t="s">
        <v>1649</v>
      </c>
      <c r="J150" s="30" t="s">
        <v>236</v>
      </c>
      <c r="K150" s="30" t="s">
        <v>91</v>
      </c>
      <c r="L150" s="31" t="s">
        <v>1650</v>
      </c>
      <c r="M150" s="30">
        <v>227793</v>
      </c>
      <c r="N150" s="30">
        <v>228378</v>
      </c>
      <c r="O150" s="30" t="s">
        <v>276</v>
      </c>
      <c r="P150" s="30">
        <v>3</v>
      </c>
      <c r="Q150" s="31" t="s">
        <v>1651</v>
      </c>
      <c r="R150" s="32" t="str">
        <f>HYPERLINK("http://exon.niaid.nih.gov/transcriptome/S_calcitrans/S1/links/Sigp/XP_013107384.1-SigP.txt","CYT")</f>
        <v>CYT</v>
      </c>
      <c r="S150" t="s">
        <v>242</v>
      </c>
      <c r="T150">
        <v>10.101000000000001</v>
      </c>
      <c r="U150">
        <v>4.3899999999999997</v>
      </c>
      <c r="V150" t="s">
        <v>242</v>
      </c>
      <c r="W150" t="s">
        <v>242</v>
      </c>
      <c r="X150" t="s">
        <v>1652</v>
      </c>
      <c r="Y150" s="32">
        <v>0</v>
      </c>
      <c r="Z150" t="s">
        <v>242</v>
      </c>
      <c r="AA150" t="s">
        <v>242</v>
      </c>
      <c r="AB150" t="s">
        <v>242</v>
      </c>
      <c r="AC150" t="s">
        <v>242</v>
      </c>
      <c r="AD150" t="s">
        <v>242</v>
      </c>
      <c r="AE150" s="32" t="s">
        <v>242</v>
      </c>
      <c r="AF150" t="s">
        <v>242</v>
      </c>
      <c r="AG150" t="s">
        <v>242</v>
      </c>
      <c r="AH150" t="s">
        <v>242</v>
      </c>
      <c r="AI150" t="s">
        <v>242</v>
      </c>
      <c r="AJ150" t="s">
        <v>242</v>
      </c>
      <c r="AK150">
        <v>170.71973657726821</v>
      </c>
      <c r="AL150" s="33">
        <v>9791</v>
      </c>
      <c r="AM150">
        <v>1</v>
      </c>
      <c r="AN150" s="30">
        <f t="shared" si="149"/>
        <v>1</v>
      </c>
      <c r="AO150" s="30" t="s">
        <v>244</v>
      </c>
      <c r="AP150">
        <v>341</v>
      </c>
      <c r="AQ150" s="34">
        <v>1.3244984239051379E-3</v>
      </c>
      <c r="AR150" s="35">
        <v>91.248836912410241</v>
      </c>
      <c r="AS150" t="s">
        <v>1653</v>
      </c>
      <c r="AT150" s="36" t="s">
        <v>1654</v>
      </c>
      <c r="AU150" t="s">
        <v>1559</v>
      </c>
      <c r="AV150" t="str">
        <f>HYPERLINK("http://exon.niaid.nih.gov/transcriptome/S_calcitrans/S1/links/KOG/XP_013107384.1-KOG.txt","KOG")</f>
        <v>KOG</v>
      </c>
      <c r="AW150" s="37">
        <v>6.0000000000000003E-36</v>
      </c>
      <c r="AX150">
        <v>100</v>
      </c>
      <c r="AY150" s="33"/>
      <c r="BG150" s="31"/>
      <c r="BJ150" s="33"/>
      <c r="BK150" s="33"/>
      <c r="BL150" s="33" t="str">
        <f>HYPERLINK("http://exon.niaid.nih.gov/transcriptome/S_calcitrans/S1/links/NR-LIGHT/XP_013107384.1-NR-LIGHT.txt","U6 snRNA-associated Sm-like protein LSm5")</f>
        <v>U6 snRNA-associated Sm-like protein LSm5</v>
      </c>
      <c r="BM150" t="str">
        <f>HYPERLINK("http://www.ncbi.nlm.nih.gov/sutils/blink.cgi?pid=557771712","3E-046")</f>
        <v>3E-046</v>
      </c>
      <c r="BN150" t="str">
        <f>HYPERLINK("http://www.ncbi.nlm.nih.gov/protein/557771712","gi|557771712")</f>
        <v>gi|557771712</v>
      </c>
      <c r="BO150">
        <v>100</v>
      </c>
      <c r="BP150">
        <v>100</v>
      </c>
      <c r="BQ150">
        <v>100</v>
      </c>
      <c r="BR150" t="s">
        <v>251</v>
      </c>
      <c r="BS150" s="33" t="str">
        <f>HYPERLINK("http://exon.niaid.nih.gov/transcriptome/S_calcitrans/S1/links/SWISSP/XP_013107384.1-SWISSP.txt","U6 snRNA-associated Sm-like protein LSm5")</f>
        <v>U6 snRNA-associated Sm-like protein LSm5</v>
      </c>
      <c r="BT150" t="str">
        <f>HYPERLINK("http://www.uniprot.org/uniprot/Q5R628","2E-036")</f>
        <v>2E-036</v>
      </c>
      <c r="BU150" t="str">
        <f>HYPERLINK("http://www.uniprot.org/uniprot/Q5R628#expression","Q5R628")</f>
        <v>Q5R628</v>
      </c>
      <c r="BV150">
        <v>86</v>
      </c>
      <c r="BW150">
        <v>95</v>
      </c>
      <c r="BX150">
        <v>92</v>
      </c>
      <c r="BY150" t="s">
        <v>1273</v>
      </c>
      <c r="BZ150" s="33" t="str">
        <f>HYPERLINK("http://exon.niaid.nih.gov/transcriptome/S_calcitrans/S1/links/REFSEQ-INVERTEBRATE/XP_013107384.1-REFSEQ-INVERTEBRATE.txt","U6 snRNA-associated Sm-like protein LSm5")</f>
        <v>U6 snRNA-associated Sm-like protein LSm5</v>
      </c>
      <c r="CA150" t="str">
        <f>HYPERLINK("http://www.ncbi.nlm.nih.gov/sutils/blink.cgi?pid=907686980","2E-046")</f>
        <v>2E-046</v>
      </c>
      <c r="CB150" t="str">
        <f>HYPERLINK("http://www.ncbi.nlm.nih.gov/protein/907686980","gi|907686980")</f>
        <v>gi|907686980</v>
      </c>
      <c r="CC150">
        <v>100</v>
      </c>
      <c r="CD150">
        <v>100</v>
      </c>
      <c r="CE150">
        <v>100</v>
      </c>
      <c r="CF150" t="s">
        <v>253</v>
      </c>
      <c r="CG150" s="33" t="str">
        <f>HYPERLINK("http://exon.niaid.nih.gov/transcriptome/S_calcitrans/S1/links/DIPTERA/XP_013107384.1-DIPTERA.txt","U6 snRNA-associated Sm-like protein LSm5")</f>
        <v>U6 snRNA-associated Sm-like protein LSm5</v>
      </c>
      <c r="CH150" t="str">
        <f>HYPERLINK("http://www.ncbi.nlm.nih.gov/sutils/blink.cgi?pid=557771712","1E-046")</f>
        <v>1E-046</v>
      </c>
      <c r="CI150" t="str">
        <f>HYPERLINK("http://www.ncbi.nlm.nih.gov/protein/557771712","gi|557771712")</f>
        <v>gi|557771712</v>
      </c>
      <c r="CJ150">
        <v>100</v>
      </c>
      <c r="CK150">
        <v>100</v>
      </c>
      <c r="CL150">
        <v>100</v>
      </c>
      <c r="CM150" t="s">
        <v>251</v>
      </c>
      <c r="CN150" s="33" t="s">
        <v>242</v>
      </c>
      <c r="CO150" t="s">
        <v>242</v>
      </c>
      <c r="CP150" t="s">
        <v>242</v>
      </c>
      <c r="CQ150" t="s">
        <v>242</v>
      </c>
      <c r="CR150" t="s">
        <v>242</v>
      </c>
      <c r="CS150" t="s">
        <v>242</v>
      </c>
      <c r="CT150" t="s">
        <v>242</v>
      </c>
      <c r="CU150" s="33" t="s">
        <v>1655</v>
      </c>
      <c r="CV150">
        <f>HYPERLINK("http://exon.niaid.nih.gov/transcriptome/S_calcitrans/S1/links/GO/XP_013107384.1-GO.txt",4E-44)</f>
        <v>3.9999999999999998E-44</v>
      </c>
      <c r="CW150" t="str">
        <f>HYPERLINK("http://amigo.geneontology.org/cgi-bin/amigo/term_details?term=GO:0003723","GO:0003723")</f>
        <v>GO:0003723</v>
      </c>
      <c r="CX150" t="s">
        <v>1656</v>
      </c>
      <c r="CY150" t="s">
        <v>1657</v>
      </c>
      <c r="CZ150" t="s">
        <v>242</v>
      </c>
      <c r="DA150" t="s">
        <v>242</v>
      </c>
      <c r="DC150" t="s">
        <v>1658</v>
      </c>
      <c r="DD150" s="37">
        <v>3.9999999999999998E-44</v>
      </c>
      <c r="DE150" s="33" t="str">
        <f>HYPERLINK("http://exon.niaid.nih.gov/transcriptome/S_calcitrans/S1/links/CDD/XP_013107384.1-CDD.txt","LSm5")</f>
        <v>LSm5</v>
      </c>
      <c r="DF150" t="str">
        <f>HYPERLINK("http://www.ncbi.nlm.nih.gov/Structure/cdd/cddsrv.cgi?uid=cd01732&amp;version=v4.0","6E-050")</f>
        <v>6E-050</v>
      </c>
      <c r="DG150" t="s">
        <v>1659</v>
      </c>
      <c r="DH150" s="33" t="str">
        <f>HYPERLINK("http://exon.niaid.nih.gov/transcriptome/S_calcitrans/S1/links/KOG/XP_013107384.1-KOG.txt","U6 snRNA-associated Sm-like protein")</f>
        <v>U6 snRNA-associated Sm-like protein</v>
      </c>
      <c r="DI150" t="str">
        <f>HYPERLINK("http://www.ncbi.nlm.nih.gov/Structure/cdd/cddsrv.cgi?uid=KOG1775","6E-036")</f>
        <v>6E-036</v>
      </c>
      <c r="DJ150" t="s">
        <v>1635</v>
      </c>
      <c r="DK150" t="str">
        <f>HYPERLINK("http://exon.niaid.nih.gov/transcriptome/S_calcitrans/S1/links/KOG/XP_013107384.1-KOG.txt","KOG1775")</f>
        <v>KOG1775</v>
      </c>
      <c r="DL150" s="33" t="str">
        <f>HYPERLINK("http://exon.niaid.nih.gov/transcriptome/S_calcitrans/S1/links/PFAM/XP_013107384.1-PFAM.txt","LSM")</f>
        <v>LSM</v>
      </c>
      <c r="DM150" t="str">
        <f>HYPERLINK("http://pfam.sanger.ac.uk/family?acc=PF01423","1E-013")</f>
        <v>1E-013</v>
      </c>
      <c r="DN150" s="33" t="str">
        <f>HYPERLINK("http://exon.niaid.nih.gov/transcriptome/S_calcitrans/S1/links/SMART/XP_013107384.1-SMART.txt","Sm")</f>
        <v>Sm</v>
      </c>
      <c r="DO150" t="str">
        <f>HYPERLINK("http://smart.embl-heidelberg.de/smart/do_annotation.pl?DOMAIN=Sm&amp;BLAST=DUMMY","8E-015")</f>
        <v>8E-015</v>
      </c>
      <c r="DP150" s="33"/>
      <c r="EB150" s="33">
        <f>HYPERLINK("http://exon.niaid.nih.gov/transcriptome/S_calcitrans/S1/links/cluster-b/Scalc-pep25-50SimCLU1.txt", 1)</f>
        <v>1</v>
      </c>
      <c r="EC150">
        <f>HYPERLINK("http://exon.niaid.nih.gov/transcriptome/S_calcitrans/S1/links/cluster-b/Scalc-pep25-50SimCLTL1.txt", 5170)</f>
        <v>5170</v>
      </c>
      <c r="ED150" s="33">
        <f>HYPERLINK("http://exon.niaid.nih.gov/transcriptome/S_calcitrans/S1/links/cluster-b/Scalc-pep30-50SimCLU91.txt", 91)</f>
        <v>91</v>
      </c>
      <c r="EE150">
        <f>HYPERLINK("http://exon.niaid.nih.gov/transcriptome/S_calcitrans/S1/links/cluster-b/Scalc-pep30-50SimCLTL91.txt", 19)</f>
        <v>19</v>
      </c>
      <c r="EF150" s="33">
        <f>HYPERLINK("http://exon.niaid.nih.gov/transcriptome/S_calcitrans/S1/links/cluster-b/Scalc-pep35-50SimCLU303.txt", 303)</f>
        <v>303</v>
      </c>
      <c r="EG150">
        <f>HYPERLINK("http://exon.niaid.nih.gov/transcriptome/S_calcitrans/S1/links/cluster-b/Scalc-pep35-50SimCLTL303.txt", 9)</f>
        <v>9</v>
      </c>
      <c r="EH150" s="33">
        <v>6429</v>
      </c>
      <c r="EI150">
        <v>1</v>
      </c>
      <c r="EJ150" s="33">
        <v>6868</v>
      </c>
      <c r="EK150">
        <v>1</v>
      </c>
      <c r="EL150" s="33">
        <v>7222</v>
      </c>
      <c r="EM150">
        <v>1</v>
      </c>
      <c r="EN150" s="33">
        <v>7634</v>
      </c>
      <c r="EO150">
        <v>1</v>
      </c>
      <c r="EP150" s="33">
        <v>7956</v>
      </c>
      <c r="EQ150">
        <v>1</v>
      </c>
      <c r="ER150" s="33">
        <v>8241</v>
      </c>
      <c r="ES150">
        <v>1</v>
      </c>
      <c r="ET150" s="33">
        <v>8460</v>
      </c>
      <c r="EU150">
        <v>1</v>
      </c>
      <c r="EV150" s="33">
        <v>8686</v>
      </c>
      <c r="EW150">
        <v>1</v>
      </c>
      <c r="EX150" s="33">
        <v>8912</v>
      </c>
      <c r="EY150">
        <v>1</v>
      </c>
      <c r="EZ150" s="33">
        <v>9154</v>
      </c>
      <c r="FA150">
        <v>1</v>
      </c>
      <c r="FB150" s="33">
        <v>9420</v>
      </c>
      <c r="FC150">
        <v>1</v>
      </c>
      <c r="FD150" s="33">
        <v>9791</v>
      </c>
      <c r="FE150">
        <v>1</v>
      </c>
      <c r="FF150" t="s">
        <v>1660</v>
      </c>
      <c r="FG150">
        <v>12758</v>
      </c>
      <c r="FH150" s="38" t="str">
        <f>HYPERLINK("http://exon.niaid.nih.gov/transcriptome/S_calcitrans/S1/links/SG_male-stripped_temp-95-h10-1gap/12758-SG_male-stripped_temp-95-h10-1gap.txt","169")</f>
        <v>169</v>
      </c>
      <c r="FI150" s="39">
        <v>98.913043478260903</v>
      </c>
      <c r="FJ150" s="39">
        <v>43.5</v>
      </c>
      <c r="FK150" s="39">
        <v>0</v>
      </c>
      <c r="FL150" s="39">
        <v>92</v>
      </c>
      <c r="FM150" s="39">
        <v>71.041420118343197</v>
      </c>
      <c r="FN150" s="38" t="str">
        <f>HYPERLINK("http://exon.niaid.nih.gov/transcriptome/S_calcitrans/S1/links/SG_female-stripped_temp-95-h10-1gap/12758-SG_female-stripped_temp-95-h10-1gap.txt","172")</f>
        <v>172</v>
      </c>
      <c r="FO150" s="39">
        <v>99.637681159420296</v>
      </c>
      <c r="FP150" s="39">
        <v>44.793478260869598</v>
      </c>
      <c r="FQ150" s="39">
        <v>0</v>
      </c>
      <c r="FR150" s="39">
        <v>91</v>
      </c>
      <c r="FS150" s="39">
        <v>71.8779069767442</v>
      </c>
      <c r="FT150" s="38" t="str">
        <f>HYPERLINK("http://exon.niaid.nih.gov/transcriptome/S_calcitrans/S1/links/SRR694289-stripped_temp-95-h10-1gap/12758-SRR694289-stripped_temp-95-h10-1gap.txt","3")</f>
        <v>3</v>
      </c>
      <c r="FU150" s="39">
        <v>64.492753623188406</v>
      </c>
      <c r="FV150" s="39">
        <v>0.89855072463768104</v>
      </c>
      <c r="FW150" s="39">
        <v>0</v>
      </c>
      <c r="FX150" s="39">
        <v>2</v>
      </c>
      <c r="FY150" s="39">
        <v>82.6666666666667</v>
      </c>
      <c r="FZ150" s="38" t="str">
        <f>HYPERLINK("http://exon.niaid.nih.gov/transcriptome/S_calcitrans/S1/links/SRR694925-stripped_temp-95-h10-1gap/12758-SRR694925-stripped_temp-95-h10-1gap.txt","3")</f>
        <v>3</v>
      </c>
      <c r="GA150" s="39">
        <v>86.231884057971001</v>
      </c>
      <c r="GB150" s="39">
        <v>1.0543478260869601</v>
      </c>
      <c r="GC150" s="39">
        <v>0</v>
      </c>
      <c r="GD150" s="39">
        <v>2</v>
      </c>
      <c r="GE150" s="39">
        <v>97</v>
      </c>
      <c r="GF150">
        <f t="shared" si="157"/>
        <v>169</v>
      </c>
      <c r="GG150">
        <f t="shared" si="158"/>
        <v>172</v>
      </c>
      <c r="GH150">
        <f t="shared" si="159"/>
        <v>3</v>
      </c>
      <c r="GI150">
        <f t="shared" si="160"/>
        <v>3</v>
      </c>
      <c r="GJ150">
        <f t="shared" si="163"/>
        <v>341</v>
      </c>
      <c r="GK150" s="34">
        <v>1.3244984239051379E-3</v>
      </c>
      <c r="GL150">
        <v>20.029938343502451</v>
      </c>
      <c r="GM150">
        <v>9.2702747230844604</v>
      </c>
      <c r="GN150">
        <v>6.248053098844334E-2</v>
      </c>
      <c r="GO150">
        <v>6.441039552001028E-2</v>
      </c>
      <c r="GP150">
        <f t="shared" si="161"/>
        <v>20.029938343502451</v>
      </c>
      <c r="GQ150" t="s">
        <v>1559</v>
      </c>
      <c r="GR150">
        <v>15.621177766704365</v>
      </c>
      <c r="GS150">
        <v>7.6087281002290377</v>
      </c>
      <c r="GT150">
        <v>0.11263101903083254</v>
      </c>
      <c r="GU150">
        <v>0.12194653672729498</v>
      </c>
      <c r="GV150">
        <f t="shared" si="162"/>
        <v>15.621177766704365</v>
      </c>
      <c r="GW150">
        <v>91.248836912410241</v>
      </c>
      <c r="GX150">
        <v>341</v>
      </c>
      <c r="GY150">
        <v>6</v>
      </c>
      <c r="GZ150">
        <v>347</v>
      </c>
      <c r="HA150">
        <v>77.033893679429582</v>
      </c>
      <c r="HB150">
        <v>269.96610632057042</v>
      </c>
      <c r="HC150">
        <v>904.51231215187659</v>
      </c>
      <c r="HD150">
        <v>258.09945639362462</v>
      </c>
      <c r="HE150">
        <v>1162.6117685455013</v>
      </c>
      <c r="HF150">
        <v>8.1453943622006103E-255</v>
      </c>
      <c r="HG150">
        <v>77.033893679429582</v>
      </c>
      <c r="HH150">
        <v>1</v>
      </c>
      <c r="HI150">
        <v>1</v>
      </c>
      <c r="HJ150">
        <v>2</v>
      </c>
      <c r="HK150" s="37">
        <v>3.0056579552925701E-254</v>
      </c>
      <c r="HL150" s="30" t="s">
        <v>262</v>
      </c>
      <c r="HM150">
        <v>170.71973657726821</v>
      </c>
      <c r="HN150">
        <v>5.0060796051655454E-3</v>
      </c>
      <c r="HO150">
        <v>169</v>
      </c>
      <c r="HP150">
        <v>172</v>
      </c>
      <c r="HQ150">
        <v>341</v>
      </c>
      <c r="HR150">
        <v>106.59521716311524</v>
      </c>
      <c r="HS150">
        <v>234.40478283688475</v>
      </c>
      <c r="HT150">
        <v>36.534068080742159</v>
      </c>
      <c r="HU150">
        <v>16.6138116884275</v>
      </c>
      <c r="HV150">
        <v>53.147879769169663</v>
      </c>
      <c r="HW150">
        <v>3.0935917714720056E-13</v>
      </c>
      <c r="HX150">
        <v>106.59521716311524</v>
      </c>
      <c r="HY150">
        <v>1</v>
      </c>
      <c r="HZ150">
        <v>1</v>
      </c>
      <c r="IA150">
        <v>2</v>
      </c>
      <c r="IB150" s="37">
        <v>7.6741541988950305E-12</v>
      </c>
      <c r="IC150" s="30" t="s">
        <v>262</v>
      </c>
      <c r="ID150">
        <v>2.1481734843831712</v>
      </c>
      <c r="IE150">
        <v>0.46009845548481787</v>
      </c>
      <c r="IF150">
        <v>2.1481734843831712</v>
      </c>
      <c r="IG150" t="str">
        <f t="shared" si="156"/>
        <v/>
      </c>
    </row>
    <row r="151" spans="1:241">
      <c r="A151" t="str">
        <f>HYPERLINK("http://exon.niaid.nih.gov/transcriptome/S_calcitrans/S1/links/pep/XP_013116894.1-pep.txt","XP_013116894.1")</f>
        <v>XP_013116894.1</v>
      </c>
      <c r="B151" s="30" t="s">
        <v>232</v>
      </c>
      <c r="C151">
        <v>82</v>
      </c>
      <c r="D151" t="s">
        <v>1661</v>
      </c>
      <c r="E151">
        <v>0</v>
      </c>
      <c r="F151" t="s">
        <v>1662</v>
      </c>
      <c r="G151" t="str">
        <f>HYPERLINK("http://exon.niaid.nih.gov/transcriptome/S_calcitrans/S1/links/cds/XM_013261440_1-cds.txt","XM_013261440_1")</f>
        <v>XM_013261440_1</v>
      </c>
      <c r="H151">
        <v>249</v>
      </c>
      <c r="I151" t="s">
        <v>1663</v>
      </c>
      <c r="J151" s="30" t="s">
        <v>236</v>
      </c>
      <c r="K151" s="30" t="s">
        <v>91</v>
      </c>
      <c r="L151" s="31" t="s">
        <v>1664</v>
      </c>
      <c r="M151" s="30">
        <v>75593</v>
      </c>
      <c r="N151" s="30">
        <v>75841</v>
      </c>
      <c r="O151" s="30" t="s">
        <v>238</v>
      </c>
      <c r="P151" s="30">
        <v>1</v>
      </c>
      <c r="Q151" s="31" t="s">
        <v>1665</v>
      </c>
      <c r="R151" s="32" t="str">
        <f>HYPERLINK("http://exon.niaid.nih.gov/transcriptome/S_calcitrans/S1/links/Sigp/XP_013116894.1-SigP.txt","CYT")</f>
        <v>CYT</v>
      </c>
      <c r="S151" t="s">
        <v>242</v>
      </c>
      <c r="T151">
        <v>9.6669999999999998</v>
      </c>
      <c r="U151">
        <v>8.59</v>
      </c>
      <c r="V151" t="s">
        <v>242</v>
      </c>
      <c r="W151" t="s">
        <v>242</v>
      </c>
      <c r="X151" t="s">
        <v>1461</v>
      </c>
      <c r="Y151" s="32">
        <v>0</v>
      </c>
      <c r="Z151" t="s">
        <v>242</v>
      </c>
      <c r="AA151" t="s">
        <v>242</v>
      </c>
      <c r="AB151" t="s">
        <v>242</v>
      </c>
      <c r="AC151" t="s">
        <v>242</v>
      </c>
      <c r="AD151" t="s">
        <v>242</v>
      </c>
      <c r="AE151" s="32" t="str">
        <f>HYPERLINK("http://exon.niaid.nih.gov/transcriptome/S_calcitrans/S1/links/netoglyc/XP_013116894.1-netoglyc.txt","0")</f>
        <v>0</v>
      </c>
      <c r="AF151">
        <v>8.5</v>
      </c>
      <c r="AG151">
        <v>2.4</v>
      </c>
      <c r="AH151">
        <v>7.3</v>
      </c>
      <c r="AI151" t="s">
        <v>243</v>
      </c>
      <c r="AJ151" t="s">
        <v>242</v>
      </c>
      <c r="AK151">
        <v>1207.3039435662236</v>
      </c>
      <c r="AL151" s="33">
        <v>14950</v>
      </c>
      <c r="AM151">
        <v>1</v>
      </c>
      <c r="AN151" s="30">
        <f t="shared" si="149"/>
        <v>1</v>
      </c>
      <c r="AO151" s="30" t="s">
        <v>244</v>
      </c>
      <c r="AP151">
        <v>689</v>
      </c>
      <c r="AQ151" s="34">
        <v>2.6761859650165395E-3</v>
      </c>
      <c r="AR151" s="35">
        <v>843.97305563938198</v>
      </c>
      <c r="AS151" t="s">
        <v>1666</v>
      </c>
      <c r="AT151" s="36" t="s">
        <v>1667</v>
      </c>
      <c r="AU151" t="s">
        <v>1559</v>
      </c>
      <c r="AV151" t="str">
        <f>HYPERLINK("http://exon.niaid.nih.gov/transcriptome/S_calcitrans/S1/links/DIPTERA/XP_013116894.1-DIPTERA.txt","DIPTERA")</f>
        <v>DIPTERA</v>
      </c>
      <c r="AW151" s="37">
        <v>4.9999999999999998E-45</v>
      </c>
      <c r="AX151">
        <v>100</v>
      </c>
      <c r="AY151" s="33"/>
      <c r="BG151" s="31"/>
      <c r="BJ151" s="33"/>
      <c r="BK151" s="33"/>
      <c r="BL151" s="33" t="str">
        <f>HYPERLINK("http://exon.niaid.nih.gov/transcriptome/S_calcitrans/S1/links/NR-LIGHT/XP_013116894.1-NR-LIGHT.txt","transcription elongation factor 1 homolog")</f>
        <v>transcription elongation factor 1 homolog</v>
      </c>
      <c r="BM151" t="str">
        <f>HYPERLINK("http://www.ncbi.nlm.nih.gov/sutils/blink.cgi?pid=557769411","7E-041")</f>
        <v>7E-041</v>
      </c>
      <c r="BN151" t="str">
        <f>HYPERLINK("http://www.ncbi.nlm.nih.gov/protein/557769411","gi|557769411")</f>
        <v>gi|557769411</v>
      </c>
      <c r="BO151">
        <v>92</v>
      </c>
      <c r="BP151">
        <v>97</v>
      </c>
      <c r="BQ151">
        <v>100</v>
      </c>
      <c r="BR151" t="s">
        <v>251</v>
      </c>
      <c r="BS151" s="33" t="str">
        <f>HYPERLINK("http://exon.niaid.nih.gov/transcriptome/S_calcitrans/S1/links/SWISSP/XP_013116894.1-SWISSP.txt","Transcription elongation factor 1 homolog")</f>
        <v>Transcription elongation factor 1 homolog</v>
      </c>
      <c r="BT151" t="str">
        <f>HYPERLINK("http://www.uniprot.org/uniprot/Q8MQI6","3E-039")</f>
        <v>3E-039</v>
      </c>
      <c r="BU151" t="str">
        <f>HYPERLINK("http://www.uniprot.org/uniprot/Q8MQI6#expression","Q8MQI6")</f>
        <v>Q8MQI6</v>
      </c>
      <c r="BV151">
        <v>84</v>
      </c>
      <c r="BW151">
        <v>93</v>
      </c>
      <c r="BX151">
        <v>100</v>
      </c>
      <c r="BY151" t="s">
        <v>304</v>
      </c>
      <c r="BZ151" s="33" t="str">
        <f>HYPERLINK("http://exon.niaid.nih.gov/transcriptome/S_calcitrans/S1/links/REFSEQ-INVERTEBRATE/XP_013116894.1-REFSEQ-INVERTEBRATE.txt","transcription elongation factor 1 homolog")</f>
        <v>transcription elongation factor 1 homolog</v>
      </c>
      <c r="CA151" t="str">
        <f>HYPERLINK("http://www.ncbi.nlm.nih.gov/sutils/blink.cgi?pid=907744230","9E-045")</f>
        <v>9E-045</v>
      </c>
      <c r="CB151" t="str">
        <f>HYPERLINK("http://www.ncbi.nlm.nih.gov/protein/907744230","gi|907744230")</f>
        <v>gi|907744230</v>
      </c>
      <c r="CC151">
        <v>100</v>
      </c>
      <c r="CD151">
        <v>100</v>
      </c>
      <c r="CE151">
        <v>100</v>
      </c>
      <c r="CF151" t="s">
        <v>253</v>
      </c>
      <c r="CG151" s="33" t="str">
        <f>HYPERLINK("http://exon.niaid.nih.gov/transcriptome/S_calcitrans/S1/links/DIPTERA/XP_013116894.1-DIPTERA.txt","transcription elongation factor 1 homolog")</f>
        <v>transcription elongation factor 1 homolog</v>
      </c>
      <c r="CH151" t="str">
        <f>HYPERLINK("http://www.ncbi.nlm.nih.gov/sutils/blink.cgi?pid=907744230","5E-045")</f>
        <v>5E-045</v>
      </c>
      <c r="CI151" t="str">
        <f>HYPERLINK("http://www.ncbi.nlm.nih.gov/protein/907744230","gi|907744230")</f>
        <v>gi|907744230</v>
      </c>
      <c r="CJ151">
        <v>100</v>
      </c>
      <c r="CK151">
        <v>100</v>
      </c>
      <c r="CL151">
        <v>100</v>
      </c>
      <c r="CM151" t="s">
        <v>253</v>
      </c>
      <c r="CN151" s="33" t="s">
        <v>242</v>
      </c>
      <c r="CO151" t="s">
        <v>242</v>
      </c>
      <c r="CP151" t="s">
        <v>242</v>
      </c>
      <c r="CQ151" t="s">
        <v>242</v>
      </c>
      <c r="CR151" t="s">
        <v>242</v>
      </c>
      <c r="CS151" t="s">
        <v>242</v>
      </c>
      <c r="CT151" t="s">
        <v>242</v>
      </c>
      <c r="CU151" s="33" t="s">
        <v>1668</v>
      </c>
      <c r="CV151">
        <f>HYPERLINK("http://exon.niaid.nih.gov/transcriptome/S_calcitrans/S1/links/GO/XP_013116894.1-GO.txt",5E-39)</f>
        <v>4.9999999999999998E-39</v>
      </c>
      <c r="CW151" t="str">
        <f>HYPERLINK("http://amigo.geneontology.org/cgi-bin/amigo/term_details?term=GO:0003674","GO:0003674")</f>
        <v>GO:0003674</v>
      </c>
      <c r="CX151" t="s">
        <v>255</v>
      </c>
      <c r="CY151" t="s">
        <v>256</v>
      </c>
      <c r="CZ151" t="s">
        <v>257</v>
      </c>
      <c r="DA151" t="s">
        <v>242</v>
      </c>
      <c r="DC151" t="s">
        <v>258</v>
      </c>
      <c r="DD151" s="37">
        <v>4.9999999999999998E-39</v>
      </c>
      <c r="DE151" s="33" t="str">
        <f>HYPERLINK("http://exon.niaid.nih.gov/transcriptome/S_calcitrans/S1/links/CDD/XP_013116894.1-CDD.txt","Elf1")</f>
        <v>Elf1</v>
      </c>
      <c r="DF151" t="str">
        <f>HYPERLINK("http://www.ncbi.nlm.nih.gov/Structure/cdd/cddsrv.cgi?uid=pfam05129&amp;version=v4.0","2E-025")</f>
        <v>2E-025</v>
      </c>
      <c r="DG151" t="s">
        <v>1669</v>
      </c>
      <c r="DH151" s="33" t="str">
        <f>HYPERLINK("http://exon.niaid.nih.gov/transcriptome/S_calcitrans/S1/links/KOG/XP_013116894.1-KOG.txt","Uncharacterized Zn ribbon-containing protein")</f>
        <v>Uncharacterized Zn ribbon-containing protein</v>
      </c>
      <c r="DI151" t="str">
        <f>HYPERLINK("http://www.ncbi.nlm.nih.gov/Structure/cdd/cddsrv.cgi?uid=KOG3214","1E-029")</f>
        <v>1E-029</v>
      </c>
      <c r="DJ151" t="s">
        <v>260</v>
      </c>
      <c r="DK151" t="str">
        <f>HYPERLINK("http://exon.niaid.nih.gov/transcriptome/S_calcitrans/S1/links/KOG/XP_013116894.1-KOG.txt","KOG3214")</f>
        <v>KOG3214</v>
      </c>
      <c r="DL151" s="33" t="str">
        <f>HYPERLINK("http://exon.niaid.nih.gov/transcriptome/S_calcitrans/S1/links/PFAM/XP_013116894.1-PFAM.txt","Elf1")</f>
        <v>Elf1</v>
      </c>
      <c r="DM151" t="str">
        <f>HYPERLINK("http://pfam.sanger.ac.uk/family?acc=PF05129","4E-026")</f>
        <v>4E-026</v>
      </c>
      <c r="DN151" s="33" t="str">
        <f>HYPERLINK("http://exon.niaid.nih.gov/transcriptome/S_calcitrans/S1/links/SMART/XP_013116894.1-SMART.txt","LIGANc")</f>
        <v>LIGANc</v>
      </c>
      <c r="DO151" t="str">
        <f>HYPERLINK("http://smart.embl-heidelberg.de/smart/do_annotation.pl?DOMAIN=LIGANc&amp;BLAST=DUMMY","0.065")</f>
        <v>0.065</v>
      </c>
      <c r="DP151" s="33"/>
      <c r="EB151" s="33">
        <v>6084</v>
      </c>
      <c r="EC151">
        <v>1</v>
      </c>
      <c r="ED151" s="33">
        <v>7371</v>
      </c>
      <c r="EE151">
        <v>1</v>
      </c>
      <c r="EF151" s="33">
        <v>8259</v>
      </c>
      <c r="EG151">
        <v>1</v>
      </c>
      <c r="EH151" s="33">
        <v>8969</v>
      </c>
      <c r="EI151">
        <v>1</v>
      </c>
      <c r="EJ151" s="33">
        <v>9684</v>
      </c>
      <c r="EK151">
        <v>1</v>
      </c>
      <c r="EL151" s="33">
        <v>10228</v>
      </c>
      <c r="EM151">
        <v>1</v>
      </c>
      <c r="EN151" s="33">
        <v>10849</v>
      </c>
      <c r="EO151">
        <v>1</v>
      </c>
      <c r="EP151" s="33">
        <v>11355</v>
      </c>
      <c r="EQ151">
        <v>1</v>
      </c>
      <c r="ER151" s="33">
        <v>11833</v>
      </c>
      <c r="ES151">
        <v>1</v>
      </c>
      <c r="ET151" s="33">
        <v>12251</v>
      </c>
      <c r="EU151">
        <v>1</v>
      </c>
      <c r="EV151" s="33">
        <v>12686</v>
      </c>
      <c r="EW151">
        <v>1</v>
      </c>
      <c r="EX151" s="33">
        <v>13095</v>
      </c>
      <c r="EY151">
        <v>1</v>
      </c>
      <c r="EZ151" s="33">
        <v>13603</v>
      </c>
      <c r="FA151">
        <v>1</v>
      </c>
      <c r="FB151" s="33">
        <v>14150</v>
      </c>
      <c r="FC151">
        <v>1</v>
      </c>
      <c r="FD151" s="33">
        <v>14950</v>
      </c>
      <c r="FE151">
        <v>1</v>
      </c>
      <c r="FF151" t="s">
        <v>1670</v>
      </c>
      <c r="FG151">
        <v>21275</v>
      </c>
      <c r="FH151" s="38" t="str">
        <f>HYPERLINK("http://exon.niaid.nih.gov/transcriptome/S_calcitrans/S1/links/SG_male-stripped_temp-95-h10-1gap/21275-SG_male-stripped_temp-95-h10-1gap.txt","341")</f>
        <v>341</v>
      </c>
      <c r="FI151" s="39">
        <v>100</v>
      </c>
      <c r="FJ151" s="39">
        <v>92.903614457831296</v>
      </c>
      <c r="FK151" s="39">
        <v>13</v>
      </c>
      <c r="FL151" s="39">
        <v>164</v>
      </c>
      <c r="FM151" s="39">
        <v>67.838709677419402</v>
      </c>
      <c r="FN151" s="38" t="str">
        <f>HYPERLINK("http://exon.niaid.nih.gov/transcriptome/S_calcitrans/S1/links/SG_female-stripped_temp-95-h10-1gap/21275-SG_female-stripped_temp-95-h10-1gap.txt","348")</f>
        <v>348</v>
      </c>
      <c r="FO151" s="39">
        <v>100</v>
      </c>
      <c r="FP151" s="39">
        <v>95.441767068273094</v>
      </c>
      <c r="FQ151" s="39">
        <v>20</v>
      </c>
      <c r="FR151" s="39">
        <v>156</v>
      </c>
      <c r="FS151" s="39">
        <v>68.290229885057499</v>
      </c>
      <c r="FT151" s="38" t="str">
        <f>HYPERLINK("http://exon.niaid.nih.gov/transcriptome/S_calcitrans/S1/links/SRR694289-stripped_temp-95-h10-1gap/21275-SRR694289-stripped_temp-95-h10-1gap.txt","1")</f>
        <v>1</v>
      </c>
      <c r="FU151" s="39">
        <v>40.160642570281098</v>
      </c>
      <c r="FV151" s="39">
        <v>0.40160642570281102</v>
      </c>
      <c r="FW151" s="39">
        <v>0</v>
      </c>
      <c r="FX151" s="39">
        <v>1</v>
      </c>
      <c r="FY151" s="39">
        <v>100</v>
      </c>
      <c r="FZ151" s="38">
        <v>0</v>
      </c>
      <c r="GA151" s="39" t="s">
        <v>242</v>
      </c>
      <c r="GB151" s="39" t="s">
        <v>242</v>
      </c>
      <c r="GC151" s="39" t="s">
        <v>242</v>
      </c>
      <c r="GD151" s="39" t="s">
        <v>242</v>
      </c>
      <c r="GE151" s="39" t="s">
        <v>242</v>
      </c>
      <c r="GF151">
        <f t="shared" si="157"/>
        <v>341</v>
      </c>
      <c r="GG151">
        <f t="shared" si="158"/>
        <v>348</v>
      </c>
      <c r="GH151">
        <f t="shared" si="159"/>
        <v>1</v>
      </c>
      <c r="GI151">
        <f t="shared" si="160"/>
        <v>0</v>
      </c>
      <c r="GJ151">
        <f t="shared" si="163"/>
        <v>689</v>
      </c>
      <c r="GK151" s="34">
        <v>2.6761859650165395E-3</v>
      </c>
      <c r="GL151">
        <v>44.797834584184713</v>
      </c>
      <c r="GM151">
        <v>20.789935243364532</v>
      </c>
      <c r="GN151">
        <v>2.3085176108179867E-2</v>
      </c>
      <c r="GO151">
        <v>0</v>
      </c>
      <c r="GP151">
        <f t="shared" si="161"/>
        <v>44.797834584184713</v>
      </c>
      <c r="GQ151" t="s">
        <v>1559</v>
      </c>
      <c r="GR151">
        <v>34.937448413563089</v>
      </c>
      <c r="GS151">
        <v>17.063676019678681</v>
      </c>
      <c r="GT151">
        <v>4.1614673698138926E-2</v>
      </c>
      <c r="GU151">
        <v>0</v>
      </c>
      <c r="GV151">
        <f t="shared" si="162"/>
        <v>34.937448413563089</v>
      </c>
      <c r="GW151">
        <v>843.97305563938198</v>
      </c>
      <c r="GX151">
        <v>689</v>
      </c>
      <c r="GY151">
        <v>1</v>
      </c>
      <c r="GZ151">
        <v>690</v>
      </c>
      <c r="HA151">
        <v>153.1797885844565</v>
      </c>
      <c r="HB151">
        <v>536.82021141554344</v>
      </c>
      <c r="HC151">
        <v>1874.2896932717845</v>
      </c>
      <c r="HD151">
        <v>534.82207423661225</v>
      </c>
      <c r="HE151">
        <v>2409.111767508397</v>
      </c>
      <c r="HF151">
        <v>0</v>
      </c>
      <c r="HG151">
        <v>153.1797885844565</v>
      </c>
      <c r="HH151">
        <v>1</v>
      </c>
      <c r="HI151">
        <v>1</v>
      </c>
      <c r="HJ151">
        <v>2</v>
      </c>
      <c r="HK151">
        <v>0</v>
      </c>
      <c r="HL151" s="30" t="s">
        <v>262</v>
      </c>
      <c r="HM151">
        <v>1207.3039435662236</v>
      </c>
      <c r="HN151">
        <v>4.1354570651367555E-4</v>
      </c>
      <c r="HO151">
        <v>341</v>
      </c>
      <c r="HP151">
        <v>348</v>
      </c>
      <c r="HQ151">
        <v>689</v>
      </c>
      <c r="HR151">
        <v>215.37860593954954</v>
      </c>
      <c r="HS151">
        <v>473.62139406045043</v>
      </c>
      <c r="HT151">
        <v>73.269740867949366</v>
      </c>
      <c r="HU151">
        <v>33.319302809359165</v>
      </c>
      <c r="HV151">
        <v>106.58904367730852</v>
      </c>
      <c r="HW151">
        <v>5.477519951941456E-25</v>
      </c>
      <c r="HX151">
        <v>215.37860593954954</v>
      </c>
      <c r="HY151">
        <v>1</v>
      </c>
      <c r="HZ151">
        <v>1</v>
      </c>
      <c r="IA151">
        <v>2</v>
      </c>
      <c r="IB151" s="37">
        <v>2.34229188571429E-23</v>
      </c>
      <c r="IC151" s="30" t="s">
        <v>262</v>
      </c>
      <c r="ID151">
        <v>2.1486105417713572</v>
      </c>
      <c r="IE151">
        <v>0.46272651683805632</v>
      </c>
      <c r="IF151">
        <v>2.1486105417713572</v>
      </c>
      <c r="IG151" t="str">
        <f t="shared" si="156"/>
        <v/>
      </c>
    </row>
    <row r="152" spans="1:241">
      <c r="A152" s="22" t="s">
        <v>1671</v>
      </c>
      <c r="B152" s="23"/>
      <c r="C152" s="24"/>
      <c r="D152" s="24"/>
      <c r="E152" s="24"/>
      <c r="F152" s="24"/>
      <c r="G152" s="24"/>
      <c r="H152" s="24"/>
      <c r="I152" s="24"/>
      <c r="J152" s="23"/>
      <c r="K152" s="23"/>
      <c r="L152" s="25"/>
      <c r="M152" s="23"/>
      <c r="N152" s="23"/>
      <c r="O152" s="23"/>
      <c r="P152" s="23"/>
      <c r="Q152" s="25"/>
      <c r="R152" s="23"/>
      <c r="S152" s="24"/>
      <c r="T152" s="24"/>
      <c r="U152" s="24"/>
      <c r="V152" s="24"/>
      <c r="W152" s="24"/>
      <c r="X152" s="24"/>
      <c r="Y152" s="23"/>
      <c r="Z152" s="24"/>
      <c r="AA152" s="24"/>
      <c r="AB152" s="24"/>
      <c r="AC152" s="24"/>
      <c r="AD152" s="24"/>
      <c r="AE152" s="23"/>
      <c r="AF152" s="24"/>
      <c r="AG152" s="24"/>
      <c r="AH152" s="24"/>
      <c r="AI152" s="24"/>
      <c r="AJ152" s="24"/>
      <c r="AK152" s="24"/>
      <c r="AL152" s="24"/>
      <c r="AM152" s="24"/>
      <c r="AN152" s="23" t="str">
        <f t="shared" si="149"/>
        <v/>
      </c>
      <c r="AO152" s="23" t="s">
        <v>244</v>
      </c>
      <c r="AP152" s="24" t="s">
        <v>244</v>
      </c>
      <c r="AQ152" s="26"/>
      <c r="AR152" s="27"/>
      <c r="AS152" s="24"/>
      <c r="AT152" s="24"/>
      <c r="AU152" s="24"/>
      <c r="AV152" s="24"/>
      <c r="AW152" s="28"/>
      <c r="AX152" s="24"/>
      <c r="AY152" s="24"/>
      <c r="AZ152" s="24"/>
      <c r="BA152" s="24"/>
      <c r="BB152" s="24"/>
      <c r="BC152" s="24"/>
      <c r="BD152" s="24"/>
      <c r="BE152" s="24"/>
      <c r="BF152" s="24"/>
      <c r="BG152" s="25"/>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8"/>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9"/>
      <c r="FI152" s="29"/>
      <c r="FJ152" s="29"/>
      <c r="FK152" s="29"/>
      <c r="FL152" s="29"/>
      <c r="FM152" s="29"/>
      <c r="FN152" s="29"/>
      <c r="FO152" s="29"/>
      <c r="FP152" s="29"/>
      <c r="FQ152" s="29"/>
      <c r="FR152" s="29"/>
      <c r="FS152" s="29"/>
      <c r="FT152" s="29"/>
      <c r="FU152" s="29"/>
      <c r="FV152" s="29"/>
      <c r="FW152" s="29"/>
      <c r="FX152" s="29"/>
      <c r="FY152" s="29"/>
      <c r="FZ152" s="29"/>
      <c r="GA152" s="29"/>
      <c r="GB152" s="29"/>
      <c r="GC152" s="29"/>
      <c r="GD152" s="29"/>
      <c r="GE152" s="29"/>
      <c r="GF152" s="24"/>
      <c r="GG152" s="24"/>
      <c r="GH152" s="24"/>
      <c r="GI152" s="24"/>
      <c r="GJ152" s="24" t="str">
        <f t="shared" si="163"/>
        <v/>
      </c>
      <c r="GK152" s="26"/>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3"/>
      <c r="HM152" s="24"/>
      <c r="HN152" s="24"/>
      <c r="HO152" s="24"/>
      <c r="HP152" s="24"/>
      <c r="HQ152" s="24"/>
      <c r="HR152" s="24"/>
      <c r="HS152" s="24"/>
      <c r="HT152" s="24"/>
      <c r="HU152" s="24"/>
      <c r="HV152" s="24"/>
      <c r="HW152" s="24"/>
      <c r="HX152" s="24"/>
      <c r="HY152" s="24"/>
      <c r="HZ152" s="24"/>
      <c r="IA152" s="24"/>
      <c r="IB152" s="24"/>
      <c r="IC152" s="23"/>
      <c r="ID152" s="24"/>
      <c r="IE152" s="24"/>
      <c r="IF152" s="24"/>
      <c r="IG152" s="24" t="str">
        <f t="shared" si="156"/>
        <v/>
      </c>
    </row>
    <row r="153" spans="1:241">
      <c r="A153" s="40" t="str">
        <f>HYPERLINK("http://exon.niaid.nih.gov/transcriptome/S_calcitrans/S1/links/pep/XP_013104031.1-pep.txt","XP_013104031.1")</f>
        <v>XP_013104031.1</v>
      </c>
      <c r="B153" s="30" t="s">
        <v>232</v>
      </c>
      <c r="C153">
        <v>236</v>
      </c>
      <c r="D153" t="s">
        <v>1672</v>
      </c>
      <c r="E153">
        <v>0</v>
      </c>
      <c r="F153" t="s">
        <v>1673</v>
      </c>
      <c r="G153" t="str">
        <f>HYPERLINK("http://exon.niaid.nih.gov/transcriptome/S_calcitrans/S1/links/cds/XM_013248577_1-cds.txt","XM_013248577_1")</f>
        <v>XM_013248577_1</v>
      </c>
      <c r="H153">
        <v>711</v>
      </c>
      <c r="I153" t="s">
        <v>1674</v>
      </c>
      <c r="J153" s="30" t="s">
        <v>236</v>
      </c>
      <c r="K153" s="30" t="s">
        <v>91</v>
      </c>
      <c r="L153" s="31" t="s">
        <v>1675</v>
      </c>
      <c r="M153" s="30">
        <v>678786</v>
      </c>
      <c r="N153" s="30">
        <v>686222</v>
      </c>
      <c r="O153" s="30" t="s">
        <v>276</v>
      </c>
      <c r="P153" s="30">
        <v>2</v>
      </c>
      <c r="Q153" s="31" t="s">
        <v>1676</v>
      </c>
      <c r="R153" s="32" t="str">
        <f>HYPERLINK("http://exon.niaid.nih.gov/transcriptome/S_calcitrans/S1/links/Sigp/XP_013104031.1-SigP.txt","SIG")</f>
        <v>SIG</v>
      </c>
      <c r="S153" t="s">
        <v>380</v>
      </c>
      <c r="T153">
        <v>25.789000000000001</v>
      </c>
      <c r="U153">
        <v>8.1300000000000008</v>
      </c>
      <c r="V153">
        <v>22.401</v>
      </c>
      <c r="W153">
        <v>8.2899999999999991</v>
      </c>
      <c r="X153" t="s">
        <v>1677</v>
      </c>
      <c r="Y153" s="32" t="str">
        <f>HYPERLINK("http://exon.niaid.nih.gov/transcriptome/S_calcitrans/S1/links/tmhmm/XP_013104031.1-tmhmm.txt","6")</f>
        <v>6</v>
      </c>
      <c r="Z153">
        <v>52.5</v>
      </c>
      <c r="AA153">
        <v>25.4</v>
      </c>
      <c r="AB153">
        <v>22</v>
      </c>
      <c r="AC153" t="s">
        <v>242</v>
      </c>
      <c r="AD153" t="s">
        <v>242</v>
      </c>
      <c r="AE153" s="32" t="str">
        <f>HYPERLINK("http://exon.niaid.nih.gov/transcriptome/S_calcitrans/S1/links/netoglyc/XP_013104031.1-netoglyc.txt","0")</f>
        <v>0</v>
      </c>
      <c r="AF153">
        <v>17.399999999999999</v>
      </c>
      <c r="AG153">
        <v>7.6</v>
      </c>
      <c r="AH153">
        <v>2.5</v>
      </c>
      <c r="AI153" t="s">
        <v>243</v>
      </c>
      <c r="AJ153" t="s">
        <v>242</v>
      </c>
      <c r="AK153">
        <v>318.56002458684969</v>
      </c>
      <c r="AL153" s="33">
        <v>8100</v>
      </c>
      <c r="AM153">
        <v>1</v>
      </c>
      <c r="AN153" s="30">
        <f t="shared" si="149"/>
        <v>1</v>
      </c>
      <c r="AO153" s="30" t="s">
        <v>244</v>
      </c>
      <c r="AP153">
        <v>909</v>
      </c>
      <c r="AQ153" s="34">
        <v>3.530701077213403E-3</v>
      </c>
      <c r="AR153" s="35">
        <v>147.75209053561542</v>
      </c>
      <c r="AS153" t="s">
        <v>1678</v>
      </c>
      <c r="AT153" s="36" t="s">
        <v>1679</v>
      </c>
      <c r="AU153" t="s">
        <v>1680</v>
      </c>
      <c r="AV153" t="str">
        <f>HYPERLINK("http://exon.niaid.nih.gov/transcriptome/S_calcitrans/S1/links/NR-LIGHT/XP_013104031.1-NR-LIGHT.txt","NR-LIGHT")</f>
        <v>NR-LIGHT</v>
      </c>
      <c r="AW153">
        <v>0</v>
      </c>
      <c r="AX153">
        <v>95.1</v>
      </c>
      <c r="AY153" s="33"/>
      <c r="BG153" s="31"/>
      <c r="BJ153" s="33"/>
      <c r="BK153" s="33"/>
      <c r="BL153" s="33" t="str">
        <f>HYPERLINK("http://exon.niaid.nih.gov/transcriptome/S_calcitrans/S1/links/NR-LIGHT/XP_013104031.1-NR-LIGHT.txt","aquaporin-4-like")</f>
        <v>aquaporin-4-like</v>
      </c>
      <c r="BM153" t="str">
        <f>HYPERLINK("http://www.ncbi.nlm.nih.gov/sutils/blink.cgi?pid=755873569","1E-101")</f>
        <v>1E-101</v>
      </c>
      <c r="BN153" t="str">
        <f>HYPERLINK("http://www.ncbi.nlm.nih.gov/protein/755873569","gi|755873569")</f>
        <v>gi|755873569</v>
      </c>
      <c r="BO153">
        <v>76</v>
      </c>
      <c r="BP153">
        <v>85</v>
      </c>
      <c r="BQ153">
        <v>95</v>
      </c>
      <c r="BR153" t="s">
        <v>251</v>
      </c>
      <c r="BS153" s="33" t="str">
        <f>HYPERLINK("http://exon.niaid.nih.gov/transcriptome/S_calcitrans/S1/links/SWISSP/XP_013104031.1-SWISSP.txt","Aquaporin-4")</f>
        <v>Aquaporin-4</v>
      </c>
      <c r="BT153" t="str">
        <f>HYPERLINK("http://www.uniprot.org/uniprot/P55088","2E-029")</f>
        <v>2E-029</v>
      </c>
      <c r="BU153" t="str">
        <f>HYPERLINK("http://www.uniprot.org/uniprot/P55088#expression","P55088")</f>
        <v>P55088</v>
      </c>
      <c r="BV153">
        <v>34</v>
      </c>
      <c r="BW153">
        <v>51</v>
      </c>
      <c r="BX153">
        <v>66</v>
      </c>
      <c r="BY153" t="s">
        <v>620</v>
      </c>
      <c r="BZ153" s="33" t="str">
        <f>HYPERLINK("http://exon.niaid.nih.gov/transcriptome/S_calcitrans/S1/links/REFSEQ-INVERTEBRATE/XP_013104031.1-REFSEQ-INVERTEBRATE.txt","aquaporin-4-like")</f>
        <v>aquaporin-4-like</v>
      </c>
      <c r="CA153" t="str">
        <f>HYPERLINK("http://www.ncbi.nlm.nih.gov/sutils/blink.cgi?pid=907668602","1E-132")</f>
        <v>1E-132</v>
      </c>
      <c r="CB153" t="str">
        <f>HYPERLINK("http://www.ncbi.nlm.nih.gov/protein/907668602","gi|907668602")</f>
        <v>gi|907668602</v>
      </c>
      <c r="CC153">
        <v>100</v>
      </c>
      <c r="CD153">
        <v>100</v>
      </c>
      <c r="CE153">
        <v>100</v>
      </c>
      <c r="CF153" t="s">
        <v>253</v>
      </c>
      <c r="CG153" s="33" t="str">
        <f>HYPERLINK("http://exon.niaid.nih.gov/transcriptome/S_calcitrans/S1/links/DIPTERA/XP_013104031.1-DIPTERA.txt","aquaporin-4-like")</f>
        <v>aquaporin-4-like</v>
      </c>
      <c r="CH153" t="str">
        <f>HYPERLINK("http://www.ncbi.nlm.nih.gov/sutils/blink.cgi?pid=907668602","1E-132")</f>
        <v>1E-132</v>
      </c>
      <c r="CI153" t="str">
        <f>HYPERLINK("http://www.ncbi.nlm.nih.gov/protein/907668602","gi|907668602")</f>
        <v>gi|907668602</v>
      </c>
      <c r="CJ153">
        <v>100</v>
      </c>
      <c r="CK153">
        <v>100</v>
      </c>
      <c r="CL153">
        <v>100</v>
      </c>
      <c r="CM153" t="s">
        <v>253</v>
      </c>
      <c r="CN153" s="33" t="s">
        <v>242</v>
      </c>
      <c r="CO153" t="s">
        <v>242</v>
      </c>
      <c r="CP153" t="s">
        <v>242</v>
      </c>
      <c r="CQ153" t="s">
        <v>242</v>
      </c>
      <c r="CR153" t="s">
        <v>242</v>
      </c>
      <c r="CS153" t="s">
        <v>242</v>
      </c>
      <c r="CT153" t="s">
        <v>242</v>
      </c>
      <c r="CU153" s="33" t="s">
        <v>1681</v>
      </c>
      <c r="CV153">
        <f>HYPERLINK("http://exon.niaid.nih.gov/transcriptome/S_calcitrans/S1/links/GO/XP_013104031.1-GO.txt",4E-58)</f>
        <v>4.0000000000000001E-58</v>
      </c>
      <c r="CW153" t="str">
        <f>HYPERLINK("http://amigo.geneontology.org/cgi-bin/amigo/term_details?term=GO:0015250","GO:0015250")</f>
        <v>GO:0015250</v>
      </c>
      <c r="CX153" t="s">
        <v>1682</v>
      </c>
      <c r="CY153" t="s">
        <v>1683</v>
      </c>
      <c r="CZ153" t="s">
        <v>1684</v>
      </c>
      <c r="DA153" t="s">
        <v>242</v>
      </c>
      <c r="DD153" s="37">
        <v>4.0000000000000001E-58</v>
      </c>
      <c r="DE153" s="33" t="str">
        <f>HYPERLINK("http://exon.niaid.nih.gov/transcriptome/S_calcitrans/S1/links/CDD/XP_013104031.1-CDD.txt","MIP")</f>
        <v>MIP</v>
      </c>
      <c r="DF153" t="str">
        <f>HYPERLINK("http://www.ncbi.nlm.nih.gov/Structure/cdd/cddsrv.cgi?uid=pfam00230&amp;version=v4.0","8E-037")</f>
        <v>8E-037</v>
      </c>
      <c r="DG153" t="s">
        <v>1685</v>
      </c>
      <c r="DH153" s="33" t="str">
        <f>HYPERLINK("http://exon.niaid.nih.gov/transcriptome/S_calcitrans/S1/links/KOG/XP_013104031.1-KOG.txt","Aquaporin (major intrinsic protein family)")</f>
        <v>Aquaporin (major intrinsic protein family)</v>
      </c>
      <c r="DI153" t="str">
        <f>HYPERLINK("http://www.ncbi.nlm.nih.gov/Structure/cdd/cddsrv.cgi?uid=KOG0223","7E-050")</f>
        <v>7E-050</v>
      </c>
      <c r="DJ153" t="s">
        <v>444</v>
      </c>
      <c r="DK153" t="str">
        <f>HYPERLINK("http://exon.niaid.nih.gov/transcriptome/S_calcitrans/S1/links/KOG/XP_013104031.1-KOG.txt","KOG0223")</f>
        <v>KOG0223</v>
      </c>
      <c r="DL153" s="33" t="str">
        <f>HYPERLINK("http://exon.niaid.nih.gov/transcriptome/S_calcitrans/S1/links/PFAM/XP_013104031.1-PFAM.txt","MIP")</f>
        <v>MIP</v>
      </c>
      <c r="DM153" t="str">
        <f>HYPERLINK("http://pfam.sanger.ac.uk/family?acc=PF00230","2E-037")</f>
        <v>2E-037</v>
      </c>
      <c r="DN153" s="33" t="str">
        <f>HYPERLINK("http://exon.niaid.nih.gov/transcriptome/S_calcitrans/S1/links/SMART/XP_013104031.1-SMART.txt","SAA")</f>
        <v>SAA</v>
      </c>
      <c r="DO153" t="str">
        <f>HYPERLINK("http://smart.embl-heidelberg.de/smart/do_annotation.pl?DOMAIN=SAA&amp;BLAST=DUMMY","2.6")</f>
        <v>2.6</v>
      </c>
      <c r="DP153" s="33"/>
      <c r="EB153" s="33">
        <f>HYPERLINK("http://exon.niaid.nih.gov/transcriptome/S_calcitrans/S1/links/cluster-b/Scalc-pep25-50SimCLU141.txt", 141)</f>
        <v>141</v>
      </c>
      <c r="EC153">
        <f>HYPERLINK("http://exon.niaid.nih.gov/transcriptome/S_calcitrans/S1/links/cluster-b/Scalc-pep25-50SimCLTL141.txt", 13)</f>
        <v>13</v>
      </c>
      <c r="ED153" s="33">
        <f>HYPERLINK("http://exon.niaid.nih.gov/transcriptome/S_calcitrans/S1/links/cluster-b/Scalc-pep30-50SimCLU192.txt", 192)</f>
        <v>192</v>
      </c>
      <c r="EE153">
        <f>HYPERLINK("http://exon.niaid.nih.gov/transcriptome/S_calcitrans/S1/links/cluster-b/Scalc-pep30-50SimCLTL192.txt", 12)</f>
        <v>12</v>
      </c>
      <c r="EF153" s="33">
        <f>HYPERLINK("http://exon.niaid.nih.gov/transcriptome/S_calcitrans/S1/links/cluster-b/Scalc-pep35-50SimCLU183.txt", 183)</f>
        <v>183</v>
      </c>
      <c r="EG153">
        <f>HYPERLINK("http://exon.niaid.nih.gov/transcriptome/S_calcitrans/S1/links/cluster-b/Scalc-pep35-50SimCLTL183.txt", 12)</f>
        <v>12</v>
      </c>
      <c r="EH153" s="33">
        <f>HYPERLINK("http://exon.niaid.nih.gov/transcriptome/S_calcitrans/S1/links/cluster-b/Scalc-pep40-50SimCLU164.txt", 164)</f>
        <v>164</v>
      </c>
      <c r="EI153">
        <f>HYPERLINK("http://exon.niaid.nih.gov/transcriptome/S_calcitrans/S1/links/cluster-b/Scalc-pep40-50SimCLTL164.txt", 12)</f>
        <v>12</v>
      </c>
      <c r="EJ153" s="33">
        <f>HYPERLINK("http://exon.niaid.nih.gov/transcriptome/S_calcitrans/S1/links/cluster-b/Scalc-pep45-50SimCLU148.txt", 148)</f>
        <v>148</v>
      </c>
      <c r="EK153">
        <f>HYPERLINK("http://exon.niaid.nih.gov/transcriptome/S_calcitrans/S1/links/cluster-b/Scalc-pep45-50SimCLTL148.txt", 12)</f>
        <v>12</v>
      </c>
      <c r="EL153" s="33">
        <f>HYPERLINK("http://exon.niaid.nih.gov/transcriptome/S_calcitrans/S1/links/cluster-b/Scalc-pep50-50SimCLU134.txt", 134)</f>
        <v>134</v>
      </c>
      <c r="EM153">
        <f>HYPERLINK("http://exon.niaid.nih.gov/transcriptome/S_calcitrans/S1/links/cluster-b/Scalc-pep50-50SimCLTL134.txt", 12)</f>
        <v>12</v>
      </c>
      <c r="EN153" s="33">
        <f>HYPERLINK("http://exon.niaid.nih.gov/transcriptome/S_calcitrans/S1/links/cluster-b/Scalc-pep55-50SimCLU500.txt", 500)</f>
        <v>500</v>
      </c>
      <c r="EO153">
        <f>HYPERLINK("http://exon.niaid.nih.gov/transcriptome/S_calcitrans/S1/links/cluster-b/Scalc-pep55-50SimCLTL500.txt", 6)</f>
        <v>6</v>
      </c>
      <c r="EP153" s="33">
        <v>6923</v>
      </c>
      <c r="EQ153">
        <v>1</v>
      </c>
      <c r="ER153" s="33">
        <v>7129</v>
      </c>
      <c r="ES153">
        <v>1</v>
      </c>
      <c r="ET153" s="33">
        <v>7294</v>
      </c>
      <c r="EU153">
        <v>1</v>
      </c>
      <c r="EV153" s="33">
        <v>7448</v>
      </c>
      <c r="EW153">
        <v>1</v>
      </c>
      <c r="EX153" s="33">
        <v>7587</v>
      </c>
      <c r="EY153">
        <v>1</v>
      </c>
      <c r="EZ153" s="33">
        <v>7728</v>
      </c>
      <c r="FA153">
        <v>1</v>
      </c>
      <c r="FB153" s="33">
        <v>7881</v>
      </c>
      <c r="FC153">
        <v>1</v>
      </c>
      <c r="FD153" s="33">
        <v>8100</v>
      </c>
      <c r="FE153">
        <v>1</v>
      </c>
      <c r="FF153" t="s">
        <v>1686</v>
      </c>
      <c r="FG153">
        <v>9796</v>
      </c>
      <c r="FH153" s="38" t="str">
        <f>HYPERLINK("http://exon.niaid.nih.gov/transcriptome/S_calcitrans/S1/links/SG_male-stripped_temp-95-h10-1gap/9796-SG_male-stripped_temp-95-h10-1gap.txt","369")</f>
        <v>369</v>
      </c>
      <c r="FI153" s="39">
        <v>100</v>
      </c>
      <c r="FJ153" s="39">
        <v>37.073136427566801</v>
      </c>
      <c r="FK153" s="39">
        <v>18</v>
      </c>
      <c r="FL153" s="39">
        <v>66</v>
      </c>
      <c r="FM153" s="39">
        <v>71.433604336043402</v>
      </c>
      <c r="FN153" s="38" t="str">
        <f>HYPERLINK("http://exon.niaid.nih.gov/transcriptome/S_calcitrans/S1/links/SG_female-stripped_temp-95-h10-1gap/9796-SG_female-stripped_temp-95-h10-1gap.txt","540")</f>
        <v>540</v>
      </c>
      <c r="FO153" s="39">
        <v>100</v>
      </c>
      <c r="FP153" s="39">
        <v>53.687763713080201</v>
      </c>
      <c r="FQ153" s="39">
        <v>22</v>
      </c>
      <c r="FR153" s="39">
        <v>88</v>
      </c>
      <c r="FS153" s="39">
        <v>70.688888888888897</v>
      </c>
      <c r="FT153" s="38" t="str">
        <f>HYPERLINK("http://exon.niaid.nih.gov/transcriptome/S_calcitrans/S1/links/SRR694289-stripped_temp-95-h10-1gap/9796-SRR694289-stripped_temp-95-h10-1gap.txt","8")</f>
        <v>8</v>
      </c>
      <c r="FU153" s="39">
        <v>74.2616033755274</v>
      </c>
      <c r="FV153" s="39">
        <v>1.0914205344585099</v>
      </c>
      <c r="FW153" s="39">
        <v>0</v>
      </c>
      <c r="FX153" s="39">
        <v>3</v>
      </c>
      <c r="FY153" s="39">
        <v>97</v>
      </c>
      <c r="FZ153" s="38" t="str">
        <f>HYPERLINK("http://exon.niaid.nih.gov/transcriptome/S_calcitrans/S1/links/SRR694925-stripped_temp-95-h10-1gap/9796-SRR694925-stripped_temp-95-h10-1gap.txt","1")</f>
        <v>1</v>
      </c>
      <c r="GA153" s="39">
        <v>13.2208157524613</v>
      </c>
      <c r="GB153" s="39">
        <v>0.13220815752461301</v>
      </c>
      <c r="GC153" s="39">
        <v>0</v>
      </c>
      <c r="GD153" s="39">
        <v>1</v>
      </c>
      <c r="GE153" s="39">
        <v>94</v>
      </c>
      <c r="GF153">
        <f t="shared" ref="GF153" si="164">1*FH153</f>
        <v>369</v>
      </c>
      <c r="GG153">
        <f t="shared" ref="GG153" si="165">1*FN153</f>
        <v>540</v>
      </c>
      <c r="GH153">
        <f t="shared" ref="GH153" si="166">1*FT153</f>
        <v>8</v>
      </c>
      <c r="GI153">
        <f t="shared" ref="GI153" si="167">1*FZ153</f>
        <v>1</v>
      </c>
      <c r="GJ153">
        <f t="shared" si="163"/>
        <v>909</v>
      </c>
      <c r="GK153" s="34">
        <v>3.530701077213403E-3</v>
      </c>
      <c r="GL153">
        <v>16.976914260735057</v>
      </c>
      <c r="GM153">
        <v>11.297891478825335</v>
      </c>
      <c r="GN153">
        <v>6.4677455425449087E-2</v>
      </c>
      <c r="GO153">
        <v>8.3343971699591356E-3</v>
      </c>
      <c r="GP153">
        <f t="shared" ref="GP153" si="168">MAX(GL153:GO153)</f>
        <v>16.976914260735057</v>
      </c>
      <c r="GQ153" t="s">
        <v>1680</v>
      </c>
      <c r="GR153">
        <v>13.240150371359944</v>
      </c>
      <c r="GS153">
        <v>9.2729273873854012</v>
      </c>
      <c r="GT153">
        <v>0.11659132209098841</v>
      </c>
      <c r="GU153">
        <v>1.5779298704516366E-2</v>
      </c>
      <c r="GV153">
        <f t="shared" ref="GV153" si="169">MAX(GR153:GU153)</f>
        <v>13.240150371359944</v>
      </c>
      <c r="GW153">
        <v>147.75209053561542</v>
      </c>
      <c r="GX153">
        <v>909</v>
      </c>
      <c r="GY153">
        <v>9</v>
      </c>
      <c r="GZ153">
        <v>918</v>
      </c>
      <c r="HA153">
        <v>203.79571872540737</v>
      </c>
      <c r="HB153">
        <v>714.20428127459263</v>
      </c>
      <c r="HC153">
        <v>2440.2528249285265</v>
      </c>
      <c r="HD153">
        <v>696.31769420437161</v>
      </c>
      <c r="HE153">
        <v>3136.570519132898</v>
      </c>
      <c r="HF153">
        <v>0</v>
      </c>
      <c r="HG153">
        <v>203.79571872540737</v>
      </c>
      <c r="HH153">
        <v>1</v>
      </c>
      <c r="HI153">
        <v>1</v>
      </c>
      <c r="HJ153">
        <v>2</v>
      </c>
      <c r="HK153">
        <v>0</v>
      </c>
      <c r="HL153" s="30" t="s">
        <v>262</v>
      </c>
      <c r="HM153">
        <v>318.56002458684969</v>
      </c>
      <c r="HN153">
        <v>2.8221086125823354E-3</v>
      </c>
      <c r="HO153">
        <v>369</v>
      </c>
      <c r="HP153">
        <v>540</v>
      </c>
      <c r="HQ153">
        <v>909</v>
      </c>
      <c r="HR153">
        <v>284.14971378672067</v>
      </c>
      <c r="HS153">
        <v>624.85028621327933</v>
      </c>
      <c r="HT153">
        <v>25.3372455475332</v>
      </c>
      <c r="HU153">
        <v>11.522073734024026</v>
      </c>
      <c r="HV153">
        <v>36.859319281557227</v>
      </c>
      <c r="HW153">
        <v>1.269677321963741E-9</v>
      </c>
      <c r="HX153">
        <v>284.14971378672067</v>
      </c>
      <c r="HY153">
        <v>1</v>
      </c>
      <c r="HZ153">
        <v>1</v>
      </c>
      <c r="IA153">
        <v>2</v>
      </c>
      <c r="IB153" s="37">
        <v>2.2987351612903199E-8</v>
      </c>
      <c r="IC153" s="30" t="s">
        <v>262</v>
      </c>
      <c r="ID153">
        <v>1.4998846178189469</v>
      </c>
      <c r="IE153">
        <v>0.66368696124302762</v>
      </c>
      <c r="IF153">
        <v>1.4998846178189469</v>
      </c>
      <c r="IG153" t="str">
        <f t="shared" si="156"/>
        <v/>
      </c>
    </row>
    <row r="154" spans="1:241">
      <c r="A154" s="22" t="s">
        <v>1687</v>
      </c>
      <c r="B154" s="23"/>
      <c r="C154" s="24"/>
      <c r="D154" s="24"/>
      <c r="E154" s="24"/>
      <c r="F154" s="24"/>
      <c r="G154" s="24"/>
      <c r="H154" s="24"/>
      <c r="I154" s="24"/>
      <c r="J154" s="23"/>
      <c r="K154" s="23"/>
      <c r="L154" s="25"/>
      <c r="M154" s="23"/>
      <c r="N154" s="23"/>
      <c r="O154" s="23"/>
      <c r="P154" s="23"/>
      <c r="Q154" s="25"/>
      <c r="R154" s="23"/>
      <c r="S154" s="24"/>
      <c r="T154" s="24"/>
      <c r="U154" s="24"/>
      <c r="V154" s="24"/>
      <c r="W154" s="24"/>
      <c r="X154" s="24"/>
      <c r="Y154" s="23"/>
      <c r="Z154" s="24"/>
      <c r="AA154" s="24"/>
      <c r="AB154" s="24"/>
      <c r="AC154" s="24"/>
      <c r="AD154" s="24"/>
      <c r="AE154" s="23"/>
      <c r="AF154" s="24"/>
      <c r="AG154" s="24"/>
      <c r="AH154" s="24"/>
      <c r="AI154" s="24"/>
      <c r="AJ154" s="24"/>
      <c r="AK154" s="24"/>
      <c r="AL154" s="24"/>
      <c r="AM154" s="24"/>
      <c r="AN154" s="23" t="str">
        <f t="shared" si="149"/>
        <v/>
      </c>
      <c r="AO154" s="23" t="s">
        <v>244</v>
      </c>
      <c r="AP154" s="24" t="s">
        <v>244</v>
      </c>
      <c r="AQ154" s="26"/>
      <c r="AR154" s="27"/>
      <c r="AS154" s="24"/>
      <c r="AT154" s="24"/>
      <c r="AU154" s="24"/>
      <c r="AV154" s="24"/>
      <c r="AW154" s="24"/>
      <c r="AX154" s="24"/>
      <c r="AY154" s="24"/>
      <c r="AZ154" s="24"/>
      <c r="BA154" s="24"/>
      <c r="BB154" s="24"/>
      <c r="BC154" s="24"/>
      <c r="BD154" s="24"/>
      <c r="BE154" s="24"/>
      <c r="BF154" s="24"/>
      <c r="BG154" s="25"/>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8"/>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9"/>
      <c r="FI154" s="29"/>
      <c r="FJ154" s="29"/>
      <c r="FK154" s="29"/>
      <c r="FL154" s="29"/>
      <c r="FM154" s="29"/>
      <c r="FN154" s="29"/>
      <c r="FO154" s="29"/>
      <c r="FP154" s="29"/>
      <c r="FQ154" s="29"/>
      <c r="FR154" s="29"/>
      <c r="FS154" s="29"/>
      <c r="FT154" s="29"/>
      <c r="FU154" s="29"/>
      <c r="FV154" s="29"/>
      <c r="FW154" s="29"/>
      <c r="FX154" s="29"/>
      <c r="FY154" s="29"/>
      <c r="FZ154" s="29"/>
      <c r="GA154" s="29"/>
      <c r="GB154" s="29"/>
      <c r="GC154" s="29"/>
      <c r="GD154" s="29"/>
      <c r="GE154" s="29"/>
      <c r="GF154" s="24"/>
      <c r="GG154" s="24"/>
      <c r="GH154" s="24"/>
      <c r="GI154" s="24"/>
      <c r="GJ154" s="24" t="str">
        <f t="shared" si="163"/>
        <v/>
      </c>
      <c r="GK154" s="26"/>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3"/>
      <c r="HM154" s="24"/>
      <c r="HN154" s="24"/>
      <c r="HO154" s="24"/>
      <c r="HP154" s="24"/>
      <c r="HQ154" s="24"/>
      <c r="HR154" s="24"/>
      <c r="HS154" s="24"/>
      <c r="HT154" s="24"/>
      <c r="HU154" s="24"/>
      <c r="HV154" s="24"/>
      <c r="HW154" s="24"/>
      <c r="HX154" s="24"/>
      <c r="HY154" s="24"/>
      <c r="HZ154" s="24"/>
      <c r="IA154" s="24"/>
      <c r="IB154" s="28"/>
      <c r="IC154" s="23"/>
      <c r="ID154" s="24"/>
      <c r="IE154" s="24"/>
      <c r="IF154" s="24"/>
      <c r="IG154" s="24" t="str">
        <f t="shared" si="156"/>
        <v/>
      </c>
    </row>
    <row r="155" spans="1:241">
      <c r="A155" t="str">
        <f>HYPERLINK("http://exon.niaid.nih.gov/transcriptome/S_calcitrans/S1/links/pep/XP_013119507.1-pep.txt","XP_013119507.1")</f>
        <v>XP_013119507.1</v>
      </c>
      <c r="B155" s="30" t="s">
        <v>232</v>
      </c>
      <c r="C155">
        <v>160</v>
      </c>
      <c r="D155" t="s">
        <v>1688</v>
      </c>
      <c r="E155">
        <v>0</v>
      </c>
      <c r="F155" t="s">
        <v>1689</v>
      </c>
      <c r="G155" t="str">
        <f>HYPERLINK("http://exon.niaid.nih.gov/transcriptome/S_calcitrans/S1/links/cds/XM_013264053_1-cds.txt","XM_013264053_1")</f>
        <v>XM_013264053_1</v>
      </c>
      <c r="H155">
        <v>483</v>
      </c>
      <c r="I155" t="s">
        <v>1690</v>
      </c>
      <c r="J155" s="30" t="s">
        <v>236</v>
      </c>
      <c r="K155" s="30" t="s">
        <v>91</v>
      </c>
      <c r="L155" s="31" t="s">
        <v>1691</v>
      </c>
      <c r="M155" s="30">
        <v>71575</v>
      </c>
      <c r="N155" s="30">
        <v>72113</v>
      </c>
      <c r="O155" s="30" t="s">
        <v>276</v>
      </c>
      <c r="P155" s="30">
        <v>2</v>
      </c>
      <c r="Q155" s="31" t="s">
        <v>1692</v>
      </c>
      <c r="R155" s="32" t="str">
        <f>HYPERLINK("http://exon.niaid.nih.gov/transcriptome/S_calcitrans/S1/links/Sigp/XP_013119507.1-SigP.txt","CYT")</f>
        <v>CYT</v>
      </c>
      <c r="S155" t="s">
        <v>242</v>
      </c>
      <c r="T155">
        <v>18.225999999999999</v>
      </c>
      <c r="U155">
        <v>5.87</v>
      </c>
      <c r="V155" t="s">
        <v>242</v>
      </c>
      <c r="W155" t="s">
        <v>242</v>
      </c>
      <c r="X155" t="s">
        <v>720</v>
      </c>
      <c r="Y155" s="32">
        <v>0</v>
      </c>
      <c r="Z155" t="s">
        <v>242</v>
      </c>
      <c r="AA155" t="s">
        <v>242</v>
      </c>
      <c r="AB155" t="s">
        <v>242</v>
      </c>
      <c r="AC155" t="s">
        <v>242</v>
      </c>
      <c r="AD155" t="s">
        <v>242</v>
      </c>
      <c r="AE155" s="32" t="str">
        <f>HYPERLINK("http://exon.niaid.nih.gov/transcriptome/S_calcitrans/S1/links/netoglyc/XP_013119507.1-netoglyc.txt","0")</f>
        <v>0</v>
      </c>
      <c r="AF155">
        <v>13.1</v>
      </c>
      <c r="AG155">
        <v>2.5</v>
      </c>
      <c r="AH155">
        <v>3.1</v>
      </c>
      <c r="AI155" t="s">
        <v>243</v>
      </c>
      <c r="AJ155" t="s">
        <v>242</v>
      </c>
      <c r="AK155">
        <v>132.90182967023517</v>
      </c>
      <c r="AL155" s="33">
        <v>4891</v>
      </c>
      <c r="AM155">
        <v>1</v>
      </c>
      <c r="AN155" s="30">
        <f t="shared" si="149"/>
        <v>1</v>
      </c>
      <c r="AO155" s="30" t="s">
        <v>244</v>
      </c>
      <c r="AP155">
        <v>493</v>
      </c>
      <c r="AQ155" s="34">
        <v>1.9148906832411525E-3</v>
      </c>
      <c r="AR155" s="35">
        <v>64.7042048428154</v>
      </c>
      <c r="AS155" t="s">
        <v>1693</v>
      </c>
      <c r="AT155" s="36" t="s">
        <v>1694</v>
      </c>
      <c r="AU155" t="s">
        <v>1494</v>
      </c>
      <c r="AV155" t="str">
        <f>HYPERLINK("http://exon.niaid.nih.gov/transcriptome/S_calcitrans/S1/links/DIPTERA/XP_013119507.1-DIPTERA.txt","DIPTERA")</f>
        <v>DIPTERA</v>
      </c>
      <c r="AW155" s="37">
        <v>9.9999999999999998E-86</v>
      </c>
      <c r="AX155">
        <v>100</v>
      </c>
      <c r="AY155" s="33"/>
      <c r="BG155" s="31"/>
      <c r="BJ155" s="33"/>
      <c r="BK155" s="33"/>
      <c r="BL155" s="33" t="str">
        <f>HYPERLINK("http://exon.niaid.nih.gov/transcriptome/S_calcitrans/S1/links/NR-LIGHT/XP_013119507.1-NR-LIGHT.txt","uncharacterized protein LOC101901111")</f>
        <v>uncharacterized protein LOC101901111</v>
      </c>
      <c r="BM155" t="str">
        <f>HYPERLINK("http://www.ncbi.nlm.nih.gov/sutils/blink.cgi?pid=557781920","7E-060")</f>
        <v>7E-060</v>
      </c>
      <c r="BN155" t="str">
        <f>HYPERLINK("http://www.ncbi.nlm.nih.gov/protein/557781920","gi|557781920")</f>
        <v>gi|557781920</v>
      </c>
      <c r="BO155">
        <v>71</v>
      </c>
      <c r="BP155">
        <v>85</v>
      </c>
      <c r="BQ155">
        <v>99</v>
      </c>
      <c r="BR155" t="s">
        <v>251</v>
      </c>
      <c r="BS155" s="33" t="str">
        <f>HYPERLINK("http://exon.niaid.nih.gov/transcriptome/S_calcitrans/S1/links/SWISSP/XP_013119507.1-SWISSP.txt","Coiled-coil domain-containing protein 115")</f>
        <v>Coiled-coil domain-containing protein 115</v>
      </c>
      <c r="BT155" t="str">
        <f>HYPERLINK("http://www.uniprot.org/uniprot/Q96NT0","2E-005")</f>
        <v>2E-005</v>
      </c>
      <c r="BU155" t="str">
        <f>HYPERLINK("http://www.uniprot.org/uniprot/Q96NT0#expression","Q96NT0")</f>
        <v>Q96NT0</v>
      </c>
      <c r="BV155">
        <v>24</v>
      </c>
      <c r="BW155">
        <v>41</v>
      </c>
      <c r="BX155">
        <v>88</v>
      </c>
      <c r="BY155" t="s">
        <v>353</v>
      </c>
      <c r="BZ155" s="33" t="str">
        <f>HYPERLINK("http://exon.niaid.nih.gov/transcriptome/S_calcitrans/S1/links/REFSEQ-INVERTEBRATE/XP_013119507.1-REFSEQ-INVERTEBRATE.txt","uncharacterized protein LOC106096350")</f>
        <v>uncharacterized protein LOC106096350</v>
      </c>
      <c r="CA155" t="str">
        <f>HYPERLINK("http://www.ncbi.nlm.nih.gov/sutils/blink.cgi?pid=907619118","2E-085")</f>
        <v>2E-085</v>
      </c>
      <c r="CB155" t="str">
        <f>HYPERLINK("http://www.ncbi.nlm.nih.gov/protein/907619118","gi|907619118")</f>
        <v>gi|907619118</v>
      </c>
      <c r="CC155">
        <v>100</v>
      </c>
      <c r="CD155">
        <v>100</v>
      </c>
      <c r="CE155">
        <v>100</v>
      </c>
      <c r="CF155" t="s">
        <v>253</v>
      </c>
      <c r="CG155" s="33" t="str">
        <f>HYPERLINK("http://exon.niaid.nih.gov/transcriptome/S_calcitrans/S1/links/DIPTERA/XP_013119507.1-DIPTERA.txt","uncharacterized protein LOC106096350")</f>
        <v>uncharacterized protein LOC106096350</v>
      </c>
      <c r="CH155" t="str">
        <f>HYPERLINK("http://www.ncbi.nlm.nih.gov/sutils/blink.cgi?pid=907619118","1E-085")</f>
        <v>1E-085</v>
      </c>
      <c r="CI155" t="str">
        <f>HYPERLINK("http://www.ncbi.nlm.nih.gov/protein/907619118","gi|907619118")</f>
        <v>gi|907619118</v>
      </c>
      <c r="CJ155">
        <v>100</v>
      </c>
      <c r="CK155">
        <v>100</v>
      </c>
      <c r="CL155">
        <v>100</v>
      </c>
      <c r="CM155" t="s">
        <v>253</v>
      </c>
      <c r="CN155" s="33" t="s">
        <v>242</v>
      </c>
      <c r="CO155" t="s">
        <v>242</v>
      </c>
      <c r="CP155" t="s">
        <v>242</v>
      </c>
      <c r="CQ155" t="s">
        <v>242</v>
      </c>
      <c r="CR155" t="s">
        <v>242</v>
      </c>
      <c r="CS155" t="s">
        <v>242</v>
      </c>
      <c r="CT155" t="s">
        <v>242</v>
      </c>
      <c r="CU155" s="33" t="s">
        <v>242</v>
      </c>
      <c r="CV155" t="s">
        <v>242</v>
      </c>
      <c r="CW155" t="s">
        <v>242</v>
      </c>
      <c r="CX155" t="s">
        <v>242</v>
      </c>
      <c r="CY155" t="s">
        <v>242</v>
      </c>
      <c r="CZ155" t="s">
        <v>242</v>
      </c>
      <c r="DA155" t="s">
        <v>242</v>
      </c>
      <c r="DB155" t="s">
        <v>242</v>
      </c>
      <c r="DC155" t="s">
        <v>242</v>
      </c>
      <c r="DD155" t="s">
        <v>242</v>
      </c>
      <c r="DE155" s="33" t="str">
        <f>HYPERLINK("http://exon.niaid.nih.gov/transcriptome/S_calcitrans/S1/links/CDD/XP_013119507.1-CDD.txt","NtpD")</f>
        <v>NtpD</v>
      </c>
      <c r="DF155" t="str">
        <f>HYPERLINK("http://www.ncbi.nlm.nih.gov/Structure/cdd/cddsrv.cgi?uid=COG1394&amp;version=v4.0","0.24")</f>
        <v>0.24</v>
      </c>
      <c r="DG155" t="s">
        <v>1695</v>
      </c>
      <c r="DH155" s="33" t="str">
        <f>HYPERLINK("http://exon.niaid.nih.gov/transcriptome/S_calcitrans/S1/links/KOG/XP_013119507.1-KOG.txt","ATP-dependent DNA ligase I")</f>
        <v>ATP-dependent DNA ligase I</v>
      </c>
      <c r="DI155" t="str">
        <f>HYPERLINK("http://www.ncbi.nlm.nih.gov/Structure/cdd/cddsrv.cgi?uid=KOG0967","1.6")</f>
        <v>1.6</v>
      </c>
      <c r="DJ155" t="s">
        <v>513</v>
      </c>
      <c r="DK155" t="str">
        <f>HYPERLINK("http://exon.niaid.nih.gov/transcriptome/S_calcitrans/S1/links/KOG/XP_013119507.1-KOG.txt","KOG0967")</f>
        <v>KOG0967</v>
      </c>
      <c r="DL155" s="33" t="str">
        <f>HYPERLINK("http://exon.niaid.nih.gov/transcriptome/S_calcitrans/S1/links/PFAM/XP_013119507.1-PFAM.txt","Pescadillo_N")</f>
        <v>Pescadillo_N</v>
      </c>
      <c r="DM155" t="str">
        <f>HYPERLINK("http://pfam.sanger.ac.uk/family?acc=PF06732","0.59")</f>
        <v>0.59</v>
      </c>
      <c r="DN155" s="33" t="str">
        <f>HYPERLINK("http://exon.niaid.nih.gov/transcriptome/S_calcitrans/S1/links/SMART/XP_013119507.1-SMART.txt","CPDc")</f>
        <v>CPDc</v>
      </c>
      <c r="DO155" t="str">
        <f>HYPERLINK("http://smart.embl-heidelberg.de/smart/do_annotation.pl?DOMAIN=CPDc&amp;BLAST=DUMMY","1.0")</f>
        <v>1.0</v>
      </c>
      <c r="DP155" s="33"/>
      <c r="EB155" s="33">
        <v>2999</v>
      </c>
      <c r="EC155">
        <v>1</v>
      </c>
      <c r="ED155" s="33">
        <v>3628</v>
      </c>
      <c r="EE155">
        <v>1</v>
      </c>
      <c r="EF155" s="33">
        <v>3949</v>
      </c>
      <c r="EG155">
        <v>1</v>
      </c>
      <c r="EH155" s="33">
        <v>4174</v>
      </c>
      <c r="EI155">
        <v>1</v>
      </c>
      <c r="EJ155" s="33">
        <v>4412</v>
      </c>
      <c r="EK155">
        <v>1</v>
      </c>
      <c r="EL155" s="33">
        <v>4575</v>
      </c>
      <c r="EM155">
        <v>1</v>
      </c>
      <c r="EN155" s="33">
        <v>4760</v>
      </c>
      <c r="EO155">
        <v>1</v>
      </c>
      <c r="EP155" s="33">
        <v>4894</v>
      </c>
      <c r="EQ155">
        <v>1</v>
      </c>
      <c r="ER155" s="33">
        <v>4998</v>
      </c>
      <c r="ES155">
        <v>1</v>
      </c>
      <c r="ET155" s="33">
        <v>5053</v>
      </c>
      <c r="EU155">
        <v>1</v>
      </c>
      <c r="EV155" s="33">
        <v>5072</v>
      </c>
      <c r="EW155">
        <v>1</v>
      </c>
      <c r="EX155" s="33">
        <v>5080</v>
      </c>
      <c r="EY155">
        <v>1</v>
      </c>
      <c r="EZ155" s="33">
        <v>5033</v>
      </c>
      <c r="FA155">
        <v>1</v>
      </c>
      <c r="FB155" s="33">
        <v>4972</v>
      </c>
      <c r="FC155">
        <v>1</v>
      </c>
      <c r="FD155" s="33">
        <v>4891</v>
      </c>
      <c r="FE155">
        <v>1</v>
      </c>
      <c r="FF155" t="s">
        <v>1696</v>
      </c>
      <c r="FG155">
        <v>3537</v>
      </c>
      <c r="FH155" s="38" t="str">
        <f>HYPERLINK("http://exon.niaid.nih.gov/transcriptome/S_calcitrans/S1/links/SG_male-stripped_temp-95-h10-1gap/3537-SG_male-stripped_temp-95-h10-1gap.txt","216")</f>
        <v>216</v>
      </c>
      <c r="FI155" s="39">
        <v>94.616977225672898</v>
      </c>
      <c r="FJ155" s="39">
        <v>33.086956521739097</v>
      </c>
      <c r="FK155" s="39">
        <v>0</v>
      </c>
      <c r="FL155" s="39">
        <v>72</v>
      </c>
      <c r="FM155" s="39">
        <v>73.9861111111111</v>
      </c>
      <c r="FN155" s="38" t="str">
        <f>HYPERLINK("http://exon.niaid.nih.gov/transcriptome/S_calcitrans/S1/links/SG_female-stripped_temp-95-h10-1gap/3537-SG_female-stripped_temp-95-h10-1gap.txt","277")</f>
        <v>277</v>
      </c>
      <c r="FO155" s="39">
        <v>94.824016563146998</v>
      </c>
      <c r="FP155" s="39">
        <v>42.610766045548701</v>
      </c>
      <c r="FQ155" s="39">
        <v>0</v>
      </c>
      <c r="FR155" s="39">
        <v>91</v>
      </c>
      <c r="FS155" s="39">
        <v>74.299638989169694</v>
      </c>
      <c r="FT155" s="38" t="str">
        <f>HYPERLINK("http://exon.niaid.nih.gov/transcriptome/S_calcitrans/S1/links/SRR694289-stripped_temp-95-h10-1gap/3537-SRR694289-stripped_temp-95-h10-1gap.txt","8")</f>
        <v>8</v>
      </c>
      <c r="FU155" s="39">
        <v>64.596273291925499</v>
      </c>
      <c r="FV155" s="39">
        <v>1.61697722567288</v>
      </c>
      <c r="FW155" s="39">
        <v>0</v>
      </c>
      <c r="FX155" s="39">
        <v>5</v>
      </c>
      <c r="FY155" s="39">
        <v>97.625</v>
      </c>
      <c r="FZ155" s="38" t="str">
        <f>HYPERLINK("http://exon.niaid.nih.gov/transcriptome/S_calcitrans/S1/links/SRR694925-stripped_temp-95-h10-1gap/3537-SRR694925-stripped_temp-95-h10-1gap.txt","4")</f>
        <v>4</v>
      </c>
      <c r="GA155" s="39">
        <v>51.3457556935818</v>
      </c>
      <c r="GB155" s="39">
        <v>0.83022774327122195</v>
      </c>
      <c r="GC155" s="39">
        <v>0</v>
      </c>
      <c r="GD155" s="39">
        <v>3</v>
      </c>
      <c r="GE155" s="39">
        <v>100.25</v>
      </c>
      <c r="GF155">
        <f t="shared" ref="GF155:GF162" si="170">1*FH155</f>
        <v>216</v>
      </c>
      <c r="GG155">
        <f t="shared" ref="GG155:GG162" si="171">1*FN155</f>
        <v>277</v>
      </c>
      <c r="GH155">
        <f t="shared" ref="GH155:GH162" si="172">1*FT155</f>
        <v>8</v>
      </c>
      <c r="GI155">
        <f t="shared" ref="GI155:GI162" si="173">1*FZ155</f>
        <v>4</v>
      </c>
      <c r="GJ155">
        <f t="shared" si="163"/>
        <v>493</v>
      </c>
      <c r="GK155" s="34">
        <v>1.9148906832411525E-3</v>
      </c>
      <c r="GL155">
        <v>14.628796896691563</v>
      </c>
      <c r="GM155">
        <v>8.5311166056292205</v>
      </c>
      <c r="GN155">
        <v>9.5208428172866039E-2</v>
      </c>
      <c r="GO155">
        <v>4.9074587062864973E-2</v>
      </c>
      <c r="GP155">
        <f t="shared" ref="GP155:GP162" si="174">MAX(GL155:GO155)</f>
        <v>14.628796896691563</v>
      </c>
      <c r="GQ155" t="s">
        <v>1494</v>
      </c>
      <c r="GR155">
        <v>11.408873702817052</v>
      </c>
      <c r="GS155">
        <v>7.0020521055263893</v>
      </c>
      <c r="GT155">
        <v>0.17162821947555437</v>
      </c>
      <c r="GU155">
        <v>9.2911647030319983E-2</v>
      </c>
      <c r="GV155">
        <f t="shared" ref="GV155:GV162" si="175">MAX(GR155:GU155)</f>
        <v>11.408873702817052</v>
      </c>
      <c r="GW155">
        <v>64.7042048428154</v>
      </c>
      <c r="GX155">
        <v>493</v>
      </c>
      <c r="GY155">
        <v>12</v>
      </c>
      <c r="GZ155">
        <v>505</v>
      </c>
      <c r="HA155">
        <v>112.10984526833411</v>
      </c>
      <c r="HB155">
        <v>392.89015473166592</v>
      </c>
      <c r="HC155">
        <v>1294.0639568654378</v>
      </c>
      <c r="HD155">
        <v>369.25666938790198</v>
      </c>
      <c r="HE155">
        <v>1663.3206262533399</v>
      </c>
      <c r="HF155">
        <v>0</v>
      </c>
      <c r="HG155">
        <v>112.10984526833411</v>
      </c>
      <c r="HH155">
        <v>1</v>
      </c>
      <c r="HI155">
        <v>1</v>
      </c>
      <c r="HJ155">
        <v>2</v>
      </c>
      <c r="HK155">
        <v>0</v>
      </c>
      <c r="HL155" s="30" t="s">
        <v>262</v>
      </c>
      <c r="HM155">
        <v>132.90182967023517</v>
      </c>
      <c r="HN155">
        <v>6.9314948379215246E-3</v>
      </c>
      <c r="HO155">
        <v>216</v>
      </c>
      <c r="HP155">
        <v>277</v>
      </c>
      <c r="HQ155">
        <v>493</v>
      </c>
      <c r="HR155">
        <v>154.10980076661528</v>
      </c>
      <c r="HS155">
        <v>338.89019923338469</v>
      </c>
      <c r="HT155">
        <v>24.854984836096364</v>
      </c>
      <c r="HU155">
        <v>11.302766411695956</v>
      </c>
      <c r="HV155">
        <v>36.157751247792319</v>
      </c>
      <c r="HW155">
        <v>1.8197322669390511E-9</v>
      </c>
      <c r="HX155">
        <v>154.10980076661528</v>
      </c>
      <c r="HY155">
        <v>1</v>
      </c>
      <c r="HZ155">
        <v>1</v>
      </c>
      <c r="IA155">
        <v>2</v>
      </c>
      <c r="IB155" s="37">
        <v>3.2294813043478303E-8</v>
      </c>
      <c r="IC155" s="30" t="s">
        <v>262</v>
      </c>
      <c r="ID155">
        <v>1.7085893909248295</v>
      </c>
      <c r="IE155">
        <v>0.58048537854410232</v>
      </c>
      <c r="IF155">
        <v>1.7085893909248295</v>
      </c>
      <c r="IG155" t="str">
        <f t="shared" si="156"/>
        <v/>
      </c>
    </row>
    <row r="156" spans="1:241">
      <c r="A156" t="str">
        <f>HYPERLINK("http://exon.niaid.nih.gov/transcriptome/S_calcitrans/S1/links/pep/XP_013102037.1-pep.txt","XP_013102037.1")</f>
        <v>XP_013102037.1</v>
      </c>
      <c r="B156" s="30" t="s">
        <v>232</v>
      </c>
      <c r="C156">
        <v>86</v>
      </c>
      <c r="D156" t="s">
        <v>1697</v>
      </c>
      <c r="E156">
        <v>0</v>
      </c>
      <c r="F156" t="s">
        <v>1698</v>
      </c>
      <c r="G156" t="str">
        <f>HYPERLINK("http://exon.niaid.nih.gov/transcriptome/S_calcitrans/S1/links/cds/XM_013246583_1-cds.txt","XM_013246583_1")</f>
        <v>XM_013246583_1</v>
      </c>
      <c r="H156">
        <v>261</v>
      </c>
      <c r="I156" t="s">
        <v>1699</v>
      </c>
      <c r="J156" s="30" t="s">
        <v>236</v>
      </c>
      <c r="K156" s="30" t="s">
        <v>91</v>
      </c>
      <c r="L156" s="31" t="s">
        <v>1700</v>
      </c>
      <c r="M156" s="30">
        <v>284886</v>
      </c>
      <c r="N156" s="30">
        <v>285541</v>
      </c>
      <c r="O156" s="30" t="s">
        <v>276</v>
      </c>
      <c r="P156" s="30">
        <v>2</v>
      </c>
      <c r="Q156" s="31" t="s">
        <v>1701</v>
      </c>
      <c r="R156" s="32" t="str">
        <f>HYPERLINK("http://exon.niaid.nih.gov/transcriptome/S_calcitrans/S1/links/Sigp/XP_013102037.1-SigP.txt","BL/ANC")</f>
        <v>BL/ANC</v>
      </c>
      <c r="S156" t="s">
        <v>242</v>
      </c>
      <c r="T156">
        <v>10.154</v>
      </c>
      <c r="U156">
        <v>9.39</v>
      </c>
      <c r="V156" t="s">
        <v>242</v>
      </c>
      <c r="W156" t="s">
        <v>242</v>
      </c>
      <c r="X156" t="s">
        <v>1702</v>
      </c>
      <c r="Y156" s="32" t="str">
        <f>HYPERLINK("http://exon.niaid.nih.gov/transcriptome/S_calcitrans/S1/links/tmhmm/XP_013102037.1-tmhmm.txt","1")</f>
        <v>1</v>
      </c>
      <c r="Z156">
        <v>25.6</v>
      </c>
      <c r="AA156">
        <v>59.3</v>
      </c>
      <c r="AB156">
        <v>15.1</v>
      </c>
      <c r="AC156" t="s">
        <v>242</v>
      </c>
      <c r="AD156">
        <v>51</v>
      </c>
      <c r="AE156" s="32" t="str">
        <f>HYPERLINK("http://exon.niaid.nih.gov/transcriptome/S_calcitrans/S1/links/netoglyc/XP_013102037.1-netoglyc.txt","0")</f>
        <v>0</v>
      </c>
      <c r="AF156">
        <v>10.5</v>
      </c>
      <c r="AG156">
        <v>3.5</v>
      </c>
      <c r="AH156">
        <v>4.7</v>
      </c>
      <c r="AI156" t="s">
        <v>243</v>
      </c>
      <c r="AJ156" t="s">
        <v>242</v>
      </c>
      <c r="AK156">
        <v>509.90630998225117</v>
      </c>
      <c r="AL156" s="33">
        <v>7170</v>
      </c>
      <c r="AM156">
        <v>1</v>
      </c>
      <c r="AN156" s="30">
        <f t="shared" si="149"/>
        <v>1</v>
      </c>
      <c r="AO156" s="30" t="s">
        <v>244</v>
      </c>
      <c r="AP156">
        <v>291</v>
      </c>
      <c r="AQ156" s="34">
        <v>1.1302904438603963E-3</v>
      </c>
      <c r="AR156" s="35">
        <v>330.45584323242855</v>
      </c>
      <c r="AS156" t="s">
        <v>1703</v>
      </c>
      <c r="AT156" s="36" t="s">
        <v>1704</v>
      </c>
      <c r="AU156" t="s">
        <v>1494</v>
      </c>
      <c r="AV156" t="str">
        <f>HYPERLINK("http://exon.niaid.nih.gov/transcriptome/S_calcitrans/S1/links/DIPTERA/XP_013102037.1-DIPTERA.txt","DIPTERA")</f>
        <v>DIPTERA</v>
      </c>
      <c r="AW156" s="37">
        <v>2E-41</v>
      </c>
      <c r="AX156">
        <v>100</v>
      </c>
      <c r="AY156" s="33"/>
      <c r="BG156" s="31"/>
      <c r="BJ156" s="33"/>
      <c r="BK156" s="33"/>
      <c r="BL156" s="33" t="str">
        <f>HYPERLINK("http://exon.niaid.nih.gov/transcriptome/S_calcitrans/S1/links/NR-LIGHT/XP_013102037.1-NR-LIGHT.txt","small integral membrane protein 12-A")</f>
        <v>small integral membrane protein 12-A</v>
      </c>
      <c r="BM156" t="str">
        <f>HYPERLINK("http://www.ncbi.nlm.nih.gov/sutils/blink.cgi?pid=557750053","5E-036")</f>
        <v>5E-036</v>
      </c>
      <c r="BN156" t="str">
        <f>HYPERLINK("http://www.ncbi.nlm.nih.gov/protein/557750053","gi|557750053")</f>
        <v>gi|557750053</v>
      </c>
      <c r="BO156">
        <v>88</v>
      </c>
      <c r="BP156">
        <v>94</v>
      </c>
      <c r="BQ156">
        <v>100</v>
      </c>
      <c r="BR156" t="s">
        <v>251</v>
      </c>
      <c r="BS156" s="33" t="str">
        <f>HYPERLINK("http://exon.niaid.nih.gov/transcriptome/S_calcitrans/S1/links/SWISSP/XP_013102037.1-SWISSP.txt","Small integral membrane protein 12-A")</f>
        <v>Small integral membrane protein 12-A</v>
      </c>
      <c r="BT156" t="str">
        <f>HYPERLINK("http://www.uniprot.org/uniprot/A1L2P2","7E-007")</f>
        <v>7E-007</v>
      </c>
      <c r="BU156" t="str">
        <f>HYPERLINK("http://www.uniprot.org/uniprot/A1L2P2#expression","A1L2P2")</f>
        <v>A1L2P2</v>
      </c>
      <c r="BV156">
        <v>37</v>
      </c>
      <c r="BW156">
        <v>56</v>
      </c>
      <c r="BX156">
        <v>82</v>
      </c>
      <c r="BY156" t="s">
        <v>607</v>
      </c>
      <c r="BZ156" s="33" t="str">
        <f>HYPERLINK("http://exon.niaid.nih.gov/transcriptome/S_calcitrans/S1/links/REFSEQ-INVERTEBRATE/XP_013102037.1-REFSEQ-INVERTEBRATE.txt","small integral membrane protein 12-A")</f>
        <v>small integral membrane protein 12-A</v>
      </c>
      <c r="CA156" t="str">
        <f>HYPERLINK("http://www.ncbi.nlm.nih.gov/sutils/blink.cgi?pid=907650899","3E-041")</f>
        <v>3E-041</v>
      </c>
      <c r="CB156" t="str">
        <f>HYPERLINK("http://www.ncbi.nlm.nih.gov/protein/907650899","gi|907650899")</f>
        <v>gi|907650899</v>
      </c>
      <c r="CC156">
        <v>100</v>
      </c>
      <c r="CD156">
        <v>100</v>
      </c>
      <c r="CE156">
        <v>100</v>
      </c>
      <c r="CF156" t="s">
        <v>253</v>
      </c>
      <c r="CG156" s="33" t="str">
        <f>HYPERLINK("http://exon.niaid.nih.gov/transcriptome/S_calcitrans/S1/links/DIPTERA/XP_013102037.1-DIPTERA.txt","small integral membrane protein 12-A")</f>
        <v>small integral membrane protein 12-A</v>
      </c>
      <c r="CH156" t="str">
        <f>HYPERLINK("http://www.ncbi.nlm.nih.gov/sutils/blink.cgi?pid=907650899","2E-041")</f>
        <v>2E-041</v>
      </c>
      <c r="CI156" t="str">
        <f>HYPERLINK("http://www.ncbi.nlm.nih.gov/protein/907650899","gi|907650899")</f>
        <v>gi|907650899</v>
      </c>
      <c r="CJ156">
        <v>100</v>
      </c>
      <c r="CK156">
        <v>100</v>
      </c>
      <c r="CL156">
        <v>100</v>
      </c>
      <c r="CM156" t="s">
        <v>253</v>
      </c>
      <c r="CN156" s="33" t="s">
        <v>242</v>
      </c>
      <c r="CO156" t="s">
        <v>242</v>
      </c>
      <c r="CP156" t="s">
        <v>242</v>
      </c>
      <c r="CQ156" t="s">
        <v>242</v>
      </c>
      <c r="CR156" t="s">
        <v>242</v>
      </c>
      <c r="CS156" t="s">
        <v>242</v>
      </c>
      <c r="CT156" t="s">
        <v>242</v>
      </c>
      <c r="CU156" s="33" t="s">
        <v>1705</v>
      </c>
      <c r="CV156">
        <f>HYPERLINK("http://exon.niaid.nih.gov/transcriptome/S_calcitrans/S1/links/GO/XP_013102037.1-GO.txt",0.000001)</f>
        <v>9.9999999999999995E-7</v>
      </c>
      <c r="CW156" t="str">
        <f>HYPERLINK("http://amigo.geneontology.org/cgi-bin/amigo/term_details?term=GO:0003674","GO:0003674")</f>
        <v>GO:0003674</v>
      </c>
      <c r="CX156" t="s">
        <v>255</v>
      </c>
      <c r="CY156" t="s">
        <v>256</v>
      </c>
      <c r="CZ156" t="s">
        <v>257</v>
      </c>
      <c r="DA156" t="s">
        <v>242</v>
      </c>
      <c r="DC156" t="s">
        <v>258</v>
      </c>
      <c r="DD156">
        <v>1.9999999999999999E-6</v>
      </c>
      <c r="DE156" s="33" t="str">
        <f>HYPERLINK("http://exon.niaid.nih.gov/transcriptome/S_calcitrans/S1/links/CDD/XP_013102037.1-CDD.txt","malonate_transp")</f>
        <v>malonate_transp</v>
      </c>
      <c r="DF156" t="str">
        <f>HYPERLINK("http://www.ncbi.nlm.nih.gov/Structure/cdd/cddsrv.cgi?uid=TIGR00808&amp;version=v4.0","0.084")</f>
        <v>0.084</v>
      </c>
      <c r="DG156" t="s">
        <v>1706</v>
      </c>
      <c r="DH156" s="33" t="str">
        <f>HYPERLINK("http://exon.niaid.nih.gov/transcriptome/S_calcitrans/S1/links/KOG/XP_013102037.1-KOG.txt","Uncharacterized conserved protein")</f>
        <v>Uncharacterized conserved protein</v>
      </c>
      <c r="DI156" t="str">
        <f>HYPERLINK("http://www.ncbi.nlm.nih.gov/Structure/cdd/cddsrv.cgi?uid=KOG4365","0.53")</f>
        <v>0.53</v>
      </c>
      <c r="DJ156" t="s">
        <v>260</v>
      </c>
      <c r="DK156" t="str">
        <f>HYPERLINK("http://exon.niaid.nih.gov/transcriptome/S_calcitrans/S1/links/KOG/XP_013102037.1-KOG.txt","KOG4365")</f>
        <v>KOG4365</v>
      </c>
      <c r="DL156" s="33" t="str">
        <f>HYPERLINK("http://exon.niaid.nih.gov/transcriptome/S_calcitrans/S1/links/PFAM/XP_013102037.1-PFAM.txt","Epimerase")</f>
        <v>Epimerase</v>
      </c>
      <c r="DM156" t="str">
        <f>HYPERLINK("http://pfam.sanger.ac.uk/family?acc=PF01370","0.96")</f>
        <v>0.96</v>
      </c>
      <c r="DN156" s="33" t="str">
        <f>HYPERLINK("http://exon.niaid.nih.gov/transcriptome/S_calcitrans/S1/links/SMART/XP_013102037.1-SMART.txt","FH2")</f>
        <v>FH2</v>
      </c>
      <c r="DO156" t="str">
        <f>HYPERLINK("http://smart.embl-heidelberg.de/smart/do_annotation.pl?DOMAIN=FH2&amp;BLAST=DUMMY","0.49")</f>
        <v>0.49</v>
      </c>
      <c r="DP156" s="33"/>
      <c r="EB156" s="33">
        <v>3680</v>
      </c>
      <c r="EC156">
        <v>1</v>
      </c>
      <c r="ED156" s="33">
        <v>4453</v>
      </c>
      <c r="EE156">
        <v>1</v>
      </c>
      <c r="EF156" s="33">
        <v>4884</v>
      </c>
      <c r="EG156">
        <v>1</v>
      </c>
      <c r="EH156" s="33">
        <v>5227</v>
      </c>
      <c r="EI156">
        <v>1</v>
      </c>
      <c r="EJ156" s="33">
        <v>5564</v>
      </c>
      <c r="EK156">
        <v>1</v>
      </c>
      <c r="EL156" s="33">
        <v>5822</v>
      </c>
      <c r="EM156">
        <v>1</v>
      </c>
      <c r="EN156" s="33">
        <v>6128</v>
      </c>
      <c r="EO156">
        <v>1</v>
      </c>
      <c r="EP156" s="33">
        <v>6344</v>
      </c>
      <c r="EQ156">
        <v>1</v>
      </c>
      <c r="ER156" s="33">
        <v>6519</v>
      </c>
      <c r="ES156">
        <v>1</v>
      </c>
      <c r="ET156" s="33">
        <v>6652</v>
      </c>
      <c r="EU156">
        <v>1</v>
      </c>
      <c r="EV156" s="33">
        <v>6768</v>
      </c>
      <c r="EW156">
        <v>1</v>
      </c>
      <c r="EX156" s="33">
        <v>6870</v>
      </c>
      <c r="EY156">
        <v>1</v>
      </c>
      <c r="EZ156" s="33">
        <v>6960</v>
      </c>
      <c r="FA156">
        <v>1</v>
      </c>
      <c r="FB156" s="33">
        <v>7039</v>
      </c>
      <c r="FC156">
        <v>1</v>
      </c>
      <c r="FD156" s="33">
        <v>7170</v>
      </c>
      <c r="FE156">
        <v>1</v>
      </c>
      <c r="FF156" t="s">
        <v>1707</v>
      </c>
      <c r="FG156">
        <v>7953</v>
      </c>
      <c r="FH156" s="38" t="str">
        <f>HYPERLINK("http://exon.niaid.nih.gov/transcriptome/S_calcitrans/S1/links/SG_male-stripped_temp-95-h10-1gap/7953-SG_male-stripped_temp-95-h10-1gap.txt","120")</f>
        <v>120</v>
      </c>
      <c r="FI156" s="39">
        <v>100</v>
      </c>
      <c r="FJ156" s="39">
        <v>33.685823754789297</v>
      </c>
      <c r="FK156" s="39">
        <v>1</v>
      </c>
      <c r="FL156" s="39">
        <v>78</v>
      </c>
      <c r="FM156" s="39">
        <v>73.266666666666694</v>
      </c>
      <c r="FN156" s="38" t="str">
        <f>HYPERLINK("http://exon.niaid.nih.gov/transcriptome/S_calcitrans/S1/links/SG_female-stripped_temp-95-h10-1gap/7953-SG_female-stripped_temp-95-h10-1gap.txt","171")</f>
        <v>171</v>
      </c>
      <c r="FO156" s="39">
        <v>100</v>
      </c>
      <c r="FP156" s="39">
        <v>47.7854406130268</v>
      </c>
      <c r="FQ156" s="39">
        <v>3</v>
      </c>
      <c r="FR156" s="39">
        <v>98</v>
      </c>
      <c r="FS156" s="39">
        <v>72.935672514619895</v>
      </c>
      <c r="FT156" s="38" t="str">
        <f>HYPERLINK("http://exon.niaid.nih.gov/transcriptome/S_calcitrans/S1/links/SRR694289-stripped_temp-95-h10-1gap/7953-SRR694289-stripped_temp-95-h10-1gap.txt","1")</f>
        <v>1</v>
      </c>
      <c r="FU156" s="39">
        <v>38.697318007662801</v>
      </c>
      <c r="FV156" s="39">
        <v>0.38697318007662801</v>
      </c>
      <c r="FW156" s="39">
        <v>0</v>
      </c>
      <c r="FX156" s="39">
        <v>1</v>
      </c>
      <c r="FY156" s="39">
        <v>101</v>
      </c>
      <c r="FZ156" s="38">
        <v>0</v>
      </c>
      <c r="GA156" s="39" t="s">
        <v>242</v>
      </c>
      <c r="GB156" s="39" t="s">
        <v>242</v>
      </c>
      <c r="GC156" s="39" t="s">
        <v>242</v>
      </c>
      <c r="GD156" s="39" t="s">
        <v>242</v>
      </c>
      <c r="GE156" s="39" t="s">
        <v>242</v>
      </c>
      <c r="GF156">
        <f t="shared" si="170"/>
        <v>120</v>
      </c>
      <c r="GG156">
        <f t="shared" si="171"/>
        <v>171</v>
      </c>
      <c r="GH156">
        <f t="shared" si="172"/>
        <v>1</v>
      </c>
      <c r="GI156">
        <f t="shared" si="173"/>
        <v>0</v>
      </c>
      <c r="GJ156">
        <f t="shared" si="163"/>
        <v>291</v>
      </c>
      <c r="GK156" s="34">
        <v>1.1302904438603963E-3</v>
      </c>
      <c r="GL156">
        <v>15.039823118565399</v>
      </c>
      <c r="GM156">
        <v>9.7460546607567977</v>
      </c>
      <c r="GN156">
        <v>2.2023788700907231E-2</v>
      </c>
      <c r="GO156">
        <v>0</v>
      </c>
      <c r="GP156">
        <f t="shared" si="174"/>
        <v>15.039823118565399</v>
      </c>
      <c r="GQ156" t="s">
        <v>1494</v>
      </c>
      <c r="GR156">
        <v>11.729429541210379</v>
      </c>
      <c r="GS156">
        <v>7.99923218877327</v>
      </c>
      <c r="GT156">
        <v>3.9701355367190015E-2</v>
      </c>
      <c r="GU156">
        <v>0</v>
      </c>
      <c r="GV156">
        <f t="shared" si="175"/>
        <v>11.729429541210379</v>
      </c>
      <c r="GW156">
        <v>330.45584323242855</v>
      </c>
      <c r="GX156">
        <v>291</v>
      </c>
      <c r="GY156">
        <v>1</v>
      </c>
      <c r="GZ156">
        <v>292</v>
      </c>
      <c r="HA156">
        <v>64.823910531393196</v>
      </c>
      <c r="HB156">
        <v>227.17608946860682</v>
      </c>
      <c r="HC156">
        <v>789.14744618094835</v>
      </c>
      <c r="HD156">
        <v>225.18049134031057</v>
      </c>
      <c r="HE156">
        <v>1014.3279375212589</v>
      </c>
      <c r="HF156">
        <v>1.380100474686013E-222</v>
      </c>
      <c r="HG156">
        <v>64.823910531393196</v>
      </c>
      <c r="HH156">
        <v>1</v>
      </c>
      <c r="HI156">
        <v>1</v>
      </c>
      <c r="HJ156">
        <v>2</v>
      </c>
      <c r="HK156" s="37">
        <v>4.70655400273432E-222</v>
      </c>
      <c r="HL156" s="30" t="s">
        <v>262</v>
      </c>
      <c r="HM156">
        <v>509.90630998225117</v>
      </c>
      <c r="HN156">
        <v>9.7721416950149347E-4</v>
      </c>
      <c r="HO156">
        <v>120</v>
      </c>
      <c r="HP156">
        <v>171</v>
      </c>
      <c r="HQ156">
        <v>291</v>
      </c>
      <c r="HR156">
        <v>90.965419925121807</v>
      </c>
      <c r="HS156">
        <v>200.03458007487819</v>
      </c>
      <c r="HT156">
        <v>9.2673330241143823</v>
      </c>
      <c r="HU156">
        <v>4.2143055456159333</v>
      </c>
      <c r="HV156">
        <v>13.481638569730315</v>
      </c>
      <c r="HW156">
        <v>2.4090932975622261E-4</v>
      </c>
      <c r="HX156">
        <v>90.965419925121807</v>
      </c>
      <c r="HY156">
        <v>1</v>
      </c>
      <c r="HZ156">
        <v>1</v>
      </c>
      <c r="IA156">
        <v>2</v>
      </c>
      <c r="IB156">
        <v>1.9016902426160301E-3</v>
      </c>
      <c r="IC156" s="30" t="s">
        <v>262</v>
      </c>
      <c r="ID156">
        <v>1.5341984840991687</v>
      </c>
      <c r="IE156">
        <v>0.64266106577665072</v>
      </c>
      <c r="IF156">
        <v>1.5341984840991687</v>
      </c>
      <c r="IG156" t="str">
        <f t="shared" si="156"/>
        <v/>
      </c>
    </row>
    <row r="157" spans="1:241">
      <c r="A157" t="str">
        <f>HYPERLINK("http://exon.niaid.nih.gov/transcriptome/S_calcitrans/S1/links/pep/XP_013103966.1-pep.txt","XP_013103966.1")</f>
        <v>XP_013103966.1</v>
      </c>
      <c r="B157" s="30" t="s">
        <v>232</v>
      </c>
      <c r="C157">
        <v>193</v>
      </c>
      <c r="D157" t="s">
        <v>1708</v>
      </c>
      <c r="E157">
        <v>0</v>
      </c>
      <c r="F157" t="s">
        <v>1709</v>
      </c>
      <c r="G157" t="str">
        <f>HYPERLINK("http://exon.niaid.nih.gov/transcriptome/S_calcitrans/S1/links/cds/XM_013248512_1-cds.txt","XM_013248512_1")</f>
        <v>XM_013248512_1</v>
      </c>
      <c r="H157">
        <v>582</v>
      </c>
      <c r="I157" t="s">
        <v>1710</v>
      </c>
      <c r="J157" s="30" t="s">
        <v>236</v>
      </c>
      <c r="K157" s="30" t="s">
        <v>91</v>
      </c>
      <c r="L157" s="31" t="s">
        <v>1609</v>
      </c>
      <c r="M157" s="30">
        <v>458470</v>
      </c>
      <c r="N157" s="30">
        <v>461096</v>
      </c>
      <c r="O157" s="30" t="s">
        <v>238</v>
      </c>
      <c r="P157" s="30">
        <v>2</v>
      </c>
      <c r="Q157" s="31" t="s">
        <v>1711</v>
      </c>
      <c r="R157" s="32" t="str">
        <f>HYPERLINK("http://exon.niaid.nih.gov/transcriptome/S_calcitrans/S1/links/Sigp/XP_013103966.1-SigP.txt","CYT")</f>
        <v>CYT</v>
      </c>
      <c r="S157" t="s">
        <v>242</v>
      </c>
      <c r="T157">
        <v>21.88</v>
      </c>
      <c r="U157">
        <v>5.12</v>
      </c>
      <c r="V157" t="s">
        <v>242</v>
      </c>
      <c r="W157" t="s">
        <v>242</v>
      </c>
      <c r="X157" t="s">
        <v>720</v>
      </c>
      <c r="Y157" s="32">
        <v>0</v>
      </c>
      <c r="Z157" t="s">
        <v>242</v>
      </c>
      <c r="AA157" t="s">
        <v>242</v>
      </c>
      <c r="AB157" t="s">
        <v>242</v>
      </c>
      <c r="AC157" t="s">
        <v>242</v>
      </c>
      <c r="AD157" t="s">
        <v>242</v>
      </c>
      <c r="AE157" s="32" t="str">
        <f>HYPERLINK("http://exon.niaid.nih.gov/transcriptome/S_calcitrans/S1/links/netoglyc/XP_013103966.1-netoglyc.txt","0")</f>
        <v>0</v>
      </c>
      <c r="AF157">
        <v>9.3000000000000007</v>
      </c>
      <c r="AG157">
        <v>2.1</v>
      </c>
      <c r="AH157">
        <v>3.1</v>
      </c>
      <c r="AI157" t="s">
        <v>243</v>
      </c>
      <c r="AJ157" t="s">
        <v>242</v>
      </c>
      <c r="AK157">
        <v>106.28465043084208</v>
      </c>
      <c r="AL157" s="33">
        <v>8055</v>
      </c>
      <c r="AM157">
        <v>1</v>
      </c>
      <c r="AN157" s="30">
        <f t="shared" si="149"/>
        <v>1</v>
      </c>
      <c r="AO157" s="30" t="s">
        <v>244</v>
      </c>
      <c r="AP157">
        <v>5641</v>
      </c>
      <c r="AQ157" s="34">
        <v>2.191054430864775E-2</v>
      </c>
      <c r="AR157" s="35">
        <v>54.802446706886045</v>
      </c>
      <c r="AS157" t="s">
        <v>1712</v>
      </c>
      <c r="AT157" s="36" t="s">
        <v>1713</v>
      </c>
      <c r="AU157" t="s">
        <v>1494</v>
      </c>
      <c r="AV157" t="str">
        <f>HYPERLINK("http://exon.niaid.nih.gov/transcriptome/S_calcitrans/S1/links/REFSEQ-INVERTEBRATE/XP_013103966.1-REFSEQ-INVERTEBRATE.txt","REFSEQ-INVERTEBRATE")</f>
        <v>REFSEQ-INVERTEBRATE</v>
      </c>
      <c r="AW157">
        <v>0</v>
      </c>
      <c r="AX157">
        <v>100</v>
      </c>
      <c r="AY157" s="33"/>
      <c r="BG157" s="31"/>
      <c r="BJ157" s="33"/>
      <c r="BK157" s="33"/>
      <c r="BL157" s="33" t="str">
        <f>HYPERLINK("http://exon.niaid.nih.gov/transcriptome/S_calcitrans/S1/links/NR-LIGHT/XP_013103966.1-NR-LIGHT.txt","tetratricopeptide repeat protein 36 homolog")</f>
        <v>tetratricopeptide repeat protein 36 homolog</v>
      </c>
      <c r="BM157" t="str">
        <f>HYPERLINK("http://www.ncbi.nlm.nih.gov/sutils/blink.cgi?pid=557767025","9E-090")</f>
        <v>9E-090</v>
      </c>
      <c r="BN157" t="str">
        <f>HYPERLINK("http://www.ncbi.nlm.nih.gov/protein/557767025","gi|557767025")</f>
        <v>gi|557767025</v>
      </c>
      <c r="BO157">
        <v>85</v>
      </c>
      <c r="BP157">
        <v>92</v>
      </c>
      <c r="BQ157">
        <v>100</v>
      </c>
      <c r="BR157" t="s">
        <v>251</v>
      </c>
      <c r="BS157" s="33" t="str">
        <f>HYPERLINK("http://exon.niaid.nih.gov/transcriptome/S_calcitrans/S1/links/SWISSP/XP_013103966.1-SWISSP.txt","Tetratricopeptide repeat protein 36 homolog")</f>
        <v>Tetratricopeptide repeat protein 36 homolog</v>
      </c>
      <c r="BT157" t="str">
        <f>HYPERLINK("http://www.uniprot.org/uniprot/Q9VU70","5E-049")</f>
        <v>5E-049</v>
      </c>
      <c r="BU157" t="str">
        <f>HYPERLINK("http://www.uniprot.org/uniprot/Q9VU70#expression","Q9VU70")</f>
        <v>Q9VU70</v>
      </c>
      <c r="BV157">
        <v>57</v>
      </c>
      <c r="BW157">
        <v>70</v>
      </c>
      <c r="BX157">
        <v>105</v>
      </c>
      <c r="BY157" t="s">
        <v>304</v>
      </c>
      <c r="BZ157" s="33" t="str">
        <f>HYPERLINK("http://exon.niaid.nih.gov/transcriptome/S_calcitrans/S1/links/REFSEQ-INVERTEBRATE/XP_013103966.1-REFSEQ-INVERTEBRATE.txt","tetratricopeptide repeat protein 36 homolog")</f>
        <v>tetratricopeptide repeat protein 36 homolog</v>
      </c>
      <c r="CA157" t="str">
        <f>HYPERLINK("http://www.ncbi.nlm.nih.gov/sutils/blink.cgi?pid=907668414","1E-105")</f>
        <v>1E-105</v>
      </c>
      <c r="CB157" t="str">
        <f>HYPERLINK("http://www.ncbi.nlm.nih.gov/protein/907668414","gi|907668414")</f>
        <v>gi|907668414</v>
      </c>
      <c r="CC157">
        <v>100</v>
      </c>
      <c r="CD157">
        <v>100</v>
      </c>
      <c r="CE157">
        <v>100</v>
      </c>
      <c r="CF157" t="s">
        <v>253</v>
      </c>
      <c r="CG157" s="33" t="str">
        <f>HYPERLINK("http://exon.niaid.nih.gov/transcriptome/S_calcitrans/S1/links/DIPTERA/XP_013103966.1-DIPTERA.txt","tetratricopeptide repeat protein 36 homolog")</f>
        <v>tetratricopeptide repeat protein 36 homolog</v>
      </c>
      <c r="CH157" t="str">
        <f>HYPERLINK("http://www.ncbi.nlm.nih.gov/sutils/blink.cgi?pid=907668414","1E-105")</f>
        <v>1E-105</v>
      </c>
      <c r="CI157" t="str">
        <f>HYPERLINK("http://www.ncbi.nlm.nih.gov/protein/907668414","gi|907668414")</f>
        <v>gi|907668414</v>
      </c>
      <c r="CJ157">
        <v>100</v>
      </c>
      <c r="CK157">
        <v>100</v>
      </c>
      <c r="CL157">
        <v>100</v>
      </c>
      <c r="CM157" t="s">
        <v>253</v>
      </c>
      <c r="CN157" s="33" t="s">
        <v>242</v>
      </c>
      <c r="CO157" t="s">
        <v>242</v>
      </c>
      <c r="CP157" t="s">
        <v>242</v>
      </c>
      <c r="CQ157" t="s">
        <v>242</v>
      </c>
      <c r="CR157" t="s">
        <v>242</v>
      </c>
      <c r="CS157" t="s">
        <v>242</v>
      </c>
      <c r="CT157" t="s">
        <v>242</v>
      </c>
      <c r="CU157" s="33" t="s">
        <v>1714</v>
      </c>
      <c r="CV157">
        <f>HYPERLINK("http://exon.niaid.nih.gov/transcriptome/S_calcitrans/S1/links/GO/XP_013103966.1-GO.txt",9E-49)</f>
        <v>9.0000000000000004E-49</v>
      </c>
      <c r="CW157" t="str">
        <f>HYPERLINK("http://amigo.geneontology.org/cgi-bin/amigo/term_details?term=GO:0003674","GO:0003674")</f>
        <v>GO:0003674</v>
      </c>
      <c r="CX157" t="s">
        <v>255</v>
      </c>
      <c r="CY157" t="s">
        <v>256</v>
      </c>
      <c r="CZ157" t="s">
        <v>257</v>
      </c>
      <c r="DA157" t="s">
        <v>242</v>
      </c>
      <c r="DC157" t="s">
        <v>258</v>
      </c>
      <c r="DD157" s="37">
        <v>9.0000000000000004E-49</v>
      </c>
      <c r="DE157" s="33" t="str">
        <f>HYPERLINK("http://exon.niaid.nih.gov/transcriptome/S_calcitrans/S1/links/CDD/XP_013103966.1-CDD.txt","TPR")</f>
        <v>TPR</v>
      </c>
      <c r="DF157" t="str">
        <f>HYPERLINK("http://www.ncbi.nlm.nih.gov/Structure/cdd/cddsrv.cgi?uid=sd00006&amp;version=v4.0","9E-009")</f>
        <v>9E-009</v>
      </c>
      <c r="DG157" t="s">
        <v>1715</v>
      </c>
      <c r="DH157" s="33" t="str">
        <f>HYPERLINK("http://exon.niaid.nih.gov/transcriptome/S_calcitrans/S1/links/KOG/XP_013103966.1-KOG.txt","TPR repeat-containing protein")</f>
        <v>TPR repeat-containing protein</v>
      </c>
      <c r="DI157" t="str">
        <f>HYPERLINK("http://www.ncbi.nlm.nih.gov/Structure/cdd/cddsrv.cgi?uid=KOG4555","2E-065")</f>
        <v>2E-065</v>
      </c>
      <c r="DJ157" t="s">
        <v>260</v>
      </c>
      <c r="DK157" t="str">
        <f>HYPERLINK("http://exon.niaid.nih.gov/transcriptome/S_calcitrans/S1/links/KOG/XP_013103966.1-KOG.txt","KOG4555")</f>
        <v>KOG4555</v>
      </c>
      <c r="DL157" s="33" t="str">
        <f>HYPERLINK("http://exon.niaid.nih.gov/transcriptome/S_calcitrans/S1/links/PFAM/XP_013103966.1-PFAM.txt","TPR_11")</f>
        <v>TPR_11</v>
      </c>
      <c r="DM157" t="str">
        <f>HYPERLINK("http://pfam.sanger.ac.uk/family?acc=PF13414","1E-005")</f>
        <v>1E-005</v>
      </c>
      <c r="DN157" s="33" t="str">
        <f>HYPERLINK("http://exon.niaid.nih.gov/transcriptome/S_calcitrans/S1/links/SMART/XP_013103966.1-SMART.txt","TPR")</f>
        <v>TPR</v>
      </c>
      <c r="DO157" t="str">
        <f>HYPERLINK("http://smart.embl-heidelberg.de/smart/do_annotation.pl?DOMAIN=TPR&amp;BLAST=DUMMY","0.003")</f>
        <v>0.003</v>
      </c>
      <c r="DP157" s="33"/>
      <c r="EB157" s="33">
        <f>HYPERLINK("http://exon.niaid.nih.gov/transcriptome/S_calcitrans/S1/links/cluster-b/Scalc-pep25-50SimCLU1.txt", 1)</f>
        <v>1</v>
      </c>
      <c r="EC157">
        <f>HYPERLINK("http://exon.niaid.nih.gov/transcriptome/S_calcitrans/S1/links/cluster-b/Scalc-pep25-50SimCLTL1.txt", 5170)</f>
        <v>5170</v>
      </c>
      <c r="ED157" s="33">
        <v>4788</v>
      </c>
      <c r="EE157">
        <v>1</v>
      </c>
      <c r="EF157" s="33">
        <v>5271</v>
      </c>
      <c r="EG157">
        <v>1</v>
      </c>
      <c r="EH157" s="33">
        <v>5638</v>
      </c>
      <c r="EI157">
        <v>1</v>
      </c>
      <c r="EJ157" s="33">
        <v>6011</v>
      </c>
      <c r="EK157">
        <v>1</v>
      </c>
      <c r="EL157" s="33">
        <v>6300</v>
      </c>
      <c r="EM157">
        <v>1</v>
      </c>
      <c r="EN157" s="33">
        <v>6643</v>
      </c>
      <c r="EO157">
        <v>1</v>
      </c>
      <c r="EP157" s="33">
        <v>6900</v>
      </c>
      <c r="EQ157">
        <v>1</v>
      </c>
      <c r="ER157" s="33">
        <v>7102</v>
      </c>
      <c r="ES157">
        <v>1</v>
      </c>
      <c r="ET157" s="33">
        <v>7263</v>
      </c>
      <c r="EU157">
        <v>1</v>
      </c>
      <c r="EV157" s="33">
        <v>7414</v>
      </c>
      <c r="EW157">
        <v>1</v>
      </c>
      <c r="EX157" s="33">
        <v>7553</v>
      </c>
      <c r="EY157">
        <v>1</v>
      </c>
      <c r="EZ157" s="33">
        <v>7693</v>
      </c>
      <c r="FA157">
        <v>1</v>
      </c>
      <c r="FB157" s="33">
        <v>7840</v>
      </c>
      <c r="FC157">
        <v>1</v>
      </c>
      <c r="FD157" s="33">
        <v>8055</v>
      </c>
      <c r="FE157">
        <v>1</v>
      </c>
      <c r="FF157" t="s">
        <v>1716</v>
      </c>
      <c r="FG157">
        <v>9715</v>
      </c>
      <c r="FH157" s="38" t="str">
        <f>HYPERLINK("http://exon.niaid.nih.gov/transcriptome/S_calcitrans/S1/links/SG_male-stripped_temp-95-h10-1gap/9715-SG_male-stripped_temp-95-h10-1gap.txt","3114")</f>
        <v>3114</v>
      </c>
      <c r="FI157" s="39">
        <v>100</v>
      </c>
      <c r="FJ157" s="39">
        <v>381.51202749140901</v>
      </c>
      <c r="FK157" s="39">
        <v>141</v>
      </c>
      <c r="FL157" s="39">
        <v>800</v>
      </c>
      <c r="FM157" s="39">
        <v>71.305394990366096</v>
      </c>
      <c r="FN157" s="38" t="str">
        <f>HYPERLINK("http://exon.niaid.nih.gov/transcriptome/S_calcitrans/S1/links/SG_female-stripped_temp-95-h10-1gap/9715-SG_female-stripped_temp-95-h10-1gap.txt","2527")</f>
        <v>2527</v>
      </c>
      <c r="FO157" s="39">
        <v>100</v>
      </c>
      <c r="FP157" s="39">
        <v>311.89518900343597</v>
      </c>
      <c r="FQ157" s="39">
        <v>109</v>
      </c>
      <c r="FR157" s="39">
        <v>599</v>
      </c>
      <c r="FS157" s="39">
        <v>71.834586466165405</v>
      </c>
      <c r="FT157" s="38" t="str">
        <f>HYPERLINK("http://exon.niaid.nih.gov/transcriptome/S_calcitrans/S1/links/SRR694289-stripped_temp-95-h10-1gap/9715-SRR694289-stripped_temp-95-h10-1gap.txt","87")</f>
        <v>87</v>
      </c>
      <c r="FU157" s="39">
        <v>97.9381443298969</v>
      </c>
      <c r="FV157" s="39">
        <v>14.6683848797251</v>
      </c>
      <c r="FW157" s="39">
        <v>0</v>
      </c>
      <c r="FX157" s="39">
        <v>39</v>
      </c>
      <c r="FY157" s="39">
        <v>98.1264367816092</v>
      </c>
      <c r="FZ157" s="38" t="str">
        <f>HYPERLINK("http://exon.niaid.nih.gov/transcriptome/S_calcitrans/S1/links/SRR694925-stripped_temp-95-h10-1gap/9715-SRR694925-stripped_temp-95-h10-1gap.txt","98")</f>
        <v>98</v>
      </c>
      <c r="GA157" s="39">
        <v>99.484536082474193</v>
      </c>
      <c r="GB157" s="39">
        <v>16.420962199312701</v>
      </c>
      <c r="GC157" s="39">
        <v>0</v>
      </c>
      <c r="GD157" s="39">
        <v>34</v>
      </c>
      <c r="GE157" s="39">
        <v>97.520408163265301</v>
      </c>
      <c r="GF157">
        <f t="shared" si="170"/>
        <v>3114</v>
      </c>
      <c r="GG157">
        <f t="shared" si="171"/>
        <v>2527</v>
      </c>
      <c r="GH157">
        <f t="shared" si="172"/>
        <v>87</v>
      </c>
      <c r="GI157">
        <f t="shared" si="173"/>
        <v>98</v>
      </c>
      <c r="GJ157">
        <f t="shared" si="163"/>
        <v>5641</v>
      </c>
      <c r="GK157" s="34">
        <v>2.191054430864775E-2</v>
      </c>
      <c r="GL157">
        <v>175.02400342076893</v>
      </c>
      <c r="GM157">
        <v>64.588544375496511</v>
      </c>
      <c r="GN157">
        <v>0.85926833338745789</v>
      </c>
      <c r="GO157">
        <v>0.99780777664675713</v>
      </c>
      <c r="GP157">
        <f t="shared" si="174"/>
        <v>175.02400342076893</v>
      </c>
      <c r="GQ157" t="s">
        <v>1494</v>
      </c>
      <c r="GR157">
        <v>136.49972476141039</v>
      </c>
      <c r="GS157">
        <v>53.012093732128015</v>
      </c>
      <c r="GT157">
        <v>1.5489667978054702</v>
      </c>
      <c r="GU157">
        <v>1.8891236686139028</v>
      </c>
      <c r="GV157">
        <f t="shared" si="175"/>
        <v>136.49972476141039</v>
      </c>
      <c r="GW157">
        <v>54.802446706886045</v>
      </c>
      <c r="GX157">
        <v>5641</v>
      </c>
      <c r="GY157">
        <v>185</v>
      </c>
      <c r="GZ157">
        <v>5826</v>
      </c>
      <c r="HA157">
        <v>1293.3702149174546</v>
      </c>
      <c r="HB157">
        <v>4532.6297850825458</v>
      </c>
      <c r="HC157">
        <v>14614.442585832434</v>
      </c>
      <c r="HD157">
        <v>4170.1805892785205</v>
      </c>
      <c r="HE157">
        <v>18784.623175110955</v>
      </c>
      <c r="HF157">
        <v>0</v>
      </c>
      <c r="HG157">
        <v>1293.3702149174546</v>
      </c>
      <c r="HH157">
        <v>1</v>
      </c>
      <c r="HI157">
        <v>1</v>
      </c>
      <c r="HJ157">
        <v>2</v>
      </c>
      <c r="HK157">
        <v>0</v>
      </c>
      <c r="HL157" s="30" t="s">
        <v>262</v>
      </c>
      <c r="HM157">
        <v>106.28465043084208</v>
      </c>
      <c r="HN157">
        <v>9.3564532854432253E-3</v>
      </c>
      <c r="HO157">
        <v>3114</v>
      </c>
      <c r="HP157">
        <v>2527</v>
      </c>
      <c r="HQ157">
        <v>5641</v>
      </c>
      <c r="HR157">
        <v>1763.3537243904195</v>
      </c>
      <c r="HS157">
        <v>3877.6462756095802</v>
      </c>
      <c r="HT157">
        <v>1034.5317202018903</v>
      </c>
      <c r="HU157">
        <v>470.45172049151188</v>
      </c>
      <c r="HV157">
        <v>1504.9834406934021</v>
      </c>
      <c r="HW157">
        <v>0</v>
      </c>
      <c r="HX157">
        <v>1763.3537243904195</v>
      </c>
      <c r="HY157">
        <v>1</v>
      </c>
      <c r="HZ157">
        <v>1</v>
      </c>
      <c r="IA157">
        <v>2</v>
      </c>
      <c r="IB157">
        <v>0</v>
      </c>
      <c r="IC157" s="30" t="s">
        <v>262</v>
      </c>
      <c r="ID157">
        <v>2.7087585102564198</v>
      </c>
      <c r="IE157">
        <v>0.36890831216492387</v>
      </c>
      <c r="IF157">
        <v>2.7087585102564198</v>
      </c>
      <c r="IG157" t="str">
        <f t="shared" si="156"/>
        <v/>
      </c>
    </row>
    <row r="158" spans="1:241">
      <c r="A158" t="str">
        <f>HYPERLINK("http://exon.niaid.nih.gov/transcriptome/S_calcitrans/S1/links/pep/XP_013105161.1-pep.txt","XP_013105161.1")</f>
        <v>XP_013105161.1</v>
      </c>
      <c r="B158" s="30" t="s">
        <v>232</v>
      </c>
      <c r="C158">
        <v>80</v>
      </c>
      <c r="D158" t="s">
        <v>1717</v>
      </c>
      <c r="E158">
        <v>0</v>
      </c>
      <c r="F158" t="s">
        <v>1718</v>
      </c>
      <c r="G158" t="str">
        <f>HYPERLINK("http://exon.niaid.nih.gov/transcriptome/S_calcitrans/S1/links/cds/XM_013249707_1-cds.txt","XM_013249707_1")</f>
        <v>XM_013249707_1</v>
      </c>
      <c r="H158">
        <v>243</v>
      </c>
      <c r="I158" t="s">
        <v>1719</v>
      </c>
      <c r="J158" s="30" t="s">
        <v>236</v>
      </c>
      <c r="K158" s="30" t="s">
        <v>91</v>
      </c>
      <c r="L158" s="31" t="s">
        <v>1720</v>
      </c>
      <c r="M158" s="30">
        <v>116720</v>
      </c>
      <c r="N158" s="30">
        <v>117089</v>
      </c>
      <c r="O158" s="30" t="s">
        <v>238</v>
      </c>
      <c r="P158" s="30">
        <v>3</v>
      </c>
      <c r="Q158" s="31" t="s">
        <v>1721</v>
      </c>
      <c r="R158" s="32" t="str">
        <f>HYPERLINK("http://exon.niaid.nih.gov/transcriptome/S_calcitrans/S1/links/Sigp/XP_013105161.1-SigP.txt","BL")</f>
        <v>BL</v>
      </c>
      <c r="S158" t="s">
        <v>317</v>
      </c>
      <c r="T158">
        <v>8.9559999999999995</v>
      </c>
      <c r="U158">
        <v>9.3000000000000007</v>
      </c>
      <c r="V158">
        <v>6.61</v>
      </c>
      <c r="W158">
        <v>10.43</v>
      </c>
      <c r="X158" t="s">
        <v>1722</v>
      </c>
      <c r="Y158" s="32">
        <v>0</v>
      </c>
      <c r="Z158" t="s">
        <v>242</v>
      </c>
      <c r="AA158" t="s">
        <v>242</v>
      </c>
      <c r="AB158" t="s">
        <v>242</v>
      </c>
      <c r="AC158" t="s">
        <v>242</v>
      </c>
      <c r="AD158" t="s">
        <v>242</v>
      </c>
      <c r="AE158" s="32" t="str">
        <f>HYPERLINK("http://exon.niaid.nih.gov/transcriptome/S_calcitrans/S1/links/netoglyc/XP_013105161.1-netoglyc.txt","0")</f>
        <v>0</v>
      </c>
      <c r="AF158">
        <v>8.8000000000000007</v>
      </c>
      <c r="AG158">
        <v>6.3</v>
      </c>
      <c r="AH158">
        <v>2.5</v>
      </c>
      <c r="AI158" t="s">
        <v>243</v>
      </c>
      <c r="AJ158" t="s">
        <v>242</v>
      </c>
      <c r="AK158">
        <v>890.72980838823946</v>
      </c>
      <c r="AL158" s="33">
        <v>8652</v>
      </c>
      <c r="AM158">
        <v>1</v>
      </c>
      <c r="AN158" s="30">
        <f t="shared" si="149"/>
        <v>1</v>
      </c>
      <c r="AO158" s="30" t="s">
        <v>244</v>
      </c>
      <c r="AP158">
        <v>1525</v>
      </c>
      <c r="AQ158" s="34">
        <v>5.9233433913646197E-3</v>
      </c>
      <c r="AR158" s="35">
        <v>485.29086975816443</v>
      </c>
      <c r="AS158" t="s">
        <v>1723</v>
      </c>
      <c r="AT158" s="36" t="s">
        <v>1717</v>
      </c>
      <c r="AU158" t="s">
        <v>1494</v>
      </c>
      <c r="AV158" t="str">
        <f>HYPERLINK("http://exon.niaid.nih.gov/transcriptome/S_calcitrans/S1/links/DIPTERA/XP_013105161.1-DIPTERA.txt","DIPTERA")</f>
        <v>DIPTERA</v>
      </c>
      <c r="AW158" s="37">
        <v>9.0000000000000002E-39</v>
      </c>
      <c r="AX158">
        <v>100</v>
      </c>
      <c r="AY158" s="33"/>
      <c r="BG158" s="31"/>
      <c r="BJ158" s="33"/>
      <c r="BK158" s="33"/>
      <c r="BL158" s="33" t="str">
        <f>HYPERLINK("http://exon.niaid.nih.gov/transcriptome/S_calcitrans/S1/links/NR-LIGHT/XP_013105161.1-NR-LIGHT.txt","immediate early response 3-interacting protein 1")</f>
        <v>immediate early response 3-interacting protein 1</v>
      </c>
      <c r="BM158" t="str">
        <f>HYPERLINK("http://www.ncbi.nlm.nih.gov/sutils/blink.cgi?pid=557754406","3E-037")</f>
        <v>3E-037</v>
      </c>
      <c r="BN158" t="str">
        <f>HYPERLINK("http://www.ncbi.nlm.nih.gov/protein/557754406","gi|557754406")</f>
        <v>gi|557754406</v>
      </c>
      <c r="BO158">
        <v>93</v>
      </c>
      <c r="BP158">
        <v>98</v>
      </c>
      <c r="BQ158">
        <v>100</v>
      </c>
      <c r="BR158" t="s">
        <v>251</v>
      </c>
      <c r="BS158" s="33" t="str">
        <f>HYPERLINK("http://exon.niaid.nih.gov/transcriptome/S_calcitrans/S1/links/SWISSP/XP_013105161.1-SWISSP.txt","Immediate early response 3-interacting protein 1")</f>
        <v>Immediate early response 3-interacting protein 1</v>
      </c>
      <c r="BT158" t="str">
        <f>HYPERLINK("http://www.uniprot.org/uniprot/Q3B8G7","2E-019")</f>
        <v>2E-019</v>
      </c>
      <c r="BU158" t="str">
        <f>HYPERLINK("http://www.uniprot.org/uniprot/Q3B8G7#expression","Q3B8G7")</f>
        <v>Q3B8G7</v>
      </c>
      <c r="BV158">
        <v>56</v>
      </c>
      <c r="BW158">
        <v>77</v>
      </c>
      <c r="BX158">
        <v>98</v>
      </c>
      <c r="BY158" t="s">
        <v>607</v>
      </c>
      <c r="BZ158" s="33" t="str">
        <f>HYPERLINK("http://exon.niaid.nih.gov/transcriptome/S_calcitrans/S1/links/REFSEQ-INVERTEBRATE/XP_013105161.1-REFSEQ-INVERTEBRATE.txt","immediate early response 3-interacting protein 1")</f>
        <v>immediate early response 3-interacting protein 1</v>
      </c>
      <c r="CA158" t="str">
        <f>HYPERLINK("http://www.ncbi.nlm.nih.gov/sutils/blink.cgi?pid=907674465","2E-038")</f>
        <v>2E-038</v>
      </c>
      <c r="CB158" t="str">
        <f>HYPERLINK("http://www.ncbi.nlm.nih.gov/protein/907674465","gi|907674465")</f>
        <v>gi|907674465</v>
      </c>
      <c r="CC158">
        <v>100</v>
      </c>
      <c r="CD158">
        <v>100</v>
      </c>
      <c r="CE158">
        <v>100</v>
      </c>
      <c r="CF158" t="s">
        <v>253</v>
      </c>
      <c r="CG158" s="33" t="str">
        <f>HYPERLINK("http://exon.niaid.nih.gov/transcriptome/S_calcitrans/S1/links/DIPTERA/XP_013105161.1-DIPTERA.txt","immediate early response 3-interacting protein 1")</f>
        <v>immediate early response 3-interacting protein 1</v>
      </c>
      <c r="CH158" t="str">
        <f>HYPERLINK("http://www.ncbi.nlm.nih.gov/sutils/blink.cgi?pid=907674465","9E-039")</f>
        <v>9E-039</v>
      </c>
      <c r="CI158" t="str">
        <f>HYPERLINK("http://www.ncbi.nlm.nih.gov/protein/907674465","gi|907674465")</f>
        <v>gi|907674465</v>
      </c>
      <c r="CJ158">
        <v>100</v>
      </c>
      <c r="CK158">
        <v>100</v>
      </c>
      <c r="CL158">
        <v>100</v>
      </c>
      <c r="CM158" t="s">
        <v>253</v>
      </c>
      <c r="CN158" s="33" t="s">
        <v>242</v>
      </c>
      <c r="CO158" t="s">
        <v>242</v>
      </c>
      <c r="CP158" t="s">
        <v>242</v>
      </c>
      <c r="CQ158" t="s">
        <v>242</v>
      </c>
      <c r="CR158" t="s">
        <v>242</v>
      </c>
      <c r="CS158" t="s">
        <v>242</v>
      </c>
      <c r="CT158" t="s">
        <v>242</v>
      </c>
      <c r="CU158" s="33" t="s">
        <v>1724</v>
      </c>
      <c r="CV158">
        <f>HYPERLINK("http://exon.niaid.nih.gov/transcriptome/S_calcitrans/S1/links/GO/XP_013105161.1-GO.txt",7E-32)</f>
        <v>6.9999999999999997E-32</v>
      </c>
      <c r="CW158" t="s">
        <v>242</v>
      </c>
      <c r="CX158" t="s">
        <v>242</v>
      </c>
      <c r="CY158" t="s">
        <v>242</v>
      </c>
      <c r="CZ158" t="s">
        <v>242</v>
      </c>
      <c r="DA158" t="s">
        <v>242</v>
      </c>
      <c r="DC158" t="s">
        <v>242</v>
      </c>
      <c r="DD158" t="s">
        <v>242</v>
      </c>
      <c r="DE158" s="33" t="str">
        <f>HYPERLINK("http://exon.niaid.nih.gov/transcriptome/S_calcitrans/S1/links/CDD/XP_013105161.1-CDD.txt","Yos1")</f>
        <v>Yos1</v>
      </c>
      <c r="DF158" t="str">
        <f>HYPERLINK("http://www.ncbi.nlm.nih.gov/Structure/cdd/cddsrv.cgi?uid=pfam08571&amp;version=v4.0","2E-022")</f>
        <v>2E-022</v>
      </c>
      <c r="DG158" t="s">
        <v>1725</v>
      </c>
      <c r="DH158" s="33" t="str">
        <f>HYPERLINK("http://exon.niaid.nih.gov/transcriptome/S_calcitrans/S1/links/KOG/XP_013105161.1-KOG.txt","Predicted membrane protein")</f>
        <v>Predicted membrane protein</v>
      </c>
      <c r="DI158" t="str">
        <f>HYPERLINK("http://www.ncbi.nlm.nih.gov/Structure/cdd/cddsrv.cgi?uid=KOG4779","5E-018")</f>
        <v>5E-018</v>
      </c>
      <c r="DJ158" t="s">
        <v>260</v>
      </c>
      <c r="DK158" t="str">
        <f>HYPERLINK("http://exon.niaid.nih.gov/transcriptome/S_calcitrans/S1/links/KOG/XP_013105161.1-KOG.txt","KOG4779")</f>
        <v>KOG4779</v>
      </c>
      <c r="DL158" s="33" t="str">
        <f>HYPERLINK("http://exon.niaid.nih.gov/transcriptome/S_calcitrans/S1/links/PFAM/XP_013105161.1-PFAM.txt","Yos1")</f>
        <v>Yos1</v>
      </c>
      <c r="DM158" t="str">
        <f>HYPERLINK("http://pfam.sanger.ac.uk/family?acc=PF08571","5E-023")</f>
        <v>5E-023</v>
      </c>
      <c r="DN158" s="33" t="str">
        <f>HYPERLINK("http://exon.niaid.nih.gov/transcriptome/S_calcitrans/S1/links/SMART/XP_013105161.1-SMART.txt","Cache_2")</f>
        <v>Cache_2</v>
      </c>
      <c r="DO158" t="str">
        <f>HYPERLINK("http://smart.embl-heidelberg.de/smart/do_annotation.pl?DOMAIN=Cache_2&amp;BLAST=DUMMY","0.23")</f>
        <v>0.23</v>
      </c>
      <c r="DP158" s="33"/>
      <c r="EB158" s="33">
        <v>4124</v>
      </c>
      <c r="EC158">
        <v>1</v>
      </c>
      <c r="ED158" s="33">
        <v>5001</v>
      </c>
      <c r="EE158">
        <v>1</v>
      </c>
      <c r="EF158" s="33">
        <v>5513</v>
      </c>
      <c r="EG158">
        <v>1</v>
      </c>
      <c r="EH158" s="33">
        <v>5905</v>
      </c>
      <c r="EI158">
        <v>1</v>
      </c>
      <c r="EJ158" s="33">
        <v>6299</v>
      </c>
      <c r="EK158">
        <v>1</v>
      </c>
      <c r="EL158" s="33">
        <v>6608</v>
      </c>
      <c r="EM158">
        <v>1</v>
      </c>
      <c r="EN158" s="33">
        <v>6972</v>
      </c>
      <c r="EO158">
        <v>1</v>
      </c>
      <c r="EP158" s="33">
        <v>7251</v>
      </c>
      <c r="EQ158">
        <v>1</v>
      </c>
      <c r="ER158" s="33">
        <v>7484</v>
      </c>
      <c r="ES158">
        <v>1</v>
      </c>
      <c r="ET158" s="33">
        <v>7668</v>
      </c>
      <c r="EU158">
        <v>1</v>
      </c>
      <c r="EV158" s="33">
        <v>7848</v>
      </c>
      <c r="EW158">
        <v>1</v>
      </c>
      <c r="EX158" s="33">
        <v>8014</v>
      </c>
      <c r="EY158">
        <v>1</v>
      </c>
      <c r="EZ158" s="33">
        <v>8185</v>
      </c>
      <c r="FA158">
        <v>1</v>
      </c>
      <c r="FB158" s="33">
        <v>8370</v>
      </c>
      <c r="FC158">
        <v>1</v>
      </c>
      <c r="FD158" s="33">
        <v>8652</v>
      </c>
      <c r="FE158">
        <v>1</v>
      </c>
      <c r="FF158" t="s">
        <v>1726</v>
      </c>
      <c r="FG158">
        <v>10796</v>
      </c>
      <c r="FH158" s="38" t="str">
        <f>HYPERLINK("http://exon.niaid.nih.gov/transcriptome/S_calcitrans/S1/links/SG_male-stripped_temp-95-h10-1gap/10796-SG_male-stripped_temp-95-h10-1gap.txt","699")</f>
        <v>699</v>
      </c>
      <c r="FI158" s="39">
        <v>100</v>
      </c>
      <c r="FJ158" s="39">
        <v>208.38683127572</v>
      </c>
      <c r="FK158" s="39">
        <v>5</v>
      </c>
      <c r="FL158" s="39">
        <v>397</v>
      </c>
      <c r="FM158" s="39">
        <v>72.443490701001394</v>
      </c>
      <c r="FN158" s="38" t="str">
        <f>HYPERLINK("http://exon.niaid.nih.gov/transcriptome/S_calcitrans/S1/links/SG_female-stripped_temp-95-h10-1gap/10796-SG_female-stripped_temp-95-h10-1gap.txt","826")</f>
        <v>826</v>
      </c>
      <c r="FO158" s="39">
        <v>100</v>
      </c>
      <c r="FP158" s="39">
        <v>246.73662551440299</v>
      </c>
      <c r="FQ158" s="39">
        <v>6</v>
      </c>
      <c r="FR158" s="39">
        <v>478</v>
      </c>
      <c r="FS158" s="39">
        <v>72.587167070217902</v>
      </c>
      <c r="FT158" s="38" t="str">
        <f>HYPERLINK("http://exon.niaid.nih.gov/transcriptome/S_calcitrans/S1/links/SRR694289-stripped_temp-95-h10-1gap/10796-SRR694289-stripped_temp-95-h10-1gap.txt","4")</f>
        <v>4</v>
      </c>
      <c r="FU158" s="39">
        <v>91.358024691357997</v>
      </c>
      <c r="FV158" s="39">
        <v>1.5761316872428</v>
      </c>
      <c r="FW158" s="39">
        <v>0</v>
      </c>
      <c r="FX158" s="39">
        <v>2</v>
      </c>
      <c r="FY158" s="39">
        <v>95.75</v>
      </c>
      <c r="FZ158" s="38" t="str">
        <f>HYPERLINK("http://exon.niaid.nih.gov/transcriptome/S_calcitrans/S1/links/SRR694925-stripped_temp-95-h10-1gap/10796-SRR694925-stripped_temp-95-h10-1gap.txt","1")</f>
        <v>1</v>
      </c>
      <c r="GA158" s="39">
        <v>41.152263374485599</v>
      </c>
      <c r="GB158" s="39">
        <v>0.41152263374485598</v>
      </c>
      <c r="GC158" s="39">
        <v>0</v>
      </c>
      <c r="GD158" s="39">
        <v>1</v>
      </c>
      <c r="GE158" s="39">
        <v>100</v>
      </c>
      <c r="GF158">
        <f t="shared" si="170"/>
        <v>699</v>
      </c>
      <c r="GG158">
        <f t="shared" si="171"/>
        <v>826</v>
      </c>
      <c r="GH158">
        <f t="shared" si="172"/>
        <v>4</v>
      </c>
      <c r="GI158">
        <f t="shared" si="173"/>
        <v>1</v>
      </c>
      <c r="GJ158">
        <f t="shared" si="163"/>
        <v>1525</v>
      </c>
      <c r="GK158" s="34">
        <v>5.9233433913646197E-3</v>
      </c>
      <c r="GL158">
        <v>94.096374826061492</v>
      </c>
      <c r="GM158">
        <v>50.564650929990975</v>
      </c>
      <c r="GN158">
        <v>9.4620721826119955E-2</v>
      </c>
      <c r="GO158">
        <v>2.4385828756547101E-2</v>
      </c>
      <c r="GP158">
        <f t="shared" si="174"/>
        <v>94.096374826061492</v>
      </c>
      <c r="GQ158" t="s">
        <v>1494</v>
      </c>
      <c r="GR158">
        <v>73.384958712924572</v>
      </c>
      <c r="GS158">
        <v>41.501756086176066</v>
      </c>
      <c r="GT158">
        <v>0.17056878602200157</v>
      </c>
      <c r="GU158">
        <v>4.6169059172473818E-2</v>
      </c>
      <c r="GV158">
        <f t="shared" si="175"/>
        <v>73.384958712924572</v>
      </c>
      <c r="GW158">
        <v>485.29086975816443</v>
      </c>
      <c r="GX158">
        <v>1525</v>
      </c>
      <c r="GY158">
        <v>5</v>
      </c>
      <c r="GZ158">
        <v>1530</v>
      </c>
      <c r="HA158">
        <v>339.65953120901224</v>
      </c>
      <c r="HB158">
        <v>1190.3404687909876</v>
      </c>
      <c r="HC158">
        <v>4136.5894310471776</v>
      </c>
      <c r="HD158">
        <v>1180.3614711853911</v>
      </c>
      <c r="HE158">
        <v>5316.9509022325692</v>
      </c>
      <c r="HF158">
        <v>0</v>
      </c>
      <c r="HG158">
        <v>339.65953120901224</v>
      </c>
      <c r="HH158">
        <v>1</v>
      </c>
      <c r="HI158">
        <v>1</v>
      </c>
      <c r="HJ158">
        <v>2</v>
      </c>
      <c r="HK158">
        <v>0</v>
      </c>
      <c r="HL158" s="30" t="s">
        <v>262</v>
      </c>
      <c r="HM158">
        <v>890.72980838823946</v>
      </c>
      <c r="HN158">
        <v>9.3494933648242506E-4</v>
      </c>
      <c r="HO158">
        <v>699</v>
      </c>
      <c r="HP158">
        <v>826</v>
      </c>
      <c r="HQ158">
        <v>1525</v>
      </c>
      <c r="HR158">
        <v>476.7088157587998</v>
      </c>
      <c r="HS158">
        <v>1048.2911842412002</v>
      </c>
      <c r="HT158">
        <v>103.65524814703002</v>
      </c>
      <c r="HU158">
        <v>47.137065859351672</v>
      </c>
      <c r="HV158">
        <v>150.7923140063817</v>
      </c>
      <c r="HW158">
        <v>1.1635409929865374E-34</v>
      </c>
      <c r="HX158">
        <v>476.7088157587998</v>
      </c>
      <c r="HY158">
        <v>1</v>
      </c>
      <c r="HZ158">
        <v>1</v>
      </c>
      <c r="IA158">
        <v>2</v>
      </c>
      <c r="IB158" s="37">
        <v>7.0408283018867897E-33</v>
      </c>
      <c r="IC158" s="30" t="s">
        <v>262</v>
      </c>
      <c r="ID158">
        <v>1.858661984545293</v>
      </c>
      <c r="IE158">
        <v>0.5366031986642702</v>
      </c>
      <c r="IF158">
        <v>1.858661984545293</v>
      </c>
      <c r="IG158" t="str">
        <f t="shared" si="156"/>
        <v/>
      </c>
    </row>
    <row r="159" spans="1:241">
      <c r="A159" t="str">
        <f>HYPERLINK("http://exon.niaid.nih.gov/transcriptome/S_calcitrans/S1/links/pep/XP_013107159.1-pep.txt","XP_013107159.1")</f>
        <v>XP_013107159.1</v>
      </c>
      <c r="B159" s="30" t="s">
        <v>232</v>
      </c>
      <c r="C159">
        <v>59</v>
      </c>
      <c r="D159" t="s">
        <v>1727</v>
      </c>
      <c r="E159">
        <v>0</v>
      </c>
      <c r="F159" t="s">
        <v>1728</v>
      </c>
      <c r="G159" t="str">
        <f>HYPERLINK("http://exon.niaid.nih.gov/transcriptome/S_calcitrans/S1/links/cds/XM_013251705_1-cds.txt","XM_013251705_1")</f>
        <v>XM_013251705_1</v>
      </c>
      <c r="H159">
        <v>180</v>
      </c>
      <c r="I159" t="s">
        <v>1729</v>
      </c>
      <c r="J159" s="30" t="s">
        <v>236</v>
      </c>
      <c r="K159" s="30" t="s">
        <v>91</v>
      </c>
      <c r="L159" s="31" t="s">
        <v>1730</v>
      </c>
      <c r="M159" s="30">
        <v>561896</v>
      </c>
      <c r="N159" s="30">
        <v>562075</v>
      </c>
      <c r="O159" s="30" t="s">
        <v>276</v>
      </c>
      <c r="P159" s="30">
        <v>1</v>
      </c>
      <c r="Q159" s="31" t="s">
        <v>1731</v>
      </c>
      <c r="R159" s="32" t="str">
        <f>HYPERLINK("http://exon.niaid.nih.gov/transcriptome/S_calcitrans/S1/links/Sigp/XP_013107159.1-SigP.txt","ANC")</f>
        <v>ANC</v>
      </c>
      <c r="S159" t="s">
        <v>242</v>
      </c>
      <c r="T159">
        <v>6.8019999999999996</v>
      </c>
      <c r="U159">
        <v>11.43</v>
      </c>
      <c r="V159">
        <v>1.571</v>
      </c>
      <c r="W159">
        <v>9.99</v>
      </c>
      <c r="X159" t="s">
        <v>1732</v>
      </c>
      <c r="Y159" s="32" t="str">
        <f>HYPERLINK("http://exon.niaid.nih.gov/transcriptome/S_calcitrans/S1/links/tmhmm/XP_013107159.1-tmhmm.txt","1")</f>
        <v>1</v>
      </c>
      <c r="Z159">
        <v>32.200000000000003</v>
      </c>
      <c r="AA159">
        <v>15.3</v>
      </c>
      <c r="AB159">
        <v>52.5</v>
      </c>
      <c r="AC159" t="s">
        <v>242</v>
      </c>
      <c r="AD159">
        <v>9</v>
      </c>
      <c r="AE159" s="32" t="str">
        <f>HYPERLINK("http://exon.niaid.nih.gov/transcriptome/S_calcitrans/S1/links/netoglyc/XP_013107159.1-netoglyc.txt","0")</f>
        <v>0</v>
      </c>
      <c r="AF159">
        <v>6.8</v>
      </c>
      <c r="AG159">
        <v>3.4</v>
      </c>
      <c r="AH159">
        <v>3.4</v>
      </c>
      <c r="AI159" t="s">
        <v>243</v>
      </c>
      <c r="AJ159" t="s">
        <v>242</v>
      </c>
      <c r="AK159">
        <v>1172.2588363509485</v>
      </c>
      <c r="AL159" s="33">
        <v>9685</v>
      </c>
      <c r="AM159">
        <v>1</v>
      </c>
      <c r="AN159" s="30">
        <f t="shared" si="149"/>
        <v>1</v>
      </c>
      <c r="AO159" s="30" t="s">
        <v>244</v>
      </c>
      <c r="AP159">
        <v>3345</v>
      </c>
      <c r="AQ159" s="34">
        <v>1.2992513864993215E-2</v>
      </c>
      <c r="AR159" s="35">
        <v>579.31833950760461</v>
      </c>
      <c r="AS159" t="s">
        <v>1733</v>
      </c>
      <c r="AT159" s="36" t="s">
        <v>1734</v>
      </c>
      <c r="AU159" t="s">
        <v>1735</v>
      </c>
      <c r="AV159" t="str">
        <f>HYPERLINK("http://exon.niaid.nih.gov/transcriptome/S_calcitrans/S1/links/SWISSP/XP_013107159.1-SWISSP.txt","SWISSP")</f>
        <v>SWISSP</v>
      </c>
      <c r="AW159" s="37">
        <v>1.9999999999999998E-24</v>
      </c>
      <c r="AX159">
        <v>100</v>
      </c>
      <c r="AY159" s="33"/>
      <c r="BG159" s="31"/>
      <c r="BJ159" s="33"/>
      <c r="BK159" s="33"/>
      <c r="BL159" s="33" t="str">
        <f>HYPERLINK("http://exon.niaid.nih.gov/transcriptome/S_calcitrans/S1/links/NR-LIGHT/XP_013107159.1-NR-LIGHT.txt","single-pass membrane and coiled-coil domain-containing protein 4 homolog")</f>
        <v>single-pass membrane and coiled-coil domain-containing protein 4 homolog</v>
      </c>
      <c r="BM159" t="str">
        <f>HYPERLINK("http://www.ncbi.nlm.nih.gov/sutils/blink.cgi?pid=557758120","2E-019")</f>
        <v>2E-019</v>
      </c>
      <c r="BN159" t="str">
        <f>HYPERLINK("http://www.ncbi.nlm.nih.gov/protein/557758120","gi|557758120")</f>
        <v>gi|557758120</v>
      </c>
      <c r="BO159">
        <v>77</v>
      </c>
      <c r="BP159">
        <v>93</v>
      </c>
      <c r="BQ159">
        <v>100</v>
      </c>
      <c r="BR159" t="s">
        <v>251</v>
      </c>
      <c r="BS159" s="33" t="str">
        <f>HYPERLINK("http://exon.niaid.nih.gov/transcriptome/S_calcitrans/S1/links/SWISSP/XP_013107159.1-SWISSP.txt","Single-pass membrane and coiled-coil domain-containing protein 4 homolog")</f>
        <v>Single-pass membrane and coiled-coil domain-containing protein 4 homolog</v>
      </c>
      <c r="BT159" t="str">
        <f>HYPERLINK("http://www.uniprot.org/uniprot/Q8SY72","2E-015")</f>
        <v>2E-015</v>
      </c>
      <c r="BU159" t="str">
        <f>HYPERLINK("http://www.uniprot.org/uniprot/Q8SY72#expression","Q8SY72")</f>
        <v>Q8SY72</v>
      </c>
      <c r="BV159">
        <v>64</v>
      </c>
      <c r="BW159">
        <v>87</v>
      </c>
      <c r="BX159">
        <v>98</v>
      </c>
      <c r="BY159" t="s">
        <v>304</v>
      </c>
      <c r="BZ159" s="33" t="str">
        <f>HYPERLINK("http://exon.niaid.nih.gov/transcriptome/S_calcitrans/S1/links/REFSEQ-INVERTEBRATE/XP_013107159.1-REFSEQ-INVERTEBRATE.txt","single-pass membrane and coiled-coil domain-containing protein 4 homolog")</f>
        <v>single-pass membrane and coiled-coil domain-containing protein 4 homolog</v>
      </c>
      <c r="CA159" t="str">
        <f>HYPERLINK("http://www.ncbi.nlm.nih.gov/sutils/blink.cgi?pid=907685704","3E-024")</f>
        <v>3E-024</v>
      </c>
      <c r="CB159" t="str">
        <f>HYPERLINK("http://www.ncbi.nlm.nih.gov/protein/907685704","gi|907685704")</f>
        <v>gi|907685704</v>
      </c>
      <c r="CC159">
        <v>100</v>
      </c>
      <c r="CD159">
        <v>100</v>
      </c>
      <c r="CE159">
        <v>100</v>
      </c>
      <c r="CF159" t="s">
        <v>253</v>
      </c>
      <c r="CG159" s="33" t="str">
        <f>HYPERLINK("http://exon.niaid.nih.gov/transcriptome/S_calcitrans/S1/links/DIPTERA/XP_013107159.1-DIPTERA.txt","single-pass membrane and coiled-coil domain-containing protein 4 homolog")</f>
        <v>single-pass membrane and coiled-coil domain-containing protein 4 homolog</v>
      </c>
      <c r="CH159" t="str">
        <f>HYPERLINK("http://www.ncbi.nlm.nih.gov/sutils/blink.cgi?pid=907685704","2E-024")</f>
        <v>2E-024</v>
      </c>
      <c r="CI159" t="str">
        <f>HYPERLINK("http://www.ncbi.nlm.nih.gov/protein/907685704","gi|907685704")</f>
        <v>gi|907685704</v>
      </c>
      <c r="CJ159">
        <v>100</v>
      </c>
      <c r="CK159">
        <v>100</v>
      </c>
      <c r="CL159">
        <v>100</v>
      </c>
      <c r="CM159" t="s">
        <v>253</v>
      </c>
      <c r="CN159" s="33" t="s">
        <v>242</v>
      </c>
      <c r="CO159" t="s">
        <v>242</v>
      </c>
      <c r="CP159" t="s">
        <v>242</v>
      </c>
      <c r="CQ159" t="s">
        <v>242</v>
      </c>
      <c r="CR159" t="s">
        <v>242</v>
      </c>
      <c r="CS159" t="s">
        <v>242</v>
      </c>
      <c r="CT159" t="s">
        <v>242</v>
      </c>
      <c r="CU159" s="33" t="s">
        <v>874</v>
      </c>
      <c r="CV159">
        <f>HYPERLINK("http://exon.niaid.nih.gov/transcriptome/S_calcitrans/S1/links/GO/XP_013107159.1-GO.txt",0.000000000000004)</f>
        <v>4.0000000000000003E-15</v>
      </c>
      <c r="CW159" t="str">
        <f>HYPERLINK("http://amigo.geneontology.org/cgi-bin/amigo/term_details?term=GO:0003674","GO:0003674")</f>
        <v>GO:0003674</v>
      </c>
      <c r="CX159" t="s">
        <v>255</v>
      </c>
      <c r="CY159" t="s">
        <v>256</v>
      </c>
      <c r="CZ159" t="s">
        <v>257</v>
      </c>
      <c r="DA159" t="s">
        <v>242</v>
      </c>
      <c r="DC159" t="s">
        <v>258</v>
      </c>
      <c r="DD159">
        <v>4.0000000000000003E-15</v>
      </c>
      <c r="DE159" s="33" t="str">
        <f>HYPERLINK("http://exon.niaid.nih.gov/transcriptome/S_calcitrans/S1/links/CDD/XP_013107159.1-CDD.txt","DUF4519")</f>
        <v>DUF4519</v>
      </c>
      <c r="DF159" t="str">
        <f>HYPERLINK("http://www.ncbi.nlm.nih.gov/Structure/cdd/cddsrv.cgi?uid=pfam15012&amp;version=v4.0","2E-011")</f>
        <v>2E-011</v>
      </c>
      <c r="DG159" t="s">
        <v>1736</v>
      </c>
      <c r="DH159" s="33" t="str">
        <f>HYPERLINK("http://exon.niaid.nih.gov/transcriptome/S_calcitrans/S1/links/KOG/XP_013107159.1-KOG.txt","Lipocalin-interacting membrane receptor (LIMR)")</f>
        <v>Lipocalin-interacting membrane receptor (LIMR)</v>
      </c>
      <c r="DI159" t="str">
        <f>HYPERLINK("http://www.ncbi.nlm.nih.gov/Structure/cdd/cddsrv.cgi?uid=KOG3722","0.21")</f>
        <v>0.21</v>
      </c>
      <c r="DJ159" t="s">
        <v>533</v>
      </c>
      <c r="DK159" t="str">
        <f>HYPERLINK("http://exon.niaid.nih.gov/transcriptome/S_calcitrans/S1/links/KOG/XP_013107159.1-KOG.txt","KOG3722")</f>
        <v>KOG3722</v>
      </c>
      <c r="DL159" s="33" t="str">
        <f>HYPERLINK("http://exon.niaid.nih.gov/transcriptome/S_calcitrans/S1/links/PFAM/XP_013107159.1-PFAM.txt","DUF4519")</f>
        <v>DUF4519</v>
      </c>
      <c r="DM159" t="str">
        <f>HYPERLINK("http://pfam.sanger.ac.uk/family?acc=PF15012","4E-012")</f>
        <v>4E-012</v>
      </c>
      <c r="DN159" s="33" t="str">
        <f>HYPERLINK("http://exon.niaid.nih.gov/transcriptome/S_calcitrans/S1/links/SMART/XP_013107159.1-SMART.txt","BING4CT")</f>
        <v>BING4CT</v>
      </c>
      <c r="DO159" t="str">
        <f>HYPERLINK("http://smart.embl-heidelberg.de/smart/do_annotation.pl?DOMAIN=BING4CT&amp;BLAST=DUMMY","0.12")</f>
        <v>0.12</v>
      </c>
      <c r="DP159" s="33"/>
      <c r="EB159" s="33">
        <v>4451</v>
      </c>
      <c r="EC159">
        <v>1</v>
      </c>
      <c r="ED159" s="33">
        <v>5379</v>
      </c>
      <c r="EE159">
        <v>1</v>
      </c>
      <c r="EF159" s="33">
        <v>5949</v>
      </c>
      <c r="EG159">
        <v>1</v>
      </c>
      <c r="EH159" s="33">
        <v>6374</v>
      </c>
      <c r="EI159">
        <v>1</v>
      </c>
      <c r="EJ159" s="33">
        <v>6812</v>
      </c>
      <c r="EK159">
        <v>1</v>
      </c>
      <c r="EL159" s="33">
        <v>7159</v>
      </c>
      <c r="EM159">
        <v>1</v>
      </c>
      <c r="EN159" s="33">
        <v>7562</v>
      </c>
      <c r="EO159">
        <v>1</v>
      </c>
      <c r="EP159" s="33">
        <v>7881</v>
      </c>
      <c r="EQ159">
        <v>1</v>
      </c>
      <c r="ER159" s="33">
        <v>8162</v>
      </c>
      <c r="ES159">
        <v>1</v>
      </c>
      <c r="ET159" s="33">
        <v>8377</v>
      </c>
      <c r="EU159">
        <v>1</v>
      </c>
      <c r="EV159" s="33">
        <v>8599</v>
      </c>
      <c r="EW159">
        <v>1</v>
      </c>
      <c r="EX159" s="33">
        <v>8821</v>
      </c>
      <c r="EY159">
        <v>1</v>
      </c>
      <c r="EZ159" s="33">
        <v>9056</v>
      </c>
      <c r="FA159">
        <v>1</v>
      </c>
      <c r="FB159" s="33">
        <v>9314</v>
      </c>
      <c r="FC159">
        <v>1</v>
      </c>
      <c r="FD159" s="33">
        <v>9685</v>
      </c>
      <c r="FE159">
        <v>1</v>
      </c>
      <c r="FF159" t="s">
        <v>1737</v>
      </c>
      <c r="FG159">
        <v>12576</v>
      </c>
      <c r="FH159" s="38" t="str">
        <f>HYPERLINK("http://exon.niaid.nih.gov/transcriptome/S_calcitrans/S1/links/SG_male-stripped_temp-95-h10-1gap/12576-SG_male-stripped_temp-95-h10-1gap.txt","1372")</f>
        <v>1372</v>
      </c>
      <c r="FI159" s="39">
        <v>100</v>
      </c>
      <c r="FJ159" s="39">
        <v>482.13333333333298</v>
      </c>
      <c r="FK159" s="39">
        <v>70</v>
      </c>
      <c r="FL159" s="39">
        <v>856</v>
      </c>
      <c r="FM159" s="39">
        <v>63.253644314868801</v>
      </c>
      <c r="FN159" s="38" t="str">
        <f>HYPERLINK("http://exon.niaid.nih.gov/transcriptome/S_calcitrans/S1/links/SG_female-stripped_temp-95-h10-1gap/12576-SG_female-stripped_temp-95-h10-1gap.txt","1973")</f>
        <v>1973</v>
      </c>
      <c r="FO159" s="39">
        <v>100</v>
      </c>
      <c r="FP159" s="39">
        <v>714.52777777777806</v>
      </c>
      <c r="FQ159" s="39">
        <v>108</v>
      </c>
      <c r="FR159" s="39">
        <v>1117</v>
      </c>
      <c r="FS159" s="39">
        <v>65.187531677648295</v>
      </c>
      <c r="FT159" s="38" t="str">
        <f>HYPERLINK("http://exon.niaid.nih.gov/transcriptome/S_calcitrans/S1/links/SRR694289-stripped_temp-95-h10-1gap/12576-SRR694289-stripped_temp-95-h10-1gap.txt","3")</f>
        <v>3</v>
      </c>
      <c r="FU159" s="39">
        <v>78.3333333333333</v>
      </c>
      <c r="FV159" s="39">
        <v>1.2222222222222201</v>
      </c>
      <c r="FW159" s="39">
        <v>0</v>
      </c>
      <c r="FX159" s="39">
        <v>2</v>
      </c>
      <c r="FY159" s="39">
        <v>73.3333333333333</v>
      </c>
      <c r="FZ159" s="38" t="str">
        <f>HYPERLINK("http://exon.niaid.nih.gov/transcriptome/S_calcitrans/S1/links/SRR694925-stripped_temp-95-h10-1gap/12576-SRR694925-stripped_temp-95-h10-1gap.txt","6")</f>
        <v>6</v>
      </c>
      <c r="GA159" s="39">
        <v>97.2222222222222</v>
      </c>
      <c r="GB159" s="39">
        <v>2.9444444444444402</v>
      </c>
      <c r="GC159" s="39">
        <v>0</v>
      </c>
      <c r="GD159" s="39">
        <v>5</v>
      </c>
      <c r="GE159" s="39">
        <v>88.3333333333333</v>
      </c>
      <c r="GF159">
        <f t="shared" si="170"/>
        <v>1372</v>
      </c>
      <c r="GG159">
        <f t="shared" si="171"/>
        <v>1973</v>
      </c>
      <c r="GH159">
        <f t="shared" si="172"/>
        <v>3</v>
      </c>
      <c r="GI159">
        <f t="shared" si="173"/>
        <v>6</v>
      </c>
      <c r="GJ159">
        <f t="shared" si="163"/>
        <v>3345</v>
      </c>
      <c r="GK159" s="34">
        <v>1.2992513864993215E-2</v>
      </c>
      <c r="GL159">
        <v>249.33520093395006</v>
      </c>
      <c r="GM159">
        <v>163.05263436389524</v>
      </c>
      <c r="GN159">
        <v>9.5803480848946451E-2</v>
      </c>
      <c r="GO159">
        <v>0.19752521292803152</v>
      </c>
      <c r="GP159">
        <f t="shared" si="174"/>
        <v>249.33520093395006</v>
      </c>
      <c r="GQ159" t="s">
        <v>1735</v>
      </c>
      <c r="GR159">
        <v>194.45439274403276</v>
      </c>
      <c r="GS159">
        <v>133.82809010088894</v>
      </c>
      <c r="GT159">
        <v>0.17270089584727658</v>
      </c>
      <c r="GU159">
        <v>0.37396937929703788</v>
      </c>
      <c r="GV159">
        <f t="shared" si="175"/>
        <v>194.45439274403276</v>
      </c>
      <c r="GW159">
        <v>579.31833950760461</v>
      </c>
      <c r="GX159">
        <v>3345</v>
      </c>
      <c r="GY159">
        <v>9</v>
      </c>
      <c r="GZ159">
        <v>3354</v>
      </c>
      <c r="HA159">
        <v>744.58697233661906</v>
      </c>
      <c r="HB159">
        <v>2609.4130276633809</v>
      </c>
      <c r="HC159">
        <v>9081.7435244950047</v>
      </c>
      <c r="HD159">
        <v>2591.4440691271666</v>
      </c>
      <c r="HE159">
        <v>11673.187593622171</v>
      </c>
      <c r="HF159">
        <v>0</v>
      </c>
      <c r="HG159">
        <v>744.58697233661906</v>
      </c>
      <c r="HH159">
        <v>1</v>
      </c>
      <c r="HI159">
        <v>1</v>
      </c>
      <c r="HJ159">
        <v>2</v>
      </c>
      <c r="HK159">
        <v>0</v>
      </c>
      <c r="HL159" s="30" t="s">
        <v>262</v>
      </c>
      <c r="HM159">
        <v>1172.2588363509485</v>
      </c>
      <c r="HN159">
        <v>7.675190787357816E-4</v>
      </c>
      <c r="HO159">
        <v>1372</v>
      </c>
      <c r="HP159">
        <v>1973</v>
      </c>
      <c r="HQ159">
        <v>3345</v>
      </c>
      <c r="HR159">
        <v>1045.6334352217609</v>
      </c>
      <c r="HS159">
        <v>2299.3665647782391</v>
      </c>
      <c r="HT159">
        <v>101.86661120161914</v>
      </c>
      <c r="HU159">
        <v>46.323685938880004</v>
      </c>
      <c r="HV159">
        <v>148.19029714049913</v>
      </c>
      <c r="HW159">
        <v>4.3105554179921393E-34</v>
      </c>
      <c r="HX159">
        <v>1045.6334352217609</v>
      </c>
      <c r="HY159">
        <v>1</v>
      </c>
      <c r="HZ159">
        <v>1</v>
      </c>
      <c r="IA159">
        <v>2</v>
      </c>
      <c r="IB159" s="37">
        <v>2.5737253191489402E-32</v>
      </c>
      <c r="IC159" s="30" t="s">
        <v>262</v>
      </c>
      <c r="ID159">
        <v>1.5283953692656966</v>
      </c>
      <c r="IE159">
        <v>0.65347322513153494</v>
      </c>
      <c r="IF159">
        <v>1.5283953692656966</v>
      </c>
      <c r="IG159" t="str">
        <f t="shared" si="156"/>
        <v/>
      </c>
    </row>
    <row r="160" spans="1:241">
      <c r="A160" t="str">
        <f>HYPERLINK("http://exon.niaid.nih.gov/transcriptome/S_calcitrans/S1/links/pep/XP_013111533.1-pep.txt","XP_013111533.1")</f>
        <v>XP_013111533.1</v>
      </c>
      <c r="B160" s="30" t="s">
        <v>232</v>
      </c>
      <c r="C160">
        <v>154</v>
      </c>
      <c r="D160" t="s">
        <v>1738</v>
      </c>
      <c r="E160">
        <v>0</v>
      </c>
      <c r="F160" t="s">
        <v>1739</v>
      </c>
      <c r="G160" t="str">
        <f>HYPERLINK("http://exon.niaid.nih.gov/transcriptome/S_calcitrans/S1/links/cds/XM_013256079_1-cds.txt","XM_013256079_1")</f>
        <v>XM_013256079_1</v>
      </c>
      <c r="H160">
        <v>465</v>
      </c>
      <c r="I160" t="s">
        <v>1740</v>
      </c>
      <c r="J160" s="30" t="s">
        <v>236</v>
      </c>
      <c r="K160" s="30" t="s">
        <v>91</v>
      </c>
      <c r="L160" s="31" t="s">
        <v>1741</v>
      </c>
      <c r="M160" s="30">
        <v>19809</v>
      </c>
      <c r="N160" s="30">
        <v>20273</v>
      </c>
      <c r="O160" s="30" t="s">
        <v>238</v>
      </c>
      <c r="P160" s="30">
        <v>1</v>
      </c>
      <c r="Q160" s="31" t="s">
        <v>1742</v>
      </c>
      <c r="R160" s="32" t="str">
        <f>HYPERLINK("http://exon.niaid.nih.gov/transcriptome/S_calcitrans/S1/links/Sigp/XP_013111533.1-SigP.txt","CYT")</f>
        <v>CYT</v>
      </c>
      <c r="S160" t="s">
        <v>242</v>
      </c>
      <c r="T160">
        <v>16.559000000000001</v>
      </c>
      <c r="U160">
        <v>9.6</v>
      </c>
      <c r="V160" t="s">
        <v>242</v>
      </c>
      <c r="W160" t="s">
        <v>242</v>
      </c>
      <c r="X160" t="s">
        <v>1743</v>
      </c>
      <c r="Y160" s="32">
        <v>0</v>
      </c>
      <c r="Z160" t="s">
        <v>242</v>
      </c>
      <c r="AA160" t="s">
        <v>242</v>
      </c>
      <c r="AB160" t="s">
        <v>242</v>
      </c>
      <c r="AC160" t="s">
        <v>242</v>
      </c>
      <c r="AD160" t="s">
        <v>242</v>
      </c>
      <c r="AE160" s="32" t="str">
        <f>HYPERLINK("http://exon.niaid.nih.gov/transcriptome/S_calcitrans/S1/links/netoglyc/XP_013111533.1-netoglyc.txt","2")</f>
        <v>2</v>
      </c>
      <c r="AF160">
        <v>6.5</v>
      </c>
      <c r="AG160">
        <v>12.3</v>
      </c>
      <c r="AH160">
        <v>21.4</v>
      </c>
      <c r="AI160" t="s">
        <v>243</v>
      </c>
      <c r="AJ160" t="s">
        <v>242</v>
      </c>
      <c r="AK160">
        <v>105.5141876697739</v>
      </c>
      <c r="AL160" s="33">
        <v>11944</v>
      </c>
      <c r="AM160">
        <v>1</v>
      </c>
      <c r="AN160" s="30">
        <f t="shared" si="149"/>
        <v>1</v>
      </c>
      <c r="AO160" s="30" t="s">
        <v>244</v>
      </c>
      <c r="AP160">
        <v>1114</v>
      </c>
      <c r="AQ160" s="34">
        <v>4.3269537953968436E-3</v>
      </c>
      <c r="AR160" s="35">
        <v>49.148952121144227</v>
      </c>
      <c r="AS160" t="s">
        <v>1744</v>
      </c>
      <c r="AT160" s="36" t="s">
        <v>1745</v>
      </c>
      <c r="AU160" t="s">
        <v>1494</v>
      </c>
      <c r="AV160" t="str">
        <f>HYPERLINK("http://exon.niaid.nih.gov/transcriptome/S_calcitrans/S1/links/DIPTERA/XP_013111533.1-DIPTERA.txt","DIPTERA")</f>
        <v>DIPTERA</v>
      </c>
      <c r="AW160" s="37">
        <v>4.9999999999999995E-94</v>
      </c>
      <c r="AX160">
        <v>100</v>
      </c>
      <c r="AY160" s="33"/>
      <c r="BG160" s="31"/>
      <c r="BJ160" s="33"/>
      <c r="BK160" s="33"/>
      <c r="BL160" s="33" t="str">
        <f>HYPERLINK("http://exon.niaid.nih.gov/transcriptome/S_calcitrans/S1/links/NR-LIGHT/XP_013111533.1-NR-LIGHT.txt","U1 small nuclear ribonucleoprotein C")</f>
        <v>U1 small nuclear ribonucleoprotein C</v>
      </c>
      <c r="BM160" t="str">
        <f>HYPERLINK("http://www.ncbi.nlm.nih.gov/sutils/blink.cgi?pid=557765661","2E-076")</f>
        <v>2E-076</v>
      </c>
      <c r="BN160" t="str">
        <f>HYPERLINK("http://www.ncbi.nlm.nih.gov/protein/557765661","gi|557765661")</f>
        <v>gi|557765661</v>
      </c>
      <c r="BO160">
        <v>87</v>
      </c>
      <c r="BP160">
        <v>91</v>
      </c>
      <c r="BQ160">
        <v>103</v>
      </c>
      <c r="BR160" t="s">
        <v>251</v>
      </c>
      <c r="BS160" s="33" t="str">
        <f>HYPERLINK("http://exon.niaid.nih.gov/transcriptome/S_calcitrans/S1/links/SWISSP/XP_013111533.1-SWISSP.txt","U1 small nuclear ribonucleoprotein C")</f>
        <v>U1 small nuclear ribonucleoprotein C</v>
      </c>
      <c r="BT160" t="str">
        <f>HYPERLINK("http://www.uniprot.org/uniprot/Q298E0","6E-064")</f>
        <v>6E-064</v>
      </c>
      <c r="BU160" t="str">
        <f>HYPERLINK("http://www.uniprot.org/uniprot/Q298E0#expression","Q298E0")</f>
        <v>Q298E0</v>
      </c>
      <c r="BV160">
        <v>76</v>
      </c>
      <c r="BW160">
        <v>81</v>
      </c>
      <c r="BX160">
        <v>108</v>
      </c>
      <c r="BY160" t="s">
        <v>1303</v>
      </c>
      <c r="BZ160" s="33" t="str">
        <f>HYPERLINK("http://exon.niaid.nih.gov/transcriptome/S_calcitrans/S1/links/REFSEQ-INVERTEBRATE/XP_013111533.1-REFSEQ-INVERTEBRATE.txt","U1 small nuclear ribonucleoprotein C")</f>
        <v>U1 small nuclear ribonucleoprotein C</v>
      </c>
      <c r="CA160" t="str">
        <f>HYPERLINK("http://www.ncbi.nlm.nih.gov/sutils/blink.cgi?pid=907712113","9E-094")</f>
        <v>9E-094</v>
      </c>
      <c r="CB160" t="str">
        <f>HYPERLINK("http://www.ncbi.nlm.nih.gov/protein/907712113","gi|907712113")</f>
        <v>gi|907712113</v>
      </c>
      <c r="CC160">
        <v>100</v>
      </c>
      <c r="CD160">
        <v>100</v>
      </c>
      <c r="CE160">
        <v>100</v>
      </c>
      <c r="CF160" t="s">
        <v>253</v>
      </c>
      <c r="CG160" s="33" t="str">
        <f>HYPERLINK("http://exon.niaid.nih.gov/transcriptome/S_calcitrans/S1/links/DIPTERA/XP_013111533.1-DIPTERA.txt","U1 small nuclear ribonucleoprotein C")</f>
        <v>U1 small nuclear ribonucleoprotein C</v>
      </c>
      <c r="CH160" t="str">
        <f>HYPERLINK("http://www.ncbi.nlm.nih.gov/sutils/blink.cgi?pid=907712113","5E-094")</f>
        <v>5E-094</v>
      </c>
      <c r="CI160" t="str">
        <f>HYPERLINK("http://www.ncbi.nlm.nih.gov/protein/907712113","gi|907712113")</f>
        <v>gi|907712113</v>
      </c>
      <c r="CJ160">
        <v>100</v>
      </c>
      <c r="CK160">
        <v>100</v>
      </c>
      <c r="CL160">
        <v>100</v>
      </c>
      <c r="CM160" t="s">
        <v>253</v>
      </c>
      <c r="CN160" s="33" t="str">
        <f>HYPERLINK("http://exon.niaid.nih.gov/transcriptome/S_calcitrans/S1/links/VIRUS/XP_013111533.1-VIRUS.txt","hypothetical protein EhV207")</f>
        <v>hypothetical protein EhV207</v>
      </c>
      <c r="CO160" t="str">
        <f>HYPERLINK("http://www.ncbi.nlm.nih.gov/sutils/blink.cgi?pid=73852677","2E-007")</f>
        <v>2E-007</v>
      </c>
      <c r="CP160" t="str">
        <f>HYPERLINK("http://www.ncbi.nlm.nih.gov/protein/73852677","gi|73852677")</f>
        <v>gi|73852677</v>
      </c>
      <c r="CQ160">
        <v>37</v>
      </c>
      <c r="CR160">
        <v>41</v>
      </c>
      <c r="CS160">
        <v>19</v>
      </c>
      <c r="CT160" t="s">
        <v>1746</v>
      </c>
      <c r="CU160" s="33" t="s">
        <v>1747</v>
      </c>
      <c r="CV160">
        <f>HYPERLINK("http://exon.niaid.nih.gov/transcriptome/S_calcitrans/S1/links/GO/XP_013111533.1-GO.txt",2E-63)</f>
        <v>2.0000000000000001E-63</v>
      </c>
      <c r="CW160" t="str">
        <f>HYPERLINK("http://amigo.geneontology.org/cgi-bin/amigo/term_details?term=GO:0003729","GO:0003729")</f>
        <v>GO:0003729</v>
      </c>
      <c r="CX160" t="s">
        <v>1243</v>
      </c>
      <c r="CY160" t="s">
        <v>1244</v>
      </c>
      <c r="CZ160" t="s">
        <v>242</v>
      </c>
      <c r="DA160" t="s">
        <v>242</v>
      </c>
      <c r="DC160" t="s">
        <v>1748</v>
      </c>
      <c r="DD160" s="37">
        <v>2.0000000000000001E-63</v>
      </c>
      <c r="DE160" s="33" t="str">
        <f>HYPERLINK("http://exon.niaid.nih.gov/transcriptome/S_calcitrans/S1/links/CDD/XP_013111533.1-CDD.txt","zf-U1")</f>
        <v>zf-U1</v>
      </c>
      <c r="DF160" t="str">
        <f>HYPERLINK("http://www.ncbi.nlm.nih.gov/Structure/cdd/cddsrv.cgi?uid=pfam06220&amp;version=v4.0","1E-016")</f>
        <v>1E-016</v>
      </c>
      <c r="DG160" t="s">
        <v>1749</v>
      </c>
      <c r="DH160" s="33" t="str">
        <f>HYPERLINK("http://exon.niaid.nih.gov/transcriptome/S_calcitrans/S1/links/KOG/XP_013111533.1-KOG.txt","U1 snRNP-specific protein C")</f>
        <v>U1 snRNP-specific protein C</v>
      </c>
      <c r="DI160" t="str">
        <f>HYPERLINK("http://www.ncbi.nlm.nih.gov/Structure/cdd/cddsrv.cgi?uid=KOG3454","8E-025")</f>
        <v>8E-025</v>
      </c>
      <c r="DJ160" t="s">
        <v>1635</v>
      </c>
      <c r="DK160" t="str">
        <f>HYPERLINK("http://exon.niaid.nih.gov/transcriptome/S_calcitrans/S1/links/KOG/XP_013111533.1-KOG.txt","KOG3454")</f>
        <v>KOG3454</v>
      </c>
      <c r="DL160" s="33" t="str">
        <f>HYPERLINK("http://exon.niaid.nih.gov/transcriptome/S_calcitrans/S1/links/PFAM/XP_013111533.1-PFAM.txt","zf-U1")</f>
        <v>zf-U1</v>
      </c>
      <c r="DM160" t="str">
        <f>HYPERLINK("http://pfam.sanger.ac.uk/family?acc=PF06220","3E-017")</f>
        <v>3E-017</v>
      </c>
      <c r="DN160" s="33" t="str">
        <f>HYPERLINK("http://exon.niaid.nih.gov/transcriptome/S_calcitrans/S1/links/SMART/XP_013111533.1-SMART.txt","ZnF_U1")</f>
        <v>ZnF_U1</v>
      </c>
      <c r="DO160" t="str">
        <f>HYPERLINK("http://smart.embl-heidelberg.de/smart/do_annotation.pl?DOMAIN=ZnF_U1&amp;BLAST=DUMMY","2E-011")</f>
        <v>2E-011</v>
      </c>
      <c r="DP160" s="33"/>
      <c r="EB160" s="33">
        <v>5125</v>
      </c>
      <c r="EC160">
        <v>1</v>
      </c>
      <c r="ED160" s="33">
        <v>6195</v>
      </c>
      <c r="EE160">
        <v>1</v>
      </c>
      <c r="EF160" s="33">
        <v>6897</v>
      </c>
      <c r="EG160">
        <v>1</v>
      </c>
      <c r="EH160" s="33">
        <v>7436</v>
      </c>
      <c r="EI160">
        <v>1</v>
      </c>
      <c r="EJ160" s="33">
        <v>7997</v>
      </c>
      <c r="EK160">
        <v>1</v>
      </c>
      <c r="EL160" s="33">
        <v>8438</v>
      </c>
      <c r="EM160">
        <v>1</v>
      </c>
      <c r="EN160" s="33">
        <v>8928</v>
      </c>
      <c r="EO160">
        <v>1</v>
      </c>
      <c r="EP160" s="33">
        <v>9328</v>
      </c>
      <c r="EQ160">
        <v>1</v>
      </c>
      <c r="ER160" s="33">
        <v>9687</v>
      </c>
      <c r="ES160">
        <v>1</v>
      </c>
      <c r="ET160" s="33">
        <v>9993</v>
      </c>
      <c r="EU160">
        <v>1</v>
      </c>
      <c r="EV160" s="33">
        <v>10336</v>
      </c>
      <c r="EW160">
        <v>1</v>
      </c>
      <c r="EX160" s="33">
        <v>10639</v>
      </c>
      <c r="EY160">
        <v>1</v>
      </c>
      <c r="EZ160" s="33">
        <v>10991</v>
      </c>
      <c r="FA160">
        <v>1</v>
      </c>
      <c r="FB160" s="33">
        <v>11375</v>
      </c>
      <c r="FC160">
        <v>1</v>
      </c>
      <c r="FD160" s="33">
        <v>11944</v>
      </c>
      <c r="FE160">
        <v>1</v>
      </c>
      <c r="FF160" t="s">
        <v>1750</v>
      </c>
      <c r="FG160">
        <v>16505</v>
      </c>
      <c r="FH160" s="38" t="str">
        <f>HYPERLINK("http://exon.niaid.nih.gov/transcriptome/S_calcitrans/S1/links/SG_male-stripped_temp-95-h10-1gap/16505-SG_male-stripped_temp-95-h10-1gap.txt","463")</f>
        <v>463</v>
      </c>
      <c r="FI160" s="39">
        <v>100</v>
      </c>
      <c r="FJ160" s="39">
        <v>71.174193548387095</v>
      </c>
      <c r="FK160" s="39">
        <v>4</v>
      </c>
      <c r="FL160" s="39">
        <v>120</v>
      </c>
      <c r="FM160" s="39">
        <v>71.481641468682497</v>
      </c>
      <c r="FN160" s="38" t="str">
        <f>HYPERLINK("http://exon.niaid.nih.gov/transcriptome/S_calcitrans/S1/links/SG_female-stripped_temp-95-h10-1gap/16505-SG_female-stripped_temp-95-h10-1gap.txt","651")</f>
        <v>651</v>
      </c>
      <c r="FO160" s="39">
        <v>100</v>
      </c>
      <c r="FP160" s="39">
        <v>100.189247311828</v>
      </c>
      <c r="FQ160" s="39">
        <v>4</v>
      </c>
      <c r="FR160" s="39">
        <v>158</v>
      </c>
      <c r="FS160" s="39">
        <v>71.563748079877101</v>
      </c>
      <c r="FT160" s="38" t="str">
        <f>HYPERLINK("http://exon.niaid.nih.gov/transcriptome/S_calcitrans/S1/links/SRR694289-stripped_temp-95-h10-1gap/16505-SRR694289-stripped_temp-95-h10-1gap.txt","13")</f>
        <v>13</v>
      </c>
      <c r="FU160" s="39">
        <v>93.118279569892493</v>
      </c>
      <c r="FV160" s="39">
        <v>2.4946236559139798</v>
      </c>
      <c r="FW160" s="39">
        <v>0</v>
      </c>
      <c r="FX160" s="39">
        <v>6</v>
      </c>
      <c r="FY160" s="39">
        <v>89.230769230769198</v>
      </c>
      <c r="FZ160" s="38" t="str">
        <f>HYPERLINK("http://exon.niaid.nih.gov/transcriptome/S_calcitrans/S1/links/SRR694925-stripped_temp-95-h10-1gap/16505-SRR694925-stripped_temp-95-h10-1gap.txt","23")</f>
        <v>23</v>
      </c>
      <c r="GA160" s="39">
        <v>72.473118279569903</v>
      </c>
      <c r="GB160" s="39">
        <v>4.7247311827956997</v>
      </c>
      <c r="GC160" s="39">
        <v>0</v>
      </c>
      <c r="GD160" s="39">
        <v>12</v>
      </c>
      <c r="GE160" s="39">
        <v>95.521739130434796</v>
      </c>
      <c r="GF160">
        <f t="shared" si="170"/>
        <v>463</v>
      </c>
      <c r="GG160">
        <f t="shared" si="171"/>
        <v>651</v>
      </c>
      <c r="GH160">
        <f t="shared" si="172"/>
        <v>13</v>
      </c>
      <c r="GI160">
        <f t="shared" si="173"/>
        <v>23</v>
      </c>
      <c r="GJ160">
        <f t="shared" si="163"/>
        <v>1114</v>
      </c>
      <c r="GK160" s="34">
        <v>4.3269537953968436E-3</v>
      </c>
      <c r="GL160">
        <v>32.570920163383491</v>
      </c>
      <c r="GM160">
        <v>20.825779959301368</v>
      </c>
      <c r="GN160">
        <v>0.16070261303694244</v>
      </c>
      <c r="GO160">
        <v>0.29310192886094999</v>
      </c>
      <c r="GP160">
        <f t="shared" si="174"/>
        <v>32.570920163383491</v>
      </c>
      <c r="GQ160" t="s">
        <v>1494</v>
      </c>
      <c r="GR160">
        <v>25.40178233061803</v>
      </c>
      <c r="GS160">
        <v>17.09309615074709</v>
      </c>
      <c r="GT160">
        <v>0.28969182529220588</v>
      </c>
      <c r="GU160">
        <v>0.55492230476334659</v>
      </c>
      <c r="GV160">
        <f t="shared" si="175"/>
        <v>25.40178233061803</v>
      </c>
      <c r="GW160">
        <v>49.148952121144227</v>
      </c>
      <c r="GX160">
        <v>1114</v>
      </c>
      <c r="GY160">
        <v>36</v>
      </c>
      <c r="GZ160">
        <v>1150</v>
      </c>
      <c r="HA160">
        <v>255.29964764076084</v>
      </c>
      <c r="HB160">
        <v>894.7003523592391</v>
      </c>
      <c r="HC160">
        <v>2888.2385931822746</v>
      </c>
      <c r="HD160">
        <v>824.1488820223633</v>
      </c>
      <c r="HE160">
        <v>3712.3874752046377</v>
      </c>
      <c r="HF160">
        <v>0</v>
      </c>
      <c r="HG160">
        <v>255.29964764076084</v>
      </c>
      <c r="HH160">
        <v>1</v>
      </c>
      <c r="HI160">
        <v>1</v>
      </c>
      <c r="HJ160">
        <v>2</v>
      </c>
      <c r="HK160">
        <v>0</v>
      </c>
      <c r="HL160" s="30" t="s">
        <v>262</v>
      </c>
      <c r="HM160">
        <v>105.5141876697739</v>
      </c>
      <c r="HN160">
        <v>9.2129823765019735E-3</v>
      </c>
      <c r="HO160">
        <v>463</v>
      </c>
      <c r="HP160">
        <v>651</v>
      </c>
      <c r="HQ160">
        <v>1114</v>
      </c>
      <c r="HR160">
        <v>348.23188246249379</v>
      </c>
      <c r="HS160">
        <v>765.76811753750621</v>
      </c>
      <c r="HT160">
        <v>37.824568818799925</v>
      </c>
      <c r="HU160">
        <v>17.200664929038012</v>
      </c>
      <c r="HV160">
        <v>55.025233747837937</v>
      </c>
      <c r="HW160">
        <v>1.1899228844326596E-13</v>
      </c>
      <c r="HX160">
        <v>348.23188246249379</v>
      </c>
      <c r="HY160">
        <v>1</v>
      </c>
      <c r="HZ160">
        <v>1</v>
      </c>
      <c r="IA160">
        <v>2</v>
      </c>
      <c r="IB160" s="37">
        <v>3.0425630979498899E-12</v>
      </c>
      <c r="IC160" s="30" t="s">
        <v>262</v>
      </c>
      <c r="ID160">
        <v>1.5615724754565619</v>
      </c>
      <c r="IE160">
        <v>0.63801994873326973</v>
      </c>
      <c r="IF160">
        <v>1.5615724754565619</v>
      </c>
      <c r="IG160" t="str">
        <f t="shared" si="156"/>
        <v/>
      </c>
    </row>
    <row r="161" spans="1:241">
      <c r="A161" t="str">
        <f>HYPERLINK("http://exon.niaid.nih.gov/transcriptome/S_calcitrans/S1/links/pep/XP_013115712.1-pep.txt","XP_013115712.1")</f>
        <v>XP_013115712.1</v>
      </c>
      <c r="B161" s="30" t="s">
        <v>232</v>
      </c>
      <c r="C161">
        <v>169</v>
      </c>
      <c r="D161" t="s">
        <v>1751</v>
      </c>
      <c r="E161">
        <v>1</v>
      </c>
      <c r="F161" t="s">
        <v>1752</v>
      </c>
      <c r="G161" t="str">
        <f>HYPERLINK("http://exon.niaid.nih.gov/transcriptome/S_calcitrans/S1/links/cds/XM_013260258_1-cds.txt","XM_013260258_1")</f>
        <v>XM_013260258_1</v>
      </c>
      <c r="H161">
        <v>510</v>
      </c>
      <c r="I161" t="s">
        <v>1753</v>
      </c>
      <c r="J161" s="30" t="s">
        <v>236</v>
      </c>
      <c r="K161" s="30" t="s">
        <v>91</v>
      </c>
      <c r="L161" s="31" t="s">
        <v>1754</v>
      </c>
      <c r="M161" s="30">
        <v>16182</v>
      </c>
      <c r="N161" s="30">
        <v>16759</v>
      </c>
      <c r="O161" s="30" t="s">
        <v>276</v>
      </c>
      <c r="P161" s="30">
        <v>2</v>
      </c>
      <c r="Q161" s="31" t="s">
        <v>1755</v>
      </c>
      <c r="R161" s="32" t="str">
        <f>HYPERLINK("http://exon.niaid.nih.gov/transcriptome/S_calcitrans/S1/links/Sigp/XP_013115712.1-SigP.txt","CYT")</f>
        <v>CYT</v>
      </c>
      <c r="S161" t="s">
        <v>242</v>
      </c>
      <c r="T161">
        <v>19.603999999999999</v>
      </c>
      <c r="U161">
        <v>5.68</v>
      </c>
      <c r="V161" t="s">
        <v>242</v>
      </c>
      <c r="W161" t="s">
        <v>242</v>
      </c>
      <c r="X161" t="s">
        <v>1756</v>
      </c>
      <c r="Y161" s="32" t="str">
        <f>HYPERLINK("http://exon.niaid.nih.gov/transcriptome/S_calcitrans/S1/links/tmhmm/XP_013115712.1-tmhmm.txt","1")</f>
        <v>1</v>
      </c>
      <c r="Z161">
        <v>13</v>
      </c>
      <c r="AA161">
        <v>29.6</v>
      </c>
      <c r="AB161">
        <v>57.4</v>
      </c>
      <c r="AC161" t="s">
        <v>242</v>
      </c>
      <c r="AD161">
        <v>50</v>
      </c>
      <c r="AE161" s="32" t="str">
        <f>HYPERLINK("http://exon.niaid.nih.gov/transcriptome/S_calcitrans/S1/links/netoglyc/XP_013115712.1-netoglyc.txt","0")</f>
        <v>0</v>
      </c>
      <c r="AF161">
        <v>11.2</v>
      </c>
      <c r="AG161">
        <v>3</v>
      </c>
      <c r="AH161">
        <v>3</v>
      </c>
      <c r="AI161" t="s">
        <v>243</v>
      </c>
      <c r="AJ161" t="s">
        <v>1757</v>
      </c>
      <c r="AK161">
        <v>151.0125529094577</v>
      </c>
      <c r="AL161" s="33">
        <v>14230</v>
      </c>
      <c r="AM161">
        <v>1</v>
      </c>
      <c r="AN161" s="30">
        <f t="shared" si="149"/>
        <v>1</v>
      </c>
      <c r="AO161" s="30" t="s">
        <v>244</v>
      </c>
      <c r="AP161">
        <v>474</v>
      </c>
      <c r="AQ161" s="34">
        <v>1.8410916508241506E-3</v>
      </c>
      <c r="AR161" s="35">
        <v>73.103134754643619</v>
      </c>
      <c r="AS161" t="s">
        <v>1758</v>
      </c>
      <c r="AT161" s="36" t="s">
        <v>1759</v>
      </c>
      <c r="AU161" t="s">
        <v>1760</v>
      </c>
      <c r="AY161" s="33"/>
      <c r="BG161" s="31"/>
      <c r="BJ161" s="33"/>
      <c r="BK161" s="33"/>
      <c r="BL161" s="33" t="str">
        <f>HYPERLINK("http://exon.niaid.nih.gov/transcriptome/S_calcitrans/S1/links/NR-LIGHT/XP_013115712.1-NR-LIGHT.txt","uncharacterized protein LOC101896791")</f>
        <v>uncharacterized protein LOC101896791</v>
      </c>
      <c r="BM161" t="str">
        <f>HYPERLINK("http://www.ncbi.nlm.nih.gov/sutils/blink.cgi?pid=755900335","5E-037")</f>
        <v>5E-037</v>
      </c>
      <c r="BN161" t="str">
        <f>HYPERLINK("http://www.ncbi.nlm.nih.gov/protein/755900335","gi|755900335")</f>
        <v>gi|755900335</v>
      </c>
      <c r="BO161">
        <v>51</v>
      </c>
      <c r="BP161">
        <v>64</v>
      </c>
      <c r="BQ161">
        <v>104</v>
      </c>
      <c r="BR161" t="s">
        <v>251</v>
      </c>
      <c r="BS161" s="33" t="str">
        <f>HYPERLINK("http://exon.niaid.nih.gov/transcriptome/S_calcitrans/S1/links/SWISSP/XP_013115712.1-SWISSP.txt","SAYSvFN domain-containing protein 1")</f>
        <v>SAYSvFN domain-containing protein 1</v>
      </c>
      <c r="BT161" t="str">
        <f>HYPERLINK("http://www.uniprot.org/uniprot/Q9NPB0","1E-011")</f>
        <v>1E-011</v>
      </c>
      <c r="BU161" t="str">
        <f>HYPERLINK("http://www.uniprot.org/uniprot/Q9NPB0#expression","Q9NPB0")</f>
        <v>Q9NPB0</v>
      </c>
      <c r="BV161">
        <v>43</v>
      </c>
      <c r="BW161">
        <v>62</v>
      </c>
      <c r="BX161">
        <v>47</v>
      </c>
      <c r="BY161" t="s">
        <v>353</v>
      </c>
      <c r="BZ161" s="33" t="str">
        <f>HYPERLINK("http://exon.niaid.nih.gov/transcriptome/S_calcitrans/S1/links/REFSEQ-INVERTEBRATE/XP_013115712.1-REFSEQ-INVERTEBRATE.txt","uncharacterized protein LOC106093233")</f>
        <v>uncharacterized protein LOC106093233</v>
      </c>
      <c r="CA161" t="str">
        <f>HYPERLINK("http://www.ncbi.nlm.nih.gov/sutils/blink.cgi?pid=907736290","5E-091")</f>
        <v>5E-091</v>
      </c>
      <c r="CB161" t="str">
        <f>HYPERLINK("http://www.ncbi.nlm.nih.gov/protein/907736290","gi|907736290")</f>
        <v>gi|907736290</v>
      </c>
      <c r="CC161">
        <v>100</v>
      </c>
      <c r="CD161">
        <v>100</v>
      </c>
      <c r="CE161">
        <v>100</v>
      </c>
      <c r="CF161" t="s">
        <v>253</v>
      </c>
      <c r="CG161" s="33" t="str">
        <f>HYPERLINK("http://exon.niaid.nih.gov/transcriptome/S_calcitrans/S1/links/DIPTERA/XP_013115712.1-DIPTERA.txt","uncharacterized protein LOC106093233")</f>
        <v>uncharacterized protein LOC106093233</v>
      </c>
      <c r="CH161" t="str">
        <f>HYPERLINK("http://www.ncbi.nlm.nih.gov/sutils/blink.cgi?pid=907736290","3E-091")</f>
        <v>3E-091</v>
      </c>
      <c r="CI161" t="str">
        <f>HYPERLINK("http://www.ncbi.nlm.nih.gov/protein/907736290","gi|907736290")</f>
        <v>gi|907736290</v>
      </c>
      <c r="CJ161">
        <v>100</v>
      </c>
      <c r="CK161">
        <v>100</v>
      </c>
      <c r="CL161">
        <v>100</v>
      </c>
      <c r="CM161" t="s">
        <v>253</v>
      </c>
      <c r="CN161" s="33" t="s">
        <v>242</v>
      </c>
      <c r="CO161" t="s">
        <v>242</v>
      </c>
      <c r="CP161" t="s">
        <v>242</v>
      </c>
      <c r="CQ161" t="s">
        <v>242</v>
      </c>
      <c r="CR161" t="s">
        <v>242</v>
      </c>
      <c r="CS161" t="s">
        <v>242</v>
      </c>
      <c r="CT161" t="s">
        <v>242</v>
      </c>
      <c r="CU161" s="33" t="s">
        <v>1761</v>
      </c>
      <c r="CV161">
        <f>HYPERLINK("http://exon.niaid.nih.gov/transcriptome/S_calcitrans/S1/links/GO/XP_013115712.1-GO.txt",0.000000000005)</f>
        <v>4.9999999999999997E-12</v>
      </c>
      <c r="CW161" t="s">
        <v>242</v>
      </c>
      <c r="CX161" t="s">
        <v>242</v>
      </c>
      <c r="CY161" t="s">
        <v>242</v>
      </c>
      <c r="CZ161" t="s">
        <v>242</v>
      </c>
      <c r="DA161" t="s">
        <v>242</v>
      </c>
      <c r="DC161" t="s">
        <v>242</v>
      </c>
      <c r="DD161" t="s">
        <v>242</v>
      </c>
      <c r="DE161" s="33" t="str">
        <f>HYPERLINK("http://exon.niaid.nih.gov/transcriptome/S_calcitrans/S1/links/CDD/XP_013115712.1-CDD.txt","SAYSvFN")</f>
        <v>SAYSvFN</v>
      </c>
      <c r="DF161" t="str">
        <f>HYPERLINK("http://www.ncbi.nlm.nih.gov/Structure/cdd/cddsrv.cgi?uid=pfam10260&amp;version=v4.0","3E-023")</f>
        <v>3E-023</v>
      </c>
      <c r="DG161" t="s">
        <v>1762</v>
      </c>
      <c r="DH161" s="33" t="str">
        <f>HYPERLINK("http://exon.niaid.nih.gov/transcriptome/S_calcitrans/S1/links/KOG/XP_013115712.1-KOG.txt","Uncharacterized conserved protein")</f>
        <v>Uncharacterized conserved protein</v>
      </c>
      <c r="DI161" t="str">
        <f>HYPERLINK("http://www.ncbi.nlm.nih.gov/Structure/cdd/cddsrv.cgi?uid=KOG3249","3E-030")</f>
        <v>3E-030</v>
      </c>
      <c r="DJ161" t="s">
        <v>260</v>
      </c>
      <c r="DK161" t="str">
        <f>HYPERLINK("http://exon.niaid.nih.gov/transcriptome/S_calcitrans/S1/links/KOG/XP_013115712.1-KOG.txt","KOG3249")</f>
        <v>KOG3249</v>
      </c>
      <c r="DL161" s="33" t="str">
        <f>HYPERLINK("http://exon.niaid.nih.gov/transcriptome/S_calcitrans/S1/links/PFAM/XP_013115712.1-PFAM.txt","SAYSvFN")</f>
        <v>SAYSvFN</v>
      </c>
      <c r="DM161" t="str">
        <f>HYPERLINK("http://pfam.sanger.ac.uk/family?acc=PF10260","6E-024")</f>
        <v>6E-024</v>
      </c>
      <c r="DN161" s="33" t="str">
        <f>HYPERLINK("http://exon.niaid.nih.gov/transcriptome/S_calcitrans/S1/links/SMART/XP_013115712.1-SMART.txt","HTTM")</f>
        <v>HTTM</v>
      </c>
      <c r="DO161" t="str">
        <f>HYPERLINK("http://smart.embl-heidelberg.de/smart/do_annotation.pl?DOMAIN=HTTM&amp;BLAST=DUMMY","0.060")</f>
        <v>0.060</v>
      </c>
      <c r="DP161" s="33"/>
      <c r="EB161" s="33">
        <v>5864</v>
      </c>
      <c r="EC161">
        <v>1</v>
      </c>
      <c r="ED161" s="33">
        <v>7093</v>
      </c>
      <c r="EE161">
        <v>1</v>
      </c>
      <c r="EF161" s="33">
        <v>7924</v>
      </c>
      <c r="EG161">
        <v>1</v>
      </c>
      <c r="EH161" s="33">
        <v>8598</v>
      </c>
      <c r="EI161">
        <v>1</v>
      </c>
      <c r="EJ161" s="33">
        <v>9276</v>
      </c>
      <c r="EK161">
        <v>1</v>
      </c>
      <c r="EL161" s="33">
        <v>9800</v>
      </c>
      <c r="EM161">
        <v>1</v>
      </c>
      <c r="EN161" s="33">
        <v>10387</v>
      </c>
      <c r="EO161">
        <v>1</v>
      </c>
      <c r="EP161" s="33">
        <v>10864</v>
      </c>
      <c r="EQ161">
        <v>1</v>
      </c>
      <c r="ER161" s="33">
        <v>11312</v>
      </c>
      <c r="ES161">
        <v>1</v>
      </c>
      <c r="ET161" s="33">
        <v>11702</v>
      </c>
      <c r="EU161">
        <v>1</v>
      </c>
      <c r="EV161" s="33">
        <v>12115</v>
      </c>
      <c r="EW161">
        <v>1</v>
      </c>
      <c r="EX161" s="33">
        <v>12489</v>
      </c>
      <c r="EY161">
        <v>1</v>
      </c>
      <c r="EZ161" s="33">
        <v>12962</v>
      </c>
      <c r="FA161">
        <v>1</v>
      </c>
      <c r="FB161" s="33">
        <v>13468</v>
      </c>
      <c r="FC161">
        <v>1</v>
      </c>
      <c r="FD161" s="33">
        <v>14230</v>
      </c>
      <c r="FE161">
        <v>1</v>
      </c>
      <c r="FF161" t="s">
        <v>1763</v>
      </c>
      <c r="FG161">
        <v>20214</v>
      </c>
      <c r="FH161" s="38" t="str">
        <f>HYPERLINK("http://exon.niaid.nih.gov/transcriptome/S_calcitrans/S1/links/SG_male-stripped_temp-95-h10-1gap/20214-SG_male-stripped_temp-95-h10-1gap.txt","214")</f>
        <v>214</v>
      </c>
      <c r="FI161" s="39">
        <v>100</v>
      </c>
      <c r="FJ161" s="39">
        <v>30.745098039215701</v>
      </c>
      <c r="FK161" s="39">
        <v>2</v>
      </c>
      <c r="FL161" s="39">
        <v>87</v>
      </c>
      <c r="FM161" s="39">
        <v>73.275700934579405</v>
      </c>
      <c r="FN161" s="38" t="str">
        <f>HYPERLINK("http://exon.niaid.nih.gov/transcriptome/S_calcitrans/S1/links/SG_female-stripped_temp-95-h10-1gap/20214-SG_female-stripped_temp-95-h10-1gap.txt","260")</f>
        <v>260</v>
      </c>
      <c r="FO161" s="39">
        <v>100</v>
      </c>
      <c r="FP161" s="39">
        <v>37.180392156862702</v>
      </c>
      <c r="FQ161" s="39">
        <v>3</v>
      </c>
      <c r="FR161" s="39">
        <v>109</v>
      </c>
      <c r="FS161" s="39">
        <v>72.930769230769201</v>
      </c>
      <c r="FT161" s="38" t="str">
        <f>HYPERLINK("http://exon.niaid.nih.gov/transcriptome/S_calcitrans/S1/links/SRR694289-stripped_temp-95-h10-1gap/20214-SRR694289-stripped_temp-95-h10-1gap.txt","5")</f>
        <v>5</v>
      </c>
      <c r="FU161" s="39">
        <v>60.196078431372499</v>
      </c>
      <c r="FV161" s="39">
        <v>0.9</v>
      </c>
      <c r="FW161" s="39">
        <v>0</v>
      </c>
      <c r="FX161" s="39">
        <v>3</v>
      </c>
      <c r="FY161" s="39">
        <v>91.8</v>
      </c>
      <c r="FZ161" s="38" t="str">
        <f>HYPERLINK("http://exon.niaid.nih.gov/transcriptome/S_calcitrans/S1/links/SRR694925-stripped_temp-95-h10-1gap/20214-SRR694925-stripped_temp-95-h10-1gap.txt","5")</f>
        <v>5</v>
      </c>
      <c r="GA161" s="39">
        <v>69.019607843137294</v>
      </c>
      <c r="GB161" s="39">
        <v>0.84117647058823497</v>
      </c>
      <c r="GC161" s="39">
        <v>0</v>
      </c>
      <c r="GD161" s="39">
        <v>2</v>
      </c>
      <c r="GE161" s="39">
        <v>85.8</v>
      </c>
      <c r="GF161">
        <f t="shared" si="170"/>
        <v>214</v>
      </c>
      <c r="GG161">
        <f t="shared" si="171"/>
        <v>260</v>
      </c>
      <c r="GH161">
        <f t="shared" si="172"/>
        <v>5</v>
      </c>
      <c r="GI161">
        <f t="shared" si="173"/>
        <v>5</v>
      </c>
      <c r="GJ161">
        <f t="shared" si="163"/>
        <v>474</v>
      </c>
      <c r="GK161" s="34">
        <v>1.8410916508241506E-3</v>
      </c>
      <c r="GL161">
        <v>13.726050334384833</v>
      </c>
      <c r="GM161">
        <v>7.5836173521265486</v>
      </c>
      <c r="GN161">
        <v>5.6354988734674386E-2</v>
      </c>
      <c r="GO161">
        <v>5.8095650861185739E-2</v>
      </c>
      <c r="GP161">
        <f t="shared" si="174"/>
        <v>13.726050334384833</v>
      </c>
      <c r="GQ161" t="s">
        <v>1760</v>
      </c>
      <c r="GR161">
        <v>10.704829372463472</v>
      </c>
      <c r="GS161">
        <v>6.2243767495717703</v>
      </c>
      <c r="GT161">
        <v>0.10158876226310387</v>
      </c>
      <c r="GU161">
        <v>0.10999099391089351</v>
      </c>
      <c r="GV161">
        <f t="shared" si="175"/>
        <v>10.704829372463472</v>
      </c>
      <c r="GW161">
        <v>73.103134754643619</v>
      </c>
      <c r="GX161">
        <v>474</v>
      </c>
      <c r="GY161">
        <v>10</v>
      </c>
      <c r="GZ161">
        <v>484</v>
      </c>
      <c r="HA161">
        <v>107.44785170272021</v>
      </c>
      <c r="HB161">
        <v>376.55214829727976</v>
      </c>
      <c r="HC161">
        <v>1250.4715105248536</v>
      </c>
      <c r="HD161">
        <v>356.81771576370426</v>
      </c>
      <c r="HE161">
        <v>1607.2892262885578</v>
      </c>
      <c r="HF161">
        <v>0</v>
      </c>
      <c r="HG161">
        <v>107.44785170272021</v>
      </c>
      <c r="HH161">
        <v>1</v>
      </c>
      <c r="HI161">
        <v>1</v>
      </c>
      <c r="HJ161">
        <v>2</v>
      </c>
      <c r="HK161">
        <v>0</v>
      </c>
      <c r="HL161" s="30" t="s">
        <v>262</v>
      </c>
      <c r="HM161">
        <v>151.0125529094577</v>
      </c>
      <c r="HN161">
        <v>6.0072955261986551E-3</v>
      </c>
      <c r="HO161">
        <v>214</v>
      </c>
      <c r="HP161">
        <v>260</v>
      </c>
      <c r="HQ161">
        <v>474</v>
      </c>
      <c r="HR161">
        <v>148.17047781617779</v>
      </c>
      <c r="HS161">
        <v>325.82952218382223</v>
      </c>
      <c r="HT161">
        <v>29.246892193508131</v>
      </c>
      <c r="HU161">
        <v>13.299979577987754</v>
      </c>
      <c r="HV161">
        <v>42.546871771495887</v>
      </c>
      <c r="HW161">
        <v>6.9008548759852406E-11</v>
      </c>
      <c r="HX161">
        <v>148.17047781617779</v>
      </c>
      <c r="HY161">
        <v>1</v>
      </c>
      <c r="HZ161">
        <v>1</v>
      </c>
      <c r="IA161">
        <v>2</v>
      </c>
      <c r="IB161" s="37">
        <v>1.4344822453703701E-9</v>
      </c>
      <c r="IC161" s="30" t="s">
        <v>262</v>
      </c>
      <c r="ID161">
        <v>1.8030261111980268</v>
      </c>
      <c r="IE161">
        <v>0.54992838649077747</v>
      </c>
      <c r="IF161">
        <v>1.8030261111980268</v>
      </c>
      <c r="IG161" t="str">
        <f t="shared" si="156"/>
        <v/>
      </c>
    </row>
    <row r="162" spans="1:241">
      <c r="A162" t="str">
        <f>HYPERLINK("http://exon.niaid.nih.gov/transcriptome/S_calcitrans/S1/links/pep/XP_013117716.1-pep.txt","XP_013117716.1")</f>
        <v>XP_013117716.1</v>
      </c>
      <c r="B162" s="30" t="s">
        <v>232</v>
      </c>
      <c r="C162">
        <v>158</v>
      </c>
      <c r="D162" t="s">
        <v>1764</v>
      </c>
      <c r="E162">
        <v>1</v>
      </c>
      <c r="F162" t="s">
        <v>1765</v>
      </c>
      <c r="G162" t="str">
        <f>HYPERLINK("http://exon.niaid.nih.gov/transcriptome/S_calcitrans/S1/links/cds/XM_013262262_1-cds.txt","XM_013262262_1")</f>
        <v>XM_013262262_1</v>
      </c>
      <c r="H162">
        <v>477</v>
      </c>
      <c r="I162" t="s">
        <v>1766</v>
      </c>
      <c r="J162" s="30" t="s">
        <v>236</v>
      </c>
      <c r="K162" s="30" t="s">
        <v>91</v>
      </c>
      <c r="L162" s="31" t="s">
        <v>1767</v>
      </c>
      <c r="M162" s="30">
        <v>37450</v>
      </c>
      <c r="N162" s="30">
        <v>37926</v>
      </c>
      <c r="O162" s="30" t="s">
        <v>276</v>
      </c>
      <c r="P162" s="30">
        <v>1</v>
      </c>
      <c r="Q162" s="31" t="s">
        <v>1768</v>
      </c>
      <c r="R162" s="32" t="str">
        <f>HYPERLINK("http://exon.niaid.nih.gov/transcriptome/S_calcitrans/S1/links/Sigp/XP_013117716.1-SigP.txt","CYT")</f>
        <v>CYT</v>
      </c>
      <c r="S162" t="s">
        <v>242</v>
      </c>
      <c r="T162">
        <v>18.526</v>
      </c>
      <c r="U162">
        <v>9.9499999999999993</v>
      </c>
      <c r="V162" t="s">
        <v>242</v>
      </c>
      <c r="W162" t="s">
        <v>242</v>
      </c>
      <c r="X162" t="s">
        <v>720</v>
      </c>
      <c r="Y162" s="32">
        <v>0</v>
      </c>
      <c r="Z162" t="s">
        <v>242</v>
      </c>
      <c r="AA162" t="s">
        <v>242</v>
      </c>
      <c r="AB162" t="s">
        <v>242</v>
      </c>
      <c r="AC162" t="s">
        <v>242</v>
      </c>
      <c r="AD162" t="s">
        <v>242</v>
      </c>
      <c r="AE162" s="32" t="str">
        <f>HYPERLINK("http://exon.niaid.nih.gov/transcriptome/S_calcitrans/S1/links/netoglyc/XP_013117716.1-netoglyc.txt","0")</f>
        <v>0</v>
      </c>
      <c r="AF162">
        <v>12.7</v>
      </c>
      <c r="AG162">
        <v>1.3</v>
      </c>
      <c r="AH162">
        <v>3.2</v>
      </c>
      <c r="AI162" t="s">
        <v>243</v>
      </c>
      <c r="AJ162" t="s">
        <v>242</v>
      </c>
      <c r="AK162">
        <v>842.58450633296889</v>
      </c>
      <c r="AL162" s="33">
        <v>15538</v>
      </c>
      <c r="AM162">
        <v>1</v>
      </c>
      <c r="AN162" s="30">
        <f t="shared" si="149"/>
        <v>1</v>
      </c>
      <c r="AO162" s="30" t="s">
        <v>244</v>
      </c>
      <c r="AP162">
        <v>1683</v>
      </c>
      <c r="AQ162" s="34">
        <v>6.5370406083060037E-3</v>
      </c>
      <c r="AR162" s="35">
        <v>386.07958156143945</v>
      </c>
      <c r="AS162" t="s">
        <v>1769</v>
      </c>
      <c r="AT162" s="36" t="s">
        <v>1770</v>
      </c>
      <c r="AU162" t="s">
        <v>1494</v>
      </c>
      <c r="AV162" t="str">
        <f>HYPERLINK("http://exon.niaid.nih.gov/transcriptome/S_calcitrans/S1/links/DIPTERA/XP_013117716.1-DIPTERA.txt","DIPTERA")</f>
        <v>DIPTERA</v>
      </c>
      <c r="AW162" s="37">
        <v>6.0000000000000004E-85</v>
      </c>
      <c r="AX162">
        <v>100</v>
      </c>
      <c r="AY162" s="33"/>
      <c r="BG162" s="31"/>
      <c r="BJ162" s="33"/>
      <c r="BK162" s="33"/>
      <c r="BL162" s="33" t="str">
        <f>HYPERLINK("http://exon.niaid.nih.gov/transcriptome/S_calcitrans/S1/links/NR-LIGHT/XP_013117716.1-NR-LIGHT.txt","enhancer of split malpha protein")</f>
        <v>enhancer of split malpha protein</v>
      </c>
      <c r="BM162" t="str">
        <f>HYPERLINK("http://www.ncbi.nlm.nih.gov/sutils/blink.cgi?pid=557783528","2E-074")</f>
        <v>2E-074</v>
      </c>
      <c r="BN162" t="str">
        <f>HYPERLINK("http://www.ncbi.nlm.nih.gov/protein/557783528","gi|557783528")</f>
        <v>gi|557783528</v>
      </c>
      <c r="BO162">
        <v>86</v>
      </c>
      <c r="BP162">
        <v>94</v>
      </c>
      <c r="BQ162">
        <v>100</v>
      </c>
      <c r="BR162" t="s">
        <v>251</v>
      </c>
      <c r="BS162" s="33" t="str">
        <f>HYPERLINK("http://exon.niaid.nih.gov/transcriptome/S_calcitrans/S1/links/SWISSP/XP_013117716.1-SWISSP.txt","Enhancer of split malpha protein")</f>
        <v>Enhancer of split malpha protein</v>
      </c>
      <c r="BT162" t="str">
        <f>HYPERLINK("http://www.uniprot.org/uniprot/O97178","2E-008")</f>
        <v>2E-008</v>
      </c>
      <c r="BU162" t="str">
        <f>HYPERLINK("http://www.uniprot.org/uniprot/O97178#expression","O97178")</f>
        <v>O97178</v>
      </c>
      <c r="BV162">
        <v>34</v>
      </c>
      <c r="BW162">
        <v>48</v>
      </c>
      <c r="BX162">
        <v>97</v>
      </c>
      <c r="BY162" t="s">
        <v>304</v>
      </c>
      <c r="BZ162" s="33" t="str">
        <f>HYPERLINK("http://exon.niaid.nih.gov/transcriptome/S_calcitrans/S1/links/REFSEQ-INVERTEBRATE/XP_013117716.1-REFSEQ-INVERTEBRATE.txt","enhancer of split malpha protein")</f>
        <v>enhancer of split malpha protein</v>
      </c>
      <c r="CA162" t="str">
        <f>HYPERLINK("http://www.ncbi.nlm.nih.gov/sutils/blink.cgi?pid=907748854","1E-084")</f>
        <v>1E-084</v>
      </c>
      <c r="CB162" t="str">
        <f>HYPERLINK("http://www.ncbi.nlm.nih.gov/protein/907748854","gi|907748854")</f>
        <v>gi|907748854</v>
      </c>
      <c r="CC162">
        <v>100</v>
      </c>
      <c r="CD162">
        <v>100</v>
      </c>
      <c r="CE162">
        <v>100</v>
      </c>
      <c r="CF162" t="s">
        <v>253</v>
      </c>
      <c r="CG162" s="33" t="str">
        <f>HYPERLINK("http://exon.niaid.nih.gov/transcriptome/S_calcitrans/S1/links/DIPTERA/XP_013117716.1-DIPTERA.txt","enhancer of split malpha protein")</f>
        <v>enhancer of split malpha protein</v>
      </c>
      <c r="CH162" t="str">
        <f>HYPERLINK("http://www.ncbi.nlm.nih.gov/sutils/blink.cgi?pid=907748854","6E-085")</f>
        <v>6E-085</v>
      </c>
      <c r="CI162" t="str">
        <f>HYPERLINK("http://www.ncbi.nlm.nih.gov/protein/907748854","gi|907748854")</f>
        <v>gi|907748854</v>
      </c>
      <c r="CJ162">
        <v>100</v>
      </c>
      <c r="CK162">
        <v>100</v>
      </c>
      <c r="CL162">
        <v>100</v>
      </c>
      <c r="CM162" t="s">
        <v>253</v>
      </c>
      <c r="CN162" s="33" t="s">
        <v>242</v>
      </c>
      <c r="CO162" t="s">
        <v>242</v>
      </c>
      <c r="CP162" t="s">
        <v>242</v>
      </c>
      <c r="CQ162" t="s">
        <v>242</v>
      </c>
      <c r="CR162" t="s">
        <v>242</v>
      </c>
      <c r="CS162" t="s">
        <v>242</v>
      </c>
      <c r="CT162" t="s">
        <v>242</v>
      </c>
      <c r="CU162" s="33" t="s">
        <v>1771</v>
      </c>
      <c r="CV162">
        <f>HYPERLINK("http://exon.niaid.nih.gov/transcriptome/S_calcitrans/S1/links/GO/XP_013117716.1-GO.txt",1E-55)</f>
        <v>9.9999999999999999E-56</v>
      </c>
      <c r="CW162" t="str">
        <f>HYPERLINK("http://amigo.geneontology.org/cgi-bin/amigo/term_details?term=GO:0005515","GO:0005515")</f>
        <v>GO:0005515</v>
      </c>
      <c r="CX162" t="s">
        <v>1772</v>
      </c>
      <c r="CY162" t="s">
        <v>1773</v>
      </c>
      <c r="CZ162" t="s">
        <v>1774</v>
      </c>
      <c r="DA162" t="s">
        <v>242</v>
      </c>
      <c r="DC162" t="s">
        <v>1775</v>
      </c>
      <c r="DD162" s="37">
        <v>9.9999999999999999E-56</v>
      </c>
      <c r="DE162" s="33" t="str">
        <f>HYPERLINK("http://exon.niaid.nih.gov/transcriptome/S_calcitrans/S1/links/CDD/XP_013117716.1-CDD.txt","ProRS_anticodon")</f>
        <v>ProRS_anticodon</v>
      </c>
      <c r="DF162" t="str">
        <f>HYPERLINK("http://www.ncbi.nlm.nih.gov/Structure/cdd/cddsrv.cgi?uid=cd00862&amp;version=v4.0","0.14")</f>
        <v>0.14</v>
      </c>
      <c r="DG162" t="s">
        <v>1776</v>
      </c>
      <c r="DH162" s="33" t="str">
        <f>HYPERLINK("http://exon.niaid.nih.gov/transcriptome/S_calcitrans/S1/links/KOG/XP_013117716.1-KOG.txt","Vacuolar H+-ATPase V1 sector, subunit C")</f>
        <v>Vacuolar H+-ATPase V1 sector, subunit C</v>
      </c>
      <c r="DI162" t="str">
        <f>HYPERLINK("http://www.ncbi.nlm.nih.gov/Structure/cdd/cddsrv.cgi?uid=KOG2909","0.42")</f>
        <v>0.42</v>
      </c>
      <c r="DJ162" t="s">
        <v>865</v>
      </c>
      <c r="DK162" t="str">
        <f>HYPERLINK("http://exon.niaid.nih.gov/transcriptome/S_calcitrans/S1/links/KOG/XP_013117716.1-KOG.txt","KOG2909")</f>
        <v>KOG2909</v>
      </c>
      <c r="DL162" s="33" t="str">
        <f>HYPERLINK("http://exon.niaid.nih.gov/transcriptome/S_calcitrans/S1/links/PFAM/XP_013117716.1-PFAM.txt","Prp18")</f>
        <v>Prp18</v>
      </c>
      <c r="DM162" t="str">
        <f>HYPERLINK("http://pfam.sanger.ac.uk/family?acc=PF02840","0.66")</f>
        <v>0.66</v>
      </c>
      <c r="DN162" s="33" t="str">
        <f>HYPERLINK("http://exon.niaid.nih.gov/transcriptome/S_calcitrans/S1/links/SMART/XP_013117716.1-SMART.txt","XPGN")</f>
        <v>XPGN</v>
      </c>
      <c r="DO162" t="str">
        <f>HYPERLINK("http://smart.embl-heidelberg.de/smart/do_annotation.pl?DOMAIN=XPGN&amp;BLAST=DUMMY","0.73")</f>
        <v>0.73</v>
      </c>
      <c r="DP162" s="33"/>
      <c r="EB162" s="33">
        <f>HYPERLINK("http://exon.niaid.nih.gov/transcriptome/S_calcitrans/S1/links/cluster-b/Scalc-pep25-50SimCLU1.txt", 1)</f>
        <v>1</v>
      </c>
      <c r="EC162">
        <f>HYPERLINK("http://exon.niaid.nih.gov/transcriptome/S_calcitrans/S1/links/cluster-b/Scalc-pep25-50SimCLTL1.txt", 5170)</f>
        <v>5170</v>
      </c>
      <c r="ED162" s="33">
        <f>HYPERLINK("http://exon.niaid.nih.gov/transcriptome/S_calcitrans/S1/links/cluster-b/Scalc-pep30-50SimCLU288.txt", 288)</f>
        <v>288</v>
      </c>
      <c r="EE162">
        <f>HYPERLINK("http://exon.niaid.nih.gov/transcriptome/S_calcitrans/S1/links/cluster-b/Scalc-pep30-50SimCLTL288.txt", 9)</f>
        <v>9</v>
      </c>
      <c r="EF162" s="33">
        <f>HYPERLINK("http://exon.niaid.nih.gov/transcriptome/S_calcitrans/S1/links/cluster-b/Scalc-pep35-50SimCLU280.txt", 280)</f>
        <v>280</v>
      </c>
      <c r="EG162">
        <f>HYPERLINK("http://exon.niaid.nih.gov/transcriptome/S_calcitrans/S1/links/cluster-b/Scalc-pep35-50SimCLTL280.txt", 9)</f>
        <v>9</v>
      </c>
      <c r="EH162" s="33">
        <f>HYPERLINK("http://exon.niaid.nih.gov/transcriptome/S_calcitrans/S1/links/cluster-b/Scalc-pep40-50SimCLU262.txt", 262)</f>
        <v>262</v>
      </c>
      <c r="EI162">
        <f>HYPERLINK("http://exon.niaid.nih.gov/transcriptome/S_calcitrans/S1/links/cluster-b/Scalc-pep40-50SimCLTL262.txt", 9)</f>
        <v>9</v>
      </c>
      <c r="EJ162" s="33">
        <f>HYPERLINK("http://exon.niaid.nih.gov/transcriptome/S_calcitrans/S1/links/cluster-b/Scalc-pep45-50SimCLU239.txt", 239)</f>
        <v>239</v>
      </c>
      <c r="EK162">
        <f>HYPERLINK("http://exon.niaid.nih.gov/transcriptome/S_calcitrans/S1/links/cluster-b/Scalc-pep45-50SimCLTL239.txt", 9)</f>
        <v>9</v>
      </c>
      <c r="EL162" s="33">
        <f>HYPERLINK("http://exon.niaid.nih.gov/transcriptome/S_calcitrans/S1/links/cluster-b/Scalc-pep50-50SimCLU3411.txt", 3411)</f>
        <v>3411</v>
      </c>
      <c r="EM162">
        <f>HYPERLINK("http://exon.niaid.nih.gov/transcriptome/S_calcitrans/S1/links/cluster-b/Scalc-pep50-50SimCLTL3411.txt", 2)</f>
        <v>2</v>
      </c>
      <c r="EN162" s="33">
        <f>HYPERLINK("http://exon.niaid.nih.gov/transcriptome/S_calcitrans/S1/links/cluster-b/Scalc-pep55-50SimCLU3696.txt", 3696)</f>
        <v>3696</v>
      </c>
      <c r="EO162">
        <f>HYPERLINK("http://exon.niaid.nih.gov/transcriptome/S_calcitrans/S1/links/cluster-b/Scalc-pep55-50SimCLTL3696.txt", 2)</f>
        <v>2</v>
      </c>
      <c r="EP162" s="33">
        <v>11770</v>
      </c>
      <c r="EQ162">
        <v>1</v>
      </c>
      <c r="ER162" s="33">
        <v>12273</v>
      </c>
      <c r="ES162">
        <v>1</v>
      </c>
      <c r="ET162" s="33">
        <v>12711</v>
      </c>
      <c r="EU162">
        <v>1</v>
      </c>
      <c r="EV162" s="33">
        <v>13170</v>
      </c>
      <c r="EW162">
        <v>1</v>
      </c>
      <c r="EX162" s="33">
        <v>13595</v>
      </c>
      <c r="EY162">
        <v>1</v>
      </c>
      <c r="EZ162" s="33">
        <v>14131</v>
      </c>
      <c r="FA162">
        <v>1</v>
      </c>
      <c r="FB162" s="33">
        <v>14704</v>
      </c>
      <c r="FC162">
        <v>1</v>
      </c>
      <c r="FD162" s="33">
        <v>15538</v>
      </c>
      <c r="FE162">
        <v>1</v>
      </c>
      <c r="FF162" t="s">
        <v>1777</v>
      </c>
      <c r="FG162">
        <v>22001</v>
      </c>
      <c r="FH162" s="38" t="str">
        <f>HYPERLINK("http://exon.niaid.nih.gov/transcriptome/S_calcitrans/S1/links/SG_male-stripped_temp-95-h10-1gap/22001-SG_male-stripped_temp-95-h10-1gap.txt","661")</f>
        <v>661</v>
      </c>
      <c r="FI162" s="39">
        <v>100</v>
      </c>
      <c r="FJ162" s="39">
        <v>101.01677148847</v>
      </c>
      <c r="FK162" s="39">
        <v>5</v>
      </c>
      <c r="FL162" s="39">
        <v>204</v>
      </c>
      <c r="FM162" s="39">
        <v>72.898638426626306</v>
      </c>
      <c r="FN162" s="38" t="str">
        <f>HYPERLINK("http://exon.niaid.nih.gov/transcriptome/S_calcitrans/S1/links/SG_female-stripped_temp-95-h10-1gap/22001-SG_female-stripped_temp-95-h10-1gap.txt","1022")</f>
        <v>1022</v>
      </c>
      <c r="FO162" s="39">
        <v>100</v>
      </c>
      <c r="FP162" s="39">
        <v>155.39412997903599</v>
      </c>
      <c r="FQ162" s="39">
        <v>8</v>
      </c>
      <c r="FR162" s="39">
        <v>252</v>
      </c>
      <c r="FS162" s="39">
        <v>72.527397260274</v>
      </c>
      <c r="FT162" s="38" t="str">
        <f>HYPERLINK("http://exon.niaid.nih.gov/transcriptome/S_calcitrans/S1/links/SRR694289-stripped_temp-95-h10-1gap/22001-SRR694289-stripped_temp-95-h10-1gap.txt","1")</f>
        <v>1</v>
      </c>
      <c r="FU162" s="39">
        <v>16.352201257861601</v>
      </c>
      <c r="FV162" s="39">
        <v>0.16352201257861601</v>
      </c>
      <c r="FW162" s="39">
        <v>0</v>
      </c>
      <c r="FX162" s="39">
        <v>1</v>
      </c>
      <c r="FY162" s="39">
        <v>78</v>
      </c>
      <c r="FZ162" s="38" t="str">
        <f>HYPERLINK("http://exon.niaid.nih.gov/transcriptome/S_calcitrans/S1/links/SRR694925-stripped_temp-95-h10-1gap/22001-SRR694925-stripped_temp-95-h10-1gap.txt","5")</f>
        <v>5</v>
      </c>
      <c r="GA162" s="39">
        <v>63.522012578616398</v>
      </c>
      <c r="GB162" s="39">
        <v>0.98742138364779897</v>
      </c>
      <c r="GC162" s="39">
        <v>0</v>
      </c>
      <c r="GD162" s="39">
        <v>3</v>
      </c>
      <c r="GE162" s="39">
        <v>94.2</v>
      </c>
      <c r="GF162">
        <f t="shared" si="170"/>
        <v>661</v>
      </c>
      <c r="GG162">
        <f t="shared" si="171"/>
        <v>1022</v>
      </c>
      <c r="GH162">
        <f t="shared" si="172"/>
        <v>1</v>
      </c>
      <c r="GI162">
        <f t="shared" si="173"/>
        <v>5</v>
      </c>
      <c r="GJ162">
        <f t="shared" si="163"/>
        <v>1683</v>
      </c>
      <c r="GK162" s="34">
        <v>6.5370406083060037E-3</v>
      </c>
      <c r="GL162">
        <v>45.329932289273607</v>
      </c>
      <c r="GM162">
        <v>31.87173872178197</v>
      </c>
      <c r="GN162">
        <v>1.2050752308043578E-2</v>
      </c>
      <c r="GO162">
        <v>6.2114846832714309E-2</v>
      </c>
      <c r="GP162">
        <f t="shared" si="174"/>
        <v>45.329932289273607</v>
      </c>
      <c r="GQ162" t="s">
        <v>1494</v>
      </c>
      <c r="GR162">
        <v>35.352426867210966</v>
      </c>
      <c r="GS162">
        <v>26.15924568143685</v>
      </c>
      <c r="GT162">
        <v>2.1723383125443592E-2</v>
      </c>
      <c r="GU162">
        <v>0.11760043374120688</v>
      </c>
      <c r="GV162">
        <f t="shared" si="175"/>
        <v>35.352426867210966</v>
      </c>
      <c r="GW162">
        <v>386.07958156143945</v>
      </c>
      <c r="GX162">
        <v>1683</v>
      </c>
      <c r="GY162">
        <v>6</v>
      </c>
      <c r="GZ162">
        <v>1689</v>
      </c>
      <c r="HA162">
        <v>374.95748249151745</v>
      </c>
      <c r="HB162">
        <v>1314.0425175084824</v>
      </c>
      <c r="HC162">
        <v>4563.1179733788495</v>
      </c>
      <c r="HD162">
        <v>1302.0699138822833</v>
      </c>
      <c r="HE162">
        <v>5865.1878872611323</v>
      </c>
      <c r="HF162">
        <v>0</v>
      </c>
      <c r="HG162">
        <v>374.95748249151745</v>
      </c>
      <c r="HH162">
        <v>1</v>
      </c>
      <c r="HI162">
        <v>1</v>
      </c>
      <c r="HJ162">
        <v>2</v>
      </c>
      <c r="HK162">
        <v>0</v>
      </c>
      <c r="HL162" s="30" t="s">
        <v>262</v>
      </c>
      <c r="HM162">
        <v>842.58450633296889</v>
      </c>
      <c r="HN162">
        <v>1.0166741240894399E-3</v>
      </c>
      <c r="HO162">
        <v>661</v>
      </c>
      <c r="HP162">
        <v>1022</v>
      </c>
      <c r="HQ162">
        <v>1683</v>
      </c>
      <c r="HR162">
        <v>526.09897503085904</v>
      </c>
      <c r="HS162">
        <v>1156.901024969141</v>
      </c>
      <c r="HT162">
        <v>34.590994093188165</v>
      </c>
      <c r="HU162">
        <v>15.730201758798003</v>
      </c>
      <c r="HV162">
        <v>50.321195851986168</v>
      </c>
      <c r="HW162">
        <v>1.305320333889573E-12</v>
      </c>
      <c r="HX162">
        <v>526.09897503085904</v>
      </c>
      <c r="HY162">
        <v>1</v>
      </c>
      <c r="HZ162">
        <v>1</v>
      </c>
      <c r="IA162">
        <v>2</v>
      </c>
      <c r="IB162" s="37">
        <v>3.1476298603652002E-11</v>
      </c>
      <c r="IC162" s="30" t="s">
        <v>262</v>
      </c>
      <c r="ID162">
        <v>1.4208707563880962</v>
      </c>
      <c r="IE162">
        <v>0.7020437158007119</v>
      </c>
      <c r="IF162">
        <v>1.4208707563880962</v>
      </c>
      <c r="IG162" t="str">
        <f t="shared" si="156"/>
        <v/>
      </c>
    </row>
    <row r="163" spans="1:241">
      <c r="A163" s="22" t="s">
        <v>1778</v>
      </c>
      <c r="B163" s="23"/>
      <c r="C163" s="24"/>
      <c r="D163" s="24"/>
      <c r="E163" s="24"/>
      <c r="F163" s="24"/>
      <c r="G163" s="24"/>
      <c r="H163" s="24"/>
      <c r="I163" s="24"/>
      <c r="J163" s="23"/>
      <c r="K163" s="23"/>
      <c r="L163" s="25"/>
      <c r="M163" s="23"/>
      <c r="N163" s="23"/>
      <c r="O163" s="23"/>
      <c r="P163" s="23"/>
      <c r="Q163" s="25"/>
      <c r="R163" s="23"/>
      <c r="S163" s="24"/>
      <c r="T163" s="24"/>
      <c r="U163" s="24"/>
      <c r="V163" s="24"/>
      <c r="W163" s="24"/>
      <c r="X163" s="24"/>
      <c r="Y163" s="23"/>
      <c r="Z163" s="24"/>
      <c r="AA163" s="24"/>
      <c r="AB163" s="24"/>
      <c r="AC163" s="24"/>
      <c r="AD163" s="24"/>
      <c r="AE163" s="23"/>
      <c r="AF163" s="24"/>
      <c r="AG163" s="24"/>
      <c r="AH163" s="24"/>
      <c r="AI163" s="24"/>
      <c r="AJ163" s="24"/>
      <c r="AK163" s="24"/>
      <c r="AL163" s="24"/>
      <c r="AM163" s="24"/>
      <c r="AN163" s="23" t="str">
        <f t="shared" si="149"/>
        <v/>
      </c>
      <c r="AO163" s="23" t="s">
        <v>244</v>
      </c>
      <c r="AP163" s="24" t="s">
        <v>244</v>
      </c>
      <c r="AQ163" s="26"/>
      <c r="AR163" s="27"/>
      <c r="AS163" s="24"/>
      <c r="AT163" s="24"/>
      <c r="AU163" s="24"/>
      <c r="AV163" s="24"/>
      <c r="AW163" s="28"/>
      <c r="AX163" s="24"/>
      <c r="AY163" s="24"/>
      <c r="AZ163" s="24"/>
      <c r="BA163" s="24"/>
      <c r="BB163" s="24"/>
      <c r="BC163" s="24"/>
      <c r="BD163" s="24"/>
      <c r="BE163" s="24"/>
      <c r="BF163" s="24"/>
      <c r="BG163" s="25"/>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4"/>
      <c r="GG163" s="24"/>
      <c r="GH163" s="24"/>
      <c r="GI163" s="24"/>
      <c r="GJ163" s="24" t="str">
        <f t="shared" si="163"/>
        <v/>
      </c>
      <c r="GK163" s="26"/>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3"/>
      <c r="HM163" s="24"/>
      <c r="HN163" s="24"/>
      <c r="HO163" s="24"/>
      <c r="HP163" s="24"/>
      <c r="HQ163" s="24"/>
      <c r="HR163" s="24"/>
      <c r="HS163" s="24"/>
      <c r="HT163" s="24"/>
      <c r="HU163" s="24"/>
      <c r="HV163" s="24"/>
      <c r="HW163" s="24"/>
      <c r="HX163" s="24"/>
      <c r="HY163" s="24"/>
      <c r="HZ163" s="24"/>
      <c r="IA163" s="24"/>
      <c r="IB163" s="28"/>
      <c r="IC163" s="23"/>
      <c r="ID163" s="24"/>
      <c r="IE163" s="24"/>
      <c r="IF163" s="24"/>
      <c r="IG163" s="24" t="str">
        <f t="shared" si="156"/>
        <v/>
      </c>
    </row>
    <row r="164" spans="1:241">
      <c r="A164" t="str">
        <f>HYPERLINK("http://exon.niaid.nih.gov/transcriptome/S_calcitrans/S1/links/pep/XP_013098040.1-pep.txt","XP_013098040.1")</f>
        <v>XP_013098040.1</v>
      </c>
      <c r="B164" s="30" t="s">
        <v>232</v>
      </c>
      <c r="C164">
        <v>139</v>
      </c>
      <c r="D164" t="s">
        <v>1779</v>
      </c>
      <c r="E164">
        <v>0</v>
      </c>
      <c r="F164" t="s">
        <v>1780</v>
      </c>
      <c r="G164" t="str">
        <f>HYPERLINK("http://exon.niaid.nih.gov/transcriptome/S_calcitrans/S1/links/cds/XM_013242586_1-cds.txt","XM_013242586_1")</f>
        <v>XM_013242586_1</v>
      </c>
      <c r="H164">
        <v>420</v>
      </c>
      <c r="I164" t="s">
        <v>1781</v>
      </c>
      <c r="J164" s="30" t="s">
        <v>236</v>
      </c>
      <c r="K164" s="30" t="s">
        <v>91</v>
      </c>
      <c r="L164" s="31" t="s">
        <v>1782</v>
      </c>
      <c r="M164" s="30">
        <v>1013585</v>
      </c>
      <c r="N164" s="30">
        <v>1015956</v>
      </c>
      <c r="O164" s="30" t="s">
        <v>238</v>
      </c>
      <c r="P164" s="30">
        <v>3</v>
      </c>
      <c r="Q164" s="31" t="s">
        <v>1783</v>
      </c>
      <c r="R164" s="32" t="str">
        <f>HYPERLINK("http://exon.niaid.nih.gov/transcriptome/S_calcitrans/S1/links/Sigp/XP_013098040.1-SigP.txt","BL/ANC")</f>
        <v>BL/ANC</v>
      </c>
      <c r="S164" t="s">
        <v>242</v>
      </c>
      <c r="T164">
        <v>15.585000000000001</v>
      </c>
      <c r="U164">
        <v>8.25</v>
      </c>
      <c r="V164" t="s">
        <v>242</v>
      </c>
      <c r="W164" t="s">
        <v>242</v>
      </c>
      <c r="X164" t="s">
        <v>1784</v>
      </c>
      <c r="Y164" s="32" t="str">
        <f>HYPERLINK("http://exon.niaid.nih.gov/transcriptome/S_calcitrans/S1/links/tmhmm/XP_013098040.1-tmhmm.txt","3")</f>
        <v>3</v>
      </c>
      <c r="Z164">
        <v>45.3</v>
      </c>
      <c r="AA164">
        <v>28.8</v>
      </c>
      <c r="AB164">
        <v>25.9</v>
      </c>
      <c r="AC164" t="s">
        <v>242</v>
      </c>
      <c r="AD164" t="s">
        <v>242</v>
      </c>
      <c r="AE164" s="32" t="str">
        <f>HYPERLINK("http://exon.niaid.nih.gov/transcriptome/S_calcitrans/S1/links/netoglyc/XP_013098040.1-netoglyc.txt","0")</f>
        <v>0</v>
      </c>
      <c r="AF164">
        <v>17.3</v>
      </c>
      <c r="AG164">
        <v>5</v>
      </c>
      <c r="AH164">
        <v>2.2000000000000002</v>
      </c>
      <c r="AI164" t="s">
        <v>243</v>
      </c>
      <c r="AJ164" t="s">
        <v>242</v>
      </c>
      <c r="AK164">
        <v>115.64885381040747</v>
      </c>
      <c r="AL164" s="33">
        <v>3368</v>
      </c>
      <c r="AM164">
        <v>1</v>
      </c>
      <c r="AN164" s="30">
        <f t="shared" si="149"/>
        <v>1</v>
      </c>
      <c r="AO164" s="30" t="s">
        <v>244</v>
      </c>
      <c r="AP164">
        <v>165</v>
      </c>
      <c r="AQ164" s="34">
        <v>6.4088633414764739E-4</v>
      </c>
      <c r="AR164" s="35">
        <v>54.926022605320426</v>
      </c>
      <c r="AS164" t="s">
        <v>1785</v>
      </c>
      <c r="AT164" s="36" t="s">
        <v>1786</v>
      </c>
      <c r="AU164" t="s">
        <v>1787</v>
      </c>
      <c r="AV164" t="str">
        <f>HYPERLINK("http://exon.niaid.nih.gov/transcriptome/S_calcitrans/S1/links/SWISSP/XP_013098040.1-SWISSP.txt","SWISSP")</f>
        <v>SWISSP</v>
      </c>
      <c r="AW164" s="37">
        <v>1.9999999999999999E-74</v>
      </c>
      <c r="AY164" s="33"/>
      <c r="BG164" s="31"/>
      <c r="BJ164" s="33"/>
      <c r="BK164" s="33"/>
      <c r="BL164" s="33" t="str">
        <f>HYPERLINK("http://exon.niaid.nih.gov/transcriptome/S_calcitrans/S1/links/NR-LIGHT/XP_013098040.1-NR-LIGHT.txt","protein KRTCAP2 homolog")</f>
        <v>protein KRTCAP2 homolog</v>
      </c>
      <c r="BM164" t="str">
        <f>HYPERLINK("http://www.ncbi.nlm.nih.gov/sutils/blink.cgi?pid=557775875","2E-060")</f>
        <v>2E-060</v>
      </c>
      <c r="BN164" t="str">
        <f>HYPERLINK("http://www.ncbi.nlm.nih.gov/protein/557775875","gi|557775875")</f>
        <v>gi|557775875</v>
      </c>
      <c r="BO164">
        <v>75</v>
      </c>
      <c r="BP164">
        <v>91</v>
      </c>
      <c r="BQ164">
        <v>100</v>
      </c>
      <c r="BR164" t="s">
        <v>251</v>
      </c>
      <c r="BS164" s="33" t="str">
        <f>HYPERLINK("http://exon.niaid.nih.gov/transcriptome/S_calcitrans/S1/links/SWISSP/XP_013098040.1-SWISSP.txt","Protein KRTCAP2 homolog")</f>
        <v>Protein KRTCAP2 homolog</v>
      </c>
      <c r="BT164" t="str">
        <f>HYPERLINK("http://www.uniprot.org/uniprot/Q295N5","1E-033")</f>
        <v>1E-033</v>
      </c>
      <c r="BU164" t="str">
        <f>HYPERLINK("http://www.uniprot.org/uniprot/Q295N5#expression","Q295N5")</f>
        <v>Q295N5</v>
      </c>
      <c r="BV164">
        <v>55</v>
      </c>
      <c r="BW164">
        <v>74</v>
      </c>
      <c r="BX164">
        <v>91</v>
      </c>
      <c r="BY164" t="s">
        <v>1303</v>
      </c>
      <c r="BZ164" s="33" t="str">
        <f>HYPERLINK("http://exon.niaid.nih.gov/transcriptome/S_calcitrans/S1/links/REFSEQ-INVERTEBRATE/XP_013098040.1-REFSEQ-INVERTEBRATE.txt","protein KRTCAP2 homolog")</f>
        <v>protein KRTCAP2 homolog</v>
      </c>
      <c r="CA164" t="str">
        <f>HYPERLINK("http://www.ncbi.nlm.nih.gov/sutils/blink.cgi?pid=907597022","4E-074")</f>
        <v>4E-074</v>
      </c>
      <c r="CB164" t="str">
        <f>HYPERLINK("http://www.ncbi.nlm.nih.gov/protein/907597022","gi|907597022")</f>
        <v>gi|907597022</v>
      </c>
      <c r="CC164">
        <v>100</v>
      </c>
      <c r="CD164">
        <v>100</v>
      </c>
      <c r="CE164">
        <v>100</v>
      </c>
      <c r="CF164" t="s">
        <v>253</v>
      </c>
      <c r="CG164" s="33" t="str">
        <f>HYPERLINK("http://exon.niaid.nih.gov/transcriptome/S_calcitrans/S1/links/DIPTERA/XP_013098040.1-DIPTERA.txt","protein KRTCAP2 homolog")</f>
        <v>protein KRTCAP2 homolog</v>
      </c>
      <c r="CH164" t="str">
        <f>HYPERLINK("http://www.ncbi.nlm.nih.gov/sutils/blink.cgi?pid=907597022","2E-074")</f>
        <v>2E-074</v>
      </c>
      <c r="CI164" t="str">
        <f>HYPERLINK("http://www.ncbi.nlm.nih.gov/protein/907597022","gi|907597022")</f>
        <v>gi|907597022</v>
      </c>
      <c r="CJ164">
        <v>100</v>
      </c>
      <c r="CK164">
        <v>100</v>
      </c>
      <c r="CL164">
        <v>100</v>
      </c>
      <c r="CM164" t="s">
        <v>253</v>
      </c>
      <c r="CN164" s="33" t="s">
        <v>242</v>
      </c>
      <c r="CO164" t="s">
        <v>242</v>
      </c>
      <c r="CP164" t="s">
        <v>242</v>
      </c>
      <c r="CQ164" t="s">
        <v>242</v>
      </c>
      <c r="CR164" t="s">
        <v>242</v>
      </c>
      <c r="CS164" t="s">
        <v>242</v>
      </c>
      <c r="CT164" t="s">
        <v>242</v>
      </c>
      <c r="CU164" s="33" t="s">
        <v>1788</v>
      </c>
      <c r="CV164">
        <f>HYPERLINK("http://exon.niaid.nih.gov/transcriptome/S_calcitrans/S1/links/GO/XP_013098040.1-GO.txt",2E-33)</f>
        <v>2.0000000000000001E-33</v>
      </c>
      <c r="CW164" t="str">
        <f>HYPERLINK("http://amigo.geneontology.org/cgi-bin/amigo/term_details?term=GO:0003674","GO:0003674")</f>
        <v>GO:0003674</v>
      </c>
      <c r="CX164" t="s">
        <v>255</v>
      </c>
      <c r="CY164" t="s">
        <v>256</v>
      </c>
      <c r="CZ164" t="s">
        <v>257</v>
      </c>
      <c r="DA164" t="s">
        <v>242</v>
      </c>
      <c r="DC164" t="s">
        <v>258</v>
      </c>
      <c r="DD164" s="37">
        <v>2.0000000000000001E-33</v>
      </c>
      <c r="DE164" s="33" t="str">
        <f>HYPERLINK("http://exon.niaid.nih.gov/transcriptome/S_calcitrans/S1/links/CDD/XP_013098040.1-CDD.txt","Keratin_assoc")</f>
        <v>Keratin_assoc</v>
      </c>
      <c r="DF164" t="str">
        <f>HYPERLINK("http://www.ncbi.nlm.nih.gov/Structure/cdd/cddsrv.cgi?uid=pfam09775&amp;version=v4.0","3E-034")</f>
        <v>3E-034</v>
      </c>
      <c r="DG164" t="s">
        <v>1789</v>
      </c>
      <c r="DH164" s="33" t="str">
        <f>HYPERLINK("http://exon.niaid.nih.gov/transcriptome/S_calcitrans/S1/links/KOG/XP_013098040.1-KOG.txt","Uncharacterized conserved protein")</f>
        <v>Uncharacterized conserved protein</v>
      </c>
      <c r="DI164" t="str">
        <f>HYPERLINK("http://www.ncbi.nlm.nih.gov/Structure/cdd/cddsrv.cgi?uid=KOG4615","1E-011")</f>
        <v>1E-011</v>
      </c>
      <c r="DJ164" t="s">
        <v>260</v>
      </c>
      <c r="DK164" t="str">
        <f>HYPERLINK("http://exon.niaid.nih.gov/transcriptome/S_calcitrans/S1/links/KOG/XP_013098040.1-KOG.txt","KOG4615")</f>
        <v>KOG4615</v>
      </c>
      <c r="DL164" s="33" t="str">
        <f>HYPERLINK("http://exon.niaid.nih.gov/transcriptome/S_calcitrans/S1/links/PFAM/XP_013098040.1-PFAM.txt","Keratin_assoc")</f>
        <v>Keratin_assoc</v>
      </c>
      <c r="DM164" t="str">
        <f>HYPERLINK("http://pfam.sanger.ac.uk/family?acc=PF09775","7E-035")</f>
        <v>7E-035</v>
      </c>
      <c r="DN164" s="33" t="str">
        <f>HYPERLINK("http://exon.niaid.nih.gov/transcriptome/S_calcitrans/S1/links/SMART/XP_013098040.1-SMART.txt","TIFY")</f>
        <v>TIFY</v>
      </c>
      <c r="DO164" t="str">
        <f>HYPERLINK("http://smart.embl-heidelberg.de/smart/do_annotation.pl?DOMAIN=TIFY&amp;BLAST=DUMMY","0.11")</f>
        <v>0.11</v>
      </c>
      <c r="DP164" s="33"/>
      <c r="EB164" s="33">
        <v>2536</v>
      </c>
      <c r="EC164">
        <v>1</v>
      </c>
      <c r="ED164" s="33">
        <v>3061</v>
      </c>
      <c r="EE164">
        <v>1</v>
      </c>
      <c r="EF164" s="33">
        <v>3307</v>
      </c>
      <c r="EG164">
        <v>1</v>
      </c>
      <c r="EH164" s="33">
        <v>3458</v>
      </c>
      <c r="EI164">
        <v>1</v>
      </c>
      <c r="EJ164" s="33">
        <v>3619</v>
      </c>
      <c r="EK164">
        <v>1</v>
      </c>
      <c r="EL164" s="33">
        <v>3723</v>
      </c>
      <c r="EM164">
        <v>1</v>
      </c>
      <c r="EN164" s="33">
        <v>3846</v>
      </c>
      <c r="EO164">
        <v>1</v>
      </c>
      <c r="EP164" s="33">
        <v>3911</v>
      </c>
      <c r="EQ164">
        <v>1</v>
      </c>
      <c r="ER164" s="33">
        <v>3949</v>
      </c>
      <c r="ES164">
        <v>1</v>
      </c>
      <c r="ET164" s="33">
        <v>3947</v>
      </c>
      <c r="EU164">
        <v>1</v>
      </c>
      <c r="EV164" s="33">
        <v>3907</v>
      </c>
      <c r="EW164">
        <v>1</v>
      </c>
      <c r="EX164" s="33">
        <v>3867</v>
      </c>
      <c r="EY164">
        <v>1</v>
      </c>
      <c r="EZ164" s="33">
        <v>3741</v>
      </c>
      <c r="FA164">
        <v>1</v>
      </c>
      <c r="FB164" s="33">
        <v>3596</v>
      </c>
      <c r="FC164">
        <v>1</v>
      </c>
      <c r="FD164" s="33">
        <v>3368</v>
      </c>
      <c r="FE164">
        <v>1</v>
      </c>
      <c r="FF164" t="s">
        <v>1790</v>
      </c>
      <c r="FG164">
        <v>509</v>
      </c>
      <c r="FH164" s="38" t="str">
        <f>HYPERLINK("http://exon.niaid.nih.gov/transcriptome/S_calcitrans/S1/links/SG_male-stripped_temp-95-h10-1gap/509-SG_male-stripped_temp-95-h10-1gap.txt","65")</f>
        <v>65</v>
      </c>
      <c r="FI164" s="39">
        <v>97.142857142857096</v>
      </c>
      <c r="FJ164" s="39">
        <v>10.3880952380952</v>
      </c>
      <c r="FK164" s="39">
        <v>0</v>
      </c>
      <c r="FL164" s="39">
        <v>23</v>
      </c>
      <c r="FM164" s="39">
        <v>67.123076923076894</v>
      </c>
      <c r="FN164" s="38" t="str">
        <f>HYPERLINK("http://exon.niaid.nih.gov/transcriptome/S_calcitrans/S1/links/SG_female-stripped_temp-95-h10-1gap/509-SG_female-stripped_temp-95-h10-1gap.txt","100")</f>
        <v>100</v>
      </c>
      <c r="FO164" s="39">
        <v>100</v>
      </c>
      <c r="FP164" s="39">
        <v>16.295238095238101</v>
      </c>
      <c r="FQ164" s="39">
        <v>5</v>
      </c>
      <c r="FR164" s="39">
        <v>43</v>
      </c>
      <c r="FS164" s="39">
        <v>68.44</v>
      </c>
      <c r="FT164" s="38" t="str">
        <f>HYPERLINK("http://exon.niaid.nih.gov/transcriptome/S_calcitrans/S1/links/SRR694289-stripped_temp-95-h10-1gap/509-SRR694289-stripped_temp-95-h10-1gap.txt","1")</f>
        <v>1</v>
      </c>
      <c r="FU164" s="39">
        <v>10.952380952381001</v>
      </c>
      <c r="FV164" s="39">
        <v>0.10952380952381</v>
      </c>
      <c r="FW164" s="39">
        <v>0</v>
      </c>
      <c r="FX164" s="39">
        <v>1</v>
      </c>
      <c r="FY164" s="39">
        <v>46</v>
      </c>
      <c r="FZ164" s="38" t="str">
        <f>HYPERLINK("http://exon.niaid.nih.gov/transcriptome/S_calcitrans/S1/links/SRR694925-stripped_temp-95-h10-1gap/509-SRR694925-stripped_temp-95-h10-1gap.txt","3")</f>
        <v>3</v>
      </c>
      <c r="GA164" s="39">
        <v>54.523809523809497</v>
      </c>
      <c r="GB164" s="39">
        <v>0.71666666666666701</v>
      </c>
      <c r="GC164" s="39">
        <v>0</v>
      </c>
      <c r="GD164" s="39">
        <v>2</v>
      </c>
      <c r="GE164" s="39">
        <v>100.333333333333</v>
      </c>
      <c r="GF164">
        <f>1*FH164</f>
        <v>65</v>
      </c>
      <c r="GG164">
        <f>1*FN164</f>
        <v>100</v>
      </c>
      <c r="GH164">
        <f>1*FT164</f>
        <v>1</v>
      </c>
      <c r="GI164">
        <f>1*FZ164</f>
        <v>3</v>
      </c>
      <c r="GJ164">
        <f>IF(FZ164&lt;&gt;"",SUM(GF164:GG164),"")</f>
        <v>165</v>
      </c>
      <c r="GK164" s="34">
        <v>6.4088633414764739E-4</v>
      </c>
      <c r="GL164">
        <v>5.0625118890171033</v>
      </c>
      <c r="GM164">
        <v>3.5417993128063552</v>
      </c>
      <c r="GN164">
        <v>1.3686211549849493E-2</v>
      </c>
      <c r="GO164">
        <v>4.2326831341721036E-2</v>
      </c>
      <c r="GP164">
        <f>MAX(GL164:GO164)</f>
        <v>5.0625118890171033</v>
      </c>
      <c r="GQ164" t="s">
        <v>1787</v>
      </c>
      <c r="GR164">
        <v>3.9482097652109935</v>
      </c>
      <c r="GS164">
        <v>2.9069891412835194</v>
      </c>
      <c r="GT164">
        <v>2.4671556549610937E-2</v>
      </c>
      <c r="GU164">
        <v>8.0136295563650983E-2</v>
      </c>
      <c r="GV164">
        <f>MAX(GR164:GU164)</f>
        <v>3.9482097652109935</v>
      </c>
      <c r="GW164">
        <v>54.926022605320426</v>
      </c>
      <c r="GX164">
        <v>165</v>
      </c>
      <c r="GY164">
        <v>4</v>
      </c>
      <c r="GZ164">
        <v>169</v>
      </c>
      <c r="HA164">
        <v>37.517948218511812</v>
      </c>
      <c r="HB164">
        <v>131.4820517814882</v>
      </c>
      <c r="HC164">
        <v>433.17063693795666</v>
      </c>
      <c r="HD164">
        <v>123.60374139450542</v>
      </c>
      <c r="HE164">
        <v>556.77437833246211</v>
      </c>
      <c r="HF164">
        <v>4.2296439110831793E-123</v>
      </c>
      <c r="HG164">
        <v>37.517948218511812</v>
      </c>
      <c r="HH164">
        <v>1</v>
      </c>
      <c r="HI164">
        <v>1</v>
      </c>
      <c r="HJ164">
        <v>2</v>
      </c>
      <c r="HK164" s="37">
        <v>1.08830395415473E-122</v>
      </c>
      <c r="HL164" s="30" t="s">
        <v>262</v>
      </c>
      <c r="HM164">
        <v>115.64885381040747</v>
      </c>
      <c r="HN164">
        <v>6.875820180588822E-3</v>
      </c>
      <c r="HO164">
        <v>65</v>
      </c>
      <c r="HP164">
        <v>100</v>
      </c>
      <c r="HQ164">
        <v>165</v>
      </c>
      <c r="HR164">
        <v>51.578330885378342</v>
      </c>
      <c r="HS164">
        <v>113.42166911462166</v>
      </c>
      <c r="HT164">
        <v>3.4925752487554065</v>
      </c>
      <c r="HU164">
        <v>1.5882432627608576</v>
      </c>
      <c r="HV164">
        <v>5.0808185115162638</v>
      </c>
      <c r="HW164">
        <v>2.4191946748065973E-2</v>
      </c>
      <c r="HX164">
        <v>51.578330885378342</v>
      </c>
      <c r="HY164">
        <v>1</v>
      </c>
      <c r="HZ164">
        <v>1</v>
      </c>
      <c r="IA164">
        <v>2</v>
      </c>
      <c r="IB164">
        <v>9.7665080204962201E-2</v>
      </c>
      <c r="IC164" s="30" t="s">
        <v>262</v>
      </c>
      <c r="ID164">
        <v>1.415209492758144</v>
      </c>
      <c r="IE164">
        <v>0.68901283855196482</v>
      </c>
      <c r="IF164">
        <v>1.415209492758144</v>
      </c>
      <c r="IG164" t="str">
        <f t="shared" si="156"/>
        <v/>
      </c>
    </row>
    <row r="165" spans="1:241">
      <c r="A165" t="str">
        <f>HYPERLINK("http://exon.niaid.nih.gov/transcriptome/S_calcitrans/S1/links/pep/XP_013105442.1-pep.txt","XP_013105442.1")</f>
        <v>XP_013105442.1</v>
      </c>
      <c r="B165" s="30" t="s">
        <v>232</v>
      </c>
      <c r="C165">
        <v>72</v>
      </c>
      <c r="D165" t="s">
        <v>1791</v>
      </c>
      <c r="E165">
        <v>0</v>
      </c>
      <c r="F165" t="s">
        <v>1792</v>
      </c>
      <c r="G165" t="str">
        <f>HYPERLINK("http://exon.niaid.nih.gov/transcriptome/S_calcitrans/S1/links/cds/XM_013249988_1-cds.txt","XM_013249988_1")</f>
        <v>XM_013249988_1</v>
      </c>
      <c r="H165">
        <v>219</v>
      </c>
      <c r="I165" t="s">
        <v>1793</v>
      </c>
      <c r="J165" s="30" t="s">
        <v>236</v>
      </c>
      <c r="K165" s="30" t="s">
        <v>91</v>
      </c>
      <c r="L165" s="31" t="s">
        <v>1794</v>
      </c>
      <c r="M165" s="30">
        <v>636730</v>
      </c>
      <c r="N165" s="30">
        <v>637070</v>
      </c>
      <c r="O165" s="30" t="s">
        <v>276</v>
      </c>
      <c r="P165" s="30">
        <v>3</v>
      </c>
      <c r="Q165" s="31" t="s">
        <v>1795</v>
      </c>
      <c r="R165" s="32" t="str">
        <f>HYPERLINK("http://exon.niaid.nih.gov/transcriptome/S_calcitrans/S1/links/Sigp/XP_013105442.1-SigP.txt","SIG")</f>
        <v>SIG</v>
      </c>
      <c r="S165" t="s">
        <v>667</v>
      </c>
      <c r="T165">
        <v>8.1950000000000003</v>
      </c>
      <c r="U165">
        <v>9.65</v>
      </c>
      <c r="V165">
        <v>5.4669999999999996</v>
      </c>
      <c r="W165">
        <v>10.44</v>
      </c>
      <c r="X165" t="s">
        <v>1796</v>
      </c>
      <c r="Y165" s="32" t="str">
        <f>HYPERLINK("http://exon.niaid.nih.gov/transcriptome/S_calcitrans/S1/links/tmhmm/XP_013105442.1-tmhmm.txt","2")</f>
        <v>2</v>
      </c>
      <c r="Z165">
        <v>54.2</v>
      </c>
      <c r="AA165">
        <v>8.3000000000000007</v>
      </c>
      <c r="AB165">
        <v>37.5</v>
      </c>
      <c r="AC165">
        <v>1</v>
      </c>
      <c r="AD165">
        <v>1</v>
      </c>
      <c r="AE165" s="32" t="str">
        <f>HYPERLINK("http://exon.niaid.nih.gov/transcriptome/S_calcitrans/S1/links/netoglyc/XP_013105442.1-netoglyc.txt","0")</f>
        <v>0</v>
      </c>
      <c r="AF165">
        <v>13.9</v>
      </c>
      <c r="AG165">
        <v>4.2</v>
      </c>
      <c r="AH165">
        <v>2.8</v>
      </c>
      <c r="AI165" t="s">
        <v>243</v>
      </c>
      <c r="AJ165" t="s">
        <v>242</v>
      </c>
      <c r="AK165">
        <v>553.71269400134497</v>
      </c>
      <c r="AL165" s="33">
        <v>8797</v>
      </c>
      <c r="AM165">
        <v>1</v>
      </c>
      <c r="AN165" s="30">
        <f t="shared" si="149"/>
        <v>1</v>
      </c>
      <c r="AO165" s="30" t="s">
        <v>244</v>
      </c>
      <c r="AP165">
        <v>474</v>
      </c>
      <c r="AQ165" s="34">
        <v>1.8410916508241506E-3</v>
      </c>
      <c r="AR165" s="35">
        <v>333.32601147064963</v>
      </c>
      <c r="AS165" t="s">
        <v>1797</v>
      </c>
      <c r="AT165" s="36" t="s">
        <v>1798</v>
      </c>
      <c r="AU165" t="s">
        <v>1787</v>
      </c>
      <c r="AV165" t="str">
        <f>HYPERLINK("http://exon.niaid.nih.gov/transcriptome/S_calcitrans/S1/links/SWISSP/XP_013105442.1-SWISSP.txt","SWISSP")</f>
        <v>SWISSP</v>
      </c>
      <c r="AW165" s="37">
        <v>9.9999999999999993E-35</v>
      </c>
      <c r="AY165" s="33"/>
      <c r="BG165" s="31"/>
      <c r="BJ165" s="33"/>
      <c r="BK165" s="33"/>
      <c r="BL165" s="33" t="str">
        <f>HYPERLINK("http://exon.niaid.nih.gov/transcriptome/S_calcitrans/S1/links/NR-LIGHT/XP_013105442.1-NR-LIGHT.txt","protein kish")</f>
        <v>protein kish</v>
      </c>
      <c r="BM165" t="str">
        <f>HYPERLINK("http://www.ncbi.nlm.nih.gov/sutils/blink.cgi?pid=557759766","3E-033")</f>
        <v>3E-033</v>
      </c>
      <c r="BN165" t="str">
        <f>HYPERLINK("http://www.ncbi.nlm.nih.gov/protein/557759766","gi|557759766")</f>
        <v>gi|557759766</v>
      </c>
      <c r="BO165">
        <v>97</v>
      </c>
      <c r="BP165">
        <v>98</v>
      </c>
      <c r="BQ165">
        <v>100</v>
      </c>
      <c r="BR165" t="s">
        <v>251</v>
      </c>
      <c r="BS165" s="33" t="str">
        <f>HYPERLINK("http://exon.niaid.nih.gov/transcriptome/S_calcitrans/S1/links/SWISSP/XP_013105442.1-SWISSP.txt","Protein kish")</f>
        <v>Protein kish</v>
      </c>
      <c r="BT165" t="str">
        <f>HYPERLINK("http://www.uniprot.org/uniprot/Q9VWH8","2E-028")</f>
        <v>2E-028</v>
      </c>
      <c r="BU165" t="str">
        <f>HYPERLINK("http://www.uniprot.org/uniprot/Q9VWH8#expression","Q9VWH8")</f>
        <v>Q9VWH8</v>
      </c>
      <c r="BV165">
        <v>80</v>
      </c>
      <c r="BW165">
        <v>91</v>
      </c>
      <c r="BX165">
        <v>100</v>
      </c>
      <c r="BY165" t="s">
        <v>304</v>
      </c>
      <c r="BZ165" s="33" t="str">
        <f>HYPERLINK("http://exon.niaid.nih.gov/transcriptome/S_calcitrans/S1/links/REFSEQ-INVERTEBRATE/XP_013105442.1-REFSEQ-INVERTEBRATE.txt","protein kish")</f>
        <v>protein kish</v>
      </c>
      <c r="CA165" t="str">
        <f>HYPERLINK("http://www.ncbi.nlm.nih.gov/sutils/blink.cgi?pid=907677107","2E-034")</f>
        <v>2E-034</v>
      </c>
      <c r="CB165" t="str">
        <f>HYPERLINK("http://www.ncbi.nlm.nih.gov/protein/907677107","gi|907677107")</f>
        <v>gi|907677107</v>
      </c>
      <c r="CC165">
        <v>100</v>
      </c>
      <c r="CD165">
        <v>100</v>
      </c>
      <c r="CE165">
        <v>100</v>
      </c>
      <c r="CF165" t="s">
        <v>253</v>
      </c>
      <c r="CG165" s="33" t="str">
        <f>HYPERLINK("http://exon.niaid.nih.gov/transcriptome/S_calcitrans/S1/links/DIPTERA/XP_013105442.1-DIPTERA.txt","protein kish")</f>
        <v>protein kish</v>
      </c>
      <c r="CH165" t="str">
        <f>HYPERLINK("http://www.ncbi.nlm.nih.gov/sutils/blink.cgi?pid=907677107","1E-034")</f>
        <v>1E-034</v>
      </c>
      <c r="CI165" t="str">
        <f>HYPERLINK("http://www.ncbi.nlm.nih.gov/protein/907677107","gi|907677107")</f>
        <v>gi|907677107</v>
      </c>
      <c r="CJ165">
        <v>100</v>
      </c>
      <c r="CK165">
        <v>100</v>
      </c>
      <c r="CL165">
        <v>100</v>
      </c>
      <c r="CM165" t="s">
        <v>253</v>
      </c>
      <c r="CN165" s="33" t="s">
        <v>242</v>
      </c>
      <c r="CO165" t="s">
        <v>242</v>
      </c>
      <c r="CP165" t="s">
        <v>242</v>
      </c>
      <c r="CQ165" t="s">
        <v>242</v>
      </c>
      <c r="CR165" t="s">
        <v>242</v>
      </c>
      <c r="CS165" t="s">
        <v>242</v>
      </c>
      <c r="CT165" t="s">
        <v>242</v>
      </c>
      <c r="CU165" s="33" t="s">
        <v>1799</v>
      </c>
      <c r="CV165">
        <f>HYPERLINK("http://exon.niaid.nih.gov/transcriptome/S_calcitrans/S1/links/GO/XP_013105442.1-GO.txt",3E-28)</f>
        <v>3E-28</v>
      </c>
      <c r="CW165" t="str">
        <f>HYPERLINK("http://amigo.geneontology.org/cgi-bin/amigo/term_details?term=GO:0003674","GO:0003674")</f>
        <v>GO:0003674</v>
      </c>
      <c r="CX165" t="s">
        <v>255</v>
      </c>
      <c r="CY165" t="s">
        <v>256</v>
      </c>
      <c r="CZ165" t="s">
        <v>257</v>
      </c>
      <c r="DA165" t="s">
        <v>242</v>
      </c>
      <c r="DC165" t="s">
        <v>258</v>
      </c>
      <c r="DD165" s="37">
        <v>3E-28</v>
      </c>
      <c r="DE165" s="33" t="str">
        <f>HYPERLINK("http://exon.niaid.nih.gov/transcriptome/S_calcitrans/S1/links/CDD/XP_013105442.1-CDD.txt","DUF1242")</f>
        <v>DUF1242</v>
      </c>
      <c r="DF165" t="str">
        <f>HYPERLINK("http://www.ncbi.nlm.nih.gov/Structure/cdd/cddsrv.cgi?uid=pfam06842&amp;version=v4.0","4E-009")</f>
        <v>4E-009</v>
      </c>
      <c r="DG165" t="s">
        <v>1800</v>
      </c>
      <c r="DH165" s="33" t="str">
        <f>HYPERLINK("http://exon.niaid.nih.gov/transcriptome/S_calcitrans/S1/links/KOG/XP_013105442.1-KOG.txt","Uncharacterized conserved protein")</f>
        <v>Uncharacterized conserved protein</v>
      </c>
      <c r="DI165" t="str">
        <f>HYPERLINK("http://www.ncbi.nlm.nih.gov/Structure/cdd/cddsrv.cgi?uid=KOG3808","9E-020")</f>
        <v>9E-020</v>
      </c>
      <c r="DJ165" t="s">
        <v>260</v>
      </c>
      <c r="DK165" t="str">
        <f>HYPERLINK("http://exon.niaid.nih.gov/transcriptome/S_calcitrans/S1/links/KOG/XP_013105442.1-KOG.txt","KOG3808")</f>
        <v>KOG3808</v>
      </c>
      <c r="DL165" s="33" t="str">
        <f>HYPERLINK("http://exon.niaid.nih.gov/transcriptome/S_calcitrans/S1/links/PFAM/XP_013105442.1-PFAM.txt","DUF1242")</f>
        <v>DUF1242</v>
      </c>
      <c r="DM165" t="str">
        <f>HYPERLINK("http://pfam.sanger.ac.uk/family?acc=PF06842","8E-010")</f>
        <v>8E-010</v>
      </c>
      <c r="DN165" s="33" t="str">
        <f>HYPERLINK("http://exon.niaid.nih.gov/transcriptome/S_calcitrans/S1/links/SMART/XP_013105442.1-SMART.txt","MYSc")</f>
        <v>MYSc</v>
      </c>
      <c r="DO165" t="str">
        <f>HYPERLINK("http://smart.embl-heidelberg.de/smart/do_annotation.pl?DOMAIN=MYSc&amp;BLAST=DUMMY","4.0")</f>
        <v>4.0</v>
      </c>
      <c r="DP165" s="33"/>
      <c r="EB165" s="33">
        <v>4161</v>
      </c>
      <c r="EC165">
        <v>1</v>
      </c>
      <c r="ED165" s="33">
        <v>5042</v>
      </c>
      <c r="EE165">
        <v>1</v>
      </c>
      <c r="EF165" s="33">
        <v>5567</v>
      </c>
      <c r="EG165">
        <v>1</v>
      </c>
      <c r="EH165" s="33">
        <v>5963</v>
      </c>
      <c r="EI165">
        <v>1</v>
      </c>
      <c r="EJ165" s="33">
        <v>6363</v>
      </c>
      <c r="EK165">
        <v>1</v>
      </c>
      <c r="EL165" s="33">
        <v>6674</v>
      </c>
      <c r="EM165">
        <v>1</v>
      </c>
      <c r="EN165" s="33">
        <v>7042</v>
      </c>
      <c r="EO165">
        <v>1</v>
      </c>
      <c r="EP165" s="33">
        <v>7323</v>
      </c>
      <c r="EQ165">
        <v>1</v>
      </c>
      <c r="ER165" s="33">
        <v>7561</v>
      </c>
      <c r="ES165">
        <v>1</v>
      </c>
      <c r="ET165" s="33">
        <v>7747</v>
      </c>
      <c r="EU165">
        <v>1</v>
      </c>
      <c r="EV165" s="33">
        <v>7934</v>
      </c>
      <c r="EW165">
        <v>1</v>
      </c>
      <c r="EX165" s="33">
        <v>8113</v>
      </c>
      <c r="EY165">
        <v>1</v>
      </c>
      <c r="EZ165" s="33">
        <v>8302</v>
      </c>
      <c r="FA165">
        <v>1</v>
      </c>
      <c r="FB165" s="33">
        <v>8497</v>
      </c>
      <c r="FC165">
        <v>1</v>
      </c>
      <c r="FD165" s="33">
        <v>8797</v>
      </c>
      <c r="FE165">
        <v>1</v>
      </c>
      <c r="FF165" t="s">
        <v>1801</v>
      </c>
      <c r="FG165">
        <v>11047</v>
      </c>
      <c r="FH165" s="38" t="str">
        <f>HYPERLINK("http://exon.niaid.nih.gov/transcriptome/S_calcitrans/S1/links/SG_male-stripped_temp-95-h10-1gap/11047-SG_male-stripped_temp-95-h10-1gap.txt","194")</f>
        <v>194</v>
      </c>
      <c r="FI165" s="39">
        <v>95.433789954337897</v>
      </c>
      <c r="FJ165" s="39">
        <v>59.191780821917803</v>
      </c>
      <c r="FK165" s="39">
        <v>0</v>
      </c>
      <c r="FL165" s="39">
        <v>145</v>
      </c>
      <c r="FM165" s="39">
        <v>66.819587628866003</v>
      </c>
      <c r="FN165" s="38" t="str">
        <f>HYPERLINK("http://exon.niaid.nih.gov/transcriptome/S_calcitrans/S1/links/SG_female-stripped_temp-95-h10-1gap/11047-SG_female-stripped_temp-95-h10-1gap.txt","280")</f>
        <v>280</v>
      </c>
      <c r="FO165" s="39">
        <v>99.543378995433798</v>
      </c>
      <c r="FP165" s="39">
        <v>84.744292237442906</v>
      </c>
      <c r="FQ165" s="39">
        <v>0</v>
      </c>
      <c r="FR165" s="39">
        <v>196</v>
      </c>
      <c r="FS165" s="39">
        <v>66.282142857142901</v>
      </c>
      <c r="FT165" s="38" t="str">
        <f>HYPERLINK("http://exon.niaid.nih.gov/transcriptome/S_calcitrans/S1/links/SRR694289-stripped_temp-95-h10-1gap/11047-SRR694289-stripped_temp-95-h10-1gap.txt","2")</f>
        <v>2</v>
      </c>
      <c r="FU165" s="39">
        <v>75.799086757990906</v>
      </c>
      <c r="FV165" s="39">
        <v>0.91780821917808197</v>
      </c>
      <c r="FW165" s="39">
        <v>0</v>
      </c>
      <c r="FX165" s="39">
        <v>2</v>
      </c>
      <c r="FY165" s="39">
        <v>100.5</v>
      </c>
      <c r="FZ165" s="38">
        <v>0</v>
      </c>
      <c r="GA165" s="39" t="s">
        <v>242</v>
      </c>
      <c r="GB165" s="39" t="s">
        <v>242</v>
      </c>
      <c r="GC165" s="39" t="s">
        <v>242</v>
      </c>
      <c r="GD165" s="39" t="s">
        <v>242</v>
      </c>
      <c r="GE165" s="39" t="s">
        <v>242</v>
      </c>
      <c r="GF165">
        <f>1*FH165</f>
        <v>194</v>
      </c>
      <c r="GG165">
        <f>1*FN165</f>
        <v>280</v>
      </c>
      <c r="GH165">
        <f>1*FT165</f>
        <v>2</v>
      </c>
      <c r="GI165">
        <f>1*FZ165</f>
        <v>0</v>
      </c>
      <c r="GJ165">
        <f>IF(FZ165&lt;&gt;"",SUM(GF165:GG165),"")</f>
        <v>474</v>
      </c>
      <c r="GK165" s="34">
        <v>1.8410916508241506E-3</v>
      </c>
      <c r="GL165">
        <v>28.977412625016761</v>
      </c>
      <c r="GM165">
        <v>19.018977131782073</v>
      </c>
      <c r="GN165">
        <v>5.2495057999422716E-2</v>
      </c>
      <c r="GO165">
        <v>0</v>
      </c>
      <c r="GP165">
        <f>MAX(GL165:GO165)</f>
        <v>28.977412625016761</v>
      </c>
      <c r="GQ165" t="s">
        <v>1787</v>
      </c>
      <c r="GR165">
        <v>22.599236506455341</v>
      </c>
      <c r="GS165">
        <v>15.610133471001912</v>
      </c>
      <c r="GT165">
        <v>9.4630627861521419E-2</v>
      </c>
      <c r="GU165">
        <v>0</v>
      </c>
      <c r="GV165">
        <f>MAX(GR165:GU165)</f>
        <v>22.599236506455341</v>
      </c>
      <c r="GW165">
        <v>333.32601147064963</v>
      </c>
      <c r="GX165">
        <v>474</v>
      </c>
      <c r="GY165">
        <v>2</v>
      </c>
      <c r="GZ165">
        <v>476</v>
      </c>
      <c r="HA165">
        <v>105.67185415391492</v>
      </c>
      <c r="HB165">
        <v>370.32814584608508</v>
      </c>
      <c r="HC165">
        <v>1283.8387677461681</v>
      </c>
      <c r="HD165">
        <v>366.33894707749261</v>
      </c>
      <c r="HE165">
        <v>1650.1777148236606</v>
      </c>
      <c r="HF165">
        <v>0</v>
      </c>
      <c r="HG165">
        <v>105.67185415391492</v>
      </c>
      <c r="HH165">
        <v>1</v>
      </c>
      <c r="HI165">
        <v>1</v>
      </c>
      <c r="HJ165">
        <v>2</v>
      </c>
      <c r="HK165">
        <v>0</v>
      </c>
      <c r="HL165" s="30" t="s">
        <v>262</v>
      </c>
      <c r="HM165">
        <v>553.71269400134497</v>
      </c>
      <c r="HN165">
        <v>1.201459105239731E-3</v>
      </c>
      <c r="HO165">
        <v>194</v>
      </c>
      <c r="HP165">
        <v>280</v>
      </c>
      <c r="HQ165">
        <v>474</v>
      </c>
      <c r="HR165">
        <v>148.17047781617779</v>
      </c>
      <c r="HS165">
        <v>325.82952218382223</v>
      </c>
      <c r="HT165">
        <v>14.175192889660293</v>
      </c>
      <c r="HU165">
        <v>6.4461473273514773</v>
      </c>
      <c r="HV165">
        <v>20.62134021701177</v>
      </c>
      <c r="HW165">
        <v>5.5968756958540813E-6</v>
      </c>
      <c r="HX165">
        <v>148.17047781617779</v>
      </c>
      <c r="HY165">
        <v>1</v>
      </c>
      <c r="HZ165">
        <v>1</v>
      </c>
      <c r="IA165">
        <v>2</v>
      </c>
      <c r="IB165" s="37">
        <v>6.1653560353287494E-5</v>
      </c>
      <c r="IC165" s="30" t="s">
        <v>262</v>
      </c>
      <c r="ID165">
        <v>1.5181831262580385</v>
      </c>
      <c r="IE165">
        <v>0.65297216699693894</v>
      </c>
      <c r="IF165">
        <v>1.5181831262580385</v>
      </c>
      <c r="IG165" t="str">
        <f t="shared" si="156"/>
        <v/>
      </c>
    </row>
    <row r="166" spans="1:241">
      <c r="A166" t="str">
        <f>HYPERLINK("http://exon.niaid.nih.gov/transcriptome/S_calcitrans/S1/links/pep/XP_013108776.1-pep.txt","XP_013108776.1")</f>
        <v>XP_013108776.1</v>
      </c>
      <c r="B166" s="30" t="s">
        <v>232</v>
      </c>
      <c r="C166">
        <v>235</v>
      </c>
      <c r="D166" t="s">
        <v>1802</v>
      </c>
      <c r="E166">
        <v>0</v>
      </c>
      <c r="F166" t="s">
        <v>1803</v>
      </c>
      <c r="G166" t="str">
        <f>HYPERLINK("http://exon.niaid.nih.gov/transcriptome/S_calcitrans/S1/links/cds/XM_013253322_1-cds.txt","XM_013253322_1")</f>
        <v>XM_013253322_1</v>
      </c>
      <c r="H166">
        <v>708</v>
      </c>
      <c r="I166" t="s">
        <v>1804</v>
      </c>
      <c r="J166" s="30" t="s">
        <v>236</v>
      </c>
      <c r="K166" s="30" t="s">
        <v>91</v>
      </c>
      <c r="L166" s="31" t="s">
        <v>1805</v>
      </c>
      <c r="M166" s="30">
        <v>404206</v>
      </c>
      <c r="N166" s="30">
        <v>404913</v>
      </c>
      <c r="O166" s="30" t="s">
        <v>276</v>
      </c>
      <c r="P166" s="30">
        <v>1</v>
      </c>
      <c r="Q166" s="31" t="s">
        <v>1806</v>
      </c>
      <c r="R166" s="32" t="str">
        <f>HYPERLINK("http://exon.niaid.nih.gov/transcriptome/S_calcitrans/S1/links/Sigp/XP_013108776.1-SigP.txt","SIG")</f>
        <v>SIG</v>
      </c>
      <c r="S166" t="s">
        <v>657</v>
      </c>
      <c r="T166">
        <v>27.029</v>
      </c>
      <c r="U166">
        <v>8.33</v>
      </c>
      <c r="V166">
        <v>23.917000000000002</v>
      </c>
      <c r="W166">
        <v>7.89</v>
      </c>
      <c r="X166" t="s">
        <v>1807</v>
      </c>
      <c r="Y166" s="32" t="str">
        <f>HYPERLINK("http://exon.niaid.nih.gov/transcriptome/S_calcitrans/S1/links/tmhmm/XP_013108776.1-tmhmm.txt","2")</f>
        <v>2</v>
      </c>
      <c r="Z166">
        <v>17</v>
      </c>
      <c r="AA166">
        <v>6.4</v>
      </c>
      <c r="AB166">
        <v>76.599999999999994</v>
      </c>
      <c r="AC166" t="s">
        <v>242</v>
      </c>
      <c r="AD166" t="s">
        <v>242</v>
      </c>
      <c r="AE166" s="32" t="s">
        <v>242</v>
      </c>
      <c r="AF166" t="s">
        <v>242</v>
      </c>
      <c r="AG166" t="s">
        <v>242</v>
      </c>
      <c r="AH166" t="s">
        <v>242</v>
      </c>
      <c r="AI166" t="s">
        <v>242</v>
      </c>
      <c r="AJ166" t="s">
        <v>242</v>
      </c>
      <c r="AK166">
        <v>134.92366277880873</v>
      </c>
      <c r="AL166" s="33">
        <v>10553</v>
      </c>
      <c r="AM166">
        <v>1</v>
      </c>
      <c r="AN166" s="30">
        <f t="shared" si="149"/>
        <v>1</v>
      </c>
      <c r="AO166" s="30" t="s">
        <v>244</v>
      </c>
      <c r="AP166">
        <v>308</v>
      </c>
      <c r="AQ166" s="34">
        <v>1.1963211570756086E-3</v>
      </c>
      <c r="AR166" s="35">
        <v>59.777526067433968</v>
      </c>
      <c r="AS166" t="s">
        <v>1808</v>
      </c>
      <c r="AT166" s="36" t="s">
        <v>1809</v>
      </c>
      <c r="AU166" t="s">
        <v>1787</v>
      </c>
      <c r="AV166" t="str">
        <f>HYPERLINK("http://exon.niaid.nih.gov/transcriptome/S_calcitrans/S1/links/KOG/XP_013108776.1-KOG.txt","KOG")</f>
        <v>KOG</v>
      </c>
      <c r="AW166">
        <v>0</v>
      </c>
      <c r="AX166">
        <v>100</v>
      </c>
      <c r="AY166" s="33"/>
      <c r="BG166" s="31"/>
      <c r="BJ166" s="33"/>
      <c r="BK166" s="33"/>
      <c r="BL166" s="33" t="str">
        <f>HYPERLINK("http://exon.niaid.nih.gov/transcriptome/S_calcitrans/S1/links/NR-LIGHT/XP_013108776.1-NR-LIGHT.txt","TM2 domain-containing protein almondex")</f>
        <v>TM2 domain-containing protein almondex</v>
      </c>
      <c r="BM166" t="str">
        <f>HYPERLINK("http://www.ncbi.nlm.nih.gov/sutils/blink.cgi?pid=557768374","1E-128")</f>
        <v>1E-128</v>
      </c>
      <c r="BN166" t="str">
        <f>HYPERLINK("http://www.ncbi.nlm.nih.gov/protein/557768374","gi|557768374")</f>
        <v>gi|557768374</v>
      </c>
      <c r="BO166">
        <v>88</v>
      </c>
      <c r="BP166">
        <v>94</v>
      </c>
      <c r="BQ166">
        <v>100</v>
      </c>
      <c r="BR166" t="s">
        <v>251</v>
      </c>
      <c r="BS166" s="33" t="str">
        <f>HYPERLINK("http://exon.niaid.nih.gov/transcriptome/S_calcitrans/S1/links/SWISSP/XP_013108776.1-SWISSP.txt","TM2 domain-containing protein almondex")</f>
        <v>TM2 domain-containing protein almondex</v>
      </c>
      <c r="BT166" t="str">
        <f>HYPERLINK("http://www.uniprot.org/uniprot/Q9U4H5","6E-081")</f>
        <v>6E-081</v>
      </c>
      <c r="BU166" t="str">
        <f>HYPERLINK("http://www.uniprot.org/uniprot/Q9U4H5#expression","Q9U4H5")</f>
        <v>Q9U4H5</v>
      </c>
      <c r="BV166">
        <v>53</v>
      </c>
      <c r="BW166">
        <v>64</v>
      </c>
      <c r="BX166">
        <v>98</v>
      </c>
      <c r="BY166" t="s">
        <v>304</v>
      </c>
      <c r="BZ166" s="33" t="str">
        <f>HYPERLINK("http://exon.niaid.nih.gov/transcriptome/S_calcitrans/S1/links/REFSEQ-INVERTEBRATE/XP_013108776.1-REFSEQ-INVERTEBRATE.txt","TM2 domain-containing protein almondex")</f>
        <v>TM2 domain-containing protein almondex</v>
      </c>
      <c r="CA166" t="str">
        <f>HYPERLINK("http://www.ncbi.nlm.nih.gov/sutils/blink.cgi?pid=907695167","1E-143")</f>
        <v>1E-143</v>
      </c>
      <c r="CB166" t="str">
        <f>HYPERLINK("http://www.ncbi.nlm.nih.gov/protein/907695167","gi|907695167")</f>
        <v>gi|907695167</v>
      </c>
      <c r="CC166">
        <v>100</v>
      </c>
      <c r="CD166">
        <v>100</v>
      </c>
      <c r="CE166">
        <v>100</v>
      </c>
      <c r="CF166" t="s">
        <v>253</v>
      </c>
      <c r="CG166" s="33" t="str">
        <f>HYPERLINK("http://exon.niaid.nih.gov/transcriptome/S_calcitrans/S1/links/DIPTERA/XP_013108776.1-DIPTERA.txt","TM2 domain-containing protein almondex")</f>
        <v>TM2 domain-containing protein almondex</v>
      </c>
      <c r="CH166" t="str">
        <f>HYPERLINK("http://www.ncbi.nlm.nih.gov/sutils/blink.cgi?pid=907695167","1E-143")</f>
        <v>1E-143</v>
      </c>
      <c r="CI166" t="str">
        <f>HYPERLINK("http://www.ncbi.nlm.nih.gov/protein/907695167","gi|907695167")</f>
        <v>gi|907695167</v>
      </c>
      <c r="CJ166">
        <v>100</v>
      </c>
      <c r="CK166">
        <v>100</v>
      </c>
      <c r="CL166">
        <v>100</v>
      </c>
      <c r="CM166" t="s">
        <v>253</v>
      </c>
      <c r="CN166" s="33" t="s">
        <v>242</v>
      </c>
      <c r="CO166" t="s">
        <v>242</v>
      </c>
      <c r="CP166" t="s">
        <v>242</v>
      </c>
      <c r="CQ166" t="s">
        <v>242</v>
      </c>
      <c r="CR166" t="s">
        <v>242</v>
      </c>
      <c r="CS166" t="s">
        <v>242</v>
      </c>
      <c r="CT166" t="s">
        <v>242</v>
      </c>
      <c r="CU166" s="33" t="s">
        <v>1810</v>
      </c>
      <c r="CV166">
        <f>HYPERLINK("http://exon.niaid.nih.gov/transcriptome/S_calcitrans/S1/links/GO/XP_013108776.1-GO.txt",1E-80)</f>
        <v>9.9999999999999996E-81</v>
      </c>
      <c r="CW166" t="str">
        <f>HYPERLINK("http://amigo.geneontology.org/cgi-bin/amigo/term_details?term=GO:0003674","GO:0003674")</f>
        <v>GO:0003674</v>
      </c>
      <c r="CX166" t="s">
        <v>255</v>
      </c>
      <c r="CY166" t="s">
        <v>256</v>
      </c>
      <c r="CZ166" t="s">
        <v>257</v>
      </c>
      <c r="DA166" t="s">
        <v>242</v>
      </c>
      <c r="DC166" t="s">
        <v>258</v>
      </c>
      <c r="DD166" s="37">
        <v>9.9999999999999996E-81</v>
      </c>
      <c r="DE166" s="33" t="str">
        <f>HYPERLINK("http://exon.niaid.nih.gov/transcriptome/S_calcitrans/S1/links/CDD/XP_013108776.1-CDD.txt","TM2")</f>
        <v>TM2</v>
      </c>
      <c r="DF166" t="str">
        <f>HYPERLINK("http://www.ncbi.nlm.nih.gov/Structure/cdd/cddsrv.cgi?uid=pfam05154&amp;version=v4.0","9E-012")</f>
        <v>9E-012</v>
      </c>
      <c r="DG166" t="s">
        <v>1811</v>
      </c>
      <c r="DH166" s="33" t="str">
        <f>HYPERLINK("http://exon.niaid.nih.gov/transcriptome/S_calcitrans/S1/links/KOG/XP_013108776.1-KOG.txt","Predicted GTP-binding protein")</f>
        <v>Predicted GTP-binding protein</v>
      </c>
      <c r="DI166" t="str">
        <f>HYPERLINK("http://www.ncbi.nlm.nih.gov/Structure/cdd/cddsrv.cgi?uid=KOG4272","4E-038")</f>
        <v>4E-038</v>
      </c>
      <c r="DJ166" t="s">
        <v>342</v>
      </c>
      <c r="DK166" t="str">
        <f>HYPERLINK("http://exon.niaid.nih.gov/transcriptome/S_calcitrans/S1/links/KOG/XP_013108776.1-KOG.txt","KOG4272")</f>
        <v>KOG4272</v>
      </c>
      <c r="DL166" s="33" t="str">
        <f>HYPERLINK("http://exon.niaid.nih.gov/transcriptome/S_calcitrans/S1/links/PFAM/XP_013108776.1-PFAM.txt","TM2")</f>
        <v>TM2</v>
      </c>
      <c r="DM166" t="str">
        <f>HYPERLINK("http://pfam.sanger.ac.uk/family?acc=PF05154","2E-012")</f>
        <v>2E-012</v>
      </c>
      <c r="DN166" s="33" t="str">
        <f>HYPERLINK("http://exon.niaid.nih.gov/transcriptome/S_calcitrans/S1/links/SMART/XP_013108776.1-SMART.txt","AGTRAP")</f>
        <v>AGTRAP</v>
      </c>
      <c r="DO166" t="str">
        <f>HYPERLINK("http://smart.embl-heidelberg.de/smart/do_annotation.pl?DOMAIN=AGTRAP&amp;BLAST=DUMMY","0.89")</f>
        <v>0.89</v>
      </c>
      <c r="DP166" s="33"/>
      <c r="EB166" s="33">
        <v>4728</v>
      </c>
      <c r="EC166">
        <v>1</v>
      </c>
      <c r="ED166" s="33">
        <v>5706</v>
      </c>
      <c r="EE166">
        <v>1</v>
      </c>
      <c r="EF166" s="33">
        <v>6320</v>
      </c>
      <c r="EG166">
        <v>1</v>
      </c>
      <c r="EH166" s="33">
        <v>6781</v>
      </c>
      <c r="EI166">
        <v>1</v>
      </c>
      <c r="EJ166" s="33">
        <v>7263</v>
      </c>
      <c r="EK166">
        <v>1</v>
      </c>
      <c r="EL166" s="33">
        <v>7647</v>
      </c>
      <c r="EM166">
        <v>1</v>
      </c>
      <c r="EN166" s="33">
        <v>8095</v>
      </c>
      <c r="EO166">
        <v>1</v>
      </c>
      <c r="EP166" s="33">
        <v>8443</v>
      </c>
      <c r="EQ166">
        <v>1</v>
      </c>
      <c r="ER166" s="33">
        <v>8750</v>
      </c>
      <c r="ES166">
        <v>1</v>
      </c>
      <c r="ET166" s="33">
        <v>9002</v>
      </c>
      <c r="EU166">
        <v>1</v>
      </c>
      <c r="EV166" s="33">
        <v>9265</v>
      </c>
      <c r="EW166">
        <v>1</v>
      </c>
      <c r="EX166" s="33">
        <v>9524</v>
      </c>
      <c r="EY166">
        <v>1</v>
      </c>
      <c r="EZ166" s="33">
        <v>9818</v>
      </c>
      <c r="FA166">
        <v>1</v>
      </c>
      <c r="FB166" s="33">
        <v>10122</v>
      </c>
      <c r="FC166">
        <v>1</v>
      </c>
      <c r="FD166" s="33">
        <v>10553</v>
      </c>
      <c r="FE166">
        <v>1</v>
      </c>
      <c r="FF166" t="s">
        <v>1812</v>
      </c>
      <c r="FG166">
        <v>14017</v>
      </c>
      <c r="FH166" s="38" t="str">
        <f>HYPERLINK("http://exon.niaid.nih.gov/transcriptome/S_calcitrans/S1/links/SG_male-stripped_temp-95-h10-1gap/14017-SG_male-stripped_temp-95-h10-1gap.txt","130")</f>
        <v>130</v>
      </c>
      <c r="FI166" s="39">
        <v>98.728813559322006</v>
      </c>
      <c r="FJ166" s="39">
        <v>13.3968926553672</v>
      </c>
      <c r="FK166" s="39">
        <v>0</v>
      </c>
      <c r="FL166" s="39">
        <v>34</v>
      </c>
      <c r="FM166" s="39">
        <v>72.961538461538495</v>
      </c>
      <c r="FN166" s="38" t="str">
        <f>HYPERLINK("http://exon.niaid.nih.gov/transcriptome/S_calcitrans/S1/links/SG_female-stripped_temp-95-h10-1gap/14017-SG_female-stripped_temp-95-h10-1gap.txt","178")</f>
        <v>178</v>
      </c>
      <c r="FO166" s="39">
        <v>96.751412429378504</v>
      </c>
      <c r="FP166" s="39">
        <v>18.4237288135593</v>
      </c>
      <c r="FQ166" s="39">
        <v>0</v>
      </c>
      <c r="FR166" s="39">
        <v>32</v>
      </c>
      <c r="FS166" s="39">
        <v>73.280898876404507</v>
      </c>
      <c r="FT166" s="38" t="str">
        <f>HYPERLINK("http://exon.niaid.nih.gov/transcriptome/S_calcitrans/S1/links/SRR694289-stripped_temp-95-h10-1gap/14017-SRR694289-stripped_temp-95-h10-1gap.txt","1")</f>
        <v>1</v>
      </c>
      <c r="FU166" s="39">
        <v>14.5480225988701</v>
      </c>
      <c r="FV166" s="39">
        <v>0.145480225988701</v>
      </c>
      <c r="FW166" s="39">
        <v>0</v>
      </c>
      <c r="FX166" s="39">
        <v>1</v>
      </c>
      <c r="FY166" s="39">
        <v>103</v>
      </c>
      <c r="FZ166" s="38" t="str">
        <f>HYPERLINK("http://exon.niaid.nih.gov/transcriptome/S_calcitrans/S1/links/SRR694925-stripped_temp-95-h10-1gap/14017-SRR694925-stripped_temp-95-h10-1gap.txt","6")</f>
        <v>6</v>
      </c>
      <c r="GA166" s="39">
        <v>56.920903954802299</v>
      </c>
      <c r="GB166" s="39">
        <v>0.879943502824859</v>
      </c>
      <c r="GC166" s="39">
        <v>0</v>
      </c>
      <c r="GD166" s="39">
        <v>3</v>
      </c>
      <c r="GE166" s="39">
        <v>103.833333333333</v>
      </c>
      <c r="GF166">
        <f>1*FH166</f>
        <v>130</v>
      </c>
      <c r="GG166">
        <f>1*FN166</f>
        <v>178</v>
      </c>
      <c r="GH166">
        <f>1*FT166</f>
        <v>1</v>
      </c>
      <c r="GI166">
        <f>1*FZ166</f>
        <v>6</v>
      </c>
      <c r="GJ166">
        <f>IF(FZ166&lt;&gt;"",SUM(GF166:GG166),"")</f>
        <v>308</v>
      </c>
      <c r="GK166" s="34">
        <v>1.1963211570756086E-3</v>
      </c>
      <c r="GL166">
        <v>6.006370037816902</v>
      </c>
      <c r="GM166">
        <v>3.7398999523362022</v>
      </c>
      <c r="GN166">
        <v>8.1189390549954617E-3</v>
      </c>
      <c r="GO166">
        <v>5.0218274473228353E-2</v>
      </c>
      <c r="GP166">
        <f>MAX(GL166:GO166)</f>
        <v>6.006370037816902</v>
      </c>
      <c r="GQ166" t="s">
        <v>1787</v>
      </c>
      <c r="GR166">
        <v>4.6843166705893138</v>
      </c>
      <c r="GS166">
        <v>3.069583449185818</v>
      </c>
      <c r="GT166">
        <v>1.4635669139599709E-2</v>
      </c>
      <c r="GU166">
        <v>9.5076960838229987E-2</v>
      </c>
      <c r="GV166">
        <f>MAX(GR166:GU166)</f>
        <v>4.6843166705893138</v>
      </c>
      <c r="GW166">
        <v>59.777526067433968</v>
      </c>
      <c r="GX166">
        <v>308</v>
      </c>
      <c r="GY166">
        <v>7</v>
      </c>
      <c r="GZ166">
        <v>315</v>
      </c>
      <c r="HA166">
        <v>69.92990348420841</v>
      </c>
      <c r="HB166">
        <v>245.07009651579159</v>
      </c>
      <c r="HC166">
        <v>810.48833233177879</v>
      </c>
      <c r="HD166">
        <v>231.27003931051294</v>
      </c>
      <c r="HE166">
        <v>1041.7583716422916</v>
      </c>
      <c r="HF166">
        <v>1.5055130737854561E-228</v>
      </c>
      <c r="HG166">
        <v>69.92990348420841</v>
      </c>
      <c r="HH166">
        <v>1</v>
      </c>
      <c r="HI166">
        <v>1</v>
      </c>
      <c r="HJ166">
        <v>2</v>
      </c>
      <c r="HK166" s="37">
        <v>5.1965674969249702E-228</v>
      </c>
      <c r="HL166" s="30" t="s">
        <v>262</v>
      </c>
      <c r="HM166">
        <v>134.92366277880873</v>
      </c>
      <c r="HN166">
        <v>6.4641610435632775E-3</v>
      </c>
      <c r="HO166">
        <v>130</v>
      </c>
      <c r="HP166">
        <v>178</v>
      </c>
      <c r="HQ166">
        <v>308</v>
      </c>
      <c r="HR166">
        <v>96.279550986039567</v>
      </c>
      <c r="HS166">
        <v>211.72044901396043</v>
      </c>
      <c r="HT166">
        <v>11.810074621847571</v>
      </c>
      <c r="HU166">
        <v>5.3706134055484123</v>
      </c>
      <c r="HV166">
        <v>17.180688027395984</v>
      </c>
      <c r="HW166">
        <v>3.3987399481109574E-5</v>
      </c>
      <c r="HX166">
        <v>96.279550986039567</v>
      </c>
      <c r="HY166">
        <v>1</v>
      </c>
      <c r="HZ166">
        <v>1</v>
      </c>
      <c r="IA166">
        <v>2</v>
      </c>
      <c r="IB166">
        <v>3.1765908825978401E-4</v>
      </c>
      <c r="IC166" s="30" t="s">
        <v>262</v>
      </c>
      <c r="ID166">
        <v>1.5970520532801402</v>
      </c>
      <c r="IE166">
        <v>0.61790250590141083</v>
      </c>
      <c r="IF166">
        <v>1.5970520532801402</v>
      </c>
      <c r="IG166" t="str">
        <f t="shared" si="156"/>
        <v/>
      </c>
    </row>
    <row r="167" spans="1:241">
      <c r="A167" t="str">
        <f>HYPERLINK("http://exon.niaid.nih.gov/transcriptome/S_calcitrans/S1/links/pep/XP_013114823.1-pep.txt","XP_013114823.1")</f>
        <v>XP_013114823.1</v>
      </c>
      <c r="B167" s="30" t="s">
        <v>232</v>
      </c>
      <c r="C167">
        <v>268</v>
      </c>
      <c r="D167" t="s">
        <v>1813</v>
      </c>
      <c r="E167">
        <v>2</v>
      </c>
      <c r="F167" t="s">
        <v>1814</v>
      </c>
      <c r="G167" t="str">
        <f>HYPERLINK("http://exon.niaid.nih.gov/transcriptome/S_calcitrans/S1/links/cds/XM_013259369_1-cds.txt","XM_013259369_1")</f>
        <v>XM_013259369_1</v>
      </c>
      <c r="H167">
        <v>807</v>
      </c>
      <c r="I167" t="s">
        <v>1815</v>
      </c>
      <c r="J167" s="30" t="s">
        <v>236</v>
      </c>
      <c r="K167" s="30" t="s">
        <v>91</v>
      </c>
      <c r="L167" s="31" t="s">
        <v>1816</v>
      </c>
      <c r="M167" s="30">
        <v>152168</v>
      </c>
      <c r="N167" s="30">
        <v>153096</v>
      </c>
      <c r="O167" s="30" t="s">
        <v>238</v>
      </c>
      <c r="P167" s="30">
        <v>2</v>
      </c>
      <c r="Q167" s="31" t="s">
        <v>1817</v>
      </c>
      <c r="R167" s="32" t="str">
        <f>HYPERLINK("http://exon.niaid.nih.gov/transcriptome/S_calcitrans/S1/links/Sigp/XP_013114823.1-SigP.txt","BL")</f>
        <v>BL</v>
      </c>
      <c r="S167" t="s">
        <v>1818</v>
      </c>
      <c r="T167">
        <v>29.789000000000001</v>
      </c>
      <c r="U167">
        <v>7.06</v>
      </c>
      <c r="V167">
        <v>26.437000000000001</v>
      </c>
      <c r="W167">
        <v>6.47</v>
      </c>
      <c r="X167" t="s">
        <v>1819</v>
      </c>
      <c r="Y167" s="32" t="str">
        <f>HYPERLINK("http://exon.niaid.nih.gov/transcriptome/S_calcitrans/S1/links/tmhmm/XP_013114823.1-tmhmm.txt","2")</f>
        <v>2</v>
      </c>
      <c r="Z167">
        <v>15.3</v>
      </c>
      <c r="AA167">
        <v>4.0999999999999996</v>
      </c>
      <c r="AB167">
        <v>80.599999999999994</v>
      </c>
      <c r="AC167">
        <v>1</v>
      </c>
      <c r="AD167">
        <v>1</v>
      </c>
      <c r="AE167" s="32" t="s">
        <v>242</v>
      </c>
      <c r="AF167" t="s">
        <v>242</v>
      </c>
      <c r="AG167" t="s">
        <v>242</v>
      </c>
      <c r="AH167" t="s">
        <v>242</v>
      </c>
      <c r="AI167" t="s">
        <v>242</v>
      </c>
      <c r="AJ167" t="s">
        <v>242</v>
      </c>
      <c r="AK167">
        <v>2922.0000915970804</v>
      </c>
      <c r="AL167" s="33">
        <v>13728</v>
      </c>
      <c r="AM167">
        <v>1</v>
      </c>
      <c r="AN167" s="30">
        <f t="shared" si="149"/>
        <v>1</v>
      </c>
      <c r="AO167" s="30" t="s">
        <v>244</v>
      </c>
      <c r="AP167">
        <v>76708</v>
      </c>
      <c r="AQ167" s="34">
        <v>0.29794611466544085</v>
      </c>
      <c r="AR167" s="35">
        <v>1289.8624586511805</v>
      </c>
      <c r="AS167" t="s">
        <v>1820</v>
      </c>
      <c r="AT167" s="36" t="s">
        <v>1786</v>
      </c>
      <c r="AU167" t="s">
        <v>1787</v>
      </c>
      <c r="AV167" t="str">
        <f>HYPERLINK("http://exon.niaid.nih.gov/transcriptome/S_calcitrans/S1/links/SWISSP/XP_013114823.1-SWISSP.txt","SWISSP")</f>
        <v>SWISSP</v>
      </c>
      <c r="AW167">
        <v>0</v>
      </c>
      <c r="AY167" s="33" t="str">
        <f>HYPERLINK("http://exon.niaid.nih.gov/transcriptome/S_calcitrans/S1/links/WANG/XP_013114823.1-WANG.txt","SC-4-28-4")</f>
        <v>SC-4-28-4</v>
      </c>
      <c r="AZ167">
        <v>1E-156</v>
      </c>
      <c r="BA167">
        <v>268</v>
      </c>
      <c r="BB167">
        <v>268</v>
      </c>
      <c r="BC167">
        <v>98</v>
      </c>
      <c r="BD167">
        <v>98</v>
      </c>
      <c r="BE167">
        <v>100</v>
      </c>
      <c r="BF167" t="s">
        <v>248</v>
      </c>
      <c r="BG167" s="31" t="s">
        <v>1821</v>
      </c>
      <c r="BH167" t="s">
        <v>1822</v>
      </c>
      <c r="BI167">
        <v>67</v>
      </c>
      <c r="BJ167" s="33"/>
      <c r="BK167" s="33"/>
      <c r="BL167" s="33" t="str">
        <f>HYPERLINK("http://exon.niaid.nih.gov/transcriptome/S_calcitrans/S1/links/NR-LIGHT/XP_013114823.1-NR-LIGHT.txt","uncharacterized protein LOC101899719")</f>
        <v>uncharacterized protein LOC101899719</v>
      </c>
      <c r="BM167" t="str">
        <f>HYPERLINK("http://www.ncbi.nlm.nih.gov/sutils/blink.cgi?pid=755894889","1E-007")</f>
        <v>1E-007</v>
      </c>
      <c r="BN167" t="str">
        <f>HYPERLINK("http://www.ncbi.nlm.nih.gov/protein/755894889","gi|755894889")</f>
        <v>gi|755894889</v>
      </c>
      <c r="BO167">
        <v>49</v>
      </c>
      <c r="BP167">
        <v>62</v>
      </c>
      <c r="BQ167">
        <v>27</v>
      </c>
      <c r="BR167" t="s">
        <v>251</v>
      </c>
      <c r="BS167" s="33" t="str">
        <f>HYPERLINK("http://exon.niaid.nih.gov/transcriptome/S_calcitrans/S1/links/SWISSP/XP_013114823.1-SWISSP.txt","Uncharacterized protein DDB_G0282865")</f>
        <v>Uncharacterized protein DDB_G0282865</v>
      </c>
      <c r="BT167" t="str">
        <f>HYPERLINK("http://www.uniprot.org/uniprot/Q54RW9","0.33")</f>
        <v>0.33</v>
      </c>
      <c r="BU167" t="str">
        <f>HYPERLINK("http://www.uniprot.org/uniprot/Q54RW9#expression","Q54RW9")</f>
        <v>Q54RW9</v>
      </c>
      <c r="BV167">
        <v>23</v>
      </c>
      <c r="BW167">
        <v>36</v>
      </c>
      <c r="BX167">
        <v>90</v>
      </c>
      <c r="BY167" t="s">
        <v>943</v>
      </c>
      <c r="BZ167" s="33" t="str">
        <f>HYPERLINK("http://exon.niaid.nih.gov/transcriptome/S_calcitrans/S1/links/REFSEQ-INVERTEBRATE/XP_013114823.1-REFSEQ-INVERTEBRATE.txt","uncharacterized LOC106092484")</f>
        <v>uncharacterized LOC106092484</v>
      </c>
      <c r="CA167" t="str">
        <f>HYPERLINK("http://www.ncbi.nlm.nih.gov/sutils/blink.cgi?pid=910242235","1E-153")</f>
        <v>1E-153</v>
      </c>
      <c r="CB167" t="str">
        <f>HYPERLINK("http://www.ncbi.nlm.nih.gov/protein/910242235","gi|910242235")</f>
        <v>gi|910242235</v>
      </c>
      <c r="CC167">
        <v>99</v>
      </c>
      <c r="CD167">
        <v>99</v>
      </c>
      <c r="CE167">
        <v>100</v>
      </c>
      <c r="CF167" t="s">
        <v>253</v>
      </c>
      <c r="CG167" s="33" t="str">
        <f>HYPERLINK("http://exon.niaid.nih.gov/transcriptome/S_calcitrans/S1/links/DIPTERA/XP_013114823.1-DIPTERA.txt","putative 26.4 kDa secreted salivary gland protein")</f>
        <v>putative 26.4 kDa secreted salivary gland protein</v>
      </c>
      <c r="CH167" t="str">
        <f>HYPERLINK("http://www.ncbi.nlm.nih.gov/sutils/blink.cgi?pid=68500416","1E-153")</f>
        <v>1E-153</v>
      </c>
      <c r="CI167" t="str">
        <f>HYPERLINK("http://www.ncbi.nlm.nih.gov/protein/68500416","gi|68500416")</f>
        <v>gi|68500416</v>
      </c>
      <c r="CJ167">
        <v>99</v>
      </c>
      <c r="CK167">
        <v>99</v>
      </c>
      <c r="CL167">
        <v>100</v>
      </c>
      <c r="CM167" t="s">
        <v>253</v>
      </c>
      <c r="CN167" s="33" t="s">
        <v>242</v>
      </c>
      <c r="CO167" t="s">
        <v>242</v>
      </c>
      <c r="CP167" t="s">
        <v>242</v>
      </c>
      <c r="CQ167" t="s">
        <v>242</v>
      </c>
      <c r="CR167" t="s">
        <v>242</v>
      </c>
      <c r="CS167" t="s">
        <v>242</v>
      </c>
      <c r="CT167" t="s">
        <v>242</v>
      </c>
      <c r="CU167" s="33" t="s">
        <v>242</v>
      </c>
      <c r="CV167" t="s">
        <v>242</v>
      </c>
      <c r="CW167" t="s">
        <v>242</v>
      </c>
      <c r="CX167" t="s">
        <v>242</v>
      </c>
      <c r="CY167" t="s">
        <v>242</v>
      </c>
      <c r="CZ167" t="s">
        <v>242</v>
      </c>
      <c r="DA167" t="s">
        <v>242</v>
      </c>
      <c r="DB167" t="s">
        <v>242</v>
      </c>
      <c r="DC167" t="s">
        <v>242</v>
      </c>
      <c r="DD167" t="s">
        <v>242</v>
      </c>
      <c r="DE167" s="33" t="str">
        <f>HYPERLINK("http://exon.niaid.nih.gov/transcriptome/S_calcitrans/S1/links/CDD/XP_013114823.1-CDD.txt","COG3378")</f>
        <v>COG3378</v>
      </c>
      <c r="DF167" t="str">
        <f>HYPERLINK("http://www.ncbi.nlm.nih.gov/Structure/cdd/cddsrv.cgi?uid=COG3378&amp;version=v4.0","2.9")</f>
        <v>2.9</v>
      </c>
      <c r="DG167" t="s">
        <v>1823</v>
      </c>
      <c r="DH167" s="33" t="str">
        <f>HYPERLINK("http://exon.niaid.nih.gov/transcriptome/S_calcitrans/S1/links/KOG/XP_013114823.1-KOG.txt","Oligosaccharyltransferase, STT3 subunit")</f>
        <v>Oligosaccharyltransferase, STT3 subunit</v>
      </c>
      <c r="DI167" t="str">
        <f>HYPERLINK("http://www.ncbi.nlm.nih.gov/Structure/cdd/cddsrv.cgi?uid=KOG2292","5.2")</f>
        <v>5.2</v>
      </c>
      <c r="DJ167" t="s">
        <v>373</v>
      </c>
      <c r="DK167" t="str">
        <f>HYPERLINK("http://exon.niaid.nih.gov/transcriptome/S_calcitrans/S1/links/KOG/XP_013114823.1-KOG.txt","KOG2292")</f>
        <v>KOG2292</v>
      </c>
      <c r="DL167" s="33" t="str">
        <f>HYPERLINK("http://exon.niaid.nih.gov/transcriptome/S_calcitrans/S1/links/PFAM/XP_013114823.1-PFAM.txt","Reovirus_Mu2")</f>
        <v>Reovirus_Mu2</v>
      </c>
      <c r="DM167" t="str">
        <f>HYPERLINK("http://pfam.sanger.ac.uk/family?acc=PF07781","2.7")</f>
        <v>2.7</v>
      </c>
      <c r="DN167" s="33" t="str">
        <f>HYPERLINK("http://exon.niaid.nih.gov/transcriptome/S_calcitrans/S1/links/SMART/XP_013114823.1-SMART.txt","VIT")</f>
        <v>VIT</v>
      </c>
      <c r="DO167" t="str">
        <f>HYPERLINK("http://smart.embl-heidelberg.de/smart/do_annotation.pl?DOMAIN=VIT&amp;BLAST=DUMMY","1.4")</f>
        <v>1.4</v>
      </c>
      <c r="DP167" s="33"/>
      <c r="EB167" s="33">
        <v>5684</v>
      </c>
      <c r="EC167">
        <v>1</v>
      </c>
      <c r="ED167" s="33">
        <v>6867</v>
      </c>
      <c r="EE167">
        <v>1</v>
      </c>
      <c r="EF167" s="33">
        <v>7666</v>
      </c>
      <c r="EG167">
        <v>1</v>
      </c>
      <c r="EH167" s="33">
        <v>8299</v>
      </c>
      <c r="EI167">
        <v>1</v>
      </c>
      <c r="EJ167" s="33">
        <v>8957</v>
      </c>
      <c r="EK167">
        <v>1</v>
      </c>
      <c r="EL167" s="33">
        <v>9464</v>
      </c>
      <c r="EM167">
        <v>1</v>
      </c>
      <c r="EN167" s="33">
        <v>10031</v>
      </c>
      <c r="EO167">
        <v>1</v>
      </c>
      <c r="EP167" s="33">
        <v>10491</v>
      </c>
      <c r="EQ167">
        <v>1</v>
      </c>
      <c r="ER167" s="33">
        <v>10918</v>
      </c>
      <c r="ES167">
        <v>1</v>
      </c>
      <c r="ET167" s="33">
        <v>11292</v>
      </c>
      <c r="EU167">
        <v>1</v>
      </c>
      <c r="EV167" s="33">
        <v>11689</v>
      </c>
      <c r="EW167">
        <v>1</v>
      </c>
      <c r="EX167" s="33">
        <v>12050</v>
      </c>
      <c r="EY167">
        <v>1</v>
      </c>
      <c r="EZ167" s="33">
        <v>12506</v>
      </c>
      <c r="FA167">
        <v>1</v>
      </c>
      <c r="FB167" s="33">
        <v>13002</v>
      </c>
      <c r="FC167">
        <v>1</v>
      </c>
      <c r="FD167" s="33">
        <v>13728</v>
      </c>
      <c r="FE167">
        <v>1</v>
      </c>
      <c r="FF167" t="s">
        <v>1824</v>
      </c>
      <c r="FG167">
        <v>19430</v>
      </c>
      <c r="FH167" s="38" t="str">
        <f>HYPERLINK("http://exon.niaid.nih.gov/transcriptome/S_calcitrans/S1/links/SG_male-stripped_temp-95-h10-1gap/19430-SG_male-stripped_temp-95-h10-1gap.txt","26665")</f>
        <v>26665</v>
      </c>
      <c r="FI167" s="39">
        <v>100</v>
      </c>
      <c r="FJ167" s="39">
        <v>2446.8909541511798</v>
      </c>
      <c r="FK167" s="39">
        <v>14</v>
      </c>
      <c r="FL167" s="39">
        <v>6708</v>
      </c>
      <c r="FM167" s="39">
        <v>74.054265891618201</v>
      </c>
      <c r="FN167" s="38" t="str">
        <f>HYPERLINK("http://exon.niaid.nih.gov/transcriptome/S_calcitrans/S1/links/SG_female-stripped_temp-95-h10-1gap/19430-SG_female-stripped_temp-95-h10-1gap.txt","50043")</f>
        <v>50043</v>
      </c>
      <c r="FO167" s="39">
        <v>100</v>
      </c>
      <c r="FP167" s="39">
        <v>4588.3531598513</v>
      </c>
      <c r="FQ167" s="39">
        <v>49</v>
      </c>
      <c r="FR167" s="39">
        <v>13490</v>
      </c>
      <c r="FS167" s="39">
        <v>73.993325739863707</v>
      </c>
      <c r="FT167" s="38" t="str">
        <f>HYPERLINK("http://exon.niaid.nih.gov/transcriptome/S_calcitrans/S1/links/SRR694289-stripped_temp-95-h10-1gap/19430-SRR694289-stripped_temp-95-h10-1gap.txt","42")</f>
        <v>42</v>
      </c>
      <c r="FU167" s="39">
        <v>61.710037174721201</v>
      </c>
      <c r="FV167" s="39">
        <v>5.1833952912019798</v>
      </c>
      <c r="FW167" s="39">
        <v>0</v>
      </c>
      <c r="FX167" s="39">
        <v>18</v>
      </c>
      <c r="FY167" s="39">
        <v>99.595238095238102</v>
      </c>
      <c r="FZ167" s="38" t="str">
        <f>HYPERLINK("http://exon.niaid.nih.gov/transcriptome/S_calcitrans/S1/links/SRR694925-stripped_temp-95-h10-1gap/19430-SRR694925-stripped_temp-95-h10-1gap.txt","49")</f>
        <v>49</v>
      </c>
      <c r="GA167" s="39">
        <v>74.969021065675307</v>
      </c>
      <c r="GB167" s="39">
        <v>5.9851301115241604</v>
      </c>
      <c r="GC167" s="39">
        <v>0</v>
      </c>
      <c r="GD167" s="39">
        <v>19</v>
      </c>
      <c r="GE167" s="39">
        <v>98.571428571428598</v>
      </c>
      <c r="GF167">
        <f>1*FH167</f>
        <v>26665</v>
      </c>
      <c r="GG167">
        <f>1*FN167</f>
        <v>50043</v>
      </c>
      <c r="GH167">
        <f>1*FT167</f>
        <v>42</v>
      </c>
      <c r="GI167">
        <f>1*FZ167</f>
        <v>49</v>
      </c>
      <c r="GJ167">
        <f>IF(FZ167&lt;&gt;"",SUM(GF167:GG167),"")</f>
        <v>76708</v>
      </c>
      <c r="GK167" s="34">
        <v>0.29794611466544085</v>
      </c>
      <c r="GL167">
        <v>1080.8614888698742</v>
      </c>
      <c r="GM167">
        <v>922.45043946124838</v>
      </c>
      <c r="GN167">
        <v>0.29916328592236069</v>
      </c>
      <c r="GO167">
        <v>0.35980429120719493</v>
      </c>
      <c r="GP167">
        <f>MAX(GL167:GO167)</f>
        <v>1080.8614888698742</v>
      </c>
      <c r="GQ167" t="s">
        <v>1787</v>
      </c>
      <c r="GR167">
        <v>842.95463966309194</v>
      </c>
      <c r="GS167">
        <v>757.11613619387219</v>
      </c>
      <c r="GT167">
        <v>0.53928904279446954</v>
      </c>
      <c r="GU167">
        <v>0.681208163031779</v>
      </c>
      <c r="GV167">
        <f>MAX(GR167:GU167)</f>
        <v>842.95463966309194</v>
      </c>
      <c r="GW167">
        <v>1289.8624586511805</v>
      </c>
      <c r="GX167">
        <v>76708</v>
      </c>
      <c r="GY167">
        <v>91</v>
      </c>
      <c r="GZ167">
        <v>76799</v>
      </c>
      <c r="HA167">
        <v>17049.354468837209</v>
      </c>
      <c r="HB167">
        <v>59749.645531162787</v>
      </c>
      <c r="HC167">
        <v>208755.93812764864</v>
      </c>
      <c r="HD167">
        <v>59567.784126127262</v>
      </c>
      <c r="HE167">
        <v>268323.72225377592</v>
      </c>
      <c r="HF167">
        <v>0</v>
      </c>
      <c r="HG167">
        <v>17049.354468837209</v>
      </c>
      <c r="HH167">
        <v>1</v>
      </c>
      <c r="HI167">
        <v>1</v>
      </c>
      <c r="HJ167">
        <v>2</v>
      </c>
      <c r="HK167">
        <v>0</v>
      </c>
      <c r="HL167" s="30" t="s">
        <v>262</v>
      </c>
      <c r="HM167">
        <v>2922.0000915970804</v>
      </c>
      <c r="HN167">
        <v>3.3850701888948735E-4</v>
      </c>
      <c r="HO167">
        <v>26665</v>
      </c>
      <c r="HP167">
        <v>50043</v>
      </c>
      <c r="HQ167">
        <v>76708</v>
      </c>
      <c r="HR167">
        <v>23978.609730640012</v>
      </c>
      <c r="HS167">
        <v>52729.390269359988</v>
      </c>
      <c r="HT167">
        <v>300.96376563860991</v>
      </c>
      <c r="HU167">
        <v>136.86281298620497</v>
      </c>
      <c r="HV167">
        <v>437.82657862481489</v>
      </c>
      <c r="HW167">
        <v>3.2171336643964133E-97</v>
      </c>
      <c r="HX167">
        <v>23978.609730640012</v>
      </c>
      <c r="HY167">
        <v>1</v>
      </c>
      <c r="HZ167">
        <v>1</v>
      </c>
      <c r="IA167">
        <v>2</v>
      </c>
      <c r="IB167" s="37">
        <v>4.1271182000000001E-95</v>
      </c>
      <c r="IC167" s="30" t="s">
        <v>262</v>
      </c>
      <c r="ID167">
        <v>1.1717051067565118</v>
      </c>
      <c r="IE167">
        <v>0.85340800482160595</v>
      </c>
      <c r="IF167">
        <v>1.1717051067565118</v>
      </c>
      <c r="IG167" t="str">
        <f t="shared" si="156"/>
        <v/>
      </c>
    </row>
    <row r="168" spans="1:241">
      <c r="A168" t="str">
        <f>HYPERLINK("http://exon.niaid.nih.gov/transcriptome/S_calcitrans/S1/links/pep/XP_013117270.1-pep.txt","XP_013117270.1")</f>
        <v>XP_013117270.1</v>
      </c>
      <c r="B168" s="30" t="s">
        <v>232</v>
      </c>
      <c r="C168">
        <v>80</v>
      </c>
      <c r="D168" t="s">
        <v>1825</v>
      </c>
      <c r="E168">
        <v>0</v>
      </c>
      <c r="F168" t="s">
        <v>1826</v>
      </c>
      <c r="G168" t="str">
        <f>HYPERLINK("http://exon.niaid.nih.gov/transcriptome/S_calcitrans/S1/links/cds/XM_013261816_1-cds.txt","XM_013261816_1")</f>
        <v>XM_013261816_1</v>
      </c>
      <c r="H168">
        <v>243</v>
      </c>
      <c r="I168" t="s">
        <v>1827</v>
      </c>
      <c r="J168" s="30" t="s">
        <v>236</v>
      </c>
      <c r="K168" s="30" t="s">
        <v>91</v>
      </c>
      <c r="L168" s="31" t="s">
        <v>1828</v>
      </c>
      <c r="M168" s="30">
        <v>46152</v>
      </c>
      <c r="N168" s="30">
        <v>46394</v>
      </c>
      <c r="O168" s="30" t="s">
        <v>238</v>
      </c>
      <c r="P168" s="30">
        <v>1</v>
      </c>
      <c r="Q168" s="31" t="s">
        <v>1829</v>
      </c>
      <c r="R168" s="32" t="str">
        <f>HYPERLINK("http://exon.niaid.nih.gov/transcriptome/S_calcitrans/S1/links/Sigp/XP_013117270.1-SigP.txt","ANC")</f>
        <v>ANC</v>
      </c>
      <c r="S168" t="s">
        <v>242</v>
      </c>
      <c r="T168">
        <v>9.1010000000000009</v>
      </c>
      <c r="U168">
        <v>9.43</v>
      </c>
      <c r="V168">
        <v>4.3730000000000002</v>
      </c>
      <c r="W168">
        <v>9.52</v>
      </c>
      <c r="X168" t="s">
        <v>1830</v>
      </c>
      <c r="Y168" s="32" t="str">
        <f>HYPERLINK("http://exon.niaid.nih.gov/transcriptome/S_calcitrans/S1/links/tmhmm/XP_013117270.1-tmhmm.txt","2")</f>
        <v>2</v>
      </c>
      <c r="Z168">
        <v>55</v>
      </c>
      <c r="AA168">
        <v>20</v>
      </c>
      <c r="AB168">
        <v>25</v>
      </c>
      <c r="AC168">
        <v>1</v>
      </c>
      <c r="AD168">
        <v>1</v>
      </c>
      <c r="AE168" s="32" t="str">
        <f>HYPERLINK("http://exon.niaid.nih.gov/transcriptome/S_calcitrans/S1/links/netoglyc/XP_013117270.1-netoglyc.txt","1")</f>
        <v>1</v>
      </c>
      <c r="AF168">
        <v>15</v>
      </c>
      <c r="AG168">
        <v>5</v>
      </c>
      <c r="AH168">
        <v>5</v>
      </c>
      <c r="AI168" t="s">
        <v>243</v>
      </c>
      <c r="AJ168" t="s">
        <v>242</v>
      </c>
      <c r="AK168">
        <v>2724.1730008673767</v>
      </c>
      <c r="AL168" s="33">
        <v>15214</v>
      </c>
      <c r="AM168">
        <v>1</v>
      </c>
      <c r="AN168" s="30">
        <f t="shared" si="149"/>
        <v>1</v>
      </c>
      <c r="AO168" s="30" t="s">
        <v>244</v>
      </c>
      <c r="AP168">
        <v>2332</v>
      </c>
      <c r="AQ168" s="34">
        <v>9.0578601892867504E-3</v>
      </c>
      <c r="AR168" s="35">
        <v>1520.5538400220748</v>
      </c>
      <c r="AS168" t="s">
        <v>1831</v>
      </c>
      <c r="AT168" s="36" t="s">
        <v>1832</v>
      </c>
      <c r="AU168" t="s">
        <v>1833</v>
      </c>
      <c r="AV168" t="str">
        <f>HYPERLINK("http://exon.niaid.nih.gov/transcriptome/S_calcitrans/S1/links/SWISSP/XP_013117270.1-SWISSP.txt","SWISSP")</f>
        <v>SWISSP</v>
      </c>
      <c r="AW168" s="37">
        <v>3.0000000000000003E-39</v>
      </c>
      <c r="AY168" s="33"/>
      <c r="BG168" s="31"/>
      <c r="BJ168" s="33"/>
      <c r="BK168" s="33"/>
      <c r="BL168" s="33" t="str">
        <f>HYPERLINK("http://exon.niaid.nih.gov/transcriptome/S_calcitrans/S1/links/NR-LIGHT/XP_013117270.1-NR-LIGHT.txt","transmembrane protein 258 homolog")</f>
        <v>transmembrane protein 258 homolog</v>
      </c>
      <c r="BM168" t="str">
        <f>HYPERLINK("http://www.ncbi.nlm.nih.gov/sutils/blink.cgi?pid=755893220","3E-035")</f>
        <v>3E-035</v>
      </c>
      <c r="BN168" t="str">
        <f>HYPERLINK("http://www.ncbi.nlm.nih.gov/protein/755893220","gi|755893220")</f>
        <v>gi|755893220</v>
      </c>
      <c r="BO168">
        <v>93</v>
      </c>
      <c r="BP168">
        <v>95</v>
      </c>
      <c r="BQ168">
        <v>73</v>
      </c>
      <c r="BR168" t="s">
        <v>251</v>
      </c>
      <c r="BS168" s="33" t="str">
        <f>HYPERLINK("http://exon.niaid.nih.gov/transcriptome/S_calcitrans/S1/links/SWISSP/XP_013117270.1-SWISSP.txt","Transmembrane protein 258 homolog")</f>
        <v>Transmembrane protein 258 homolog</v>
      </c>
      <c r="BT168" t="str">
        <f>HYPERLINK("http://www.uniprot.org/uniprot/Q9VVA8","5E-030")</f>
        <v>5E-030</v>
      </c>
      <c r="BU168" t="str">
        <f>HYPERLINK("http://www.uniprot.org/uniprot/Q9VVA8#expression","Q9VVA8")</f>
        <v>Q9VVA8</v>
      </c>
      <c r="BV168">
        <v>81</v>
      </c>
      <c r="BW168">
        <v>92</v>
      </c>
      <c r="BX168">
        <v>97</v>
      </c>
      <c r="BY168" t="s">
        <v>304</v>
      </c>
      <c r="BZ168" s="33" t="str">
        <f>HYPERLINK("http://exon.niaid.nih.gov/transcriptome/S_calcitrans/S1/links/REFSEQ-INVERTEBRATE/XP_013117270.1-REFSEQ-INVERTEBRATE.txt","transmembrane protein 258 homolog")</f>
        <v>transmembrane protein 258 homolog</v>
      </c>
      <c r="CA168" t="str">
        <f>HYPERLINK("http://www.ncbi.nlm.nih.gov/sutils/blink.cgi?pid=907746183","5E-039")</f>
        <v>5E-039</v>
      </c>
      <c r="CB168" t="str">
        <f>HYPERLINK("http://www.ncbi.nlm.nih.gov/protein/907746183","gi|907746183")</f>
        <v>gi|907746183</v>
      </c>
      <c r="CC168">
        <v>100</v>
      </c>
      <c r="CD168">
        <v>100</v>
      </c>
      <c r="CE168">
        <v>100</v>
      </c>
      <c r="CF168" t="s">
        <v>253</v>
      </c>
      <c r="CG168" s="33" t="str">
        <f>HYPERLINK("http://exon.niaid.nih.gov/transcriptome/S_calcitrans/S1/links/DIPTERA/XP_013117270.1-DIPTERA.txt","transmembrane protein 258 homolog")</f>
        <v>transmembrane protein 258 homolog</v>
      </c>
      <c r="CH168" t="str">
        <f>HYPERLINK("http://www.ncbi.nlm.nih.gov/sutils/blink.cgi?pid=907746183","3E-039")</f>
        <v>3E-039</v>
      </c>
      <c r="CI168" t="str">
        <f>HYPERLINK("http://www.ncbi.nlm.nih.gov/protein/907746183","gi|907746183")</f>
        <v>gi|907746183</v>
      </c>
      <c r="CJ168">
        <v>100</v>
      </c>
      <c r="CK168">
        <v>100</v>
      </c>
      <c r="CL168">
        <v>100</v>
      </c>
      <c r="CM168" t="s">
        <v>253</v>
      </c>
      <c r="CN168" s="33" t="s">
        <v>242</v>
      </c>
      <c r="CO168" t="s">
        <v>242</v>
      </c>
      <c r="CP168" t="s">
        <v>242</v>
      </c>
      <c r="CQ168" t="s">
        <v>242</v>
      </c>
      <c r="CR168" t="s">
        <v>242</v>
      </c>
      <c r="CS168" t="s">
        <v>242</v>
      </c>
      <c r="CT168" t="s">
        <v>242</v>
      </c>
      <c r="CU168" s="33" t="s">
        <v>1668</v>
      </c>
      <c r="CV168">
        <f>HYPERLINK("http://exon.niaid.nih.gov/transcriptome/S_calcitrans/S1/links/GO/XP_013117270.1-GO.txt",9E-30)</f>
        <v>8.9999999999999993E-30</v>
      </c>
      <c r="CW168" t="str">
        <f>HYPERLINK("http://amigo.geneontology.org/cgi-bin/amigo/term_details?term=GO:0003674","GO:0003674")</f>
        <v>GO:0003674</v>
      </c>
      <c r="CX168" t="s">
        <v>255</v>
      </c>
      <c r="CY168" t="s">
        <v>256</v>
      </c>
      <c r="CZ168" t="s">
        <v>257</v>
      </c>
      <c r="DA168" t="s">
        <v>242</v>
      </c>
      <c r="DC168" t="s">
        <v>258</v>
      </c>
      <c r="DD168" s="37">
        <v>8.9999999999999993E-30</v>
      </c>
      <c r="DE168" s="33" t="str">
        <f>HYPERLINK("http://exon.niaid.nih.gov/transcriptome/S_calcitrans/S1/links/CDD/XP_013117270.1-CDD.txt","UPF0197")</f>
        <v>UPF0197</v>
      </c>
      <c r="DF168" t="str">
        <f>HYPERLINK("http://www.ncbi.nlm.nih.gov/Structure/cdd/cddsrv.cgi?uid=pfam05251&amp;version=v4.0","8E-023")</f>
        <v>8E-023</v>
      </c>
      <c r="DG168" t="s">
        <v>1834</v>
      </c>
      <c r="DH168" s="33" t="str">
        <f>HYPERLINK("http://exon.niaid.nih.gov/transcriptome/S_calcitrans/S1/links/KOG/XP_013117270.1-KOG.txt","Predicted membrane protein")</f>
        <v>Predicted membrane protein</v>
      </c>
      <c r="DI168" t="str">
        <f>HYPERLINK("http://www.ncbi.nlm.nih.gov/Structure/cdd/cddsrv.cgi?uid=KOG4452","4E-021")</f>
        <v>4E-021</v>
      </c>
      <c r="DJ168" t="s">
        <v>260</v>
      </c>
      <c r="DK168" t="str">
        <f>HYPERLINK("http://exon.niaid.nih.gov/transcriptome/S_calcitrans/S1/links/KOG/XP_013117270.1-KOG.txt","KOG4452")</f>
        <v>KOG4452</v>
      </c>
      <c r="DL168" s="33" t="str">
        <f>HYPERLINK("http://exon.niaid.nih.gov/transcriptome/S_calcitrans/S1/links/PFAM/XP_013117270.1-PFAM.txt","UPF0197")</f>
        <v>UPF0197</v>
      </c>
      <c r="DM168" t="str">
        <f>HYPERLINK("http://pfam.sanger.ac.uk/family?acc=PF05251","2E-023")</f>
        <v>2E-023</v>
      </c>
      <c r="DN168" s="33" t="str">
        <f>HYPERLINK("http://exon.niaid.nih.gov/transcriptome/S_calcitrans/S1/links/SMART/XP_013117270.1-SMART.txt","DM11")</f>
        <v>DM11</v>
      </c>
      <c r="DO168" t="str">
        <f>HYPERLINK("http://smart.embl-heidelberg.de/smart/do_annotation.pl?DOMAIN=DM11&amp;BLAST=DUMMY","7.7")</f>
        <v>7.7</v>
      </c>
      <c r="DP168" s="33"/>
      <c r="EB168" s="33">
        <v>6164</v>
      </c>
      <c r="EC168">
        <v>1</v>
      </c>
      <c r="ED168" s="33">
        <v>7473</v>
      </c>
      <c r="EE168">
        <v>1</v>
      </c>
      <c r="EF168" s="33">
        <v>8376</v>
      </c>
      <c r="EG168">
        <v>1</v>
      </c>
      <c r="EH168" s="33">
        <v>9100</v>
      </c>
      <c r="EI168">
        <v>1</v>
      </c>
      <c r="EJ168" s="33">
        <v>9831</v>
      </c>
      <c r="EK168">
        <v>1</v>
      </c>
      <c r="EL168" s="33">
        <v>10394</v>
      </c>
      <c r="EM168">
        <v>1</v>
      </c>
      <c r="EN168" s="33">
        <v>11025</v>
      </c>
      <c r="EO168">
        <v>1</v>
      </c>
      <c r="EP168" s="33">
        <v>11537</v>
      </c>
      <c r="EQ168">
        <v>1</v>
      </c>
      <c r="ER168" s="33">
        <v>12029</v>
      </c>
      <c r="ES168">
        <v>1</v>
      </c>
      <c r="ET168" s="33">
        <v>12451</v>
      </c>
      <c r="EU168">
        <v>1</v>
      </c>
      <c r="EV168" s="33">
        <v>12902</v>
      </c>
      <c r="EW168">
        <v>1</v>
      </c>
      <c r="EX168" s="33">
        <v>13316</v>
      </c>
      <c r="EY168">
        <v>1</v>
      </c>
      <c r="EZ168" s="33">
        <v>13838</v>
      </c>
      <c r="FA168">
        <v>1</v>
      </c>
      <c r="FB168" s="33">
        <v>14401</v>
      </c>
      <c r="FC168">
        <v>1</v>
      </c>
      <c r="FD168" s="33">
        <v>15214</v>
      </c>
      <c r="FE168">
        <v>1</v>
      </c>
      <c r="FF168" t="s">
        <v>1835</v>
      </c>
      <c r="FG168">
        <v>21610</v>
      </c>
      <c r="FH168" s="38" t="str">
        <f>HYPERLINK("http://exon.niaid.nih.gov/transcriptome/S_calcitrans/S1/links/SG_male-stripped_temp-95-h10-1gap/21610-SG_male-stripped_temp-95-h10-1gap.txt","980")</f>
        <v>980</v>
      </c>
      <c r="FI168" s="39">
        <v>100</v>
      </c>
      <c r="FJ168" s="39">
        <v>241.637860082305</v>
      </c>
      <c r="FK168" s="39">
        <v>5</v>
      </c>
      <c r="FL168" s="39">
        <v>575</v>
      </c>
      <c r="FM168" s="39">
        <v>59.916326530612203</v>
      </c>
      <c r="FN168" s="38" t="str">
        <f>HYPERLINK("http://exon.niaid.nih.gov/transcriptome/S_calcitrans/S1/links/SG_female-stripped_temp-95-h10-1gap/21610-SG_female-stripped_temp-95-h10-1gap.txt","1352")</f>
        <v>1352</v>
      </c>
      <c r="FO168" s="39">
        <v>100</v>
      </c>
      <c r="FP168" s="39">
        <v>335.71193415637902</v>
      </c>
      <c r="FQ168" s="39">
        <v>8</v>
      </c>
      <c r="FR168" s="39">
        <v>711</v>
      </c>
      <c r="FS168" s="39">
        <v>60.338757396449701</v>
      </c>
      <c r="FT168" s="38">
        <v>0</v>
      </c>
      <c r="FU168" s="39" t="s">
        <v>242</v>
      </c>
      <c r="FV168" s="39" t="s">
        <v>242</v>
      </c>
      <c r="FW168" s="39" t="s">
        <v>242</v>
      </c>
      <c r="FX168" s="39" t="s">
        <v>242</v>
      </c>
      <c r="FY168" s="39" t="s">
        <v>242</v>
      </c>
      <c r="FZ168" s="38" t="str">
        <f>HYPERLINK("http://exon.niaid.nih.gov/transcriptome/S_calcitrans/S1/links/SRR694925-stripped_temp-95-h10-1gap/21610-SRR694925-stripped_temp-95-h10-1gap.txt","2")</f>
        <v>2</v>
      </c>
      <c r="GA168" s="39">
        <v>53.497942386831298</v>
      </c>
      <c r="GB168" s="39">
        <v>0.79012345679012297</v>
      </c>
      <c r="GC168" s="39">
        <v>0</v>
      </c>
      <c r="GD168" s="39">
        <v>2</v>
      </c>
      <c r="GE168" s="39">
        <v>96</v>
      </c>
      <c r="GF168">
        <f>1*FH168</f>
        <v>980</v>
      </c>
      <c r="GG168">
        <f>1*FN168</f>
        <v>1352</v>
      </c>
      <c r="GH168">
        <f>1*FT168</f>
        <v>0</v>
      </c>
      <c r="GI168">
        <f>1*FZ168</f>
        <v>2</v>
      </c>
      <c r="GJ168">
        <f>IF(FZ168&lt;&gt;"",SUM(GF168:GG168),"")</f>
        <v>2332</v>
      </c>
      <c r="GK168" s="34">
        <v>9.0578601892867504E-3</v>
      </c>
      <c r="GL168">
        <v>131.92338673753972</v>
      </c>
      <c r="GM168">
        <v>82.764416534319366</v>
      </c>
      <c r="GN168">
        <v>0</v>
      </c>
      <c r="GO168">
        <v>4.8771657513094202E-2</v>
      </c>
      <c r="GP168">
        <f>MAX(GL168:GO168)</f>
        <v>131.92338673753972</v>
      </c>
      <c r="GQ168" t="s">
        <v>1833</v>
      </c>
      <c r="GR168">
        <v>102.8859220867898</v>
      </c>
      <c r="GS168">
        <v>67.930235143474633</v>
      </c>
      <c r="GT168">
        <v>0</v>
      </c>
      <c r="GU168">
        <v>9.2338118344947637E-2</v>
      </c>
      <c r="GV168">
        <f>MAX(GR168:GU168)</f>
        <v>102.8859220867898</v>
      </c>
      <c r="GW168">
        <v>1520.5538400220748</v>
      </c>
      <c r="GX168">
        <v>2332</v>
      </c>
      <c r="GY168">
        <v>2</v>
      </c>
      <c r="GZ168">
        <v>2334</v>
      </c>
      <c r="HA168">
        <v>518.14728486394415</v>
      </c>
      <c r="HB168">
        <v>1815.8527151360558</v>
      </c>
      <c r="HC168">
        <v>6349.6649858357378</v>
      </c>
      <c r="HD168">
        <v>1811.8549179578854</v>
      </c>
      <c r="HE168">
        <v>8161.5199037936236</v>
      </c>
      <c r="HF168">
        <v>0</v>
      </c>
      <c r="HG168">
        <v>518.14728486394415</v>
      </c>
      <c r="HH168">
        <v>1</v>
      </c>
      <c r="HI168">
        <v>1</v>
      </c>
      <c r="HJ168">
        <v>2</v>
      </c>
      <c r="HK168">
        <v>0</v>
      </c>
      <c r="HL168" s="30" t="s">
        <v>262</v>
      </c>
      <c r="HM168">
        <v>2724.1730008673767</v>
      </c>
      <c r="HN168">
        <v>2.4461769180834643E-4</v>
      </c>
      <c r="HO168">
        <v>980</v>
      </c>
      <c r="HP168">
        <v>1352</v>
      </c>
      <c r="HQ168">
        <v>2332</v>
      </c>
      <c r="HR168">
        <v>728.97374318001391</v>
      </c>
      <c r="HS168">
        <v>1603.0262568199862</v>
      </c>
      <c r="HT168">
        <v>86.442320045939965</v>
      </c>
      <c r="HU168">
        <v>39.30951308187457</v>
      </c>
      <c r="HV168">
        <v>125.75183312781454</v>
      </c>
      <c r="HW168">
        <v>3.484430569635533E-29</v>
      </c>
      <c r="HX168">
        <v>728.97374318001391</v>
      </c>
      <c r="HY168">
        <v>1</v>
      </c>
      <c r="HZ168">
        <v>1</v>
      </c>
      <c r="IA168">
        <v>2</v>
      </c>
      <c r="IB168" s="37">
        <v>1.79416177752294E-27</v>
      </c>
      <c r="IC168" s="30" t="s">
        <v>262</v>
      </c>
      <c r="ID168">
        <v>1.592784531163808</v>
      </c>
      <c r="IE168">
        <v>0.62672776360518778</v>
      </c>
      <c r="IF168">
        <v>1.592784531163808</v>
      </c>
      <c r="IG168" t="str">
        <f t="shared" si="156"/>
        <v/>
      </c>
    </row>
    <row r="169" spans="1:241">
      <c r="A169" s="22" t="s">
        <v>1836</v>
      </c>
      <c r="B169" s="23"/>
      <c r="C169" s="24"/>
      <c r="D169" s="24"/>
      <c r="E169" s="24"/>
      <c r="F169" s="24"/>
      <c r="G169" s="24"/>
      <c r="H169" s="24"/>
      <c r="I169" s="24"/>
      <c r="J169" s="23"/>
      <c r="K169" s="23"/>
      <c r="L169" s="25"/>
      <c r="M169" s="23"/>
      <c r="N169" s="23"/>
      <c r="O169" s="23"/>
      <c r="P169" s="23"/>
      <c r="Q169" s="25"/>
      <c r="R169" s="23"/>
      <c r="S169" s="24"/>
      <c r="T169" s="24"/>
      <c r="U169" s="24"/>
      <c r="V169" s="24"/>
      <c r="W169" s="24"/>
      <c r="X169" s="24"/>
      <c r="Y169" s="23"/>
      <c r="Z169" s="24"/>
      <c r="AA169" s="24"/>
      <c r="AB169" s="24"/>
      <c r="AC169" s="24"/>
      <c r="AD169" s="24"/>
      <c r="AE169" s="23"/>
      <c r="AF169" s="24"/>
      <c r="AG169" s="24"/>
      <c r="AH169" s="24"/>
      <c r="AI169" s="24"/>
      <c r="AJ169" s="24"/>
      <c r="AK169" s="24"/>
      <c r="AL169" s="24"/>
      <c r="AM169" s="24"/>
      <c r="AN169" s="23" t="str">
        <f t="shared" si="149"/>
        <v/>
      </c>
      <c r="AO169" s="23" t="s">
        <v>244</v>
      </c>
      <c r="AP169" s="24" t="s">
        <v>244</v>
      </c>
      <c r="AQ169" s="26"/>
      <c r="AR169" s="27"/>
      <c r="AS169" s="24"/>
      <c r="AT169" s="24"/>
      <c r="AU169" s="24"/>
      <c r="AV169" s="24"/>
      <c r="AW169" s="28"/>
      <c r="AX169" s="24"/>
      <c r="AY169" s="24"/>
      <c r="AZ169" s="24"/>
      <c r="BA169" s="24"/>
      <c r="BB169" s="24"/>
      <c r="BC169" s="24"/>
      <c r="BD169" s="24"/>
      <c r="BE169" s="24"/>
      <c r="BF169" s="24"/>
      <c r="BG169" s="25"/>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8"/>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4"/>
      <c r="GG169" s="24"/>
      <c r="GH169" s="24"/>
      <c r="GI169" s="24"/>
      <c r="GJ169" s="24" t="str">
        <f t="shared" si="163"/>
        <v/>
      </c>
      <c r="GK169" s="26"/>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3"/>
      <c r="HM169" s="24"/>
      <c r="HN169" s="24"/>
      <c r="HO169" s="24"/>
      <c r="HP169" s="24"/>
      <c r="HQ169" s="24"/>
      <c r="HR169" s="24"/>
      <c r="HS169" s="24"/>
      <c r="HT169" s="24"/>
      <c r="HU169" s="24"/>
      <c r="HV169" s="24"/>
      <c r="HW169" s="24"/>
      <c r="HX169" s="24"/>
      <c r="HY169" s="24"/>
      <c r="HZ169" s="24"/>
      <c r="IA169" s="24"/>
      <c r="IB169" s="28"/>
      <c r="IC169" s="23"/>
      <c r="ID169" s="24"/>
      <c r="IE169" s="24"/>
      <c r="IF169" s="24"/>
      <c r="IG169" s="24" t="str">
        <f t="shared" si="156"/>
        <v/>
      </c>
    </row>
    <row r="170" spans="1:241">
      <c r="A170" t="str">
        <f>HYPERLINK("http://exon.niaid.nih.gov/transcriptome/S_calcitrans/S1/links/pep/XP_013117645.1-pep.txt","XP_013117645.1")</f>
        <v>XP_013117645.1</v>
      </c>
      <c r="B170" s="30" t="s">
        <v>232</v>
      </c>
      <c r="C170">
        <v>55</v>
      </c>
      <c r="D170" t="s">
        <v>1837</v>
      </c>
      <c r="E170">
        <v>0</v>
      </c>
      <c r="F170" t="s">
        <v>1838</v>
      </c>
      <c r="G170" t="str">
        <f>HYPERLINK("http://exon.niaid.nih.gov/transcriptome/S_calcitrans/S1/links/cds/XM_013262191_1-cds.txt","XM_013262191_1")</f>
        <v>XM_013262191_1</v>
      </c>
      <c r="H170">
        <v>168</v>
      </c>
      <c r="I170" t="s">
        <v>1839</v>
      </c>
      <c r="J170" s="30" t="s">
        <v>236</v>
      </c>
      <c r="K170" s="30" t="s">
        <v>91</v>
      </c>
      <c r="L170" s="31" t="s">
        <v>1840</v>
      </c>
      <c r="M170" s="30">
        <v>22583</v>
      </c>
      <c r="N170" s="30">
        <v>22750</v>
      </c>
      <c r="O170" s="30" t="s">
        <v>276</v>
      </c>
      <c r="P170" s="30">
        <v>1</v>
      </c>
      <c r="Q170" s="31" t="s">
        <v>1841</v>
      </c>
      <c r="R170" s="32" t="str">
        <f>HYPERLINK("http://exon.niaid.nih.gov/transcriptome/S_calcitrans/S1/links/Sigp/XP_013117645.1-SigP.txt","CYT")</f>
        <v>CYT</v>
      </c>
      <c r="S170" t="s">
        <v>242</v>
      </c>
      <c r="T170">
        <v>6.1349999999999998</v>
      </c>
      <c r="U170">
        <v>5</v>
      </c>
      <c r="V170" t="s">
        <v>242</v>
      </c>
      <c r="W170" t="s">
        <v>242</v>
      </c>
      <c r="X170" t="s">
        <v>1842</v>
      </c>
      <c r="Y170" s="32" t="str">
        <f>HYPERLINK("http://exon.niaid.nih.gov/transcriptome/S_calcitrans/S1/links/tmhmm/XP_013117645.1-tmhmm.txt","1")</f>
        <v>1</v>
      </c>
      <c r="Z170">
        <v>34.5</v>
      </c>
      <c r="AA170">
        <v>18.2</v>
      </c>
      <c r="AB170">
        <v>47.3</v>
      </c>
      <c r="AC170" t="s">
        <v>242</v>
      </c>
      <c r="AD170">
        <v>10</v>
      </c>
      <c r="AE170" s="32" t="str">
        <f>HYPERLINK("http://exon.niaid.nih.gov/transcriptome/S_calcitrans/S1/links/netoglyc/XP_013117645.1-netoglyc.txt","0")</f>
        <v>0</v>
      </c>
      <c r="AF170">
        <v>16.399999999999999</v>
      </c>
      <c r="AG170">
        <v>5.5</v>
      </c>
      <c r="AH170" t="s">
        <v>460</v>
      </c>
      <c r="AI170" t="s">
        <v>243</v>
      </c>
      <c r="AJ170" t="s">
        <v>242</v>
      </c>
      <c r="AK170">
        <v>183.23584629700926</v>
      </c>
      <c r="AL170" s="33">
        <f>HYPERLINK("http://exon.niaid.nih.gov/transcriptome/S_calcitrans/S1/links/cluster-b/Scalc-pep95-50SimCLU3086.txt", 3086)</f>
        <v>3086</v>
      </c>
      <c r="AM170">
        <f>HYPERLINK("http://exon.niaid.nih.gov/transcriptome/S_calcitrans/S1/links/cluster-b/Scalc-pep95-50SimCLTL3086.txt", 2)</f>
        <v>2</v>
      </c>
      <c r="AN170" s="30">
        <f t="shared" si="149"/>
        <v>1</v>
      </c>
      <c r="AO170" s="30" t="s">
        <v>244</v>
      </c>
      <c r="AP170">
        <v>366</v>
      </c>
      <c r="AQ170" s="34">
        <v>1.4216024139275087E-3</v>
      </c>
      <c r="AR170" s="35">
        <v>98.624846154452015</v>
      </c>
      <c r="AS170" t="s">
        <v>1843</v>
      </c>
      <c r="AT170" s="36" t="s">
        <v>1844</v>
      </c>
      <c r="AU170" t="s">
        <v>1845</v>
      </c>
      <c r="AY170" s="33"/>
      <c r="BG170" s="31"/>
      <c r="BJ170" s="33"/>
      <c r="BK170" s="33"/>
      <c r="BL170" s="33" t="str">
        <f>HYPERLINK("http://exon.niaid.nih.gov/transcriptome/S_calcitrans/S1/links/NR-LIGHT/XP_013117645.1-NR-LIGHT.txt","uncharacterized protein LOC105261797")</f>
        <v>uncharacterized protein LOC105261797</v>
      </c>
      <c r="BM170" t="str">
        <f>HYPERLINK("http://www.ncbi.nlm.nih.gov/sutils/blink.cgi?pid=755874760","2E-023")</f>
        <v>2E-023</v>
      </c>
      <c r="BN170" t="str">
        <f>HYPERLINK("http://www.ncbi.nlm.nih.gov/protein/755874760","gi|755874760")</f>
        <v>gi|755874760</v>
      </c>
      <c r="BO170">
        <v>96</v>
      </c>
      <c r="BP170">
        <v>100</v>
      </c>
      <c r="BQ170">
        <v>100</v>
      </c>
      <c r="BR170" t="s">
        <v>251</v>
      </c>
      <c r="BS170" s="33" t="str">
        <f>HYPERLINK("http://exon.niaid.nih.gov/transcriptome/S_calcitrans/S1/links/SWISSP/XP_013117645.1-SWISSP.txt","DNA ligase")</f>
        <v>DNA ligase</v>
      </c>
      <c r="BT170" t="str">
        <f>HYPERLINK("http://www.uniprot.org/uniprot/Q2GHG1","2.0")</f>
        <v>2.0</v>
      </c>
      <c r="BU170" t="str">
        <f>HYPERLINK("http://www.uniprot.org/uniprot/Q2GHG1#expression","Q2GHG1")</f>
        <v>Q2GHG1</v>
      </c>
      <c r="BV170">
        <v>40</v>
      </c>
      <c r="BW170">
        <v>62</v>
      </c>
      <c r="BX170">
        <v>7</v>
      </c>
      <c r="BY170" t="s">
        <v>1846</v>
      </c>
      <c r="BZ170" s="33" t="str">
        <f>HYPERLINK("http://exon.niaid.nih.gov/transcriptome/S_calcitrans/S1/links/REFSEQ-INVERTEBRATE/XP_013117645.1-REFSEQ-INVERTEBRATE.txt","uncharacterized protein LOC106094948")</f>
        <v>uncharacterized protein LOC106094948</v>
      </c>
      <c r="CA170" t="str">
        <f>HYPERLINK("http://www.ncbi.nlm.nih.gov/sutils/blink.cgi?pid=907748656","3E-024")</f>
        <v>3E-024</v>
      </c>
      <c r="CB170" t="str">
        <f>HYPERLINK("http://www.ncbi.nlm.nih.gov/protein/907748656","gi|907748656")</f>
        <v>gi|907748656</v>
      </c>
      <c r="CC170">
        <v>100</v>
      </c>
      <c r="CD170">
        <v>100</v>
      </c>
      <c r="CE170">
        <v>100</v>
      </c>
      <c r="CF170" t="s">
        <v>253</v>
      </c>
      <c r="CG170" s="33" t="str">
        <f>HYPERLINK("http://exon.niaid.nih.gov/transcriptome/S_calcitrans/S1/links/DIPTERA/XP_013117645.1-DIPTERA.txt","uncharacterized protein LOC106094948")</f>
        <v>uncharacterized protein LOC106094948</v>
      </c>
      <c r="CH170" t="str">
        <f>HYPERLINK("http://www.ncbi.nlm.nih.gov/sutils/blink.cgi?pid=907748653","2E-024")</f>
        <v>2E-024</v>
      </c>
      <c r="CI170" t="str">
        <f>HYPERLINK("http://www.ncbi.nlm.nih.gov/protein/907748653","gi|907748653")</f>
        <v>gi|907748653</v>
      </c>
      <c r="CJ170">
        <v>100</v>
      </c>
      <c r="CK170">
        <v>100</v>
      </c>
      <c r="CL170">
        <v>100</v>
      </c>
      <c r="CM170" t="s">
        <v>253</v>
      </c>
      <c r="CN170" s="33" t="s">
        <v>242</v>
      </c>
      <c r="CO170" t="s">
        <v>242</v>
      </c>
      <c r="CP170" t="s">
        <v>242</v>
      </c>
      <c r="CQ170" t="s">
        <v>242</v>
      </c>
      <c r="CR170" t="s">
        <v>242</v>
      </c>
      <c r="CS170" t="s">
        <v>242</v>
      </c>
      <c r="CT170" t="s">
        <v>242</v>
      </c>
      <c r="CU170" s="33" t="s">
        <v>863</v>
      </c>
      <c r="CV170">
        <f>HYPERLINK("http://exon.niaid.nih.gov/transcriptome/S_calcitrans/S1/links/GO/XP_013117645.1-GO.txt",0.00000000003)</f>
        <v>3E-11</v>
      </c>
      <c r="CW170" t="str">
        <f>HYPERLINK("http://amigo.geneontology.org/cgi-bin/amigo/term_details?term=GO:0003674","GO:0003674")</f>
        <v>GO:0003674</v>
      </c>
      <c r="CX170" t="s">
        <v>255</v>
      </c>
      <c r="CY170" t="s">
        <v>256</v>
      </c>
      <c r="CZ170" t="s">
        <v>257</v>
      </c>
      <c r="DA170" t="s">
        <v>242</v>
      </c>
      <c r="DD170">
        <v>3E-11</v>
      </c>
      <c r="DE170" s="33" t="s">
        <v>242</v>
      </c>
      <c r="DF170" t="s">
        <v>242</v>
      </c>
      <c r="DG170" t="s">
        <v>242</v>
      </c>
      <c r="DH170" s="33" t="str">
        <f>HYPERLINK("http://exon.niaid.nih.gov/transcriptome/S_calcitrans/S1/links/KOG/XP_013117645.1-KOG.txt","DNA-dependent protein kinase")</f>
        <v>DNA-dependent protein kinase</v>
      </c>
      <c r="DI170" t="str">
        <f>HYPERLINK("http://www.ncbi.nlm.nih.gov/Structure/cdd/cddsrv.cgi?uid=KOG0891","4.1")</f>
        <v>4.1</v>
      </c>
      <c r="DJ170" t="s">
        <v>513</v>
      </c>
      <c r="DK170" t="str">
        <f>HYPERLINK("http://exon.niaid.nih.gov/transcriptome/S_calcitrans/S1/links/KOG/XP_013117645.1-KOG.txt","KOG0891")</f>
        <v>KOG0891</v>
      </c>
      <c r="DL170" s="33" t="s">
        <v>242</v>
      </c>
      <c r="DM170" t="s">
        <v>242</v>
      </c>
      <c r="DN170" s="33" t="str">
        <f>HYPERLINK("http://exon.niaid.nih.gov/transcriptome/S_calcitrans/S1/links/SMART/XP_013117645.1-SMART.txt","t_SNARE")</f>
        <v>t_SNARE</v>
      </c>
      <c r="DO170" t="str">
        <f>HYPERLINK("http://smart.embl-heidelberg.de/smart/do_annotation.pl?DOMAIN=t_SNARE&amp;BLAST=DUMMY","1.5")</f>
        <v>1.5</v>
      </c>
      <c r="DP170" s="33"/>
      <c r="EB170" s="33">
        <f>HYPERLINK("http://exon.niaid.nih.gov/transcriptome/S_calcitrans/S1/links/cluster-b/Scalc-pep25-50SimCLU2465.txt", 2465)</f>
        <v>2465</v>
      </c>
      <c r="EC170">
        <f>HYPERLINK("http://exon.niaid.nih.gov/transcriptome/S_calcitrans/S1/links/cluster-b/Scalc-pep25-50SimCLTL2465.txt", 2)</f>
        <v>2</v>
      </c>
      <c r="ED170" s="33">
        <f>HYPERLINK("http://exon.niaid.nih.gov/transcriptome/S_calcitrans/S1/links/cluster-b/Scalc-pep30-50SimCLU2960.txt", 2960)</f>
        <v>2960</v>
      </c>
      <c r="EE170">
        <f>HYPERLINK("http://exon.niaid.nih.gov/transcriptome/S_calcitrans/S1/links/cluster-b/Scalc-pep30-50SimCLTL2960.txt", 2)</f>
        <v>2</v>
      </c>
      <c r="EF170" s="33">
        <f>HYPERLINK("http://exon.niaid.nih.gov/transcriptome/S_calcitrans/S1/links/cluster-b/Scalc-pep35-50SimCLU3191.txt", 3191)</f>
        <v>3191</v>
      </c>
      <c r="EG170">
        <f>HYPERLINK("http://exon.niaid.nih.gov/transcriptome/S_calcitrans/S1/links/cluster-b/Scalc-pep35-50SimCLTL3191.txt", 2)</f>
        <v>2</v>
      </c>
      <c r="EH170" s="33">
        <f>HYPERLINK("http://exon.niaid.nih.gov/transcriptome/S_calcitrans/S1/links/cluster-b/Scalc-pep40-50SimCLU3332.txt", 3332)</f>
        <v>3332</v>
      </c>
      <c r="EI170">
        <f>HYPERLINK("http://exon.niaid.nih.gov/transcriptome/S_calcitrans/S1/links/cluster-b/Scalc-pep40-50SimCLTL3332.txt", 2)</f>
        <v>2</v>
      </c>
      <c r="EJ170" s="33">
        <f>HYPERLINK("http://exon.niaid.nih.gov/transcriptome/S_calcitrans/S1/links/cluster-b/Scalc-pep45-50SimCLU3485.txt", 3485)</f>
        <v>3485</v>
      </c>
      <c r="EK170">
        <f>HYPERLINK("http://exon.niaid.nih.gov/transcriptome/S_calcitrans/S1/links/cluster-b/Scalc-pep45-50SimCLTL3485.txt", 2)</f>
        <v>2</v>
      </c>
      <c r="EL170" s="33">
        <f>HYPERLINK("http://exon.niaid.nih.gov/transcriptome/S_calcitrans/S1/links/cluster-b/Scalc-pep50-50SimCLU3582.txt", 3582)</f>
        <v>3582</v>
      </c>
      <c r="EM170">
        <f>HYPERLINK("http://exon.niaid.nih.gov/transcriptome/S_calcitrans/S1/links/cluster-b/Scalc-pep50-50SimCLTL3582.txt", 2)</f>
        <v>2</v>
      </c>
      <c r="EN170" s="33">
        <f>HYPERLINK("http://exon.niaid.nih.gov/transcriptome/S_calcitrans/S1/links/cluster-b/Scalc-pep55-50SimCLU3694.txt", 3694)</f>
        <v>3694</v>
      </c>
      <c r="EO170">
        <f>HYPERLINK("http://exon.niaid.nih.gov/transcriptome/S_calcitrans/S1/links/cluster-b/Scalc-pep55-50SimCLTL3694.txt", 2)</f>
        <v>2</v>
      </c>
      <c r="EP170" s="33">
        <f>HYPERLINK("http://exon.niaid.nih.gov/transcriptome/S_calcitrans/S1/links/cluster-b/Scalc-pep60-50SimCLU3747.txt", 3747)</f>
        <v>3747</v>
      </c>
      <c r="EQ170">
        <f>HYPERLINK("http://exon.niaid.nih.gov/transcriptome/S_calcitrans/S1/links/cluster-b/Scalc-pep60-50SimCLTL3747.txt", 2)</f>
        <v>2</v>
      </c>
      <c r="ER170" s="33">
        <f>HYPERLINK("http://exon.niaid.nih.gov/transcriptome/S_calcitrans/S1/links/cluster-b/Scalc-pep65-50SimCLU3774.txt", 3774)</f>
        <v>3774</v>
      </c>
      <c r="ES170">
        <f>HYPERLINK("http://exon.niaid.nih.gov/transcriptome/S_calcitrans/S1/links/cluster-b/Scalc-pep65-50SimCLTL3774.txt", 2)</f>
        <v>2</v>
      </c>
      <c r="ET170" s="33">
        <f>HYPERLINK("http://exon.niaid.nih.gov/transcriptome/S_calcitrans/S1/links/cluster-b/Scalc-pep70-50SimCLU3759.txt", 3759)</f>
        <v>3759</v>
      </c>
      <c r="EU170">
        <f>HYPERLINK("http://exon.niaid.nih.gov/transcriptome/S_calcitrans/S1/links/cluster-b/Scalc-pep70-50SimCLTL3759.txt", 2)</f>
        <v>2</v>
      </c>
      <c r="EV170" s="33">
        <f>HYPERLINK("http://exon.niaid.nih.gov/transcriptome/S_calcitrans/S1/links/cluster-b/Scalc-pep75-50SimCLU3714.txt", 3714)</f>
        <v>3714</v>
      </c>
      <c r="EW170">
        <f>HYPERLINK("http://exon.niaid.nih.gov/transcriptome/S_calcitrans/S1/links/cluster-b/Scalc-pep75-50SimCLTL3714.txt", 2)</f>
        <v>2</v>
      </c>
      <c r="EX170" s="33">
        <f>HYPERLINK("http://exon.niaid.nih.gov/transcriptome/S_calcitrans/S1/links/cluster-b/Scalc-pep80-50SimCLU3663.txt", 3663)</f>
        <v>3663</v>
      </c>
      <c r="EY170">
        <f>HYPERLINK("http://exon.niaid.nih.gov/transcriptome/S_calcitrans/S1/links/cluster-b/Scalc-pep80-50SimCLTL3663.txt", 2)</f>
        <v>2</v>
      </c>
      <c r="EZ170" s="33">
        <f>HYPERLINK("http://exon.niaid.nih.gov/transcriptome/S_calcitrans/S1/links/cluster-b/Scalc-pep85-50SimCLU3517.txt", 3517)</f>
        <v>3517</v>
      </c>
      <c r="FA170">
        <f>HYPERLINK("http://exon.niaid.nih.gov/transcriptome/S_calcitrans/S1/links/cluster-b/Scalc-pep85-50SimCLTL3517.txt", 2)</f>
        <v>2</v>
      </c>
      <c r="FB170" s="33">
        <f>HYPERLINK("http://exon.niaid.nih.gov/transcriptome/S_calcitrans/S1/links/cluster-b/Scalc-pep90-50SimCLU3346.txt", 3346)</f>
        <v>3346</v>
      </c>
      <c r="FC170">
        <f>HYPERLINK("http://exon.niaid.nih.gov/transcriptome/S_calcitrans/S1/links/cluster-b/Scalc-pep90-50SimCLTL3346.txt", 2)</f>
        <v>2</v>
      </c>
      <c r="FD170" s="33">
        <f>HYPERLINK("http://exon.niaid.nih.gov/transcriptome/S_calcitrans/S1/links/cluster-b/Scalc-pep95-50SimCLU3086.txt", 3086)</f>
        <v>3086</v>
      </c>
      <c r="FE170">
        <f>HYPERLINK("http://exon.niaid.nih.gov/transcriptome/S_calcitrans/S1/links/cluster-b/Scalc-pep95-50SimCLTL3086.txt", 2)</f>
        <v>2</v>
      </c>
      <c r="FF170" t="s">
        <v>1847</v>
      </c>
      <c r="FG170">
        <v>21941</v>
      </c>
      <c r="FH170" s="38" t="str">
        <f>HYPERLINK("http://exon.niaid.nih.gov/transcriptome/S_calcitrans/S1/links/SG_male-stripped_temp-95-h10-1gap/21941-SG_male-stripped_temp-95-h10-1gap.txt","169")</f>
        <v>169</v>
      </c>
      <c r="FI170" s="39">
        <v>100</v>
      </c>
      <c r="FJ170" s="39">
        <v>58.2083333333333</v>
      </c>
      <c r="FK170" s="39">
        <v>29</v>
      </c>
      <c r="FL170" s="39">
        <v>96</v>
      </c>
      <c r="FM170" s="39">
        <v>57.863905325443802</v>
      </c>
      <c r="FN170" s="38" t="str">
        <f>HYPERLINK("http://exon.niaid.nih.gov/transcriptome/S_calcitrans/S1/links/SG_female-stripped_temp-95-h10-1gap/21941-SG_female-stripped_temp-95-h10-1gap.txt","197")</f>
        <v>197</v>
      </c>
      <c r="FO170" s="39">
        <v>100</v>
      </c>
      <c r="FP170" s="39">
        <v>70.779761904761898</v>
      </c>
      <c r="FQ170" s="39">
        <v>34</v>
      </c>
      <c r="FR170" s="39">
        <v>101</v>
      </c>
      <c r="FS170" s="39">
        <v>60.360406091370599</v>
      </c>
      <c r="FT170" s="38" t="str">
        <f>HYPERLINK("http://exon.niaid.nih.gov/transcriptome/S_calcitrans/S1/links/SRR694289-stripped_temp-95-h10-1gap/21941-SRR694289-stripped_temp-95-h10-1gap.txt","3")</f>
        <v>3</v>
      </c>
      <c r="FU170" s="39">
        <v>74.404761904761898</v>
      </c>
      <c r="FV170" s="39">
        <v>1.4523809523809501</v>
      </c>
      <c r="FW170" s="39">
        <v>0</v>
      </c>
      <c r="FX170" s="39">
        <v>3</v>
      </c>
      <c r="FY170" s="39">
        <v>81.3333333333333</v>
      </c>
      <c r="FZ170" s="38" t="str">
        <f>HYPERLINK("http://exon.niaid.nih.gov/transcriptome/S_calcitrans/S1/links/SRR694925-stripped_temp-95-h10-1gap/21941-SRR694925-stripped_temp-95-h10-1gap.txt","3")</f>
        <v>3</v>
      </c>
      <c r="GA170" s="39">
        <v>91.6666666666667</v>
      </c>
      <c r="GB170" s="39">
        <v>1.21428571428571</v>
      </c>
      <c r="GC170" s="39">
        <v>0</v>
      </c>
      <c r="GD170" s="39">
        <v>2</v>
      </c>
      <c r="GE170" s="39">
        <v>68</v>
      </c>
      <c r="GF170">
        <f t="shared" ref="GF170:GF181" si="176">1*FH170</f>
        <v>169</v>
      </c>
      <c r="GG170">
        <f t="shared" ref="GG170:GG181" si="177">1*FN170</f>
        <v>197</v>
      </c>
      <c r="GH170">
        <f t="shared" ref="GH170:GH181" si="178">1*FT170</f>
        <v>3</v>
      </c>
      <c r="GI170">
        <f t="shared" ref="GI170:GI181" si="179">1*FZ170</f>
        <v>3</v>
      </c>
      <c r="GJ170">
        <f t="shared" si="163"/>
        <v>366</v>
      </c>
      <c r="GK170" s="34">
        <v>1.4216024139275087E-3</v>
      </c>
      <c r="GL170">
        <v>32.906327278611172</v>
      </c>
      <c r="GM170">
        <v>17.443361615571298</v>
      </c>
      <c r="GN170">
        <v>0.1026465866238712</v>
      </c>
      <c r="GO170">
        <v>0.1058170783543026</v>
      </c>
      <c r="GP170">
        <f t="shared" ref="GP170:GP181" si="180">MAX(GL170:GO170)</f>
        <v>32.906327278611172</v>
      </c>
      <c r="GQ170" t="s">
        <v>1845</v>
      </c>
      <c r="GR170">
        <v>25.66336347387146</v>
      </c>
      <c r="GS170">
        <v>14.31692152082133</v>
      </c>
      <c r="GT170">
        <v>0.18503667412208205</v>
      </c>
      <c r="GU170">
        <v>0.20034073890912743</v>
      </c>
      <c r="GV170">
        <f t="shared" ref="GV170:GV181" si="181">MAX(GR170:GU170)</f>
        <v>25.66336347387146</v>
      </c>
      <c r="GW170">
        <v>98.624846154452015</v>
      </c>
      <c r="GX170">
        <v>366</v>
      </c>
      <c r="GY170">
        <v>6</v>
      </c>
      <c r="GZ170">
        <v>372</v>
      </c>
      <c r="HA170">
        <v>82.583886019446112</v>
      </c>
      <c r="HB170">
        <v>289.41611398055386</v>
      </c>
      <c r="HC170">
        <v>972.64366616175164</v>
      </c>
      <c r="HD170">
        <v>277.54050235515007</v>
      </c>
      <c r="HE170">
        <v>1250.1841685169018</v>
      </c>
      <c r="HF170">
        <v>7.5694355700339662E-274</v>
      </c>
      <c r="HG170">
        <v>82.583886019446112</v>
      </c>
      <c r="HH170">
        <v>1</v>
      </c>
      <c r="HI170">
        <v>1</v>
      </c>
      <c r="HJ170">
        <v>2</v>
      </c>
      <c r="HK170" s="37">
        <v>2.9253405061112101E-273</v>
      </c>
      <c r="HL170" s="30" t="s">
        <v>262</v>
      </c>
      <c r="HM170">
        <v>183.23584629700926</v>
      </c>
      <c r="HN170">
        <v>4.6650660080834235E-3</v>
      </c>
      <c r="HO170">
        <v>169</v>
      </c>
      <c r="HP170">
        <v>197</v>
      </c>
      <c r="HQ170">
        <v>366</v>
      </c>
      <c r="HR170">
        <v>114.41011578211196</v>
      </c>
      <c r="HS170">
        <v>251.58988421788806</v>
      </c>
      <c r="HT170">
        <v>26.047132620665998</v>
      </c>
      <c r="HU170">
        <v>11.844893796849012</v>
      </c>
      <c r="HV170">
        <v>37.892026417515012</v>
      </c>
      <c r="HW170">
        <v>7.4770207229221346E-10</v>
      </c>
      <c r="HX170">
        <v>114.41011578211196</v>
      </c>
      <c r="HY170">
        <v>1</v>
      </c>
      <c r="HZ170">
        <v>1</v>
      </c>
      <c r="IA170">
        <v>2</v>
      </c>
      <c r="IB170" s="37">
        <v>1.4093962972292201E-8</v>
      </c>
      <c r="IC170" s="30" t="s">
        <v>262</v>
      </c>
      <c r="ID170">
        <v>1.8769394585772152</v>
      </c>
      <c r="IE170">
        <v>0.52697323099133209</v>
      </c>
      <c r="IF170">
        <v>1.8769394585772152</v>
      </c>
      <c r="IG170" t="str">
        <f t="shared" si="156"/>
        <v/>
      </c>
    </row>
    <row r="171" spans="1:241">
      <c r="A171" t="str">
        <f>HYPERLINK("http://exon.niaid.nih.gov/transcriptome/S_calcitrans/S1/links/pep/XP_013117646.1-pep.txt","XP_013117646.1")</f>
        <v>XP_013117646.1</v>
      </c>
      <c r="B171" s="30" t="s">
        <v>232</v>
      </c>
      <c r="C171">
        <v>55</v>
      </c>
      <c r="D171" t="s">
        <v>1837</v>
      </c>
      <c r="E171">
        <v>0</v>
      </c>
      <c r="F171" t="s">
        <v>1848</v>
      </c>
      <c r="G171" t="str">
        <f>HYPERLINK("http://exon.niaid.nih.gov/transcriptome/S_calcitrans/S1/links/cds/XM_013262192_1-cds.txt","XM_013262192_1")</f>
        <v>XM_013262192_1</v>
      </c>
      <c r="H171">
        <v>168</v>
      </c>
      <c r="I171" t="s">
        <v>1839</v>
      </c>
      <c r="J171" s="30" t="s">
        <v>236</v>
      </c>
      <c r="K171" s="30" t="s">
        <v>91</v>
      </c>
      <c r="L171" s="31" t="s">
        <v>1840</v>
      </c>
      <c r="M171" s="30">
        <v>22583</v>
      </c>
      <c r="N171" s="30">
        <v>22750</v>
      </c>
      <c r="O171" s="30" t="s">
        <v>276</v>
      </c>
      <c r="P171" s="30">
        <v>1</v>
      </c>
      <c r="Q171" s="31" t="s">
        <v>1841</v>
      </c>
      <c r="R171" s="32" t="str">
        <f>HYPERLINK("http://exon.niaid.nih.gov/transcriptome/S_calcitrans/S1/links/Sigp/XP_013117646.1-SigP.txt","CYT")</f>
        <v>CYT</v>
      </c>
      <c r="S171" t="s">
        <v>242</v>
      </c>
      <c r="T171">
        <v>6.1310000000000002</v>
      </c>
      <c r="U171">
        <v>5</v>
      </c>
      <c r="V171" t="s">
        <v>242</v>
      </c>
      <c r="W171" t="s">
        <v>242</v>
      </c>
      <c r="X171" t="s">
        <v>1842</v>
      </c>
      <c r="Y171" s="32" t="str">
        <f>HYPERLINK("http://exon.niaid.nih.gov/transcriptome/S_calcitrans/S1/links/tmhmm/XP_013117646.1-tmhmm.txt","1")</f>
        <v>1</v>
      </c>
      <c r="Z171">
        <v>34.5</v>
      </c>
      <c r="AA171">
        <v>18.2</v>
      </c>
      <c r="AB171">
        <v>47.3</v>
      </c>
      <c r="AC171" t="s">
        <v>242</v>
      </c>
      <c r="AD171">
        <v>10</v>
      </c>
      <c r="AE171" s="32" t="str">
        <f>HYPERLINK("http://exon.niaid.nih.gov/transcriptome/S_calcitrans/S1/links/netoglyc/XP_013117646.1-netoglyc.txt","0")</f>
        <v>0</v>
      </c>
      <c r="AF171">
        <v>16.399999999999999</v>
      </c>
      <c r="AG171">
        <v>5.5</v>
      </c>
      <c r="AH171" t="s">
        <v>460</v>
      </c>
      <c r="AI171" t="s">
        <v>243</v>
      </c>
      <c r="AJ171" t="s">
        <v>242</v>
      </c>
      <c r="AK171">
        <v>183.23584629700926</v>
      </c>
      <c r="AL171" s="33">
        <f>HYPERLINK("http://exon.niaid.nih.gov/transcriptome/S_calcitrans/S1/links/cluster-b/Scalc-pep95-50SimCLU3086.txt", 3086)</f>
        <v>3086</v>
      </c>
      <c r="AM171">
        <f>HYPERLINK("http://exon.niaid.nih.gov/transcriptome/S_calcitrans/S1/links/cluster-b/Scalc-pep95-50SimCLTL3086.txt", 2)</f>
        <v>2</v>
      </c>
      <c r="AN171" s="30">
        <f t="shared" si="149"/>
        <v>1</v>
      </c>
      <c r="AO171" s="30">
        <v>1</v>
      </c>
      <c r="AP171">
        <v>366</v>
      </c>
      <c r="AQ171" s="34">
        <v>1.4216024139275087E-3</v>
      </c>
      <c r="AR171" s="35">
        <v>98.624846154452015</v>
      </c>
      <c r="AS171" t="s">
        <v>1849</v>
      </c>
      <c r="AT171" s="36" t="s">
        <v>1844</v>
      </c>
      <c r="AU171" t="s">
        <v>1845</v>
      </c>
      <c r="AY171" s="33"/>
      <c r="BG171" s="31"/>
      <c r="BJ171" s="33"/>
      <c r="BK171" s="33"/>
      <c r="BL171" s="33" t="str">
        <f>HYPERLINK("http://exon.niaid.nih.gov/transcriptome/S_calcitrans/S1/links/NR-LIGHT/XP_013117646.1-NR-LIGHT.txt","uncharacterized protein LOC105261797")</f>
        <v>uncharacterized protein LOC105261797</v>
      </c>
      <c r="BM171" t="str">
        <f>HYPERLINK("http://www.ncbi.nlm.nih.gov/sutils/blink.cgi?pid=755874760","2E-023")</f>
        <v>2E-023</v>
      </c>
      <c r="BN171" t="str">
        <f>HYPERLINK("http://www.ncbi.nlm.nih.gov/protein/755874760","gi|755874760")</f>
        <v>gi|755874760</v>
      </c>
      <c r="BO171">
        <v>96</v>
      </c>
      <c r="BP171">
        <v>100</v>
      </c>
      <c r="BQ171">
        <v>100</v>
      </c>
      <c r="BR171" t="s">
        <v>251</v>
      </c>
      <c r="BS171" s="33" t="str">
        <f>HYPERLINK("http://exon.niaid.nih.gov/transcriptome/S_calcitrans/S1/links/SWISSP/XP_013117646.1-SWISSP.txt","DNA ligase")</f>
        <v>DNA ligase</v>
      </c>
      <c r="BT171" t="str">
        <f>HYPERLINK("http://www.uniprot.org/uniprot/Q2GHG1","2.0")</f>
        <v>2.0</v>
      </c>
      <c r="BU171" t="str">
        <f>HYPERLINK("http://www.uniprot.org/uniprot/Q2GHG1#expression","Q2GHG1")</f>
        <v>Q2GHG1</v>
      </c>
      <c r="BV171">
        <v>40</v>
      </c>
      <c r="BW171">
        <v>62</v>
      </c>
      <c r="BX171">
        <v>7</v>
      </c>
      <c r="BY171" t="s">
        <v>1846</v>
      </c>
      <c r="BZ171" s="33" t="str">
        <f>HYPERLINK("http://exon.niaid.nih.gov/transcriptome/S_calcitrans/S1/links/REFSEQ-INVERTEBRATE/XP_013117646.1-REFSEQ-INVERTEBRATE.txt","uncharacterized protein LOC106094948")</f>
        <v>uncharacterized protein LOC106094948</v>
      </c>
      <c r="CA171" t="str">
        <f>HYPERLINK("http://www.ncbi.nlm.nih.gov/sutils/blink.cgi?pid=907748656","3E-024")</f>
        <v>3E-024</v>
      </c>
      <c r="CB171" t="str">
        <f>HYPERLINK("http://www.ncbi.nlm.nih.gov/protein/907748656","gi|907748656")</f>
        <v>gi|907748656</v>
      </c>
      <c r="CC171">
        <v>100</v>
      </c>
      <c r="CD171">
        <v>100</v>
      </c>
      <c r="CE171">
        <v>100</v>
      </c>
      <c r="CF171" t="s">
        <v>253</v>
      </c>
      <c r="CG171" s="33" t="str">
        <f>HYPERLINK("http://exon.niaid.nih.gov/transcriptome/S_calcitrans/S1/links/DIPTERA/XP_013117646.1-DIPTERA.txt","uncharacterized protein LOC106094948")</f>
        <v>uncharacterized protein LOC106094948</v>
      </c>
      <c r="CH171" t="str">
        <f>HYPERLINK("http://www.ncbi.nlm.nih.gov/sutils/blink.cgi?pid=907748653","2E-024")</f>
        <v>2E-024</v>
      </c>
      <c r="CI171" t="str">
        <f>HYPERLINK("http://www.ncbi.nlm.nih.gov/protein/907748653","gi|907748653")</f>
        <v>gi|907748653</v>
      </c>
      <c r="CJ171">
        <v>100</v>
      </c>
      <c r="CK171">
        <v>100</v>
      </c>
      <c r="CL171">
        <v>100</v>
      </c>
      <c r="CM171" t="s">
        <v>253</v>
      </c>
      <c r="CN171" s="33" t="s">
        <v>242</v>
      </c>
      <c r="CO171" t="s">
        <v>242</v>
      </c>
      <c r="CP171" t="s">
        <v>242</v>
      </c>
      <c r="CQ171" t="s">
        <v>242</v>
      </c>
      <c r="CR171" t="s">
        <v>242</v>
      </c>
      <c r="CS171" t="s">
        <v>242</v>
      </c>
      <c r="CT171" t="s">
        <v>242</v>
      </c>
      <c r="CU171" s="33" t="s">
        <v>863</v>
      </c>
      <c r="CV171">
        <f>HYPERLINK("http://exon.niaid.nih.gov/transcriptome/S_calcitrans/S1/links/GO/XP_013117646.1-GO.txt",0.00000000003)</f>
        <v>3E-11</v>
      </c>
      <c r="CW171" t="str">
        <f>HYPERLINK("http://amigo.geneontology.org/cgi-bin/amigo/term_details?term=GO:0003674","GO:0003674")</f>
        <v>GO:0003674</v>
      </c>
      <c r="CX171" t="s">
        <v>255</v>
      </c>
      <c r="CY171" t="s">
        <v>256</v>
      </c>
      <c r="CZ171" t="s">
        <v>257</v>
      </c>
      <c r="DA171" t="s">
        <v>242</v>
      </c>
      <c r="DD171">
        <v>3E-11</v>
      </c>
      <c r="DE171" s="33" t="s">
        <v>242</v>
      </c>
      <c r="DF171" t="s">
        <v>242</v>
      </c>
      <c r="DG171" t="s">
        <v>242</v>
      </c>
      <c r="DH171" s="33" t="str">
        <f>HYPERLINK("http://exon.niaid.nih.gov/transcriptome/S_calcitrans/S1/links/KOG/XP_013117646.1-KOG.txt","DNA-dependent protein kinase")</f>
        <v>DNA-dependent protein kinase</v>
      </c>
      <c r="DI171" t="str">
        <f>HYPERLINK("http://www.ncbi.nlm.nih.gov/Structure/cdd/cddsrv.cgi?uid=KOG0891","4.1")</f>
        <v>4.1</v>
      </c>
      <c r="DJ171" t="s">
        <v>513</v>
      </c>
      <c r="DK171" t="str">
        <f>HYPERLINK("http://exon.niaid.nih.gov/transcriptome/S_calcitrans/S1/links/KOG/XP_013117646.1-KOG.txt","KOG0891")</f>
        <v>KOG0891</v>
      </c>
      <c r="DL171" s="33" t="s">
        <v>242</v>
      </c>
      <c r="DM171" t="s">
        <v>242</v>
      </c>
      <c r="DN171" s="33" t="str">
        <f>HYPERLINK("http://exon.niaid.nih.gov/transcriptome/S_calcitrans/S1/links/SMART/XP_013117646.1-SMART.txt","t_SNARE")</f>
        <v>t_SNARE</v>
      </c>
      <c r="DO171" t="str">
        <f>HYPERLINK("http://smart.embl-heidelberg.de/smart/do_annotation.pl?DOMAIN=t_SNARE&amp;BLAST=DUMMY","1.5")</f>
        <v>1.5</v>
      </c>
      <c r="DP171" s="33"/>
      <c r="EB171" s="33">
        <f>HYPERLINK("http://exon.niaid.nih.gov/transcriptome/S_calcitrans/S1/links/cluster-b/Scalc-pep25-50SimCLU2465.txt", 2465)</f>
        <v>2465</v>
      </c>
      <c r="EC171">
        <f>HYPERLINK("http://exon.niaid.nih.gov/transcriptome/S_calcitrans/S1/links/cluster-b/Scalc-pep25-50SimCLTL2465.txt", 2)</f>
        <v>2</v>
      </c>
      <c r="ED171" s="33">
        <f>HYPERLINK("http://exon.niaid.nih.gov/transcriptome/S_calcitrans/S1/links/cluster-b/Scalc-pep30-50SimCLU2960.txt", 2960)</f>
        <v>2960</v>
      </c>
      <c r="EE171">
        <f>HYPERLINK("http://exon.niaid.nih.gov/transcriptome/S_calcitrans/S1/links/cluster-b/Scalc-pep30-50SimCLTL2960.txt", 2)</f>
        <v>2</v>
      </c>
      <c r="EF171" s="33">
        <f>HYPERLINK("http://exon.niaid.nih.gov/transcriptome/S_calcitrans/S1/links/cluster-b/Scalc-pep35-50SimCLU3191.txt", 3191)</f>
        <v>3191</v>
      </c>
      <c r="EG171">
        <f>HYPERLINK("http://exon.niaid.nih.gov/transcriptome/S_calcitrans/S1/links/cluster-b/Scalc-pep35-50SimCLTL3191.txt", 2)</f>
        <v>2</v>
      </c>
      <c r="EH171" s="33">
        <f>HYPERLINK("http://exon.niaid.nih.gov/transcriptome/S_calcitrans/S1/links/cluster-b/Scalc-pep40-50SimCLU3332.txt", 3332)</f>
        <v>3332</v>
      </c>
      <c r="EI171">
        <f>HYPERLINK("http://exon.niaid.nih.gov/transcriptome/S_calcitrans/S1/links/cluster-b/Scalc-pep40-50SimCLTL3332.txt", 2)</f>
        <v>2</v>
      </c>
      <c r="EJ171" s="33">
        <f>HYPERLINK("http://exon.niaid.nih.gov/transcriptome/S_calcitrans/S1/links/cluster-b/Scalc-pep45-50SimCLU3485.txt", 3485)</f>
        <v>3485</v>
      </c>
      <c r="EK171">
        <f>HYPERLINK("http://exon.niaid.nih.gov/transcriptome/S_calcitrans/S1/links/cluster-b/Scalc-pep45-50SimCLTL3485.txt", 2)</f>
        <v>2</v>
      </c>
      <c r="EL171" s="33">
        <f>HYPERLINK("http://exon.niaid.nih.gov/transcriptome/S_calcitrans/S1/links/cluster-b/Scalc-pep50-50SimCLU3582.txt", 3582)</f>
        <v>3582</v>
      </c>
      <c r="EM171">
        <f>HYPERLINK("http://exon.niaid.nih.gov/transcriptome/S_calcitrans/S1/links/cluster-b/Scalc-pep50-50SimCLTL3582.txt", 2)</f>
        <v>2</v>
      </c>
      <c r="EN171" s="33">
        <f>HYPERLINK("http://exon.niaid.nih.gov/transcriptome/S_calcitrans/S1/links/cluster-b/Scalc-pep55-50SimCLU3694.txt", 3694)</f>
        <v>3694</v>
      </c>
      <c r="EO171">
        <f>HYPERLINK("http://exon.niaid.nih.gov/transcriptome/S_calcitrans/S1/links/cluster-b/Scalc-pep55-50SimCLTL3694.txt", 2)</f>
        <v>2</v>
      </c>
      <c r="EP171" s="33">
        <f>HYPERLINK("http://exon.niaid.nih.gov/transcriptome/S_calcitrans/S1/links/cluster-b/Scalc-pep60-50SimCLU3747.txt", 3747)</f>
        <v>3747</v>
      </c>
      <c r="EQ171">
        <f>HYPERLINK("http://exon.niaid.nih.gov/transcriptome/S_calcitrans/S1/links/cluster-b/Scalc-pep60-50SimCLTL3747.txt", 2)</f>
        <v>2</v>
      </c>
      <c r="ER171" s="33">
        <f>HYPERLINK("http://exon.niaid.nih.gov/transcriptome/S_calcitrans/S1/links/cluster-b/Scalc-pep65-50SimCLU3774.txt", 3774)</f>
        <v>3774</v>
      </c>
      <c r="ES171">
        <f>HYPERLINK("http://exon.niaid.nih.gov/transcriptome/S_calcitrans/S1/links/cluster-b/Scalc-pep65-50SimCLTL3774.txt", 2)</f>
        <v>2</v>
      </c>
      <c r="ET171" s="33">
        <f>HYPERLINK("http://exon.niaid.nih.gov/transcriptome/S_calcitrans/S1/links/cluster-b/Scalc-pep70-50SimCLU3759.txt", 3759)</f>
        <v>3759</v>
      </c>
      <c r="EU171">
        <f>HYPERLINK("http://exon.niaid.nih.gov/transcriptome/S_calcitrans/S1/links/cluster-b/Scalc-pep70-50SimCLTL3759.txt", 2)</f>
        <v>2</v>
      </c>
      <c r="EV171" s="33">
        <f>HYPERLINK("http://exon.niaid.nih.gov/transcriptome/S_calcitrans/S1/links/cluster-b/Scalc-pep75-50SimCLU3714.txt", 3714)</f>
        <v>3714</v>
      </c>
      <c r="EW171">
        <f>HYPERLINK("http://exon.niaid.nih.gov/transcriptome/S_calcitrans/S1/links/cluster-b/Scalc-pep75-50SimCLTL3714.txt", 2)</f>
        <v>2</v>
      </c>
      <c r="EX171" s="33">
        <f>HYPERLINK("http://exon.niaid.nih.gov/transcriptome/S_calcitrans/S1/links/cluster-b/Scalc-pep80-50SimCLU3663.txt", 3663)</f>
        <v>3663</v>
      </c>
      <c r="EY171">
        <f>HYPERLINK("http://exon.niaid.nih.gov/transcriptome/S_calcitrans/S1/links/cluster-b/Scalc-pep80-50SimCLTL3663.txt", 2)</f>
        <v>2</v>
      </c>
      <c r="EZ171" s="33">
        <f>HYPERLINK("http://exon.niaid.nih.gov/transcriptome/S_calcitrans/S1/links/cluster-b/Scalc-pep85-50SimCLU3517.txt", 3517)</f>
        <v>3517</v>
      </c>
      <c r="FA171">
        <f>HYPERLINK("http://exon.niaid.nih.gov/transcriptome/S_calcitrans/S1/links/cluster-b/Scalc-pep85-50SimCLTL3517.txt", 2)</f>
        <v>2</v>
      </c>
      <c r="FB171" s="33">
        <f>HYPERLINK("http://exon.niaid.nih.gov/transcriptome/S_calcitrans/S1/links/cluster-b/Scalc-pep90-50SimCLU3346.txt", 3346)</f>
        <v>3346</v>
      </c>
      <c r="FC171">
        <f>HYPERLINK("http://exon.niaid.nih.gov/transcriptome/S_calcitrans/S1/links/cluster-b/Scalc-pep90-50SimCLTL3346.txt", 2)</f>
        <v>2</v>
      </c>
      <c r="FD171" s="33">
        <f>HYPERLINK("http://exon.niaid.nih.gov/transcriptome/S_calcitrans/S1/links/cluster-b/Scalc-pep95-50SimCLU3086.txt", 3086)</f>
        <v>3086</v>
      </c>
      <c r="FE171">
        <f>HYPERLINK("http://exon.niaid.nih.gov/transcriptome/S_calcitrans/S1/links/cluster-b/Scalc-pep95-50SimCLTL3086.txt", 2)</f>
        <v>2</v>
      </c>
      <c r="FF171" t="s">
        <v>1850</v>
      </c>
      <c r="FG171">
        <v>21940</v>
      </c>
      <c r="FH171" s="38" t="str">
        <f>HYPERLINK("http://exon.niaid.nih.gov/transcriptome/S_calcitrans/S1/links/SG_male-stripped_temp-95-h10-1gap/21940-SG_male-stripped_temp-95-h10-1gap.txt","169")</f>
        <v>169</v>
      </c>
      <c r="FI171" s="39">
        <v>100</v>
      </c>
      <c r="FJ171" s="39">
        <v>58.2083333333333</v>
      </c>
      <c r="FK171" s="39">
        <v>29</v>
      </c>
      <c r="FL171" s="39">
        <v>96</v>
      </c>
      <c r="FM171" s="39">
        <v>57.863905325443802</v>
      </c>
      <c r="FN171" s="38" t="str">
        <f>HYPERLINK("http://exon.niaid.nih.gov/transcriptome/S_calcitrans/S1/links/SG_female-stripped_temp-95-h10-1gap/21940-SG_female-stripped_temp-95-h10-1gap.txt","197")</f>
        <v>197</v>
      </c>
      <c r="FO171" s="39">
        <v>100</v>
      </c>
      <c r="FP171" s="39">
        <v>70.779761904761898</v>
      </c>
      <c r="FQ171" s="39">
        <v>34</v>
      </c>
      <c r="FR171" s="39">
        <v>101</v>
      </c>
      <c r="FS171" s="39">
        <v>60.360406091370599</v>
      </c>
      <c r="FT171" s="38" t="str">
        <f>HYPERLINK("http://exon.niaid.nih.gov/transcriptome/S_calcitrans/S1/links/SRR694289-stripped_temp-95-h10-1gap/21940-SRR694289-stripped_temp-95-h10-1gap.txt","3")</f>
        <v>3</v>
      </c>
      <c r="FU171" s="39">
        <v>74.404761904761898</v>
      </c>
      <c r="FV171" s="39">
        <v>1.4523809523809501</v>
      </c>
      <c r="FW171" s="39">
        <v>0</v>
      </c>
      <c r="FX171" s="39">
        <v>3</v>
      </c>
      <c r="FY171" s="39">
        <v>81.3333333333333</v>
      </c>
      <c r="FZ171" s="38" t="str">
        <f>HYPERLINK("http://exon.niaid.nih.gov/transcriptome/S_calcitrans/S1/links/SRR694925-stripped_temp-95-h10-1gap/21940-SRR694925-stripped_temp-95-h10-1gap.txt","3")</f>
        <v>3</v>
      </c>
      <c r="GA171" s="39">
        <v>91.6666666666667</v>
      </c>
      <c r="GB171" s="39">
        <v>1.21428571428571</v>
      </c>
      <c r="GC171" s="39">
        <v>0</v>
      </c>
      <c r="GD171" s="39">
        <v>2</v>
      </c>
      <c r="GE171" s="39">
        <v>68</v>
      </c>
      <c r="GF171">
        <f t="shared" si="176"/>
        <v>169</v>
      </c>
      <c r="GG171">
        <f t="shared" si="177"/>
        <v>197</v>
      </c>
      <c r="GH171">
        <f t="shared" si="178"/>
        <v>3</v>
      </c>
      <c r="GI171">
        <f t="shared" si="179"/>
        <v>3</v>
      </c>
      <c r="GJ171">
        <f t="shared" si="163"/>
        <v>366</v>
      </c>
      <c r="GK171" s="34">
        <v>1.4216024139275087E-3</v>
      </c>
      <c r="GL171">
        <v>32.906327278611172</v>
      </c>
      <c r="GM171">
        <v>17.443361615571298</v>
      </c>
      <c r="GN171">
        <v>0.1026465866238712</v>
      </c>
      <c r="GO171">
        <v>0.1058170783543026</v>
      </c>
      <c r="GP171">
        <f t="shared" si="180"/>
        <v>32.906327278611172</v>
      </c>
      <c r="GQ171" t="s">
        <v>1845</v>
      </c>
      <c r="GR171">
        <v>25.66336347387146</v>
      </c>
      <c r="GS171">
        <v>14.31692152082133</v>
      </c>
      <c r="GT171">
        <v>0.18503667412208205</v>
      </c>
      <c r="GU171">
        <v>0.20034073890912743</v>
      </c>
      <c r="GV171">
        <f t="shared" si="181"/>
        <v>25.66336347387146</v>
      </c>
      <c r="GW171">
        <v>98.624846154452015</v>
      </c>
      <c r="GX171">
        <v>366</v>
      </c>
      <c r="GY171">
        <v>6</v>
      </c>
      <c r="GZ171">
        <v>372</v>
      </c>
      <c r="HA171">
        <v>82.583886019446112</v>
      </c>
      <c r="HB171">
        <v>289.41611398055386</v>
      </c>
      <c r="HC171">
        <v>972.64366616175164</v>
      </c>
      <c r="HD171">
        <v>277.54050235515007</v>
      </c>
      <c r="HE171">
        <v>1250.1841685169018</v>
      </c>
      <c r="HF171">
        <v>7.5694355700339662E-274</v>
      </c>
      <c r="HG171">
        <v>82.583886019446112</v>
      </c>
      <c r="HH171">
        <v>1</v>
      </c>
      <c r="HI171">
        <v>1</v>
      </c>
      <c r="HJ171">
        <v>2</v>
      </c>
      <c r="HK171" s="37">
        <v>2.9253405061112101E-273</v>
      </c>
      <c r="HL171" s="30" t="s">
        <v>262</v>
      </c>
      <c r="HM171">
        <v>183.23584629700926</v>
      </c>
      <c r="HN171">
        <v>4.6650660080834235E-3</v>
      </c>
      <c r="HO171">
        <v>169</v>
      </c>
      <c r="HP171">
        <v>197</v>
      </c>
      <c r="HQ171">
        <v>366</v>
      </c>
      <c r="HR171">
        <v>114.41011578211196</v>
      </c>
      <c r="HS171">
        <v>251.58988421788806</v>
      </c>
      <c r="HT171">
        <v>26.047132620665998</v>
      </c>
      <c r="HU171">
        <v>11.844893796849012</v>
      </c>
      <c r="HV171">
        <v>37.892026417515012</v>
      </c>
      <c r="HW171">
        <v>7.4770207229221346E-10</v>
      </c>
      <c r="HX171">
        <v>114.41011578211196</v>
      </c>
      <c r="HY171">
        <v>1</v>
      </c>
      <c r="HZ171">
        <v>1</v>
      </c>
      <c r="IA171">
        <v>2</v>
      </c>
      <c r="IB171" s="37">
        <v>1.4093962972292201E-8</v>
      </c>
      <c r="IC171" s="30" t="s">
        <v>262</v>
      </c>
      <c r="ID171">
        <v>1.8769394585772152</v>
      </c>
      <c r="IE171">
        <v>0.52697323099133209</v>
      </c>
      <c r="IF171">
        <v>1.8769394585772152</v>
      </c>
      <c r="IG171" t="str">
        <f t="shared" si="156"/>
        <v/>
      </c>
    </row>
    <row r="172" spans="1:241">
      <c r="A172" t="str">
        <f>HYPERLINK("http://exon.niaid.nih.gov/transcriptome/S_calcitrans/S1/links/pep/XP_013119458.1-pep.txt","XP_013119458.1")</f>
        <v>XP_013119458.1</v>
      </c>
      <c r="B172" s="30" t="s">
        <v>232</v>
      </c>
      <c r="C172">
        <v>148</v>
      </c>
      <c r="D172" t="s">
        <v>1851</v>
      </c>
      <c r="E172">
        <v>0</v>
      </c>
      <c r="F172" t="s">
        <v>1852</v>
      </c>
      <c r="G172" t="str">
        <f>HYPERLINK("http://exon.niaid.nih.gov/transcriptome/S_calcitrans/S1/links/cds/XM_013264004_1-cds.txt","XM_013264004_1")</f>
        <v>XM_013264004_1</v>
      </c>
      <c r="H172">
        <v>447</v>
      </c>
      <c r="I172" t="s">
        <v>1853</v>
      </c>
      <c r="J172" s="30" t="s">
        <v>236</v>
      </c>
      <c r="K172" s="30" t="s">
        <v>91</v>
      </c>
      <c r="L172" s="31" t="s">
        <v>1854</v>
      </c>
      <c r="M172" s="30">
        <v>437007</v>
      </c>
      <c r="N172" s="30">
        <v>442500</v>
      </c>
      <c r="O172" s="30" t="s">
        <v>276</v>
      </c>
      <c r="P172" s="30">
        <v>3</v>
      </c>
      <c r="Q172" s="31" t="s">
        <v>1855</v>
      </c>
      <c r="R172" s="32" t="str">
        <f>HYPERLINK("http://exon.niaid.nih.gov/transcriptome/S_calcitrans/S1/links/Sigp/XP_013119458.1-SigP.txt","SIG")</f>
        <v>SIG</v>
      </c>
      <c r="S172" t="s">
        <v>492</v>
      </c>
      <c r="T172">
        <v>16.146999999999998</v>
      </c>
      <c r="U172">
        <v>6.67</v>
      </c>
      <c r="V172">
        <v>13.815</v>
      </c>
      <c r="W172">
        <v>6.07</v>
      </c>
      <c r="X172" t="s">
        <v>1856</v>
      </c>
      <c r="Y172" s="32" t="str">
        <f>HYPERLINK("http://exon.niaid.nih.gov/transcriptome/S_calcitrans/S1/links/tmhmm/XP_013119458.1-tmhmm.txt","2")</f>
        <v>2</v>
      </c>
      <c r="Z172">
        <v>24.3</v>
      </c>
      <c r="AA172">
        <v>70.3</v>
      </c>
      <c r="AB172">
        <v>5.4</v>
      </c>
      <c r="AC172">
        <v>1</v>
      </c>
      <c r="AD172">
        <v>1</v>
      </c>
      <c r="AE172" s="32" t="str">
        <f>HYPERLINK("http://exon.niaid.nih.gov/transcriptome/S_calcitrans/S1/links/netoglyc/XP_013119458.1-netoglyc.txt","0")</f>
        <v>0</v>
      </c>
      <c r="AF172">
        <v>15.5</v>
      </c>
      <c r="AG172">
        <v>5.4</v>
      </c>
      <c r="AH172">
        <v>3.4</v>
      </c>
      <c r="AI172" t="s">
        <v>243</v>
      </c>
      <c r="AJ172" t="s">
        <v>242</v>
      </c>
      <c r="AK172">
        <v>320.64195328821569</v>
      </c>
      <c r="AL172" s="33">
        <v>4868</v>
      </c>
      <c r="AM172">
        <v>1</v>
      </c>
      <c r="AN172" s="30">
        <f t="shared" si="149"/>
        <v>1</v>
      </c>
      <c r="AO172" s="30" t="s">
        <v>244</v>
      </c>
      <c r="AP172">
        <v>23148</v>
      </c>
      <c r="AQ172" s="34">
        <v>8.991052644151358E-2</v>
      </c>
      <c r="AR172" s="35">
        <v>156.66348936099354</v>
      </c>
      <c r="AS172" t="s">
        <v>1857</v>
      </c>
      <c r="AT172" s="36" t="s">
        <v>1858</v>
      </c>
      <c r="AU172" t="s">
        <v>1760</v>
      </c>
      <c r="AY172" s="33"/>
      <c r="BG172" s="31"/>
      <c r="BJ172" s="33"/>
      <c r="BK172" s="33"/>
      <c r="BL172" s="33" t="str">
        <f>HYPERLINK("http://exon.niaid.nih.gov/transcriptome/S_calcitrans/S1/links/NR-LIGHT/XP_013119458.1-NR-LIGHT.txt","uncharacterized protein LOC101888365 isoform X2")</f>
        <v>uncharacterized protein LOC101888365 isoform X2</v>
      </c>
      <c r="BM172" t="str">
        <f>HYPERLINK("http://www.ncbi.nlm.nih.gov/sutils/blink.cgi?pid=557771766","7E-044")</f>
        <v>7E-044</v>
      </c>
      <c r="BN172" t="str">
        <f>HYPERLINK("http://www.ncbi.nlm.nih.gov/protein/557771766","gi|557771766")</f>
        <v>gi|557771766</v>
      </c>
      <c r="BO172">
        <v>52</v>
      </c>
      <c r="BP172">
        <v>71</v>
      </c>
      <c r="BQ172">
        <v>100</v>
      </c>
      <c r="BR172" t="s">
        <v>251</v>
      </c>
      <c r="BS172" s="33" t="str">
        <f>HYPERLINK("http://exon.niaid.nih.gov/transcriptome/S_calcitrans/S1/links/SWISSP/XP_013119458.1-SWISSP.txt","Uncharacterized protein C29B12.12")</f>
        <v>Uncharacterized protein C29B12.12</v>
      </c>
      <c r="BT172" t="str">
        <f>HYPERLINK("http://www.uniprot.org/uniprot/O14033","2.3")</f>
        <v>2.3</v>
      </c>
      <c r="BU172" t="str">
        <f>HYPERLINK("http://www.uniprot.org/uniprot/O14033#expression","O14033")</f>
        <v>O14033</v>
      </c>
      <c r="BV172">
        <v>55</v>
      </c>
      <c r="BW172">
        <v>59</v>
      </c>
      <c r="BX172">
        <v>24</v>
      </c>
      <c r="BY172" t="s">
        <v>1859</v>
      </c>
      <c r="BZ172" s="33" t="str">
        <f>HYPERLINK("http://exon.niaid.nih.gov/transcriptome/S_calcitrans/S1/links/REFSEQ-INVERTEBRATE/XP_013119458.1-REFSEQ-INVERTEBRATE.txt","uncharacterized protein LOC106096319")</f>
        <v>uncharacterized protein LOC106096319</v>
      </c>
      <c r="CA172" t="str">
        <f>HYPERLINK("http://www.ncbi.nlm.nih.gov/sutils/blink.cgi?pid=907618950","5E-083")</f>
        <v>5E-083</v>
      </c>
      <c r="CB172" t="str">
        <f>HYPERLINK("http://www.ncbi.nlm.nih.gov/protein/907618950","gi|907618950")</f>
        <v>gi|907618950</v>
      </c>
      <c r="CC172">
        <v>100</v>
      </c>
      <c r="CD172">
        <v>100</v>
      </c>
      <c r="CE172">
        <v>100</v>
      </c>
      <c r="CF172" t="s">
        <v>253</v>
      </c>
      <c r="CG172" s="33" t="str">
        <f>HYPERLINK("http://exon.niaid.nih.gov/transcriptome/S_calcitrans/S1/links/DIPTERA/XP_013119458.1-DIPTERA.txt","uncharacterized protein LOC106096319")</f>
        <v>uncharacterized protein LOC106096319</v>
      </c>
      <c r="CH172" t="str">
        <f>HYPERLINK("http://www.ncbi.nlm.nih.gov/sutils/blink.cgi?pid=907618950","3E-083")</f>
        <v>3E-083</v>
      </c>
      <c r="CI172" t="str">
        <f>HYPERLINK("http://www.ncbi.nlm.nih.gov/protein/907618950","gi|907618950")</f>
        <v>gi|907618950</v>
      </c>
      <c r="CJ172">
        <v>100</v>
      </c>
      <c r="CK172">
        <v>100</v>
      </c>
      <c r="CL172">
        <v>100</v>
      </c>
      <c r="CM172" t="s">
        <v>253</v>
      </c>
      <c r="CN172" s="33" t="s">
        <v>242</v>
      </c>
      <c r="CO172" t="s">
        <v>242</v>
      </c>
      <c r="CP172" t="s">
        <v>242</v>
      </c>
      <c r="CQ172" t="s">
        <v>242</v>
      </c>
      <c r="CR172" t="s">
        <v>242</v>
      </c>
      <c r="CS172" t="s">
        <v>242</v>
      </c>
      <c r="CT172" t="s">
        <v>242</v>
      </c>
      <c r="CU172" s="33" t="s">
        <v>1860</v>
      </c>
      <c r="CV172">
        <f>HYPERLINK("http://exon.niaid.nih.gov/transcriptome/S_calcitrans/S1/links/GO/XP_013119458.1-GO.txt",9E-32)</f>
        <v>9.0000000000000001E-32</v>
      </c>
      <c r="CW172" t="str">
        <f>HYPERLINK("http://amigo.geneontology.org/cgi-bin/amigo/term_details?term=GO:0003674","GO:0003674")</f>
        <v>GO:0003674</v>
      </c>
      <c r="CX172" t="s">
        <v>255</v>
      </c>
      <c r="CY172" t="s">
        <v>256</v>
      </c>
      <c r="CZ172" t="s">
        <v>257</v>
      </c>
      <c r="DA172" t="s">
        <v>242</v>
      </c>
      <c r="DC172" t="s">
        <v>258</v>
      </c>
      <c r="DD172" s="37">
        <v>9.0000000000000001E-32</v>
      </c>
      <c r="DE172" s="33" t="str">
        <f>HYPERLINK("http://exon.niaid.nih.gov/transcriptome/S_calcitrans/S1/links/CDD/XP_013119458.1-CDD.txt","nrdC.11")</f>
        <v>nrdC.11</v>
      </c>
      <c r="DF172" t="str">
        <f>HYPERLINK("http://www.ncbi.nlm.nih.gov/Structure/cdd/cddsrv.cgi?uid=PHA02603&amp;version=v4.0","3.0")</f>
        <v>3.0</v>
      </c>
      <c r="DG172" t="s">
        <v>1861</v>
      </c>
      <c r="DH172" s="33" t="str">
        <f>HYPERLINK("http://exon.niaid.nih.gov/transcriptome/S_calcitrans/S1/links/KOG/XP_013119458.1-KOG.txt","C2H2 Zn-finger protein")</f>
        <v>C2H2 Zn-finger protein</v>
      </c>
      <c r="DI172" t="str">
        <f>HYPERLINK("http://www.ncbi.nlm.nih.gov/Structure/cdd/cddsrv.cgi?uid=KOG2295","1.1")</f>
        <v>1.1</v>
      </c>
      <c r="DJ172" t="s">
        <v>342</v>
      </c>
      <c r="DK172" t="str">
        <f>HYPERLINK("http://exon.niaid.nih.gov/transcriptome/S_calcitrans/S1/links/KOG/XP_013119458.1-KOG.txt","KOG2295")</f>
        <v>KOG2295</v>
      </c>
      <c r="DL172" s="33" t="str">
        <f>HYPERLINK("http://exon.niaid.nih.gov/transcriptome/S_calcitrans/S1/links/PFAM/XP_013119458.1-PFAM.txt","Birna_VP3")</f>
        <v>Birna_VP3</v>
      </c>
      <c r="DM172" t="str">
        <f>HYPERLINK("http://pfam.sanger.ac.uk/family?acc=PF01767","0.94")</f>
        <v>0.94</v>
      </c>
      <c r="DN172" s="33" t="str">
        <f>HYPERLINK("http://exon.niaid.nih.gov/transcriptome/S_calcitrans/S1/links/SMART/XP_013119458.1-SMART.txt","DM3")</f>
        <v>DM3</v>
      </c>
      <c r="DO172" t="str">
        <f>HYPERLINK("http://smart.embl-heidelberg.de/smart/do_annotation.pl?DOMAIN=DM3&amp;BLAST=DUMMY","1.5")</f>
        <v>1.5</v>
      </c>
      <c r="DP172" s="33"/>
      <c r="EB172" s="33">
        <f>HYPERLINK("http://exon.niaid.nih.gov/transcriptome/S_calcitrans/S1/links/cluster-b/Scalc-pep25-50SimCLU32.txt", 32)</f>
        <v>32</v>
      </c>
      <c r="EC172">
        <f>HYPERLINK("http://exon.niaid.nih.gov/transcriptome/S_calcitrans/S1/links/cluster-b/Scalc-pep25-50SimCLTL32.txt", 40)</f>
        <v>40</v>
      </c>
      <c r="ED172" s="33">
        <f>HYPERLINK("http://exon.niaid.nih.gov/transcriptome/S_calcitrans/S1/links/cluster-b/Scalc-pep30-50SimCLU44.txt", 44)</f>
        <v>44</v>
      </c>
      <c r="EE172">
        <f>HYPERLINK("http://exon.niaid.nih.gov/transcriptome/S_calcitrans/S1/links/cluster-b/Scalc-pep30-50SimCLTL44.txt", 35)</f>
        <v>35</v>
      </c>
      <c r="EF172" s="33">
        <f>HYPERLINK("http://exon.niaid.nih.gov/transcriptome/S_calcitrans/S1/links/cluster-b/Scalc-pep35-50SimCLU69.txt", 69)</f>
        <v>69</v>
      </c>
      <c r="EG172">
        <f>HYPERLINK("http://exon.niaid.nih.gov/transcriptome/S_calcitrans/S1/links/cluster-b/Scalc-pep35-50SimCLTL69.txt", 22)</f>
        <v>22</v>
      </c>
      <c r="EH172" s="33">
        <f>HYPERLINK("http://exon.niaid.nih.gov/transcriptome/S_calcitrans/S1/links/cluster-b/Scalc-pep40-50SimCLU75.txt", 75)</f>
        <v>75</v>
      </c>
      <c r="EI172">
        <f>HYPERLINK("http://exon.niaid.nih.gov/transcriptome/S_calcitrans/S1/links/cluster-b/Scalc-pep40-50SimCLTL75.txt", 19)</f>
        <v>19</v>
      </c>
      <c r="EJ172" s="33">
        <f>HYPERLINK("http://exon.niaid.nih.gov/transcriptome/S_calcitrans/S1/links/cluster-b/Scalc-pep45-50SimCLU396.txt", 396)</f>
        <v>396</v>
      </c>
      <c r="EK172">
        <f>HYPERLINK("http://exon.niaid.nih.gov/transcriptome/S_calcitrans/S1/links/cluster-b/Scalc-pep45-50SimCLTL396.txt", 7)</f>
        <v>7</v>
      </c>
      <c r="EL172" s="33">
        <f>HYPERLINK("http://exon.niaid.nih.gov/transcriptome/S_calcitrans/S1/links/cluster-b/Scalc-pep50-50SimCLU1368.txt", 1368)</f>
        <v>1368</v>
      </c>
      <c r="EM172">
        <f>HYPERLINK("http://exon.niaid.nih.gov/transcriptome/S_calcitrans/S1/links/cluster-b/Scalc-pep50-50SimCLTL1368.txt", 3)</f>
        <v>3</v>
      </c>
      <c r="EN172" s="33">
        <f>HYPERLINK("http://exon.niaid.nih.gov/transcriptome/S_calcitrans/S1/links/cluster-b/Scalc-pep55-50SimCLU2268.txt", 2268)</f>
        <v>2268</v>
      </c>
      <c r="EO172">
        <f>HYPERLINK("http://exon.niaid.nih.gov/transcriptome/S_calcitrans/S1/links/cluster-b/Scalc-pep55-50SimCLTL2268.txt", 2)</f>
        <v>2</v>
      </c>
      <c r="EP172" s="33">
        <f>HYPERLINK("http://exon.niaid.nih.gov/transcriptome/S_calcitrans/S1/links/cluster-b/Scalc-pep60-50SimCLU2280.txt", 2280)</f>
        <v>2280</v>
      </c>
      <c r="EQ172">
        <f>HYPERLINK("http://exon.niaid.nih.gov/transcriptome/S_calcitrans/S1/links/cluster-b/Scalc-pep60-50SimCLTL2280.txt", 2)</f>
        <v>2</v>
      </c>
      <c r="ER172" s="33">
        <f>HYPERLINK("http://exon.niaid.nih.gov/transcriptome/S_calcitrans/S1/links/cluster-b/Scalc-pep65-50SimCLU2267.txt", 2267)</f>
        <v>2267</v>
      </c>
      <c r="ES172">
        <f>HYPERLINK("http://exon.niaid.nih.gov/transcriptome/S_calcitrans/S1/links/cluster-b/Scalc-pep65-50SimCLTL2267.txt", 2)</f>
        <v>2</v>
      </c>
      <c r="ET172" s="33">
        <v>5035</v>
      </c>
      <c r="EU172">
        <v>1</v>
      </c>
      <c r="EV172" s="33">
        <v>5054</v>
      </c>
      <c r="EW172">
        <v>1</v>
      </c>
      <c r="EX172" s="33">
        <v>5062</v>
      </c>
      <c r="EY172">
        <v>1</v>
      </c>
      <c r="EZ172" s="33">
        <v>5015</v>
      </c>
      <c r="FA172">
        <v>1</v>
      </c>
      <c r="FB172" s="33">
        <v>4952</v>
      </c>
      <c r="FC172">
        <v>1</v>
      </c>
      <c r="FD172" s="33">
        <v>4868</v>
      </c>
      <c r="FE172">
        <v>1</v>
      </c>
      <c r="FF172" t="s">
        <v>1862</v>
      </c>
      <c r="FG172">
        <v>3495</v>
      </c>
      <c r="FH172" s="38" t="str">
        <f>HYPERLINK("http://exon.niaid.nih.gov/transcriptome/S_calcitrans/S1/links/SG_male-stripped_temp-95-h10-1gap/3495-SG_male-stripped_temp-95-h10-1gap.txt","10662")</f>
        <v>10662</v>
      </c>
      <c r="FI172" s="39">
        <v>100</v>
      </c>
      <c r="FJ172" s="39">
        <v>1733.7919463087201</v>
      </c>
      <c r="FK172" s="39">
        <v>24</v>
      </c>
      <c r="FL172" s="39">
        <v>3126</v>
      </c>
      <c r="FM172" s="39">
        <v>72.690677171262394</v>
      </c>
      <c r="FN172" s="38" t="str">
        <f>HYPERLINK("http://exon.niaid.nih.gov/transcriptome/S_calcitrans/S1/links/SG_female-stripped_temp-95-h10-1gap/3495-SG_female-stripped_temp-95-h10-1gap.txt","12486")</f>
        <v>12486</v>
      </c>
      <c r="FO172" s="39">
        <v>100</v>
      </c>
      <c r="FP172" s="39">
        <v>2029.7315436241599</v>
      </c>
      <c r="FQ172" s="39">
        <v>33</v>
      </c>
      <c r="FR172" s="39">
        <v>3468</v>
      </c>
      <c r="FS172" s="39">
        <v>72.667387473970805</v>
      </c>
      <c r="FT172" s="38" t="str">
        <f>HYPERLINK("http://exon.niaid.nih.gov/transcriptome/S_calcitrans/S1/links/SRR694289-stripped_temp-95-h10-1gap/3495-SRR694289-stripped_temp-95-h10-1gap.txt","148")</f>
        <v>148</v>
      </c>
      <c r="FU172" s="39">
        <v>100</v>
      </c>
      <c r="FV172" s="39">
        <v>30.894854586129799</v>
      </c>
      <c r="FW172" s="39">
        <v>1</v>
      </c>
      <c r="FX172" s="39">
        <v>76</v>
      </c>
      <c r="FY172" s="39">
        <v>93.310810810810807</v>
      </c>
      <c r="FZ172" s="38" t="str">
        <f>HYPERLINK("http://exon.niaid.nih.gov/transcriptome/S_calcitrans/S1/links/SRR694925-stripped_temp-95-h10-1gap/3495-SRR694925-stripped_temp-95-h10-1gap.txt","104")</f>
        <v>104</v>
      </c>
      <c r="GA172" s="39">
        <v>100</v>
      </c>
      <c r="GB172" s="39">
        <v>22.055928411633101</v>
      </c>
      <c r="GC172" s="39">
        <v>1</v>
      </c>
      <c r="GD172" s="39">
        <v>47</v>
      </c>
      <c r="GE172" s="39">
        <v>94.798076923076906</v>
      </c>
      <c r="GF172">
        <f t="shared" si="176"/>
        <v>10662</v>
      </c>
      <c r="GG172">
        <f t="shared" si="177"/>
        <v>12486</v>
      </c>
      <c r="GH172">
        <f t="shared" si="178"/>
        <v>148</v>
      </c>
      <c r="GI172">
        <f t="shared" si="179"/>
        <v>104</v>
      </c>
      <c r="GJ172">
        <f t="shared" si="163"/>
        <v>23148</v>
      </c>
      <c r="GK172" s="34">
        <v>8.991052644151358E-2</v>
      </c>
      <c r="GL172">
        <v>780.24886386144033</v>
      </c>
      <c r="GM172">
        <v>415.51723964818933</v>
      </c>
      <c r="GN172">
        <v>1.903210089348198</v>
      </c>
      <c r="GO172">
        <v>1.3786994727862603</v>
      </c>
      <c r="GP172">
        <f t="shared" si="180"/>
        <v>780.24886386144033</v>
      </c>
      <c r="GQ172" t="s">
        <v>1760</v>
      </c>
      <c r="GR172">
        <v>608.50942202737701</v>
      </c>
      <c r="GS172">
        <v>341.04250325699616</v>
      </c>
      <c r="GT172">
        <v>3.4308365886438836</v>
      </c>
      <c r="GU172">
        <v>2.6102560702612045</v>
      </c>
      <c r="GV172">
        <f t="shared" si="181"/>
        <v>608.50942202737701</v>
      </c>
      <c r="GW172">
        <v>156.66348936099354</v>
      </c>
      <c r="GX172">
        <v>23148</v>
      </c>
      <c r="GY172">
        <v>252</v>
      </c>
      <c r="GZ172">
        <v>23400</v>
      </c>
      <c r="HA172">
        <v>5194.7928302554819</v>
      </c>
      <c r="HB172">
        <v>18205.207169744517</v>
      </c>
      <c r="HC172">
        <v>62046.294859445668</v>
      </c>
      <c r="HD172">
        <v>17704.695402501657</v>
      </c>
      <c r="HE172">
        <v>79750.990261947329</v>
      </c>
      <c r="HF172">
        <v>0</v>
      </c>
      <c r="HG172">
        <v>5194.7928302554819</v>
      </c>
      <c r="HH172">
        <v>1</v>
      </c>
      <c r="HI172">
        <v>1</v>
      </c>
      <c r="HJ172">
        <v>2</v>
      </c>
      <c r="HK172">
        <v>0</v>
      </c>
      <c r="HL172" s="30" t="s">
        <v>262</v>
      </c>
      <c r="HM172">
        <v>320.64195328821569</v>
      </c>
      <c r="HN172">
        <v>3.1062822345931961E-3</v>
      </c>
      <c r="HO172">
        <v>10662</v>
      </c>
      <c r="HP172">
        <v>12486</v>
      </c>
      <c r="HQ172">
        <v>23148</v>
      </c>
      <c r="HR172">
        <v>7235.9709293014412</v>
      </c>
      <c r="HS172">
        <v>15912.029070698558</v>
      </c>
      <c r="HT172">
        <v>1622.1285723718051</v>
      </c>
      <c r="HU172">
        <v>737.66049201645444</v>
      </c>
      <c r="HV172">
        <v>2359.7890643882597</v>
      </c>
      <c r="HW172">
        <v>0</v>
      </c>
      <c r="HX172">
        <v>7235.9709293014412</v>
      </c>
      <c r="HY172">
        <v>1</v>
      </c>
      <c r="HZ172">
        <v>1</v>
      </c>
      <c r="IA172">
        <v>2</v>
      </c>
      <c r="IB172">
        <v>0</v>
      </c>
      <c r="IC172" s="30" t="s">
        <v>262</v>
      </c>
      <c r="ID172">
        <v>1.8776269779530965</v>
      </c>
      <c r="IE172">
        <v>0.53249455494940345</v>
      </c>
      <c r="IF172">
        <v>1.8776269779530965</v>
      </c>
      <c r="IG172" t="str">
        <f t="shared" si="156"/>
        <v/>
      </c>
    </row>
    <row r="173" spans="1:241">
      <c r="A173" t="str">
        <f>HYPERLINK("http://exon.niaid.nih.gov/transcriptome/S_calcitrans/S1/links/pep/XP_013097469.1-pep.txt","XP_013097469.1")</f>
        <v>XP_013097469.1</v>
      </c>
      <c r="B173" s="30" t="s">
        <v>232</v>
      </c>
      <c r="C173">
        <v>116</v>
      </c>
      <c r="D173" t="s">
        <v>1863</v>
      </c>
      <c r="E173">
        <v>0</v>
      </c>
      <c r="F173" t="s">
        <v>1864</v>
      </c>
      <c r="G173" t="str">
        <f>HYPERLINK("http://exon.niaid.nih.gov/transcriptome/S_calcitrans/S1/links/cds/XM_013242015_1-cds.txt","XM_013242015_1")</f>
        <v>XM_013242015_1</v>
      </c>
      <c r="H173">
        <v>351</v>
      </c>
      <c r="I173" t="s">
        <v>1865</v>
      </c>
      <c r="J173" s="30" t="s">
        <v>236</v>
      </c>
      <c r="K173" s="30" t="s">
        <v>91</v>
      </c>
      <c r="L173" s="31" t="s">
        <v>297</v>
      </c>
      <c r="M173" s="30">
        <v>780550</v>
      </c>
      <c r="N173" s="30">
        <v>780900</v>
      </c>
      <c r="O173" s="30" t="s">
        <v>238</v>
      </c>
      <c r="P173" s="30">
        <v>1</v>
      </c>
      <c r="Q173" s="31" t="s">
        <v>1866</v>
      </c>
      <c r="R173" s="32" t="str">
        <f>HYPERLINK("http://exon.niaid.nih.gov/transcriptome/S_calcitrans/S1/links/Sigp/XP_013097469.1-SigP.txt","CYT")</f>
        <v>CYT</v>
      </c>
      <c r="S173" t="s">
        <v>242</v>
      </c>
      <c r="T173">
        <v>13.18</v>
      </c>
      <c r="U173">
        <v>4.83</v>
      </c>
      <c r="V173" t="s">
        <v>242</v>
      </c>
      <c r="W173" t="s">
        <v>242</v>
      </c>
      <c r="X173" t="s">
        <v>1461</v>
      </c>
      <c r="Y173" s="32">
        <v>0</v>
      </c>
      <c r="Z173" t="s">
        <v>242</v>
      </c>
      <c r="AA173" t="s">
        <v>242</v>
      </c>
      <c r="AB173" t="s">
        <v>242</v>
      </c>
      <c r="AC173" t="s">
        <v>242</v>
      </c>
      <c r="AD173" t="s">
        <v>242</v>
      </c>
      <c r="AE173" s="32" t="str">
        <f>HYPERLINK("http://exon.niaid.nih.gov/transcriptome/S_calcitrans/S1/links/netoglyc/XP_013097469.1-netoglyc.txt","3")</f>
        <v>3</v>
      </c>
      <c r="AF173">
        <v>16.399999999999999</v>
      </c>
      <c r="AG173">
        <v>2.6</v>
      </c>
      <c r="AH173">
        <v>1.7</v>
      </c>
      <c r="AI173" t="s">
        <v>243</v>
      </c>
      <c r="AJ173" t="s">
        <v>242</v>
      </c>
      <c r="AK173">
        <v>474.27711764672165</v>
      </c>
      <c r="AL173" s="33">
        <v>5078</v>
      </c>
      <c r="AM173">
        <v>1</v>
      </c>
      <c r="AN173" s="30">
        <f t="shared" si="149"/>
        <v>1</v>
      </c>
      <c r="AO173" s="30" t="s">
        <v>244</v>
      </c>
      <c r="AP173">
        <v>406</v>
      </c>
      <c r="AQ173" s="34">
        <v>1.576968797963302E-3</v>
      </c>
      <c r="AR173" s="35">
        <v>275.51915896813421</v>
      </c>
      <c r="AS173" t="s">
        <v>1867</v>
      </c>
      <c r="AT173" s="36" t="s">
        <v>1844</v>
      </c>
      <c r="AU173" t="s">
        <v>1845</v>
      </c>
      <c r="AY173" s="33"/>
      <c r="BG173" s="31"/>
      <c r="BJ173" s="33"/>
      <c r="BK173" s="33"/>
      <c r="BL173" s="33" t="str">
        <f>HYPERLINK("http://exon.niaid.nih.gov/transcriptome/S_calcitrans/S1/links/NR-LIGHT/XP_013097469.1-NR-LIGHT.txt","uncharacterized protein LOC101887616")</f>
        <v>uncharacterized protein LOC101887616</v>
      </c>
      <c r="BM173" t="str">
        <f>HYPERLINK("http://www.ncbi.nlm.nih.gov/sutils/blink.cgi?pid=557759227","5E-026")</f>
        <v>5E-026</v>
      </c>
      <c r="BN173" t="str">
        <f>HYPERLINK("http://www.ncbi.nlm.nih.gov/protein/557759227","gi|557759227")</f>
        <v>gi|557759227</v>
      </c>
      <c r="BO173">
        <v>58</v>
      </c>
      <c r="BP173">
        <v>71</v>
      </c>
      <c r="BQ173">
        <v>105</v>
      </c>
      <c r="BR173" t="s">
        <v>251</v>
      </c>
      <c r="BS173" s="33" t="str">
        <f>HYPERLINK("http://exon.niaid.nih.gov/transcriptome/S_calcitrans/S1/links/SWISSP/XP_013097469.1-SWISSP.txt","PH domain-containing protein DDB_G0275795")</f>
        <v>PH domain-containing protein DDB_G0275795</v>
      </c>
      <c r="BT173" t="str">
        <f>HYPERLINK("http://www.uniprot.org/uniprot/Q1ZXL0","0.036")</f>
        <v>0.036</v>
      </c>
      <c r="BU173" t="str">
        <f>HYPERLINK("http://www.uniprot.org/uniprot/Q1ZXL0#expression","Q1ZXL0")</f>
        <v>Q1ZXL0</v>
      </c>
      <c r="BV173">
        <v>30</v>
      </c>
      <c r="BW173">
        <v>52</v>
      </c>
      <c r="BX173">
        <v>10</v>
      </c>
      <c r="BY173" t="s">
        <v>943</v>
      </c>
      <c r="BZ173" s="33" t="str">
        <f>HYPERLINK("http://exon.niaid.nih.gov/transcriptome/S_calcitrans/S1/links/REFSEQ-INVERTEBRATE/XP_013097469.1-REFSEQ-INVERTEBRATE.txt","uncharacterized protein LOC106080598")</f>
        <v>uncharacterized protein LOC106080598</v>
      </c>
      <c r="CA173" t="str">
        <f>HYPERLINK("http://www.ncbi.nlm.nih.gov/sutils/blink.cgi?pid=907621565","7E-060")</f>
        <v>7E-060</v>
      </c>
      <c r="CB173" t="str">
        <f>HYPERLINK("http://www.ncbi.nlm.nih.gov/protein/907621565","gi|907621565")</f>
        <v>gi|907621565</v>
      </c>
      <c r="CC173">
        <v>100</v>
      </c>
      <c r="CD173">
        <v>100</v>
      </c>
      <c r="CE173">
        <v>100</v>
      </c>
      <c r="CF173" t="s">
        <v>253</v>
      </c>
      <c r="CG173" s="33" t="str">
        <f>HYPERLINK("http://exon.niaid.nih.gov/transcriptome/S_calcitrans/S1/links/DIPTERA/XP_013097469.1-DIPTERA.txt","uncharacterized protein LOC106080598")</f>
        <v>uncharacterized protein LOC106080598</v>
      </c>
      <c r="CH173" t="str">
        <f>HYPERLINK("http://www.ncbi.nlm.nih.gov/sutils/blink.cgi?pid=907621565","4E-060")</f>
        <v>4E-060</v>
      </c>
      <c r="CI173" t="str">
        <f>HYPERLINK("http://www.ncbi.nlm.nih.gov/protein/907621565","gi|907621565")</f>
        <v>gi|907621565</v>
      </c>
      <c r="CJ173">
        <v>100</v>
      </c>
      <c r="CK173">
        <v>100</v>
      </c>
      <c r="CL173">
        <v>100</v>
      </c>
      <c r="CM173" t="s">
        <v>253</v>
      </c>
      <c r="CN173" s="33" t="s">
        <v>242</v>
      </c>
      <c r="CO173" t="s">
        <v>242</v>
      </c>
      <c r="CP173" t="s">
        <v>242</v>
      </c>
      <c r="CQ173" t="s">
        <v>242</v>
      </c>
      <c r="CR173" t="s">
        <v>242</v>
      </c>
      <c r="CS173" t="s">
        <v>242</v>
      </c>
      <c r="CT173" t="s">
        <v>242</v>
      </c>
      <c r="CU173" s="33" t="s">
        <v>1714</v>
      </c>
      <c r="CV173">
        <f>HYPERLINK("http://exon.niaid.nih.gov/transcriptome/S_calcitrans/S1/links/GO/XP_013097469.1-GO.txt",0.00000003)</f>
        <v>2.9999999999999997E-8</v>
      </c>
      <c r="CW173" t="str">
        <f>HYPERLINK("http://amigo.geneontology.org/cgi-bin/amigo/term_details?term=GO:0003674","GO:0003674")</f>
        <v>GO:0003674</v>
      </c>
      <c r="CX173" t="s">
        <v>255</v>
      </c>
      <c r="CY173" t="s">
        <v>256</v>
      </c>
      <c r="CZ173" t="s">
        <v>257</v>
      </c>
      <c r="DA173" t="s">
        <v>242</v>
      </c>
      <c r="DC173" t="s">
        <v>258</v>
      </c>
      <c r="DD173">
        <v>2.9999999999999997E-8</v>
      </c>
      <c r="DE173" s="33" t="str">
        <f>HYPERLINK("http://exon.niaid.nih.gov/transcriptome/S_calcitrans/S1/links/CDD/XP_013097469.1-CDD.txt","MRG")</f>
        <v>MRG</v>
      </c>
      <c r="DF173" t="str">
        <f>HYPERLINK("http://www.ncbi.nlm.nih.gov/Structure/cdd/cddsrv.cgi?uid=pfam05712&amp;version=v4.0","1.5")</f>
        <v>1.5</v>
      </c>
      <c r="DG173" t="s">
        <v>1868</v>
      </c>
      <c r="DH173" s="33" t="str">
        <f>HYPERLINK("http://exon.niaid.nih.gov/transcriptome/S_calcitrans/S1/links/KOG/XP_013097469.1-KOG.txt","Exostosin EXT1L")</f>
        <v>Exostosin EXT1L</v>
      </c>
      <c r="DI173" t="str">
        <f>HYPERLINK("http://www.ncbi.nlm.nih.gov/Structure/cdd/cddsrv.cgi?uid=KOG2264","0.13")</f>
        <v>0.13</v>
      </c>
      <c r="DJ173" t="s">
        <v>1095</v>
      </c>
      <c r="DK173" t="str">
        <f>HYPERLINK("http://exon.niaid.nih.gov/transcriptome/S_calcitrans/S1/links/KOG/XP_013097469.1-KOG.txt","KOG2264")</f>
        <v>KOG2264</v>
      </c>
      <c r="DL173" s="33" t="str">
        <f>HYPERLINK("http://exon.niaid.nih.gov/transcriptome/S_calcitrans/S1/links/PFAM/XP_013097469.1-PFAM.txt","MRG")</f>
        <v>MRG</v>
      </c>
      <c r="DM173" t="str">
        <f>HYPERLINK("http://pfam.sanger.ac.uk/family?acc=PF05712","0.33")</f>
        <v>0.33</v>
      </c>
      <c r="DN173" s="33" t="str">
        <f>HYPERLINK("http://exon.niaid.nih.gov/transcriptome/S_calcitrans/S1/links/SMART/XP_013097469.1-SMART.txt","TOP4c")</f>
        <v>TOP4c</v>
      </c>
      <c r="DO173" t="str">
        <f>HYPERLINK("http://smart.embl-heidelberg.de/smart/do_annotation.pl?DOMAIN=TOP4c&amp;BLAST=DUMMY","0.35")</f>
        <v>0.35</v>
      </c>
      <c r="DP173" s="33"/>
      <c r="EB173" s="33">
        <v>3055</v>
      </c>
      <c r="EC173">
        <v>1</v>
      </c>
      <c r="ED173" s="33">
        <v>3699</v>
      </c>
      <c r="EE173">
        <v>1</v>
      </c>
      <c r="EF173" s="33">
        <v>4026</v>
      </c>
      <c r="EG173">
        <v>1</v>
      </c>
      <c r="EH173" s="33">
        <v>4261</v>
      </c>
      <c r="EI173">
        <v>1</v>
      </c>
      <c r="EJ173" s="33">
        <v>4511</v>
      </c>
      <c r="EK173">
        <v>1</v>
      </c>
      <c r="EL173" s="33">
        <v>4682</v>
      </c>
      <c r="EM173">
        <v>1</v>
      </c>
      <c r="EN173" s="33">
        <v>4874</v>
      </c>
      <c r="EO173">
        <v>1</v>
      </c>
      <c r="EP173" s="33">
        <v>5013</v>
      </c>
      <c r="EQ173">
        <v>1</v>
      </c>
      <c r="ER173" s="33">
        <v>5124</v>
      </c>
      <c r="ES173">
        <v>1</v>
      </c>
      <c r="ET173" s="33">
        <v>5185</v>
      </c>
      <c r="EU173">
        <v>1</v>
      </c>
      <c r="EV173" s="33">
        <v>5207</v>
      </c>
      <c r="EW173">
        <v>1</v>
      </c>
      <c r="EX173" s="33">
        <v>5228</v>
      </c>
      <c r="EY173">
        <v>1</v>
      </c>
      <c r="EZ173" s="33">
        <v>5190</v>
      </c>
      <c r="FA173">
        <v>1</v>
      </c>
      <c r="FB173" s="33">
        <v>5140</v>
      </c>
      <c r="FC173">
        <v>1</v>
      </c>
      <c r="FD173" s="33">
        <v>5078</v>
      </c>
      <c r="FE173">
        <v>1</v>
      </c>
      <c r="FF173" t="s">
        <v>1869</v>
      </c>
      <c r="FG173">
        <v>3915</v>
      </c>
      <c r="FH173" s="38" t="str">
        <f>HYPERLINK("http://exon.niaid.nih.gov/transcriptome/S_calcitrans/S1/links/SG_male-stripped_temp-95-h10-1gap/3915-SG_male-stripped_temp-95-h10-1gap.txt","202")</f>
        <v>202</v>
      </c>
      <c r="FI173" s="39">
        <v>88.319088319088294</v>
      </c>
      <c r="FJ173" s="39">
        <v>41.877492877492898</v>
      </c>
      <c r="FK173" s="39">
        <v>0</v>
      </c>
      <c r="FL173" s="39">
        <v>87</v>
      </c>
      <c r="FM173" s="39">
        <v>72.772277227722796</v>
      </c>
      <c r="FN173" s="38" t="str">
        <f>HYPERLINK("http://exon.niaid.nih.gov/transcriptome/S_calcitrans/S1/links/SG_female-stripped_temp-95-h10-1gap/3915-SG_female-stripped_temp-95-h10-1gap.txt","204")</f>
        <v>204</v>
      </c>
      <c r="FO173" s="39">
        <v>100</v>
      </c>
      <c r="FP173" s="39">
        <v>42.253561253561301</v>
      </c>
      <c r="FQ173" s="39">
        <v>1</v>
      </c>
      <c r="FR173" s="39">
        <v>90</v>
      </c>
      <c r="FS173" s="39">
        <v>72.700980392156893</v>
      </c>
      <c r="FT173" s="38" t="str">
        <f>HYPERLINK("http://exon.niaid.nih.gov/transcriptome/S_calcitrans/S1/links/SRR694289-stripped_temp-95-h10-1gap/3915-SRR694289-stripped_temp-95-h10-1gap.txt","2")</f>
        <v>2</v>
      </c>
      <c r="FU173" s="39">
        <v>29.629629629629601</v>
      </c>
      <c r="FV173" s="39">
        <v>0.56980056980057003</v>
      </c>
      <c r="FW173" s="39">
        <v>0</v>
      </c>
      <c r="FX173" s="39">
        <v>2</v>
      </c>
      <c r="FY173" s="39">
        <v>100</v>
      </c>
      <c r="FZ173" s="38">
        <v>0</v>
      </c>
      <c r="GA173" s="39" t="s">
        <v>242</v>
      </c>
      <c r="GB173" s="39" t="s">
        <v>242</v>
      </c>
      <c r="GC173" s="39" t="s">
        <v>242</v>
      </c>
      <c r="GD173" s="39" t="s">
        <v>242</v>
      </c>
      <c r="GE173" s="39" t="s">
        <v>242</v>
      </c>
      <c r="GF173">
        <f t="shared" si="176"/>
        <v>202</v>
      </c>
      <c r="GG173">
        <f t="shared" si="177"/>
        <v>204</v>
      </c>
      <c r="GH173">
        <f t="shared" si="178"/>
        <v>2</v>
      </c>
      <c r="GI173">
        <f t="shared" si="179"/>
        <v>0</v>
      </c>
      <c r="GJ173">
        <f t="shared" si="163"/>
        <v>406</v>
      </c>
      <c r="GK173" s="34">
        <v>1.576968797963302E-3</v>
      </c>
      <c r="GL173">
        <v>18.825487997554724</v>
      </c>
      <c r="GM173">
        <v>8.6456229379273086</v>
      </c>
      <c r="GN173">
        <v>3.2753326785964598E-2</v>
      </c>
      <c r="GO173">
        <v>0</v>
      </c>
      <c r="GP173">
        <f t="shared" si="180"/>
        <v>18.825487997554724</v>
      </c>
      <c r="GQ173" t="s">
        <v>1845</v>
      </c>
      <c r="GR173">
        <v>14.681837233421025</v>
      </c>
      <c r="GS173">
        <v>7.0960350320561814</v>
      </c>
      <c r="GT173">
        <v>5.9043041315308221E-2</v>
      </c>
      <c r="GU173">
        <v>0</v>
      </c>
      <c r="GV173">
        <f t="shared" si="181"/>
        <v>14.681837233421025</v>
      </c>
      <c r="GW173">
        <v>275.51915896813421</v>
      </c>
      <c r="GX173">
        <v>406</v>
      </c>
      <c r="GY173">
        <v>2</v>
      </c>
      <c r="GZ173">
        <v>408</v>
      </c>
      <c r="HA173">
        <v>90.575874989069931</v>
      </c>
      <c r="HB173">
        <v>317.42412501093008</v>
      </c>
      <c r="HC173">
        <v>1098.4423683559987</v>
      </c>
      <c r="HD173">
        <v>313.43672644757214</v>
      </c>
      <c r="HE173">
        <v>1411.8790948035708</v>
      </c>
      <c r="HF173">
        <v>0</v>
      </c>
      <c r="HG173">
        <v>90.575874989069931</v>
      </c>
      <c r="HH173">
        <v>1</v>
      </c>
      <c r="HI173">
        <v>1</v>
      </c>
      <c r="HJ173">
        <v>2</v>
      </c>
      <c r="HK173">
        <v>0</v>
      </c>
      <c r="HL173" s="30" t="s">
        <v>262</v>
      </c>
      <c r="HM173">
        <v>474.27711764672165</v>
      </c>
      <c r="HN173">
        <v>1.4021942874419466E-3</v>
      </c>
      <c r="HO173">
        <v>202</v>
      </c>
      <c r="HP173">
        <v>204</v>
      </c>
      <c r="HQ173">
        <v>406</v>
      </c>
      <c r="HR173">
        <v>126.9139535725067</v>
      </c>
      <c r="HS173">
        <v>279.08604642749327</v>
      </c>
      <c r="HT173">
        <v>44.423124561246176</v>
      </c>
      <c r="HU173">
        <v>20.201348079852529</v>
      </c>
      <c r="HV173">
        <v>64.624472641098706</v>
      </c>
      <c r="HW173">
        <v>9.0622784302814586E-16</v>
      </c>
      <c r="HX173">
        <v>126.9139535725067</v>
      </c>
      <c r="HY173">
        <v>1</v>
      </c>
      <c r="HZ173">
        <v>1</v>
      </c>
      <c r="IA173">
        <v>2</v>
      </c>
      <c r="IB173" s="37">
        <v>2.65251872229465E-14</v>
      </c>
      <c r="IC173" s="30" t="s">
        <v>262</v>
      </c>
      <c r="ID173">
        <v>2.1668370785179478</v>
      </c>
      <c r="IE173">
        <v>0.45698861370756916</v>
      </c>
      <c r="IF173">
        <v>2.1668370785179478</v>
      </c>
      <c r="IG173" t="str">
        <f t="shared" si="156"/>
        <v/>
      </c>
    </row>
    <row r="174" spans="1:241">
      <c r="A174" t="str">
        <f>HYPERLINK("http://exon.niaid.nih.gov/transcriptome/S_calcitrans/S1/links/pep/XP_013099504.1-pep.txt","XP_013099504.1")</f>
        <v>XP_013099504.1</v>
      </c>
      <c r="B174" s="30" t="s">
        <v>232</v>
      </c>
      <c r="C174">
        <v>77</v>
      </c>
      <c r="D174" t="s">
        <v>1870</v>
      </c>
      <c r="E174">
        <v>1</v>
      </c>
      <c r="F174" t="s">
        <v>1871</v>
      </c>
      <c r="G174" t="str">
        <f>HYPERLINK("http://exon.niaid.nih.gov/transcriptome/S_calcitrans/S1/links/cds/XM_013244050_1-cds.txt","XM_013244050_1")</f>
        <v>XM_013244050_1</v>
      </c>
      <c r="H174">
        <v>234</v>
      </c>
      <c r="I174" t="s">
        <v>1872</v>
      </c>
      <c r="J174" s="30" t="s">
        <v>236</v>
      </c>
      <c r="K174" s="30" t="s">
        <v>91</v>
      </c>
      <c r="L174" s="31" t="s">
        <v>1873</v>
      </c>
      <c r="M174" s="30">
        <v>387012</v>
      </c>
      <c r="N174" s="30">
        <v>387569</v>
      </c>
      <c r="O174" s="30" t="s">
        <v>276</v>
      </c>
      <c r="P174" s="30">
        <v>2</v>
      </c>
      <c r="Q174" s="31" t="s">
        <v>1874</v>
      </c>
      <c r="R174" s="32" t="str">
        <f>HYPERLINK("http://exon.niaid.nih.gov/transcriptome/S_calcitrans/S1/links/Sigp/XP_013099504.1-SigP.txt","CYT")</f>
        <v>CYT</v>
      </c>
      <c r="S174" t="s">
        <v>242</v>
      </c>
      <c r="T174">
        <v>8.82</v>
      </c>
      <c r="U174">
        <v>9.8699999999999992</v>
      </c>
      <c r="V174" t="s">
        <v>242</v>
      </c>
      <c r="W174" t="s">
        <v>242</v>
      </c>
      <c r="X174" t="s">
        <v>1875</v>
      </c>
      <c r="Y174" s="32" t="str">
        <f>HYPERLINK("http://exon.niaid.nih.gov/transcriptome/S_calcitrans/S1/links/tmhmm/XP_013099504.1-tmhmm.txt","1")</f>
        <v>1</v>
      </c>
      <c r="Z174">
        <v>22.1</v>
      </c>
      <c r="AA174">
        <v>19.5</v>
      </c>
      <c r="AB174">
        <v>58.4</v>
      </c>
      <c r="AC174" t="s">
        <v>242</v>
      </c>
      <c r="AD174">
        <v>45</v>
      </c>
      <c r="AE174" s="32" t="str">
        <f>HYPERLINK("http://exon.niaid.nih.gov/transcriptome/S_calcitrans/S1/links/netoglyc/XP_013099504.1-netoglyc.txt","3")</f>
        <v>3</v>
      </c>
      <c r="AF174">
        <v>13</v>
      </c>
      <c r="AG174">
        <v>2.6</v>
      </c>
      <c r="AH174">
        <v>9.1</v>
      </c>
      <c r="AI174" t="s">
        <v>243</v>
      </c>
      <c r="AJ174" t="s">
        <v>242</v>
      </c>
      <c r="AK174">
        <v>102.21489604455208</v>
      </c>
      <c r="AL174" s="33">
        <v>6013</v>
      </c>
      <c r="AM174">
        <v>1</v>
      </c>
      <c r="AN174" s="30">
        <f t="shared" si="149"/>
        <v>1</v>
      </c>
      <c r="AO174" s="30" t="s">
        <v>244</v>
      </c>
      <c r="AP174">
        <v>175</v>
      </c>
      <c r="AQ174" s="34">
        <v>6.7972793015659571E-4</v>
      </c>
      <c r="AR174" s="35">
        <v>53.958815216791272</v>
      </c>
      <c r="AS174" t="s">
        <v>1876</v>
      </c>
      <c r="AT174" s="36" t="s">
        <v>1844</v>
      </c>
      <c r="AU174" t="s">
        <v>1845</v>
      </c>
      <c r="AY174" s="33"/>
      <c r="BG174" s="31"/>
      <c r="BJ174" s="33"/>
      <c r="BK174" s="33"/>
      <c r="BL174" s="33" t="str">
        <f>HYPERLINK("http://exon.niaid.nih.gov/transcriptome/S_calcitrans/S1/links/NR-LIGHT/XP_013099504.1-NR-LIGHT.txt","uncharacterized protein LOC101891647")</f>
        <v>uncharacterized protein LOC101891647</v>
      </c>
      <c r="BM174" t="str">
        <f>HYPERLINK("http://www.ncbi.nlm.nih.gov/sutils/blink.cgi?pid=557766673","7E-025")</f>
        <v>7E-025</v>
      </c>
      <c r="BN174" t="str">
        <f>HYPERLINK("http://www.ncbi.nlm.nih.gov/protein/557766673","gi|557766673")</f>
        <v>gi|557766673</v>
      </c>
      <c r="BO174">
        <v>80</v>
      </c>
      <c r="BP174">
        <v>89</v>
      </c>
      <c r="BQ174">
        <v>90</v>
      </c>
      <c r="BR174" t="s">
        <v>251</v>
      </c>
      <c r="BS174" s="33" t="str">
        <f>HYPERLINK("http://exon.niaid.nih.gov/transcriptome/S_calcitrans/S1/links/SWISSP/XP_013099504.1-SWISSP.txt","Cytochrome b")</f>
        <v>Cytochrome b</v>
      </c>
      <c r="BT174" t="str">
        <f>HYPERLINK("http://www.uniprot.org/uniprot/P48875","22")</f>
        <v>22</v>
      </c>
      <c r="BU174" t="str">
        <f>HYPERLINK("http://www.uniprot.org/uniprot/P48875#expression","P48875")</f>
        <v>P48875</v>
      </c>
      <c r="BV174">
        <v>50</v>
      </c>
      <c r="BW174">
        <v>57</v>
      </c>
      <c r="BX174">
        <v>7</v>
      </c>
      <c r="BY174" t="s">
        <v>1877</v>
      </c>
      <c r="BZ174" s="33" t="str">
        <f>HYPERLINK("http://exon.niaid.nih.gov/transcriptome/S_calcitrans/S1/links/REFSEQ-INVERTEBRATE/XP_013099504.1-REFSEQ-INVERTEBRATE.txt","uncharacterized protein LOC106081835")</f>
        <v>uncharacterized protein LOC106081835</v>
      </c>
      <c r="CA174" t="str">
        <f>HYPERLINK("http://www.ncbi.nlm.nih.gov/sutils/blink.cgi?pid=907634910","9E-039")</f>
        <v>9E-039</v>
      </c>
      <c r="CB174" t="str">
        <f>HYPERLINK("http://www.ncbi.nlm.nih.gov/protein/907634910","gi|907634910")</f>
        <v>gi|907634910</v>
      </c>
      <c r="CC174">
        <v>100</v>
      </c>
      <c r="CD174">
        <v>100</v>
      </c>
      <c r="CE174">
        <v>100</v>
      </c>
      <c r="CF174" t="s">
        <v>253</v>
      </c>
      <c r="CG174" s="33" t="str">
        <f>HYPERLINK("http://exon.niaid.nih.gov/transcriptome/S_calcitrans/S1/links/DIPTERA/XP_013099504.1-DIPTERA.txt","uncharacterized protein LOC106081835")</f>
        <v>uncharacterized protein LOC106081835</v>
      </c>
      <c r="CH174" t="str">
        <f>HYPERLINK("http://www.ncbi.nlm.nih.gov/sutils/blink.cgi?pid=907634910","5E-039")</f>
        <v>5E-039</v>
      </c>
      <c r="CI174" t="str">
        <f>HYPERLINK("http://www.ncbi.nlm.nih.gov/protein/907634910","gi|907634910")</f>
        <v>gi|907634910</v>
      </c>
      <c r="CJ174">
        <v>100</v>
      </c>
      <c r="CK174">
        <v>100</v>
      </c>
      <c r="CL174">
        <v>100</v>
      </c>
      <c r="CM174" t="s">
        <v>253</v>
      </c>
      <c r="CN174" s="33" t="s">
        <v>242</v>
      </c>
      <c r="CO174" t="s">
        <v>242</v>
      </c>
      <c r="CP174" t="s">
        <v>242</v>
      </c>
      <c r="CQ174" t="s">
        <v>242</v>
      </c>
      <c r="CR174" t="s">
        <v>242</v>
      </c>
      <c r="CS174" t="s">
        <v>242</v>
      </c>
      <c r="CT174" t="s">
        <v>242</v>
      </c>
      <c r="CU174" s="33" t="s">
        <v>242</v>
      </c>
      <c r="CV174" t="s">
        <v>242</v>
      </c>
      <c r="CW174" t="s">
        <v>242</v>
      </c>
      <c r="CX174" t="s">
        <v>242</v>
      </c>
      <c r="CY174" t="s">
        <v>242</v>
      </c>
      <c r="CZ174" t="s">
        <v>242</v>
      </c>
      <c r="DA174" t="s">
        <v>242</v>
      </c>
      <c r="DB174" t="s">
        <v>242</v>
      </c>
      <c r="DC174" t="s">
        <v>242</v>
      </c>
      <c r="DD174" t="s">
        <v>242</v>
      </c>
      <c r="DE174" s="33" t="str">
        <f>HYPERLINK("http://exon.niaid.nih.gov/transcriptome/S_calcitrans/S1/links/CDD/XP_013099504.1-CDD.txt","aminotransferas")</f>
        <v>aminotransferas</v>
      </c>
      <c r="DF174" t="str">
        <f>HYPERLINK("http://www.ncbi.nlm.nih.gov/Structure/cdd/cddsrv.cgi?uid=TIGR04350&amp;version=v4.0","2.0")</f>
        <v>2.0</v>
      </c>
      <c r="DG174" t="s">
        <v>1878</v>
      </c>
      <c r="DH174" s="33" t="str">
        <f>HYPERLINK("http://exon.niaid.nih.gov/transcriptome/S_calcitrans/S1/links/KOG/XP_013099504.1-KOG.txt","Differentiation-related gene 1 protein (NDR1 protein), related proteins")</f>
        <v>Differentiation-related gene 1 protein (NDR1 protein), related proteins</v>
      </c>
      <c r="DI174" t="str">
        <f>HYPERLINK("http://www.ncbi.nlm.nih.gov/Structure/cdd/cddsrv.cgi?uid=KOG2931","5.7")</f>
        <v>5.7</v>
      </c>
      <c r="DJ174" t="s">
        <v>260</v>
      </c>
      <c r="DK174" t="str">
        <f>HYPERLINK("http://exon.niaid.nih.gov/transcriptome/S_calcitrans/S1/links/KOG/XP_013099504.1-KOG.txt","KOG2931")</f>
        <v>KOG2931</v>
      </c>
      <c r="DL174" s="33" t="str">
        <f>HYPERLINK("http://exon.niaid.nih.gov/transcriptome/S_calcitrans/S1/links/PFAM/XP_013099504.1-PFAM.txt","Innexin")</f>
        <v>Innexin</v>
      </c>
      <c r="DM174" t="str">
        <f>HYPERLINK("http://pfam.sanger.ac.uk/family?acc=PF00876","0.98")</f>
        <v>0.98</v>
      </c>
      <c r="DN174" s="33" t="str">
        <f>HYPERLINK("http://exon.niaid.nih.gov/transcriptome/S_calcitrans/S1/links/SMART/XP_013099504.1-SMART.txt","Dabb")</f>
        <v>Dabb</v>
      </c>
      <c r="DO174" t="str">
        <f>HYPERLINK("http://smart.embl-heidelberg.de/smart/do_annotation.pl?DOMAIN=Dabb&amp;BLAST=DUMMY","3.3")</f>
        <v>3.3</v>
      </c>
      <c r="DP174" s="33"/>
      <c r="EB174" s="33">
        <v>3342</v>
      </c>
      <c r="EC174">
        <v>1</v>
      </c>
      <c r="ED174" s="33">
        <v>4037</v>
      </c>
      <c r="EE174">
        <v>1</v>
      </c>
      <c r="EF174" s="33">
        <v>4402</v>
      </c>
      <c r="EG174">
        <v>1</v>
      </c>
      <c r="EH174" s="33">
        <v>4681</v>
      </c>
      <c r="EI174">
        <v>1</v>
      </c>
      <c r="EJ174" s="33">
        <v>4961</v>
      </c>
      <c r="EK174">
        <v>1</v>
      </c>
      <c r="EL174" s="33">
        <v>5164</v>
      </c>
      <c r="EM174">
        <v>1</v>
      </c>
      <c r="EN174" s="33">
        <v>5416</v>
      </c>
      <c r="EO174">
        <v>1</v>
      </c>
      <c r="EP174" s="33">
        <v>5594</v>
      </c>
      <c r="EQ174">
        <v>1</v>
      </c>
      <c r="ER174" s="33">
        <v>5728</v>
      </c>
      <c r="ES174">
        <v>1</v>
      </c>
      <c r="ET174" s="33">
        <v>5824</v>
      </c>
      <c r="EU174">
        <v>1</v>
      </c>
      <c r="EV174" s="33">
        <v>5889</v>
      </c>
      <c r="EW174">
        <v>1</v>
      </c>
      <c r="EX174" s="33">
        <v>5954</v>
      </c>
      <c r="EY174">
        <v>1</v>
      </c>
      <c r="EZ174" s="33">
        <v>5978</v>
      </c>
      <c r="FA174">
        <v>1</v>
      </c>
      <c r="FB174" s="33">
        <v>5985</v>
      </c>
      <c r="FC174">
        <v>1</v>
      </c>
      <c r="FD174" s="33">
        <v>6013</v>
      </c>
      <c r="FE174">
        <v>1</v>
      </c>
      <c r="FF174" t="s">
        <v>1879</v>
      </c>
      <c r="FG174">
        <v>5739</v>
      </c>
      <c r="FH174" s="38" t="str">
        <f>HYPERLINK("http://exon.niaid.nih.gov/transcriptome/S_calcitrans/S1/links/SG_male-stripped_temp-95-h10-1gap/5739-SG_male-stripped_temp-95-h10-1gap.txt","72")</f>
        <v>72</v>
      </c>
      <c r="FI174" s="39">
        <v>100</v>
      </c>
      <c r="FJ174" s="39">
        <v>21.854700854700901</v>
      </c>
      <c r="FK174" s="39">
        <v>1</v>
      </c>
      <c r="FL174" s="39">
        <v>54</v>
      </c>
      <c r="FM174" s="39">
        <v>71.0277777777778</v>
      </c>
      <c r="FN174" s="38" t="str">
        <f>HYPERLINK("http://exon.niaid.nih.gov/transcriptome/S_calcitrans/S1/links/SG_female-stripped_temp-95-h10-1gap/5739-SG_female-stripped_temp-95-h10-1gap.txt","103")</f>
        <v>103</v>
      </c>
      <c r="FO174" s="39">
        <v>92.735042735042697</v>
      </c>
      <c r="FP174" s="39">
        <v>31.653846153846199</v>
      </c>
      <c r="FQ174" s="39">
        <v>0</v>
      </c>
      <c r="FR174" s="39">
        <v>68</v>
      </c>
      <c r="FS174" s="39">
        <v>71.912621359223294</v>
      </c>
      <c r="FT174" s="38" t="str">
        <f>HYPERLINK("http://exon.niaid.nih.gov/transcriptome/S_calcitrans/S1/links/SRR694289-stripped_temp-95-h10-1gap/5739-SRR694289-stripped_temp-95-h10-1gap.txt","4")</f>
        <v>4</v>
      </c>
      <c r="FU174" s="39">
        <v>56.410256410256402</v>
      </c>
      <c r="FV174" s="39">
        <v>1.3974358974359</v>
      </c>
      <c r="FW174" s="39">
        <v>0</v>
      </c>
      <c r="FX174" s="39">
        <v>3</v>
      </c>
      <c r="FY174" s="39">
        <v>81.75</v>
      </c>
      <c r="FZ174" s="38" t="str">
        <f>HYPERLINK("http://exon.niaid.nih.gov/transcriptome/S_calcitrans/S1/links/SRR694925-stripped_temp-95-h10-1gap/5739-SRR694925-stripped_temp-95-h10-1gap.txt","1")</f>
        <v>1</v>
      </c>
      <c r="GA174" s="39">
        <v>42.735042735042697</v>
      </c>
      <c r="GB174" s="39">
        <v>0.427350427350427</v>
      </c>
      <c r="GC174" s="39">
        <v>0</v>
      </c>
      <c r="GD174" s="39">
        <v>1</v>
      </c>
      <c r="GE174" s="39">
        <v>100</v>
      </c>
      <c r="GF174">
        <f t="shared" si="176"/>
        <v>72</v>
      </c>
      <c r="GG174">
        <f t="shared" si="177"/>
        <v>103</v>
      </c>
      <c r="GH174">
        <f t="shared" si="178"/>
        <v>4</v>
      </c>
      <c r="GI174">
        <f t="shared" si="179"/>
        <v>1</v>
      </c>
      <c r="GJ174">
        <f t="shared" si="163"/>
        <v>175</v>
      </c>
      <c r="GK174" s="34">
        <v>6.7972793015659571E-4</v>
      </c>
      <c r="GL174">
        <v>10.065112394732228</v>
      </c>
      <c r="GM174">
        <v>6.5477879603420055</v>
      </c>
      <c r="GN174">
        <v>9.8259980357893795E-2</v>
      </c>
      <c r="GO174">
        <v>2.5323745247183525E-2</v>
      </c>
      <c r="GP174">
        <f t="shared" si="180"/>
        <v>10.065112394732228</v>
      </c>
      <c r="GQ174" t="s">
        <v>1845</v>
      </c>
      <c r="GR174">
        <v>7.8496951545023297</v>
      </c>
      <c r="GS174">
        <v>5.3742030022190193</v>
      </c>
      <c r="GT174">
        <v>0.1771291239459247</v>
      </c>
      <c r="GU174">
        <v>4.7944792217568956E-2</v>
      </c>
      <c r="GV174">
        <f t="shared" si="181"/>
        <v>7.8496951545023297</v>
      </c>
      <c r="GW174">
        <v>53.958815216791272</v>
      </c>
      <c r="GX174">
        <v>175</v>
      </c>
      <c r="GY174">
        <v>5</v>
      </c>
      <c r="GZ174">
        <v>180</v>
      </c>
      <c r="HA174">
        <v>39.959944848119086</v>
      </c>
      <c r="HB174">
        <v>140.04005515188092</v>
      </c>
      <c r="HC174">
        <v>456.35239399689516</v>
      </c>
      <c r="HD174">
        <v>130.21857550431071</v>
      </c>
      <c r="HE174">
        <v>586.57096950120581</v>
      </c>
      <c r="HF174">
        <v>1.3956446764450332E-129</v>
      </c>
      <c r="HG174">
        <v>39.959944848119086</v>
      </c>
      <c r="HH174">
        <v>1</v>
      </c>
      <c r="HI174">
        <v>1</v>
      </c>
      <c r="HJ174">
        <v>2</v>
      </c>
      <c r="HK174" s="37">
        <v>3.6709103690685398E-129</v>
      </c>
      <c r="HL174" s="30" t="s">
        <v>262</v>
      </c>
      <c r="HM174">
        <v>102.21489604455208</v>
      </c>
      <c r="HN174">
        <v>8.1064357242737542E-3</v>
      </c>
      <c r="HO174">
        <v>72</v>
      </c>
      <c r="HP174">
        <v>103</v>
      </c>
      <c r="HQ174">
        <v>175</v>
      </c>
      <c r="HR174">
        <v>54.704290332977031</v>
      </c>
      <c r="HS174">
        <v>120.29570966702298</v>
      </c>
      <c r="HT174">
        <v>5.4683384258368166</v>
      </c>
      <c r="HU174">
        <v>2.4867185514260832</v>
      </c>
      <c r="HV174">
        <v>7.9550569772628998</v>
      </c>
      <c r="HW174">
        <v>4.7953199261484523E-3</v>
      </c>
      <c r="HX174">
        <v>54.704290332977031</v>
      </c>
      <c r="HY174">
        <v>1</v>
      </c>
      <c r="HZ174">
        <v>1</v>
      </c>
      <c r="IA174">
        <v>2</v>
      </c>
      <c r="IB174">
        <v>2.56443387327299E-2</v>
      </c>
      <c r="IC174" s="30" t="s">
        <v>262</v>
      </c>
      <c r="ID174">
        <v>1.522396957298406</v>
      </c>
      <c r="IE174">
        <v>0.64163140773647354</v>
      </c>
      <c r="IF174">
        <v>1.522396957298406</v>
      </c>
      <c r="IG174" t="str">
        <f t="shared" si="156"/>
        <v/>
      </c>
    </row>
    <row r="175" spans="1:241">
      <c r="A175" t="str">
        <f>HYPERLINK("http://exon.niaid.nih.gov/transcriptome/S_calcitrans/S1/links/pep/XP_013106724.1-pep.txt","XP_013106724.1")</f>
        <v>XP_013106724.1</v>
      </c>
      <c r="B175" s="30" t="s">
        <v>232</v>
      </c>
      <c r="C175">
        <v>175</v>
      </c>
      <c r="D175" t="s">
        <v>1880</v>
      </c>
      <c r="E175">
        <v>1</v>
      </c>
      <c r="F175" t="s">
        <v>1881</v>
      </c>
      <c r="G175" t="str">
        <f>HYPERLINK("http://exon.niaid.nih.gov/transcriptome/S_calcitrans/S1/links/cds/XM_013251270_1-cds.txt","XM_013251270_1")</f>
        <v>XM_013251270_1</v>
      </c>
      <c r="H175">
        <v>528</v>
      </c>
      <c r="I175" t="s">
        <v>1882</v>
      </c>
      <c r="J175" s="30" t="s">
        <v>236</v>
      </c>
      <c r="K175" s="30" t="s">
        <v>91</v>
      </c>
      <c r="L175" s="31" t="s">
        <v>1883</v>
      </c>
      <c r="M175" s="30">
        <v>514464</v>
      </c>
      <c r="N175" s="30">
        <v>517016</v>
      </c>
      <c r="O175" s="30" t="s">
        <v>238</v>
      </c>
      <c r="P175" s="30">
        <v>4</v>
      </c>
      <c r="Q175" s="31" t="s">
        <v>1884</v>
      </c>
      <c r="R175" s="32" t="str">
        <f>HYPERLINK("http://exon.niaid.nih.gov/transcriptome/S_calcitrans/S1/links/Sigp/XP_013106724.1-SigP.txt","BL")</f>
        <v>BL</v>
      </c>
      <c r="S175" t="s">
        <v>1885</v>
      </c>
      <c r="T175">
        <v>19.736999999999998</v>
      </c>
      <c r="U175">
        <v>5.24</v>
      </c>
      <c r="V175">
        <v>14.833</v>
      </c>
      <c r="W175">
        <v>4.79</v>
      </c>
      <c r="X175" t="s">
        <v>1886</v>
      </c>
      <c r="Y175" s="32">
        <v>0</v>
      </c>
      <c r="Z175" t="s">
        <v>242</v>
      </c>
      <c r="AA175" t="s">
        <v>242</v>
      </c>
      <c r="AB175" t="s">
        <v>242</v>
      </c>
      <c r="AC175" t="s">
        <v>242</v>
      </c>
      <c r="AD175" t="s">
        <v>242</v>
      </c>
      <c r="AE175" s="32" t="str">
        <f>HYPERLINK("http://exon.niaid.nih.gov/transcriptome/S_calcitrans/S1/links/netoglyc/XP_013106724.1-netoglyc.txt","0")</f>
        <v>0</v>
      </c>
      <c r="AF175">
        <v>12</v>
      </c>
      <c r="AG175">
        <v>5.7</v>
      </c>
      <c r="AH175">
        <v>4.5999999999999996</v>
      </c>
      <c r="AI175" t="s">
        <v>243</v>
      </c>
      <c r="AJ175" t="s">
        <v>242</v>
      </c>
      <c r="AK175">
        <v>1946.0278458894395</v>
      </c>
      <c r="AL175" s="33">
        <v>9422</v>
      </c>
      <c r="AM175">
        <v>1</v>
      </c>
      <c r="AN175" s="30">
        <f t="shared" si="149"/>
        <v>1</v>
      </c>
      <c r="AO175" s="30" t="s">
        <v>244</v>
      </c>
      <c r="AP175">
        <v>36094</v>
      </c>
      <c r="AQ175" s="34">
        <v>0.14019485663469808</v>
      </c>
      <c r="AR175" s="35">
        <v>900.68449496394612</v>
      </c>
      <c r="AS175" t="s">
        <v>1887</v>
      </c>
      <c r="AT175" s="36" t="s">
        <v>1844</v>
      </c>
      <c r="AU175" t="s">
        <v>1845</v>
      </c>
      <c r="AY175" s="33"/>
      <c r="BG175" s="31"/>
      <c r="BJ175" s="33"/>
      <c r="BK175" s="33"/>
      <c r="BL175" s="33" t="str">
        <f>HYPERLINK("http://exon.niaid.nih.gov/transcriptome/S_calcitrans/S1/links/NR-LIGHT/XP_013106724.1-NR-LIGHT.txt","uncharacterized protein CG3556-like")</f>
        <v>uncharacterized protein CG3556-like</v>
      </c>
      <c r="BM175" t="str">
        <f>HYPERLINK("http://www.ncbi.nlm.nih.gov/sutils/blink.cgi?pid=557767979","2E-039")</f>
        <v>2E-039</v>
      </c>
      <c r="BN175" t="str">
        <f>HYPERLINK("http://www.ncbi.nlm.nih.gov/protein/557767979","gi|557767979")</f>
        <v>gi|557767979</v>
      </c>
      <c r="BO175">
        <v>59</v>
      </c>
      <c r="BP175">
        <v>77</v>
      </c>
      <c r="BQ175">
        <v>79</v>
      </c>
      <c r="BR175" t="s">
        <v>251</v>
      </c>
      <c r="BS175" s="33" t="str">
        <f>HYPERLINK("http://exon.niaid.nih.gov/transcriptome/S_calcitrans/S1/links/SWISSP/XP_013106724.1-SWISSP.txt","Uncharacterized protein CG3556")</f>
        <v>Uncharacterized protein CG3556</v>
      </c>
      <c r="BT175" t="str">
        <f>HYPERLINK("http://www.uniprot.org/uniprot/Q9W4K2","1E-034")</f>
        <v>1E-034</v>
      </c>
      <c r="BU175" t="str">
        <f>HYPERLINK("http://www.uniprot.org/uniprot/Q9W4K2#expression","Q9W4K2")</f>
        <v>Q9W4K2</v>
      </c>
      <c r="BV175">
        <v>50</v>
      </c>
      <c r="BW175">
        <v>75</v>
      </c>
      <c r="BX175">
        <v>22</v>
      </c>
      <c r="BY175" t="s">
        <v>304</v>
      </c>
      <c r="BZ175" s="33" t="str">
        <f>HYPERLINK("http://exon.niaid.nih.gov/transcriptome/S_calcitrans/S1/links/REFSEQ-INVERTEBRATE/XP_013106724.1-REFSEQ-INVERTEBRATE.txt","uncharacterized protein CG3556-like")</f>
        <v>uncharacterized protein CG3556-like</v>
      </c>
      <c r="CA175" t="str">
        <f>HYPERLINK("http://www.ncbi.nlm.nih.gov/sutils/blink.cgi?pid=907682944","5E-099")</f>
        <v>5E-099</v>
      </c>
      <c r="CB175" t="str">
        <f>HYPERLINK("http://www.ncbi.nlm.nih.gov/protein/907682944","gi|907682944")</f>
        <v>gi|907682944</v>
      </c>
      <c r="CC175">
        <v>100</v>
      </c>
      <c r="CD175">
        <v>100</v>
      </c>
      <c r="CE175">
        <v>100</v>
      </c>
      <c r="CF175" t="s">
        <v>253</v>
      </c>
      <c r="CG175" s="33" t="str">
        <f>HYPERLINK("http://exon.niaid.nih.gov/transcriptome/S_calcitrans/S1/links/DIPTERA/XP_013106724.1-DIPTERA.txt","uncharacterized protein CG3556-like")</f>
        <v>uncharacterized protein CG3556-like</v>
      </c>
      <c r="CH175" t="str">
        <f>HYPERLINK("http://www.ncbi.nlm.nih.gov/sutils/blink.cgi?pid=907682944","3E-099")</f>
        <v>3E-099</v>
      </c>
      <c r="CI175" t="str">
        <f>HYPERLINK("http://www.ncbi.nlm.nih.gov/protein/907682944","gi|907682944")</f>
        <v>gi|907682944</v>
      </c>
      <c r="CJ175">
        <v>100</v>
      </c>
      <c r="CK175">
        <v>100</v>
      </c>
      <c r="CL175">
        <v>100</v>
      </c>
      <c r="CM175" t="s">
        <v>253</v>
      </c>
      <c r="CN175" s="33" t="s">
        <v>242</v>
      </c>
      <c r="CO175" t="s">
        <v>242</v>
      </c>
      <c r="CP175" t="s">
        <v>242</v>
      </c>
      <c r="CQ175" t="s">
        <v>242</v>
      </c>
      <c r="CR175" t="s">
        <v>242</v>
      </c>
      <c r="CS175" t="s">
        <v>242</v>
      </c>
      <c r="CT175" t="s">
        <v>242</v>
      </c>
      <c r="CU175" s="33" t="s">
        <v>1888</v>
      </c>
      <c r="CV175">
        <f>HYPERLINK("http://exon.niaid.nih.gov/transcriptome/S_calcitrans/S1/links/GO/XP_013106724.1-GO.txt",2E-34)</f>
        <v>1.9999999999999999E-34</v>
      </c>
      <c r="CW175" t="str">
        <f>HYPERLINK("http://amigo.geneontology.org/cgi-bin/amigo/term_details?term=GO:0031419","GO:0031419")</f>
        <v>GO:0031419</v>
      </c>
      <c r="CX175" t="s">
        <v>1889</v>
      </c>
      <c r="CY175" t="s">
        <v>1890</v>
      </c>
      <c r="CZ175" t="s">
        <v>1891</v>
      </c>
      <c r="DA175" t="s">
        <v>242</v>
      </c>
      <c r="DD175" s="37">
        <v>1.9999999999999999E-34</v>
      </c>
      <c r="DE175" s="33" t="str">
        <f>HYPERLINK("http://exon.niaid.nih.gov/transcriptome/S_calcitrans/S1/links/CDD/XP_013106724.1-CDD.txt","DUF4430")</f>
        <v>DUF4430</v>
      </c>
      <c r="DF175" t="str">
        <f>HYPERLINK("http://www.ncbi.nlm.nih.gov/Structure/cdd/cddsrv.cgi?uid=pfam14478&amp;version=v4.0","1E-009")</f>
        <v>1E-009</v>
      </c>
      <c r="DG175" t="s">
        <v>1892</v>
      </c>
      <c r="DH175" s="33" t="str">
        <f>HYPERLINK("http://exon.niaid.nih.gov/transcriptome/S_calcitrans/S1/links/KOG/XP_013106724.1-KOG.txt","NADH dehydrogenase, subunit 4")</f>
        <v>NADH dehydrogenase, subunit 4</v>
      </c>
      <c r="DI175" t="str">
        <f>HYPERLINK("http://www.ncbi.nlm.nih.gov/Structure/cdd/cddsrv.cgi?uid=KOG4845","1.1")</f>
        <v>1.1</v>
      </c>
      <c r="DJ175" t="s">
        <v>865</v>
      </c>
      <c r="DK175" t="str">
        <f>HYPERLINK("http://exon.niaid.nih.gov/transcriptome/S_calcitrans/S1/links/KOG/XP_013106724.1-KOG.txt","KOG4845")</f>
        <v>KOG4845</v>
      </c>
      <c r="DL175" s="33" t="str">
        <f>HYPERLINK("http://exon.niaid.nih.gov/transcriptome/S_calcitrans/S1/links/PFAM/XP_013106724.1-PFAM.txt","DUF4430")</f>
        <v>DUF4430</v>
      </c>
      <c r="DM175" t="str">
        <f>HYPERLINK("http://pfam.sanger.ac.uk/family?acc=PF14478","4E-008")</f>
        <v>4E-008</v>
      </c>
      <c r="DN175" s="33" t="str">
        <f>HYPERLINK("http://exon.niaid.nih.gov/transcriptome/S_calcitrans/S1/links/SMART/XP_013106724.1-SMART.txt","PI3Ka")</f>
        <v>PI3Ka</v>
      </c>
      <c r="DO175" t="str">
        <f>HYPERLINK("http://smart.embl-heidelberg.de/smart/do_annotation.pl?DOMAIN=PI3Ka&amp;BLAST=DUMMY","0.98")</f>
        <v>0.98</v>
      </c>
      <c r="DP175" s="33"/>
      <c r="EB175" s="33">
        <v>4356</v>
      </c>
      <c r="EC175">
        <v>1</v>
      </c>
      <c r="ED175" s="33">
        <v>5268</v>
      </c>
      <c r="EE175">
        <v>1</v>
      </c>
      <c r="EF175" s="33">
        <v>5829</v>
      </c>
      <c r="EG175">
        <v>1</v>
      </c>
      <c r="EH175" s="33">
        <v>6246</v>
      </c>
      <c r="EI175">
        <v>1</v>
      </c>
      <c r="EJ175" s="33">
        <v>6672</v>
      </c>
      <c r="EK175">
        <v>1</v>
      </c>
      <c r="EL175" s="33">
        <v>7006</v>
      </c>
      <c r="EM175">
        <v>1</v>
      </c>
      <c r="EN175" s="33">
        <v>7404</v>
      </c>
      <c r="EO175">
        <v>1</v>
      </c>
      <c r="EP175" s="33">
        <v>7709</v>
      </c>
      <c r="EQ175">
        <v>1</v>
      </c>
      <c r="ER175" s="33">
        <v>7983</v>
      </c>
      <c r="ES175">
        <v>1</v>
      </c>
      <c r="ET175" s="33">
        <v>8189</v>
      </c>
      <c r="EU175">
        <v>1</v>
      </c>
      <c r="EV175" s="33">
        <v>8402</v>
      </c>
      <c r="EW175">
        <v>1</v>
      </c>
      <c r="EX175" s="33">
        <v>8616</v>
      </c>
      <c r="EY175">
        <v>1</v>
      </c>
      <c r="EZ175" s="33">
        <v>8834</v>
      </c>
      <c r="FA175">
        <v>1</v>
      </c>
      <c r="FB175" s="33">
        <v>9078</v>
      </c>
      <c r="FC175">
        <v>1</v>
      </c>
      <c r="FD175" s="33">
        <v>9422</v>
      </c>
      <c r="FE175">
        <v>1</v>
      </c>
      <c r="FF175" t="s">
        <v>1893</v>
      </c>
      <c r="FG175">
        <v>12193</v>
      </c>
      <c r="FH175" s="38" t="str">
        <f>HYPERLINK("http://exon.niaid.nih.gov/transcriptome/S_calcitrans/S1/links/SG_male-stripped_temp-95-h10-1gap/12193-SG_male-stripped_temp-95-h10-1gap.txt","13824")</f>
        <v>13824</v>
      </c>
      <c r="FI175" s="39">
        <v>95.075757575757606</v>
      </c>
      <c r="FJ175" s="39">
        <v>1794.8825757575801</v>
      </c>
      <c r="FK175" s="39">
        <v>0</v>
      </c>
      <c r="FL175" s="39">
        <v>4313</v>
      </c>
      <c r="FM175" s="39">
        <v>68.5549045138889</v>
      </c>
      <c r="FN175" s="38" t="str">
        <f>HYPERLINK("http://exon.niaid.nih.gov/transcriptome/S_calcitrans/S1/links/SG_female-stripped_temp-95-h10-1gap/12193-SG_female-stripped_temp-95-h10-1gap.txt","22270")</f>
        <v>22270</v>
      </c>
      <c r="FO175" s="39">
        <v>100</v>
      </c>
      <c r="FP175" s="39">
        <v>2893.4848484848499</v>
      </c>
      <c r="FQ175" s="39">
        <v>5</v>
      </c>
      <c r="FR175" s="39">
        <v>6664</v>
      </c>
      <c r="FS175" s="39">
        <v>68.601885945217802</v>
      </c>
      <c r="FT175" s="38" t="str">
        <f>HYPERLINK("http://exon.niaid.nih.gov/transcriptome/S_calcitrans/S1/links/SRR694289-stripped_temp-95-h10-1gap/12193-SRR694289-stripped_temp-95-h10-1gap.txt","41")</f>
        <v>41</v>
      </c>
      <c r="FU175" s="39">
        <v>78.030303030303003</v>
      </c>
      <c r="FV175" s="39">
        <v>7.4867424242424203</v>
      </c>
      <c r="FW175" s="39">
        <v>0</v>
      </c>
      <c r="FX175" s="39">
        <v>20</v>
      </c>
      <c r="FY175" s="39">
        <v>96.414634146341498</v>
      </c>
      <c r="FZ175" s="38" t="str">
        <f>HYPERLINK("http://exon.niaid.nih.gov/transcriptome/S_calcitrans/S1/links/SRR694925-stripped_temp-95-h10-1gap/12193-SRR694925-stripped_temp-95-h10-1gap.txt","23")</f>
        <v>23</v>
      </c>
      <c r="GA175" s="39">
        <v>81.060606060606105</v>
      </c>
      <c r="GB175" s="39">
        <v>4.3143939393939403</v>
      </c>
      <c r="GC175" s="39">
        <v>0</v>
      </c>
      <c r="GD175" s="39">
        <v>15</v>
      </c>
      <c r="GE175" s="39">
        <v>99.043478260869605</v>
      </c>
      <c r="GF175">
        <f t="shared" si="176"/>
        <v>13824</v>
      </c>
      <c r="GG175">
        <f t="shared" si="177"/>
        <v>22270</v>
      </c>
      <c r="GH175">
        <f t="shared" si="178"/>
        <v>41</v>
      </c>
      <c r="GI175">
        <f t="shared" si="179"/>
        <v>23</v>
      </c>
      <c r="GJ175">
        <f t="shared" si="163"/>
        <v>36094</v>
      </c>
      <c r="GK175" s="34">
        <v>0.14019485663469808</v>
      </c>
      <c r="GL175">
        <v>856.44956376994242</v>
      </c>
      <c r="GM175">
        <v>627.42169871975307</v>
      </c>
      <c r="GN175">
        <v>0.44635712668259142</v>
      </c>
      <c r="GO175">
        <v>0.25812953962185936</v>
      </c>
      <c r="GP175">
        <f t="shared" si="180"/>
        <v>856.44956376994242</v>
      </c>
      <c r="GQ175" t="s">
        <v>1845</v>
      </c>
      <c r="GR175">
        <v>667.93769678310741</v>
      </c>
      <c r="GS175">
        <v>514.96651958487246</v>
      </c>
      <c r="GT175">
        <v>0.80462917383390209</v>
      </c>
      <c r="GU175">
        <v>0.48870998430862905</v>
      </c>
      <c r="GV175">
        <f t="shared" si="181"/>
        <v>667.93769678310741</v>
      </c>
      <c r="GW175">
        <v>900.68449496394612</v>
      </c>
      <c r="GX175">
        <v>36094</v>
      </c>
      <c r="GY175">
        <v>64</v>
      </c>
      <c r="GZ175">
        <v>36158</v>
      </c>
      <c r="HA175">
        <v>8027.0649212127228</v>
      </c>
      <c r="HB175">
        <v>28130.935078787279</v>
      </c>
      <c r="HC175">
        <v>98137.09649153387</v>
      </c>
      <c r="HD175">
        <v>28003.080683616572</v>
      </c>
      <c r="HE175">
        <v>126140.17717515044</v>
      </c>
      <c r="HF175">
        <v>0</v>
      </c>
      <c r="HG175">
        <v>8027.0649212127228</v>
      </c>
      <c r="HH175">
        <v>1</v>
      </c>
      <c r="HI175">
        <v>1</v>
      </c>
      <c r="HJ175">
        <v>2</v>
      </c>
      <c r="HK175">
        <v>0</v>
      </c>
      <c r="HL175" s="30" t="s">
        <v>262</v>
      </c>
      <c r="HM175">
        <v>1946.0278458894395</v>
      </c>
      <c r="HN175">
        <v>5.0594759383969831E-4</v>
      </c>
      <c r="HO175">
        <v>13824</v>
      </c>
      <c r="HP175">
        <v>22270</v>
      </c>
      <c r="HQ175">
        <v>36094</v>
      </c>
      <c r="HR175">
        <v>11282.838030162702</v>
      </c>
      <c r="HS175">
        <v>24811.1619698373</v>
      </c>
      <c r="HT175">
        <v>572.32977551254066</v>
      </c>
      <c r="HU175">
        <v>260.26609172104531</v>
      </c>
      <c r="HV175">
        <v>832.59586723358598</v>
      </c>
      <c r="HW175">
        <v>4.4188319004377313E-183</v>
      </c>
      <c r="HX175">
        <v>11282.838030162702</v>
      </c>
      <c r="HY175">
        <v>1</v>
      </c>
      <c r="HZ175">
        <v>1</v>
      </c>
      <c r="IA175">
        <v>2</v>
      </c>
      <c r="IB175" s="37">
        <v>8.7789433628318599E-181</v>
      </c>
      <c r="IC175" s="30" t="s">
        <v>262</v>
      </c>
      <c r="ID175">
        <v>1.3649689032075152</v>
      </c>
      <c r="IE175">
        <v>0.73253153733124698</v>
      </c>
      <c r="IF175">
        <v>1.3649689032075152</v>
      </c>
      <c r="IG175" t="str">
        <f t="shared" si="156"/>
        <v/>
      </c>
    </row>
    <row r="176" spans="1:241">
      <c r="A176" t="str">
        <f>HYPERLINK("http://exon.niaid.nih.gov/transcriptome/S_calcitrans/S1/links/pep/XP_013108429.1-pep.txt","XP_013108429.1")</f>
        <v>XP_013108429.1</v>
      </c>
      <c r="B176" s="30" t="s">
        <v>232</v>
      </c>
      <c r="C176">
        <v>214</v>
      </c>
      <c r="D176" t="s">
        <v>1894</v>
      </c>
      <c r="E176">
        <v>0</v>
      </c>
      <c r="F176" t="s">
        <v>1895</v>
      </c>
      <c r="G176" t="str">
        <f>HYPERLINK("http://exon.niaid.nih.gov/transcriptome/S_calcitrans/S1/links/cds/XM_013252975_1-cds.txt","XM_013252975_1")</f>
        <v>XM_013252975_1</v>
      </c>
      <c r="H176">
        <v>645</v>
      </c>
      <c r="I176" t="s">
        <v>1896</v>
      </c>
      <c r="J176" s="30" t="s">
        <v>236</v>
      </c>
      <c r="K176" s="30" t="s">
        <v>91</v>
      </c>
      <c r="L176" s="31" t="s">
        <v>1897</v>
      </c>
      <c r="M176" s="30">
        <v>465968</v>
      </c>
      <c r="N176" s="30">
        <v>466612</v>
      </c>
      <c r="O176" s="30" t="s">
        <v>276</v>
      </c>
      <c r="P176" s="30">
        <v>1</v>
      </c>
      <c r="Q176" s="31" t="s">
        <v>1898</v>
      </c>
      <c r="R176" s="32" t="str">
        <f>HYPERLINK("http://exon.niaid.nih.gov/transcriptome/S_calcitrans/S1/links/Sigp/XP_013108429.1-SigP.txt","CYT")</f>
        <v>CYT</v>
      </c>
      <c r="S176" t="s">
        <v>242</v>
      </c>
      <c r="T176">
        <v>25.193999999999999</v>
      </c>
      <c r="U176">
        <v>4.79</v>
      </c>
      <c r="V176" t="s">
        <v>242</v>
      </c>
      <c r="W176" t="s">
        <v>242</v>
      </c>
      <c r="X176" t="s">
        <v>720</v>
      </c>
      <c r="Y176" s="32">
        <v>0</v>
      </c>
      <c r="Z176" t="s">
        <v>242</v>
      </c>
      <c r="AA176" t="s">
        <v>242</v>
      </c>
      <c r="AB176" t="s">
        <v>242</v>
      </c>
      <c r="AC176" t="s">
        <v>242</v>
      </c>
      <c r="AD176" t="s">
        <v>242</v>
      </c>
      <c r="AE176" s="32" t="s">
        <v>242</v>
      </c>
      <c r="AF176" t="s">
        <v>242</v>
      </c>
      <c r="AG176" t="s">
        <v>242</v>
      </c>
      <c r="AH176" t="s">
        <v>242</v>
      </c>
      <c r="AI176" t="s">
        <v>242</v>
      </c>
      <c r="AJ176" t="s">
        <v>242</v>
      </c>
      <c r="AK176">
        <v>147.18945030415497</v>
      </c>
      <c r="AL176" s="33">
        <v>10384</v>
      </c>
      <c r="AM176">
        <v>1</v>
      </c>
      <c r="AN176" s="30">
        <f t="shared" si="149"/>
        <v>1</v>
      </c>
      <c r="AO176" s="30" t="s">
        <v>244</v>
      </c>
      <c r="AP176">
        <v>42</v>
      </c>
      <c r="AQ176" s="34">
        <v>1.6313470323758297E-4</v>
      </c>
      <c r="AR176" s="35">
        <v>51.094309144850577</v>
      </c>
      <c r="AS176" t="s">
        <v>1899</v>
      </c>
      <c r="AT176" s="36" t="s">
        <v>1844</v>
      </c>
      <c r="AU176" t="s">
        <v>1845</v>
      </c>
      <c r="AY176" s="33"/>
      <c r="BG176" s="31"/>
      <c r="BJ176" s="33"/>
      <c r="BK176" s="33"/>
      <c r="BL176" s="33" t="str">
        <f>HYPERLINK("http://exon.niaid.nih.gov/transcriptome/S_calcitrans/S1/links/NR-LIGHT/XP_013108429.1-NR-LIGHT.txt","uncharacterized protein LOC101453710")</f>
        <v>uncharacterized protein LOC101453710</v>
      </c>
      <c r="BM176" t="str">
        <f>HYPERLINK("http://www.ncbi.nlm.nih.gov/sutils/blink.cgi?pid=498985441","6E-016")</f>
        <v>6E-016</v>
      </c>
      <c r="BN176" t="str">
        <f>HYPERLINK("http://www.ncbi.nlm.nih.gov/protein/498985441","gi|498985441")</f>
        <v>gi|498985441</v>
      </c>
      <c r="BO176">
        <v>28</v>
      </c>
      <c r="BP176">
        <v>47</v>
      </c>
      <c r="BQ176">
        <v>89</v>
      </c>
      <c r="BR176" t="s">
        <v>737</v>
      </c>
      <c r="BS176" s="33" t="str">
        <f>HYPERLINK("http://exon.niaid.nih.gov/transcriptome/S_calcitrans/S1/links/SWISSP/XP_013108429.1-SWISSP.txt","MAP7 domain-containing protein 3")</f>
        <v>MAP7 domain-containing protein 3</v>
      </c>
      <c r="BT176" t="str">
        <f>HYPERLINK("http://www.uniprot.org/uniprot/Q8IWC1","0.50")</f>
        <v>0.50</v>
      </c>
      <c r="BU176" t="str">
        <f>HYPERLINK("http://www.uniprot.org/uniprot/Q8IWC1#expression","Q8IWC1")</f>
        <v>Q8IWC1</v>
      </c>
      <c r="BV176">
        <v>20</v>
      </c>
      <c r="BW176">
        <v>42</v>
      </c>
      <c r="BX176">
        <v>16</v>
      </c>
      <c r="BY176" t="s">
        <v>353</v>
      </c>
      <c r="BZ176" s="33" t="str">
        <f>HYPERLINK("http://exon.niaid.nih.gov/transcriptome/S_calcitrans/S1/links/REFSEQ-INVERTEBRATE/XP_013108429.1-REFSEQ-INVERTEBRATE.txt","uncharacterized protein LOC106087802")</f>
        <v>uncharacterized protein LOC106087802</v>
      </c>
      <c r="CA176" t="str">
        <f>HYPERLINK("http://www.ncbi.nlm.nih.gov/sutils/blink.cgi?pid=907693258","1E-118")</f>
        <v>1E-118</v>
      </c>
      <c r="CB176" t="str">
        <f>HYPERLINK("http://www.ncbi.nlm.nih.gov/protein/907693258","gi|907693258")</f>
        <v>gi|907693258</v>
      </c>
      <c r="CC176">
        <v>100</v>
      </c>
      <c r="CD176">
        <v>100</v>
      </c>
      <c r="CE176">
        <v>100</v>
      </c>
      <c r="CF176" t="s">
        <v>253</v>
      </c>
      <c r="CG176" s="33" t="str">
        <f>HYPERLINK("http://exon.niaid.nih.gov/transcriptome/S_calcitrans/S1/links/DIPTERA/XP_013108429.1-DIPTERA.txt","uncharacterized protein LOC106087802")</f>
        <v>uncharacterized protein LOC106087802</v>
      </c>
      <c r="CH176" t="str">
        <f>HYPERLINK("http://www.ncbi.nlm.nih.gov/sutils/blink.cgi?pid=907693258","1E-118")</f>
        <v>1E-118</v>
      </c>
      <c r="CI176" t="str">
        <f>HYPERLINK("http://www.ncbi.nlm.nih.gov/protein/907693258","gi|907693258")</f>
        <v>gi|907693258</v>
      </c>
      <c r="CJ176">
        <v>100</v>
      </c>
      <c r="CK176">
        <v>100</v>
      </c>
      <c r="CL176">
        <v>100</v>
      </c>
      <c r="CM176" t="s">
        <v>253</v>
      </c>
      <c r="CN176" s="33" t="s">
        <v>242</v>
      </c>
      <c r="CO176" t="s">
        <v>242</v>
      </c>
      <c r="CP176" t="s">
        <v>242</v>
      </c>
      <c r="CQ176" t="s">
        <v>242</v>
      </c>
      <c r="CR176" t="s">
        <v>242</v>
      </c>
      <c r="CS176" t="s">
        <v>242</v>
      </c>
      <c r="CT176" t="s">
        <v>242</v>
      </c>
      <c r="CU176" s="33" t="s">
        <v>1900</v>
      </c>
      <c r="CV176">
        <f>HYPERLINK("http://exon.niaid.nih.gov/transcriptome/S_calcitrans/S1/links/GO/XP_013108429.1-GO.txt",0.000000005)</f>
        <v>5.0000000000000001E-9</v>
      </c>
      <c r="CW176" t="str">
        <f>HYPERLINK("http://amigo.geneontology.org/cgi-bin/amigo/term_details?term=GO:0003674","GO:0003674")</f>
        <v>GO:0003674</v>
      </c>
      <c r="CX176" t="s">
        <v>255</v>
      </c>
      <c r="CY176" t="s">
        <v>256</v>
      </c>
      <c r="CZ176" t="s">
        <v>257</v>
      </c>
      <c r="DA176" t="s">
        <v>242</v>
      </c>
      <c r="DD176">
        <v>5.0000000000000001E-9</v>
      </c>
      <c r="DE176" s="33" t="str">
        <f>HYPERLINK("http://exon.niaid.nih.gov/transcriptome/S_calcitrans/S1/links/CDD/XP_013108429.1-CDD.txt","pupylate_PafA2")</f>
        <v>pupylate_PafA2</v>
      </c>
      <c r="DF176" t="str">
        <f>HYPERLINK("http://www.ncbi.nlm.nih.gov/Structure/cdd/cddsrv.cgi?uid=TIGR03688&amp;version=v4.0","0.58")</f>
        <v>0.58</v>
      </c>
      <c r="DG176" t="s">
        <v>1901</v>
      </c>
      <c r="DH176" s="33" t="str">
        <f>HYPERLINK("http://exon.niaid.nih.gov/transcriptome/S_calcitrans/S1/links/KOG/XP_013108429.1-KOG.txt","Isoleucyl-tRNA synthetase")</f>
        <v>Isoleucyl-tRNA synthetase</v>
      </c>
      <c r="DI176" t="str">
        <f>HYPERLINK("http://www.ncbi.nlm.nih.gov/Structure/cdd/cddsrv.cgi?uid=KOG0433","0.63")</f>
        <v>0.63</v>
      </c>
      <c r="DJ176" t="s">
        <v>1439</v>
      </c>
      <c r="DK176" t="str">
        <f>HYPERLINK("http://exon.niaid.nih.gov/transcriptome/S_calcitrans/S1/links/KOG/XP_013108429.1-KOG.txt","KOG0433")</f>
        <v>KOG0433</v>
      </c>
      <c r="DL176" s="33" t="str">
        <f>HYPERLINK("http://exon.niaid.nih.gov/transcriptome/S_calcitrans/S1/links/PFAM/XP_013108429.1-PFAM.txt","DUF3540")</f>
        <v>DUF3540</v>
      </c>
      <c r="DM176" t="str">
        <f>HYPERLINK("http://pfam.sanger.ac.uk/family?acc=PF12059","2.0")</f>
        <v>2.0</v>
      </c>
      <c r="DN176" s="33" t="str">
        <f>HYPERLINK("http://exon.niaid.nih.gov/transcriptome/S_calcitrans/S1/links/SMART/XP_013108429.1-SMART.txt","MHC_II_beta")</f>
        <v>MHC_II_beta</v>
      </c>
      <c r="DO176" t="str">
        <f>HYPERLINK("http://smart.embl-heidelberg.de/smart/do_annotation.pl?DOMAIN=MHC_II_beta&amp;BLAST=DUMMY","2.7")</f>
        <v>2.7</v>
      </c>
      <c r="DP176" s="33"/>
      <c r="EB176" s="33">
        <v>4670</v>
      </c>
      <c r="EC176">
        <v>1</v>
      </c>
      <c r="ED176" s="33">
        <v>5635</v>
      </c>
      <c r="EE176">
        <v>1</v>
      </c>
      <c r="EF176" s="33">
        <v>6238</v>
      </c>
      <c r="EG176">
        <v>1</v>
      </c>
      <c r="EH176" s="33">
        <v>6693</v>
      </c>
      <c r="EI176">
        <v>1</v>
      </c>
      <c r="EJ176" s="33">
        <v>7161</v>
      </c>
      <c r="EK176">
        <v>1</v>
      </c>
      <c r="EL176" s="33">
        <v>7537</v>
      </c>
      <c r="EM176">
        <v>1</v>
      </c>
      <c r="EN176" s="33">
        <v>7973</v>
      </c>
      <c r="EO176">
        <v>1</v>
      </c>
      <c r="EP176" s="33">
        <v>8319</v>
      </c>
      <c r="EQ176">
        <v>1</v>
      </c>
      <c r="ER176" s="33">
        <v>8626</v>
      </c>
      <c r="ES176">
        <v>1</v>
      </c>
      <c r="ET176" s="33">
        <v>8876</v>
      </c>
      <c r="EU176">
        <v>1</v>
      </c>
      <c r="EV176" s="33">
        <v>9131</v>
      </c>
      <c r="EW176">
        <v>1</v>
      </c>
      <c r="EX176" s="33">
        <v>9385</v>
      </c>
      <c r="EY176">
        <v>1</v>
      </c>
      <c r="EZ176" s="33">
        <v>9672</v>
      </c>
      <c r="FA176">
        <v>1</v>
      </c>
      <c r="FB176" s="33">
        <v>9964</v>
      </c>
      <c r="FC176">
        <v>1</v>
      </c>
      <c r="FD176" s="33">
        <v>10384</v>
      </c>
      <c r="FE176">
        <v>1</v>
      </c>
      <c r="FF176" t="s">
        <v>1902</v>
      </c>
      <c r="FG176">
        <v>13706</v>
      </c>
      <c r="FH176" s="38" t="str">
        <f>HYPERLINK("http://exon.niaid.nih.gov/transcriptome/S_calcitrans/S1/links/SG_male-stripped_temp-95-h10-1gap/13706-SG_male-stripped_temp-95-h10-1gap.txt","11")</f>
        <v>11</v>
      </c>
      <c r="FI176" s="39">
        <v>51.317829457364297</v>
      </c>
      <c r="FJ176" s="39">
        <v>1.26356589147287</v>
      </c>
      <c r="FK176" s="39">
        <v>0</v>
      </c>
      <c r="FL176" s="39">
        <v>4</v>
      </c>
      <c r="FM176" s="39">
        <v>74.090909090909093</v>
      </c>
      <c r="FN176" s="38" t="str">
        <f>HYPERLINK("http://exon.niaid.nih.gov/transcriptome/S_calcitrans/S1/links/SG_female-stripped_temp-95-h10-1gap/13706-SG_female-stripped_temp-95-h10-1gap.txt","31")</f>
        <v>31</v>
      </c>
      <c r="FO176" s="39">
        <v>94.108527131782907</v>
      </c>
      <c r="FP176" s="39">
        <v>3.5736434108527102</v>
      </c>
      <c r="FQ176" s="39">
        <v>0</v>
      </c>
      <c r="FR176" s="39">
        <v>11</v>
      </c>
      <c r="FS176" s="39">
        <v>74.354838709677395</v>
      </c>
      <c r="FT176" s="38">
        <v>0</v>
      </c>
      <c r="FU176" s="39" t="s">
        <v>242</v>
      </c>
      <c r="FV176" s="39" t="s">
        <v>242</v>
      </c>
      <c r="FW176" s="39" t="s">
        <v>242</v>
      </c>
      <c r="FX176" s="39" t="s">
        <v>242</v>
      </c>
      <c r="FY176" s="39" t="s">
        <v>242</v>
      </c>
      <c r="FZ176" s="38">
        <v>0</v>
      </c>
      <c r="GA176" s="39" t="s">
        <v>242</v>
      </c>
      <c r="GB176" s="39" t="s">
        <v>242</v>
      </c>
      <c r="GC176" s="39" t="s">
        <v>242</v>
      </c>
      <c r="GD176" s="39" t="s">
        <v>242</v>
      </c>
      <c r="GE176" s="39" t="s">
        <v>242</v>
      </c>
      <c r="GF176">
        <f t="shared" si="176"/>
        <v>11</v>
      </c>
      <c r="GG176">
        <f t="shared" si="177"/>
        <v>31</v>
      </c>
      <c r="GH176">
        <f t="shared" si="178"/>
        <v>0</v>
      </c>
      <c r="GI176">
        <f t="shared" si="179"/>
        <v>0</v>
      </c>
      <c r="GJ176">
        <f t="shared" si="163"/>
        <v>42</v>
      </c>
      <c r="GK176" s="34">
        <v>1.6313470323758297E-4</v>
      </c>
      <c r="GL176">
        <v>0.55787250870027472</v>
      </c>
      <c r="GM176">
        <v>0.71494925663160847</v>
      </c>
      <c r="GN176">
        <v>0</v>
      </c>
      <c r="GO176">
        <v>0</v>
      </c>
      <c r="GP176">
        <f t="shared" si="180"/>
        <v>0.71494925663160847</v>
      </c>
      <c r="GQ176" t="s">
        <v>1845</v>
      </c>
      <c r="GR176">
        <v>0.43508000274954783</v>
      </c>
      <c r="GS176">
        <v>0.58680618014746388</v>
      </c>
      <c r="GT176">
        <v>0</v>
      </c>
      <c r="GU176">
        <v>0</v>
      </c>
      <c r="GV176">
        <f t="shared" si="181"/>
        <v>0.58680618014746388</v>
      </c>
      <c r="GW176">
        <v>51.094309144850577</v>
      </c>
      <c r="GX176">
        <v>42</v>
      </c>
      <c r="GY176">
        <v>0</v>
      </c>
      <c r="GZ176">
        <v>42</v>
      </c>
      <c r="HA176">
        <v>9.3239871312277867</v>
      </c>
      <c r="HB176">
        <v>32.676012868772212</v>
      </c>
      <c r="HC176">
        <v>114.51343743538277</v>
      </c>
      <c r="HD176">
        <v>32.676012868772212</v>
      </c>
      <c r="HE176">
        <v>147.18945030415497</v>
      </c>
      <c r="HF176">
        <v>7.1337292122534264E-34</v>
      </c>
      <c r="HG176">
        <v>9.3239871312277867</v>
      </c>
      <c r="HH176">
        <v>1</v>
      </c>
      <c r="HI176">
        <v>1</v>
      </c>
      <c r="HJ176">
        <v>2</v>
      </c>
      <c r="HK176" s="37">
        <v>1.2355519094275601E-33</v>
      </c>
      <c r="HL176" s="30" t="s">
        <v>262</v>
      </c>
      <c r="HM176">
        <v>147.18945030415497</v>
      </c>
      <c r="HN176">
        <v>0</v>
      </c>
      <c r="HO176">
        <v>11</v>
      </c>
      <c r="HP176">
        <v>31</v>
      </c>
      <c r="HQ176">
        <v>42</v>
      </c>
      <c r="HR176">
        <v>13.129029679914487</v>
      </c>
      <c r="HS176">
        <v>28.870970320085512</v>
      </c>
      <c r="HT176">
        <v>0.34524770592081594</v>
      </c>
      <c r="HU176">
        <v>0.15700086722763681</v>
      </c>
      <c r="HV176">
        <v>0.50224857314845273</v>
      </c>
      <c r="HW176">
        <v>0.47851378140140222</v>
      </c>
      <c r="HX176">
        <v>13.129029679914487</v>
      </c>
      <c r="HY176">
        <v>1</v>
      </c>
      <c r="HZ176" t="s">
        <v>244</v>
      </c>
      <c r="IA176">
        <v>1</v>
      </c>
      <c r="IB176">
        <v>0.82339481036670303</v>
      </c>
      <c r="IC176" s="30" t="s">
        <v>244</v>
      </c>
      <c r="ID176">
        <v>0.75591237810302792</v>
      </c>
      <c r="IE176">
        <v>1.1747668897310999</v>
      </c>
      <c r="IF176">
        <v>1.1747668897310999</v>
      </c>
      <c r="IG176" t="str">
        <f t="shared" si="156"/>
        <v/>
      </c>
    </row>
    <row r="177" spans="1:241">
      <c r="A177" t="str">
        <f>HYPERLINK("http://exon.niaid.nih.gov/transcriptome/S_calcitrans/S1/links/pep/XP_013108763.1-pep.txt","XP_013108763.1")</f>
        <v>XP_013108763.1</v>
      </c>
      <c r="B177" s="30" t="s">
        <v>232</v>
      </c>
      <c r="C177">
        <v>122</v>
      </c>
      <c r="D177" t="s">
        <v>1903</v>
      </c>
      <c r="E177">
        <v>0</v>
      </c>
      <c r="F177" t="s">
        <v>1904</v>
      </c>
      <c r="G177" t="str">
        <f>HYPERLINK("http://exon.niaid.nih.gov/transcriptome/S_calcitrans/S1/links/cds/XM_013253309_1-cds.txt","XM_013253309_1")</f>
        <v>XM_013253309_1</v>
      </c>
      <c r="H177">
        <v>369</v>
      </c>
      <c r="I177" t="s">
        <v>1905</v>
      </c>
      <c r="J177" s="30" t="s">
        <v>236</v>
      </c>
      <c r="K177" s="30" t="s">
        <v>91</v>
      </c>
      <c r="L177" s="31" t="s">
        <v>1805</v>
      </c>
      <c r="M177" s="30">
        <v>938</v>
      </c>
      <c r="N177" s="30">
        <v>1393</v>
      </c>
      <c r="O177" s="30" t="s">
        <v>276</v>
      </c>
      <c r="P177" s="30">
        <v>2</v>
      </c>
      <c r="Q177" s="31" t="s">
        <v>1906</v>
      </c>
      <c r="R177" s="32" t="str">
        <f>HYPERLINK("http://exon.niaid.nih.gov/transcriptome/S_calcitrans/S1/links/Sigp/XP_013108763.1-SigP.txt","CYT")</f>
        <v>CYT</v>
      </c>
      <c r="S177" t="s">
        <v>242</v>
      </c>
      <c r="T177">
        <v>14.109</v>
      </c>
      <c r="U177">
        <v>9.6999999999999993</v>
      </c>
      <c r="V177" t="s">
        <v>242</v>
      </c>
      <c r="W177" t="s">
        <v>242</v>
      </c>
      <c r="X177" t="s">
        <v>1907</v>
      </c>
      <c r="Y177" s="32">
        <v>0</v>
      </c>
      <c r="Z177" t="s">
        <v>242</v>
      </c>
      <c r="AA177" t="s">
        <v>242</v>
      </c>
      <c r="AB177" t="s">
        <v>242</v>
      </c>
      <c r="AC177" t="s">
        <v>242</v>
      </c>
      <c r="AD177" t="s">
        <v>242</v>
      </c>
      <c r="AE177" s="32" t="s">
        <v>242</v>
      </c>
      <c r="AF177" t="s">
        <v>242</v>
      </c>
      <c r="AG177" t="s">
        <v>242</v>
      </c>
      <c r="AH177" t="s">
        <v>242</v>
      </c>
      <c r="AI177" t="s">
        <v>242</v>
      </c>
      <c r="AJ177" t="s">
        <v>242</v>
      </c>
      <c r="AK177">
        <v>222.53643081699622</v>
      </c>
      <c r="AL177" s="33">
        <v>10546</v>
      </c>
      <c r="AM177">
        <v>1</v>
      </c>
      <c r="AN177" s="30">
        <f t="shared" si="149"/>
        <v>1</v>
      </c>
      <c r="AO177" s="30" t="s">
        <v>244</v>
      </c>
      <c r="AP177">
        <v>127</v>
      </c>
      <c r="AQ177" s="34">
        <v>4.932882693136438E-4</v>
      </c>
      <c r="AR177" s="35">
        <v>112.88779198199695</v>
      </c>
      <c r="AS177" t="s">
        <v>1908</v>
      </c>
      <c r="AT177" s="36" t="s">
        <v>1844</v>
      </c>
      <c r="AU177" t="s">
        <v>1845</v>
      </c>
      <c r="AY177" s="33"/>
      <c r="BG177" s="31"/>
      <c r="BJ177" s="33"/>
      <c r="BK177" s="33"/>
      <c r="BL177" s="33" t="str">
        <f>HYPERLINK("http://exon.niaid.nih.gov/transcriptome/S_calcitrans/S1/links/NR-LIGHT/XP_013108763.1-NR-LIGHT.txt","uncharacterized protein LOC101895822")</f>
        <v>uncharacterized protein LOC101895822</v>
      </c>
      <c r="BM177" t="str">
        <f>HYPERLINK("http://www.ncbi.nlm.nih.gov/sutils/blink.cgi?pid=557756674","4E-018")</f>
        <v>4E-018</v>
      </c>
      <c r="BN177" t="str">
        <f>HYPERLINK("http://www.ncbi.nlm.nih.gov/protein/557756674","gi|557756674")</f>
        <v>gi|557756674</v>
      </c>
      <c r="BO177">
        <v>37</v>
      </c>
      <c r="BP177">
        <v>60</v>
      </c>
      <c r="BQ177">
        <v>74</v>
      </c>
      <c r="BR177" t="s">
        <v>251</v>
      </c>
      <c r="BS177" s="33" t="str">
        <f>HYPERLINK("http://exon.niaid.nih.gov/transcriptome/S_calcitrans/S1/links/SWISSP/XP_013108763.1-SWISSP.txt","Peptidyl-prolyl cis-trans isomerase D")</f>
        <v>Peptidyl-prolyl cis-trans isomerase D</v>
      </c>
      <c r="BT177" t="str">
        <f>HYPERLINK("http://www.uniprot.org/uniprot/Q8K987","2.0")</f>
        <v>2.0</v>
      </c>
      <c r="BU177" t="str">
        <f>HYPERLINK("http://www.uniprot.org/uniprot/Q8K987#expression","Q8K987")</f>
        <v>Q8K987</v>
      </c>
      <c r="BV177">
        <v>31</v>
      </c>
      <c r="BW177">
        <v>57</v>
      </c>
      <c r="BX177">
        <v>7</v>
      </c>
      <c r="BY177" t="s">
        <v>1909</v>
      </c>
      <c r="BZ177" s="33" t="str">
        <f>HYPERLINK("http://exon.niaid.nih.gov/transcriptome/S_calcitrans/S1/links/REFSEQ-INVERTEBRATE/XP_013108763.1-REFSEQ-INVERTEBRATE.txt","uncharacterized protein LOC106088026")</f>
        <v>uncharacterized protein LOC106088026</v>
      </c>
      <c r="CA177" t="str">
        <f>HYPERLINK("http://www.ncbi.nlm.nih.gov/sutils/blink.cgi?pid=907695129","1E-064")</f>
        <v>1E-064</v>
      </c>
      <c r="CB177" t="str">
        <f>HYPERLINK("http://www.ncbi.nlm.nih.gov/protein/907695129","gi|907695129")</f>
        <v>gi|907695129</v>
      </c>
      <c r="CC177">
        <v>100</v>
      </c>
      <c r="CD177">
        <v>100</v>
      </c>
      <c r="CE177">
        <v>100</v>
      </c>
      <c r="CF177" t="s">
        <v>253</v>
      </c>
      <c r="CG177" s="33" t="str">
        <f>HYPERLINK("http://exon.niaid.nih.gov/transcriptome/S_calcitrans/S1/links/DIPTERA/XP_013108763.1-DIPTERA.txt","uncharacterized protein LOC106088026")</f>
        <v>uncharacterized protein LOC106088026</v>
      </c>
      <c r="CH177" t="str">
        <f>HYPERLINK("http://www.ncbi.nlm.nih.gov/sutils/blink.cgi?pid=907695129","7E-065")</f>
        <v>7E-065</v>
      </c>
      <c r="CI177" t="str">
        <f>HYPERLINK("http://www.ncbi.nlm.nih.gov/protein/907695129","gi|907695129")</f>
        <v>gi|907695129</v>
      </c>
      <c r="CJ177">
        <v>100</v>
      </c>
      <c r="CK177">
        <v>100</v>
      </c>
      <c r="CL177">
        <v>100</v>
      </c>
      <c r="CM177" t="s">
        <v>253</v>
      </c>
      <c r="CN177" s="33" t="s">
        <v>242</v>
      </c>
      <c r="CO177" t="s">
        <v>242</v>
      </c>
      <c r="CP177" t="s">
        <v>242</v>
      </c>
      <c r="CQ177" t="s">
        <v>242</v>
      </c>
      <c r="CR177" t="s">
        <v>242</v>
      </c>
      <c r="CS177" t="s">
        <v>242</v>
      </c>
      <c r="CT177" t="s">
        <v>242</v>
      </c>
      <c r="CU177" s="33" t="s">
        <v>1668</v>
      </c>
      <c r="CV177">
        <f>HYPERLINK("http://exon.niaid.nih.gov/transcriptome/S_calcitrans/S1/links/GO/XP_013108763.1-GO.txt",0.000002)</f>
        <v>1.9999999999999999E-6</v>
      </c>
      <c r="CW177" t="str">
        <f>HYPERLINK("http://amigo.geneontology.org/cgi-bin/amigo/term_details?term=GO:0003674","GO:0003674")</f>
        <v>GO:0003674</v>
      </c>
      <c r="CX177" t="s">
        <v>255</v>
      </c>
      <c r="CY177" t="s">
        <v>256</v>
      </c>
      <c r="CZ177" t="s">
        <v>257</v>
      </c>
      <c r="DA177" t="s">
        <v>242</v>
      </c>
      <c r="DD177">
        <v>1.9999999999999999E-6</v>
      </c>
      <c r="DE177" s="33" t="str">
        <f>HYPERLINK("http://exon.niaid.nih.gov/transcriptome/S_calcitrans/S1/links/CDD/XP_013108763.1-CDD.txt","DUF1091")</f>
        <v>DUF1091</v>
      </c>
      <c r="DF177" t="str">
        <f>HYPERLINK("http://www.ncbi.nlm.nih.gov/Structure/cdd/cddsrv.cgi?uid=pfam06477&amp;version=v4.0","5E-008")</f>
        <v>5E-008</v>
      </c>
      <c r="DG177" t="s">
        <v>1910</v>
      </c>
      <c r="DH177" s="33" t="str">
        <f>HYPERLINK("http://exon.niaid.nih.gov/transcriptome/S_calcitrans/S1/links/KOG/XP_013108763.1-KOG.txt","Polo-like serine/threonine protein kinase")</f>
        <v>Polo-like serine/threonine protein kinase</v>
      </c>
      <c r="DI177" t="str">
        <f>HYPERLINK("http://www.ncbi.nlm.nih.gov/Structure/cdd/cddsrv.cgi?uid=KOG0575","0.61")</f>
        <v>0.61</v>
      </c>
      <c r="DJ177" t="s">
        <v>1911</v>
      </c>
      <c r="DK177" t="str">
        <f>HYPERLINK("http://exon.niaid.nih.gov/transcriptome/S_calcitrans/S1/links/KOG/XP_013108763.1-KOG.txt","KOG0575")</f>
        <v>KOG0575</v>
      </c>
      <c r="DL177" s="33" t="str">
        <f>HYPERLINK("http://exon.niaid.nih.gov/transcriptome/S_calcitrans/S1/links/PFAM/XP_013108763.1-PFAM.txt","DUF1091")</f>
        <v>DUF1091</v>
      </c>
      <c r="DM177" t="str">
        <f>HYPERLINK("http://pfam.sanger.ac.uk/family?acc=PF06477","1E-008")</f>
        <v>1E-008</v>
      </c>
      <c r="DN177" s="33" t="str">
        <f>HYPERLINK("http://exon.niaid.nih.gov/transcriptome/S_calcitrans/S1/links/SMART/XP_013108763.1-SMART.txt","DM8")</f>
        <v>DM8</v>
      </c>
      <c r="DO177" t="str">
        <f>HYPERLINK("http://smart.embl-heidelberg.de/smart/do_annotation.pl?DOMAIN=DM8&amp;BLAST=DUMMY","1E-009")</f>
        <v>1E-009</v>
      </c>
      <c r="DP177" s="33"/>
      <c r="EB177" s="33">
        <f>HYPERLINK("http://exon.niaid.nih.gov/transcriptome/S_calcitrans/S1/links/cluster-b/Scalc-pep25-50SimCLU1.txt", 1)</f>
        <v>1</v>
      </c>
      <c r="EC177">
        <f>HYPERLINK("http://exon.niaid.nih.gov/transcriptome/S_calcitrans/S1/links/cluster-b/Scalc-pep25-50SimCLTL1.txt", 5170)</f>
        <v>5170</v>
      </c>
      <c r="ED177" s="33">
        <f>HYPERLINK("http://exon.niaid.nih.gov/transcriptome/S_calcitrans/S1/links/cluster-b/Scalc-pep30-50SimCLU6.txt", 6)</f>
        <v>6</v>
      </c>
      <c r="EE177">
        <f>HYPERLINK("http://exon.niaid.nih.gov/transcriptome/S_calcitrans/S1/links/cluster-b/Scalc-pep30-50SimCLTL6.txt", 134)</f>
        <v>134</v>
      </c>
      <c r="EF177" s="33">
        <f>HYPERLINK("http://exon.niaid.nih.gov/transcriptome/S_calcitrans/S1/links/cluster-b/Scalc-pep35-50SimCLU5.txt", 5)</f>
        <v>5</v>
      </c>
      <c r="EG177">
        <f>HYPERLINK("http://exon.niaid.nih.gov/transcriptome/S_calcitrans/S1/links/cluster-b/Scalc-pep35-50SimCLTL5.txt", 131)</f>
        <v>131</v>
      </c>
      <c r="EH177" s="33">
        <f>HYPERLINK("http://exon.niaid.nih.gov/transcriptome/S_calcitrans/S1/links/cluster-b/Scalc-pep40-50SimCLU5.txt", 5)</f>
        <v>5</v>
      </c>
      <c r="EI177">
        <f>HYPERLINK("http://exon.niaid.nih.gov/transcriptome/S_calcitrans/S1/links/cluster-b/Scalc-pep40-50SimCLTL5.txt", 125)</f>
        <v>125</v>
      </c>
      <c r="EJ177" s="33">
        <f>HYPERLINK("http://exon.niaid.nih.gov/transcriptome/S_calcitrans/S1/links/cluster-b/Scalc-pep45-50SimCLU14.txt", 14)</f>
        <v>14</v>
      </c>
      <c r="EK177">
        <f>HYPERLINK("http://exon.niaid.nih.gov/transcriptome/S_calcitrans/S1/links/cluster-b/Scalc-pep45-50SimCLTL14.txt", 50)</f>
        <v>50</v>
      </c>
      <c r="EL177" s="33">
        <f>HYPERLINK("http://exon.niaid.nih.gov/transcriptome/S_calcitrans/S1/links/cluster-b/Scalc-pep50-50SimCLU8.txt", 8)</f>
        <v>8</v>
      </c>
      <c r="EM177">
        <f>HYPERLINK("http://exon.niaid.nih.gov/transcriptome/S_calcitrans/S1/links/cluster-b/Scalc-pep50-50SimCLTL8.txt", 48)</f>
        <v>48</v>
      </c>
      <c r="EN177" s="33">
        <v>8089</v>
      </c>
      <c r="EO177">
        <v>1</v>
      </c>
      <c r="EP177" s="33">
        <v>8437</v>
      </c>
      <c r="EQ177">
        <v>1</v>
      </c>
      <c r="ER177" s="33">
        <v>8744</v>
      </c>
      <c r="ES177">
        <v>1</v>
      </c>
      <c r="ET177" s="33">
        <v>8996</v>
      </c>
      <c r="EU177">
        <v>1</v>
      </c>
      <c r="EV177" s="33">
        <v>9259</v>
      </c>
      <c r="EW177">
        <v>1</v>
      </c>
      <c r="EX177" s="33">
        <v>9518</v>
      </c>
      <c r="EY177">
        <v>1</v>
      </c>
      <c r="EZ177" s="33">
        <v>9811</v>
      </c>
      <c r="FA177">
        <v>1</v>
      </c>
      <c r="FB177" s="33">
        <v>10115</v>
      </c>
      <c r="FC177">
        <v>1</v>
      </c>
      <c r="FD177" s="33">
        <v>10546</v>
      </c>
      <c r="FE177">
        <v>1</v>
      </c>
      <c r="FF177" t="s">
        <v>1912</v>
      </c>
      <c r="FG177">
        <v>14006</v>
      </c>
      <c r="FH177" s="38" t="str">
        <f>HYPERLINK("http://exon.niaid.nih.gov/transcriptome/S_calcitrans/S1/links/SG_male-stripped_temp-95-h10-1gap/14006-SG_male-stripped_temp-95-h10-1gap.txt","34")</f>
        <v>34</v>
      </c>
      <c r="FI177" s="39">
        <v>86.449864498644999</v>
      </c>
      <c r="FJ177" s="39">
        <v>6.1761517615176196</v>
      </c>
      <c r="FK177" s="39">
        <v>0</v>
      </c>
      <c r="FL177" s="39">
        <v>12</v>
      </c>
      <c r="FM177" s="39">
        <v>67.029411764705898</v>
      </c>
      <c r="FN177" s="38" t="str">
        <f>HYPERLINK("http://exon.niaid.nih.gov/transcriptome/S_calcitrans/S1/links/SG_female-stripped_temp-95-h10-1gap/14006-SG_female-stripped_temp-95-h10-1gap.txt","93")</f>
        <v>93</v>
      </c>
      <c r="FO177" s="39">
        <v>100</v>
      </c>
      <c r="FP177" s="39">
        <v>17.262872628726299</v>
      </c>
      <c r="FQ177" s="39">
        <v>7</v>
      </c>
      <c r="FR177" s="39">
        <v>34</v>
      </c>
      <c r="FS177" s="39">
        <v>68.494623655913998</v>
      </c>
      <c r="FT177" s="38" t="str">
        <f>HYPERLINK("http://exon.niaid.nih.gov/transcriptome/S_calcitrans/S1/links/SRR694289-stripped_temp-95-h10-1gap/14006-SRR694289-stripped_temp-95-h10-1gap.txt","1")</f>
        <v>1</v>
      </c>
      <c r="FU177" s="39">
        <v>9.7560975609756095</v>
      </c>
      <c r="FV177" s="39">
        <v>9.7560975609756101E-2</v>
      </c>
      <c r="FW177" s="39">
        <v>0</v>
      </c>
      <c r="FX177" s="39">
        <v>1</v>
      </c>
      <c r="FY177" s="39">
        <v>36</v>
      </c>
      <c r="FZ177" s="38">
        <v>0</v>
      </c>
      <c r="GA177" s="39" t="s">
        <v>242</v>
      </c>
      <c r="GB177" s="39" t="s">
        <v>242</v>
      </c>
      <c r="GC177" s="39" t="s">
        <v>242</v>
      </c>
      <c r="GD177" s="39" t="s">
        <v>242</v>
      </c>
      <c r="GE177" s="39" t="s">
        <v>242</v>
      </c>
      <c r="GF177">
        <f t="shared" si="176"/>
        <v>34</v>
      </c>
      <c r="GG177">
        <f t="shared" si="177"/>
        <v>93</v>
      </c>
      <c r="GH177">
        <f t="shared" si="178"/>
        <v>1</v>
      </c>
      <c r="GI177">
        <f t="shared" si="179"/>
        <v>0</v>
      </c>
      <c r="GJ177">
        <f t="shared" si="163"/>
        <v>127</v>
      </c>
      <c r="GK177" s="34">
        <v>4.932882693136438E-4</v>
      </c>
      <c r="GL177">
        <v>3.0140783729482692</v>
      </c>
      <c r="GM177">
        <v>3.7491241506291662</v>
      </c>
      <c r="GN177">
        <v>1.5577801764056333E-2</v>
      </c>
      <c r="GO177">
        <v>0</v>
      </c>
      <c r="GP177">
        <f t="shared" si="180"/>
        <v>3.7491241506291662</v>
      </c>
      <c r="GQ177" t="s">
        <v>1845</v>
      </c>
      <c r="GR177">
        <v>2.3506539690311858</v>
      </c>
      <c r="GS177">
        <v>3.0771543593098714</v>
      </c>
      <c r="GT177">
        <v>2.8081446479231959E-2</v>
      </c>
      <c r="GU177">
        <v>0</v>
      </c>
      <c r="GV177">
        <f t="shared" si="181"/>
        <v>3.0771543593098714</v>
      </c>
      <c r="GW177">
        <v>112.88779198199695</v>
      </c>
      <c r="GX177">
        <v>127</v>
      </c>
      <c r="GY177">
        <v>1</v>
      </c>
      <c r="GZ177">
        <v>128</v>
      </c>
      <c r="HA177">
        <v>28.415960780884685</v>
      </c>
      <c r="HB177">
        <v>99.584039219115311</v>
      </c>
      <c r="HC177">
        <v>342.01950318336151</v>
      </c>
      <c r="HD177">
        <v>97.594080988939481</v>
      </c>
      <c r="HE177">
        <v>439.61358417230099</v>
      </c>
      <c r="HF177">
        <v>1.3138484625413912E-97</v>
      </c>
      <c r="HG177">
        <v>28.415960780884685</v>
      </c>
      <c r="HH177">
        <v>1</v>
      </c>
      <c r="HI177">
        <v>1</v>
      </c>
      <c r="HJ177">
        <v>2</v>
      </c>
      <c r="HK177" s="37">
        <v>3.0934381227058198E-97</v>
      </c>
      <c r="HL177" s="30" t="s">
        <v>262</v>
      </c>
      <c r="HM177">
        <v>222.53643081699622</v>
      </c>
      <c r="HN177">
        <v>2.2292698241752821E-3</v>
      </c>
      <c r="HO177">
        <v>34</v>
      </c>
      <c r="HP177">
        <v>93</v>
      </c>
      <c r="HQ177">
        <v>127</v>
      </c>
      <c r="HR177">
        <v>39.699684984503328</v>
      </c>
      <c r="HS177">
        <v>87.300315015496665</v>
      </c>
      <c r="HT177">
        <v>0.81830394712838894</v>
      </c>
      <c r="HU177">
        <v>0.37212247077007832</v>
      </c>
      <c r="HV177">
        <v>1.1904264178984674</v>
      </c>
      <c r="HW177">
        <v>0.27524355962452246</v>
      </c>
      <c r="HX177">
        <v>39.699684984503328</v>
      </c>
      <c r="HY177">
        <v>1</v>
      </c>
      <c r="HZ177" t="s">
        <v>244</v>
      </c>
      <c r="IA177">
        <v>1</v>
      </c>
      <c r="IB177">
        <v>0.57751207016995099</v>
      </c>
      <c r="IC177" s="30" t="s">
        <v>244</v>
      </c>
      <c r="ID177">
        <v>0.7953894268627606</v>
      </c>
      <c r="IE177">
        <v>1.2083316580091314</v>
      </c>
      <c r="IF177">
        <v>1.2083316580091314</v>
      </c>
      <c r="IG177" t="str">
        <f t="shared" si="156"/>
        <v/>
      </c>
    </row>
    <row r="178" spans="1:241">
      <c r="A178" t="str">
        <f>HYPERLINK("http://exon.niaid.nih.gov/transcriptome/S_calcitrans/S1/links/pep/XP_013111270.1-pep.txt","XP_013111270.1")</f>
        <v>XP_013111270.1</v>
      </c>
      <c r="B178" s="30" t="s">
        <v>232</v>
      </c>
      <c r="C178">
        <v>52</v>
      </c>
      <c r="D178" t="s">
        <v>1913</v>
      </c>
      <c r="E178">
        <v>0</v>
      </c>
      <c r="F178" t="s">
        <v>1914</v>
      </c>
      <c r="G178" t="str">
        <f>HYPERLINK("http://exon.niaid.nih.gov/transcriptome/S_calcitrans/S1/links/cds/XM_013255816_1-cds.txt","XM_013255816_1")</f>
        <v>XM_013255816_1</v>
      </c>
      <c r="H178">
        <v>159</v>
      </c>
      <c r="I178" t="s">
        <v>1915</v>
      </c>
      <c r="J178" s="30" t="s">
        <v>236</v>
      </c>
      <c r="K178" s="30" t="s">
        <v>91</v>
      </c>
      <c r="L178" s="31" t="s">
        <v>1916</v>
      </c>
      <c r="M178" s="30">
        <v>322230</v>
      </c>
      <c r="N178" s="30">
        <v>322470</v>
      </c>
      <c r="O178" s="30" t="s">
        <v>238</v>
      </c>
      <c r="P178" s="30">
        <v>2</v>
      </c>
      <c r="Q178" s="31" t="s">
        <v>1917</v>
      </c>
      <c r="R178" s="32" t="str">
        <f>HYPERLINK("http://exon.niaid.nih.gov/transcriptome/S_calcitrans/S1/links/Sigp/XP_013111270.1-SigP.txt","CYT")</f>
        <v>CYT</v>
      </c>
      <c r="S178" t="s">
        <v>242</v>
      </c>
      <c r="T178">
        <v>5.9720000000000004</v>
      </c>
      <c r="U178">
        <v>9.4</v>
      </c>
      <c r="V178" t="s">
        <v>242</v>
      </c>
      <c r="W178" t="s">
        <v>242</v>
      </c>
      <c r="X178" t="s">
        <v>1918</v>
      </c>
      <c r="Y178" s="32">
        <v>0</v>
      </c>
      <c r="Z178" t="s">
        <v>242</v>
      </c>
      <c r="AA178" t="s">
        <v>242</v>
      </c>
      <c r="AB178" t="s">
        <v>242</v>
      </c>
      <c r="AC178" t="s">
        <v>242</v>
      </c>
      <c r="AD178" t="s">
        <v>242</v>
      </c>
      <c r="AE178" s="32" t="str">
        <f>HYPERLINK("http://exon.niaid.nih.gov/transcriptome/S_calcitrans/S1/links/netoglyc/XP_013111270.1-netoglyc.txt","0")</f>
        <v>0</v>
      </c>
      <c r="AF178">
        <v>7.7</v>
      </c>
      <c r="AG178">
        <v>7.7</v>
      </c>
      <c r="AH178">
        <v>1.9</v>
      </c>
      <c r="AI178" t="s">
        <v>243</v>
      </c>
      <c r="AJ178" t="s">
        <v>242</v>
      </c>
      <c r="AK178">
        <v>343.94269509848459</v>
      </c>
      <c r="AL178" s="33">
        <v>11799</v>
      </c>
      <c r="AM178">
        <v>1</v>
      </c>
      <c r="AN178" s="30">
        <f t="shared" si="149"/>
        <v>1</v>
      </c>
      <c r="AO178" s="30" t="s">
        <v>244</v>
      </c>
      <c r="AP178">
        <v>687</v>
      </c>
      <c r="AQ178" s="34">
        <v>2.66841764581475E-3</v>
      </c>
      <c r="AR178" s="35">
        <v>199.01422066398314</v>
      </c>
      <c r="AS178" t="s">
        <v>1919</v>
      </c>
      <c r="AT178" s="36" t="s">
        <v>1844</v>
      </c>
      <c r="AU178" t="s">
        <v>1845</v>
      </c>
      <c r="AY178" s="33"/>
      <c r="BG178" s="31"/>
      <c r="BJ178" s="33"/>
      <c r="BK178" s="33"/>
      <c r="BL178" s="33" t="str">
        <f>HYPERLINK("http://exon.niaid.nih.gov/transcriptome/S_calcitrans/S1/links/NR-LIGHT/XP_013111270.1-NR-LIGHT.txt","uncharacterized protein LOC101892441")</f>
        <v>uncharacterized protein LOC101892441</v>
      </c>
      <c r="BM178" t="str">
        <f>HYPERLINK("http://www.ncbi.nlm.nih.gov/sutils/blink.cgi?pid=755870049","2E-021")</f>
        <v>2E-021</v>
      </c>
      <c r="BN178" t="str">
        <f>HYPERLINK("http://www.ncbi.nlm.nih.gov/protein/755870049","gi|755870049")</f>
        <v>gi|755870049</v>
      </c>
      <c r="BO178">
        <v>96</v>
      </c>
      <c r="BP178">
        <v>96</v>
      </c>
      <c r="BQ178">
        <v>100</v>
      </c>
      <c r="BR178" t="s">
        <v>251</v>
      </c>
      <c r="BS178" s="33" t="str">
        <f>HYPERLINK("http://exon.niaid.nih.gov/transcriptome/S_calcitrans/S1/links/SWISSP/XP_013111270.1-SWISSP.txt","Putative pyruvate, phosphate dikinase regulatory protein")</f>
        <v>Putative pyruvate, phosphate dikinase regulatory protein</v>
      </c>
      <c r="BT178" t="str">
        <f>HYPERLINK("http://www.uniprot.org/uniprot/Q5HBX0","13")</f>
        <v>13</v>
      </c>
      <c r="BU178" t="str">
        <f>HYPERLINK("http://www.uniprot.org/uniprot/Q5HBX0#expression","Q5HBX0")</f>
        <v>Q5HBX0</v>
      </c>
      <c r="BV178">
        <v>42</v>
      </c>
      <c r="BW178">
        <v>60</v>
      </c>
      <c r="BX178">
        <v>10</v>
      </c>
      <c r="BY178" t="s">
        <v>1920</v>
      </c>
      <c r="BZ178" s="33" t="str">
        <f>HYPERLINK("http://exon.niaid.nih.gov/transcriptome/S_calcitrans/S1/links/REFSEQ-INVERTEBRATE/XP_013111270.1-REFSEQ-INVERTEBRATE.txt","uncharacterized protein LOC106089824")</f>
        <v>uncharacterized protein LOC106089824</v>
      </c>
      <c r="CA178" t="str">
        <f>HYPERLINK("http://www.ncbi.nlm.nih.gov/sutils/blink.cgi?pid=907711312","7E-023")</f>
        <v>7E-023</v>
      </c>
      <c r="CB178" t="str">
        <f>HYPERLINK("http://www.ncbi.nlm.nih.gov/protein/907711312","gi|907711312")</f>
        <v>gi|907711312</v>
      </c>
      <c r="CC178">
        <v>100</v>
      </c>
      <c r="CD178">
        <v>100</v>
      </c>
      <c r="CE178">
        <v>100</v>
      </c>
      <c r="CF178" t="s">
        <v>253</v>
      </c>
      <c r="CG178" s="33" t="str">
        <f>HYPERLINK("http://exon.niaid.nih.gov/transcriptome/S_calcitrans/S1/links/DIPTERA/XP_013111270.1-DIPTERA.txt","uncharacterized protein LOC106089824")</f>
        <v>uncharacterized protein LOC106089824</v>
      </c>
      <c r="CH178" t="str">
        <f>HYPERLINK("http://www.ncbi.nlm.nih.gov/sutils/blink.cgi?pid=907711312","4E-023")</f>
        <v>4E-023</v>
      </c>
      <c r="CI178" t="str">
        <f>HYPERLINK("http://www.ncbi.nlm.nih.gov/protein/907711312","gi|907711312")</f>
        <v>gi|907711312</v>
      </c>
      <c r="CJ178">
        <v>100</v>
      </c>
      <c r="CK178">
        <v>100</v>
      </c>
      <c r="CL178">
        <v>100</v>
      </c>
      <c r="CM178" t="s">
        <v>253</v>
      </c>
      <c r="CN178" s="33" t="s">
        <v>242</v>
      </c>
      <c r="CO178" t="s">
        <v>242</v>
      </c>
      <c r="CP178" t="s">
        <v>242</v>
      </c>
      <c r="CQ178" t="s">
        <v>242</v>
      </c>
      <c r="CR178" t="s">
        <v>242</v>
      </c>
      <c r="CS178" t="s">
        <v>242</v>
      </c>
      <c r="CT178" t="s">
        <v>242</v>
      </c>
      <c r="CU178" s="33" t="s">
        <v>242</v>
      </c>
      <c r="CV178" t="s">
        <v>242</v>
      </c>
      <c r="CW178" t="s">
        <v>242</v>
      </c>
      <c r="CX178" t="s">
        <v>242</v>
      </c>
      <c r="CY178" t="s">
        <v>242</v>
      </c>
      <c r="CZ178" t="s">
        <v>242</v>
      </c>
      <c r="DA178" t="s">
        <v>242</v>
      </c>
      <c r="DB178" t="s">
        <v>242</v>
      </c>
      <c r="DC178" t="s">
        <v>242</v>
      </c>
      <c r="DD178" t="s">
        <v>242</v>
      </c>
      <c r="DE178" s="33" t="str">
        <f>HYPERLINK("http://exon.niaid.nih.gov/transcriptome/S_calcitrans/S1/links/CDD/XP_013111270.1-CDD.txt","SEA")</f>
        <v>SEA</v>
      </c>
      <c r="DF178" t="str">
        <f>HYPERLINK("http://www.ncbi.nlm.nih.gov/Structure/cdd/cddsrv.cgi?uid=smart00200&amp;version=v4.0","3.7")</f>
        <v>3.7</v>
      </c>
      <c r="DG178" t="s">
        <v>1921</v>
      </c>
      <c r="DH178" s="33" t="str">
        <f>HYPERLINK("http://exon.niaid.nih.gov/transcriptome/S_calcitrans/S1/links/KOG/XP_013111270.1-KOG.txt","Cytochrome c1")</f>
        <v>Cytochrome c1</v>
      </c>
      <c r="DI178" t="str">
        <f>HYPERLINK("http://www.ncbi.nlm.nih.gov/Structure/cdd/cddsrv.cgi?uid=KOG3052","1.6")</f>
        <v>1.6</v>
      </c>
      <c r="DJ178" t="s">
        <v>865</v>
      </c>
      <c r="DK178" t="str">
        <f>HYPERLINK("http://exon.niaid.nih.gov/transcriptome/S_calcitrans/S1/links/KOG/XP_013111270.1-KOG.txt","KOG3052")</f>
        <v>KOG3052</v>
      </c>
      <c r="DL178" s="33" t="str">
        <f>HYPERLINK("http://exon.niaid.nih.gov/transcriptome/S_calcitrans/S1/links/PFAM/XP_013111270.1-PFAM.txt","AMA-1")</f>
        <v>AMA-1</v>
      </c>
      <c r="DM178" t="str">
        <f>HYPERLINK("http://pfam.sanger.ac.uk/family?acc=PF02430","6.3")</f>
        <v>6.3</v>
      </c>
      <c r="DN178" s="33" t="str">
        <f>HYPERLINK("http://exon.niaid.nih.gov/transcriptome/S_calcitrans/S1/links/SMART/XP_013111270.1-SMART.txt","SEA")</f>
        <v>SEA</v>
      </c>
      <c r="DO178" t="str">
        <f>HYPERLINK("http://smart.embl-heidelberg.de/smart/do_annotation.pl?DOMAIN=SEA&amp;BLAST=DUMMY","0.006")</f>
        <v>0.006</v>
      </c>
      <c r="DP178" s="33"/>
      <c r="EB178" s="33">
        <v>5081</v>
      </c>
      <c r="EC178">
        <v>1</v>
      </c>
      <c r="ED178" s="33">
        <v>6143</v>
      </c>
      <c r="EE178">
        <v>1</v>
      </c>
      <c r="EF178" s="33">
        <v>6832</v>
      </c>
      <c r="EG178">
        <v>1</v>
      </c>
      <c r="EH178" s="33">
        <v>7363</v>
      </c>
      <c r="EI178">
        <v>1</v>
      </c>
      <c r="EJ178" s="33">
        <v>7919</v>
      </c>
      <c r="EK178">
        <v>1</v>
      </c>
      <c r="EL178" s="33">
        <v>8350</v>
      </c>
      <c r="EM178">
        <v>1</v>
      </c>
      <c r="EN178" s="33">
        <v>8834</v>
      </c>
      <c r="EO178">
        <v>1</v>
      </c>
      <c r="EP178" s="33">
        <v>9229</v>
      </c>
      <c r="EQ178">
        <v>1</v>
      </c>
      <c r="ER178" s="33">
        <v>9581</v>
      </c>
      <c r="ES178">
        <v>1</v>
      </c>
      <c r="ET178" s="33">
        <v>9881</v>
      </c>
      <c r="EU178">
        <v>1</v>
      </c>
      <c r="EV178" s="33">
        <v>10218</v>
      </c>
      <c r="EW178">
        <v>1</v>
      </c>
      <c r="EX178" s="33">
        <v>10517</v>
      </c>
      <c r="EY178">
        <v>1</v>
      </c>
      <c r="EZ178" s="33">
        <v>10866</v>
      </c>
      <c r="FA178">
        <v>1</v>
      </c>
      <c r="FB178" s="33">
        <v>11247</v>
      </c>
      <c r="FC178">
        <v>1</v>
      </c>
      <c r="FD178" s="33">
        <v>11799</v>
      </c>
      <c r="FE178">
        <v>1</v>
      </c>
      <c r="FF178" t="s">
        <v>1922</v>
      </c>
      <c r="FG178">
        <v>16262</v>
      </c>
      <c r="FH178" s="38" t="str">
        <f>HYPERLINK("http://exon.niaid.nih.gov/transcriptome/S_calcitrans/S1/links/SG_male-stripped_temp-95-h10-1gap/16262-SG_male-stripped_temp-95-h10-1gap.txt","360")</f>
        <v>360</v>
      </c>
      <c r="FI178" s="39">
        <v>100</v>
      </c>
      <c r="FJ178" s="39">
        <v>149.84905660377399</v>
      </c>
      <c r="FK178" s="39">
        <v>1</v>
      </c>
      <c r="FL178" s="39">
        <v>307</v>
      </c>
      <c r="FM178" s="39">
        <v>66.183333333333294</v>
      </c>
      <c r="FN178" s="38" t="str">
        <f>HYPERLINK("http://exon.niaid.nih.gov/transcriptome/S_calcitrans/S1/links/SG_female-stripped_temp-95-h10-1gap/16262-SG_female-stripped_temp-95-h10-1gap.txt","327")</f>
        <v>327</v>
      </c>
      <c r="FO178" s="39">
        <v>100</v>
      </c>
      <c r="FP178" s="39">
        <v>137.691823899371</v>
      </c>
      <c r="FQ178" s="39">
        <v>5</v>
      </c>
      <c r="FR178" s="39">
        <v>280</v>
      </c>
      <c r="FS178" s="39">
        <v>66.954128440367001</v>
      </c>
      <c r="FT178" s="38" t="str">
        <f>HYPERLINK("http://exon.niaid.nih.gov/transcriptome/S_calcitrans/S1/links/SRR694289-stripped_temp-95-h10-1gap/16262-SRR694289-stripped_temp-95-h10-1gap.txt","5")</f>
        <v>5</v>
      </c>
      <c r="FU178" s="39">
        <v>94.339622641509393</v>
      </c>
      <c r="FV178" s="39">
        <v>2.8616352201257902</v>
      </c>
      <c r="FW178" s="39">
        <v>0</v>
      </c>
      <c r="FX178" s="39">
        <v>5</v>
      </c>
      <c r="FY178" s="39">
        <v>91</v>
      </c>
      <c r="FZ178" s="38" t="str">
        <f>HYPERLINK("http://exon.niaid.nih.gov/transcriptome/S_calcitrans/S1/links/SRR694925-stripped_temp-95-h10-1gap/16262-SRR694925-stripped_temp-95-h10-1gap.txt","1")</f>
        <v>1</v>
      </c>
      <c r="GA178" s="39">
        <v>22.641509433962302</v>
      </c>
      <c r="GB178" s="39">
        <v>0.22641509433962301</v>
      </c>
      <c r="GC178" s="39">
        <v>0</v>
      </c>
      <c r="GD178" s="39">
        <v>1</v>
      </c>
      <c r="GE178" s="39">
        <v>36</v>
      </c>
      <c r="GF178">
        <f t="shared" si="176"/>
        <v>360</v>
      </c>
      <c r="GG178">
        <f t="shared" si="177"/>
        <v>327</v>
      </c>
      <c r="GH178">
        <f t="shared" si="178"/>
        <v>5</v>
      </c>
      <c r="GI178">
        <f t="shared" si="179"/>
        <v>1</v>
      </c>
      <c r="GJ178">
        <f t="shared" si="163"/>
        <v>687</v>
      </c>
      <c r="GK178" s="34">
        <v>2.66841764581475E-3</v>
      </c>
      <c r="GL178">
        <v>74.064034602746588</v>
      </c>
      <c r="GM178">
        <v>30.593126894391499</v>
      </c>
      <c r="GN178">
        <v>0.18076128462065369</v>
      </c>
      <c r="GO178">
        <v>3.7268908099628587E-2</v>
      </c>
      <c r="GP178">
        <f t="shared" si="180"/>
        <v>74.064034602746588</v>
      </c>
      <c r="GQ178" t="s">
        <v>1845</v>
      </c>
      <c r="GR178">
        <v>57.761907740677529</v>
      </c>
      <c r="GS178">
        <v>25.109804318482926</v>
      </c>
      <c r="GT178">
        <v>0.32585074688165394</v>
      </c>
      <c r="GU178">
        <v>7.0560260244724129E-2</v>
      </c>
      <c r="GV178">
        <f t="shared" si="181"/>
        <v>57.761907740677529</v>
      </c>
      <c r="GW178">
        <v>199.01422066398314</v>
      </c>
      <c r="GX178">
        <v>687</v>
      </c>
      <c r="GY178">
        <v>6</v>
      </c>
      <c r="GZ178">
        <v>693</v>
      </c>
      <c r="HA178">
        <v>153.84578766525848</v>
      </c>
      <c r="HB178">
        <v>539.15421233474149</v>
      </c>
      <c r="HC178">
        <v>1847.6515895824482</v>
      </c>
      <c r="HD178">
        <v>527.22098358344249</v>
      </c>
      <c r="HE178">
        <v>2374.8725731658906</v>
      </c>
      <c r="HF178">
        <v>0</v>
      </c>
      <c r="HG178">
        <v>153.84578766525848</v>
      </c>
      <c r="HH178">
        <v>1</v>
      </c>
      <c r="HI178">
        <v>1</v>
      </c>
      <c r="HJ178">
        <v>2</v>
      </c>
      <c r="HK178">
        <v>0</v>
      </c>
      <c r="HL178" s="30" t="s">
        <v>262</v>
      </c>
      <c r="HM178">
        <v>343.94269509848459</v>
      </c>
      <c r="HN178">
        <v>2.4884872455910125E-3</v>
      </c>
      <c r="HO178">
        <v>360</v>
      </c>
      <c r="HP178">
        <v>327</v>
      </c>
      <c r="HQ178">
        <v>687</v>
      </c>
      <c r="HR178">
        <v>214.75341405002982</v>
      </c>
      <c r="HS178">
        <v>472.24658594997015</v>
      </c>
      <c r="HT178">
        <v>98.236253069333429</v>
      </c>
      <c r="HU178">
        <v>44.672786120166975</v>
      </c>
      <c r="HV178">
        <v>142.90903918950039</v>
      </c>
      <c r="HW178">
        <v>6.1534560200438369E-33</v>
      </c>
      <c r="HX178">
        <v>214.75341405002982</v>
      </c>
      <c r="HY178">
        <v>1</v>
      </c>
      <c r="HZ178">
        <v>1</v>
      </c>
      <c r="IA178">
        <v>2</v>
      </c>
      <c r="IB178" s="37">
        <v>3.4797273803526399E-31</v>
      </c>
      <c r="IC178" s="30" t="s">
        <v>262</v>
      </c>
      <c r="ID178">
        <v>2.4135561518145456</v>
      </c>
      <c r="IE178">
        <v>0.41191897733042943</v>
      </c>
      <c r="IF178">
        <v>2.4135561518145456</v>
      </c>
      <c r="IG178" t="str">
        <f t="shared" si="156"/>
        <v/>
      </c>
    </row>
    <row r="179" spans="1:241">
      <c r="A179" t="str">
        <f>HYPERLINK("http://exon.niaid.nih.gov/transcriptome/S_calcitrans/S1/links/pep/XP_013114824.1-pep.txt","XP_013114824.1")</f>
        <v>XP_013114824.1</v>
      </c>
      <c r="B179" s="30" t="s">
        <v>232</v>
      </c>
      <c r="C179">
        <v>168</v>
      </c>
      <c r="D179" t="s">
        <v>1923</v>
      </c>
      <c r="E179">
        <v>1</v>
      </c>
      <c r="F179" t="s">
        <v>1924</v>
      </c>
      <c r="G179" t="str">
        <f>HYPERLINK("http://exon.niaid.nih.gov/transcriptome/S_calcitrans/S1/links/cds/XM_013259370_1-cds.txt","XM_013259370_1")</f>
        <v>XM_013259370_1</v>
      </c>
      <c r="H179">
        <v>507</v>
      </c>
      <c r="I179" t="s">
        <v>1925</v>
      </c>
      <c r="J179" s="30" t="s">
        <v>236</v>
      </c>
      <c r="K179" s="30" t="s">
        <v>91</v>
      </c>
      <c r="L179" s="31" t="s">
        <v>1816</v>
      </c>
      <c r="M179" s="30">
        <v>157850</v>
      </c>
      <c r="N179" s="30">
        <v>158420</v>
      </c>
      <c r="O179" s="30" t="s">
        <v>238</v>
      </c>
      <c r="P179" s="30">
        <v>2</v>
      </c>
      <c r="Q179" s="31" t="s">
        <v>1926</v>
      </c>
      <c r="R179" s="32" t="str">
        <f>HYPERLINK("http://exon.niaid.nih.gov/transcriptome/S_calcitrans/S1/links/Sigp/XP_013114824.1-SigP.txt","SIG")</f>
        <v>SIG</v>
      </c>
      <c r="S179" t="s">
        <v>657</v>
      </c>
      <c r="T179">
        <v>18.687999999999999</v>
      </c>
      <c r="U179">
        <v>7.12</v>
      </c>
      <c r="V179">
        <v>15.6</v>
      </c>
      <c r="W179">
        <v>6.11</v>
      </c>
      <c r="X179" t="s">
        <v>1927</v>
      </c>
      <c r="Y179" s="32" t="str">
        <f>HYPERLINK("http://exon.niaid.nih.gov/transcriptome/S_calcitrans/S1/links/tmhmm/XP_013114824.1-tmhmm.txt","1")</f>
        <v>1</v>
      </c>
      <c r="Z179">
        <v>13.1</v>
      </c>
      <c r="AA179">
        <v>0.6</v>
      </c>
      <c r="AB179">
        <v>86.3</v>
      </c>
      <c r="AC179">
        <v>1</v>
      </c>
      <c r="AD179">
        <v>1</v>
      </c>
      <c r="AE179" s="32" t="s">
        <v>242</v>
      </c>
      <c r="AF179" t="s">
        <v>242</v>
      </c>
      <c r="AG179" t="s">
        <v>242</v>
      </c>
      <c r="AH179" t="s">
        <v>242</v>
      </c>
      <c r="AI179" t="s">
        <v>242</v>
      </c>
      <c r="AJ179" t="s">
        <v>242</v>
      </c>
      <c r="AK179">
        <v>1062.7428763032142</v>
      </c>
      <c r="AL179" s="33">
        <v>13729</v>
      </c>
      <c r="AM179">
        <v>1</v>
      </c>
      <c r="AN179" s="30">
        <f t="shared" si="149"/>
        <v>1</v>
      </c>
      <c r="AO179" s="30" t="s">
        <v>244</v>
      </c>
      <c r="AP179">
        <v>1213</v>
      </c>
      <c r="AQ179" s="34">
        <v>4.7114855958854318E-3</v>
      </c>
      <c r="AR179" s="35">
        <v>535.08792977552184</v>
      </c>
      <c r="AS179" t="s">
        <v>1928</v>
      </c>
      <c r="AT179" s="36" t="s">
        <v>1858</v>
      </c>
      <c r="AU179" t="s">
        <v>1760</v>
      </c>
      <c r="AY179" s="33"/>
      <c r="BG179" s="31"/>
      <c r="BJ179" s="33"/>
      <c r="BK179" s="33"/>
      <c r="BL179" s="33" t="str">
        <f>HYPERLINK("http://exon.niaid.nih.gov/transcriptome/S_calcitrans/S1/links/NR-LIGHT/XP_013114824.1-NR-LIGHT.txt","uncharacterized protein LOC105262415")</f>
        <v>uncharacterized protein LOC105262415</v>
      </c>
      <c r="BM179" t="str">
        <f>HYPERLINK("http://www.ncbi.nlm.nih.gov/sutils/blink.cgi?pid=755900008","4E-024")</f>
        <v>4E-024</v>
      </c>
      <c r="BN179" t="str">
        <f>HYPERLINK("http://www.ncbi.nlm.nih.gov/protein/755900008","gi|755900008")</f>
        <v>gi|755900008</v>
      </c>
      <c r="BO179">
        <v>33</v>
      </c>
      <c r="BP179">
        <v>50</v>
      </c>
      <c r="BQ179">
        <v>100</v>
      </c>
      <c r="BR179" t="s">
        <v>251</v>
      </c>
      <c r="BS179" s="33" t="str">
        <f>HYPERLINK("http://exon.niaid.nih.gov/transcriptome/S_calcitrans/S1/links/SWISSP/XP_013114824.1-SWISSP.txt","Methylthioribose kinase")</f>
        <v>Methylthioribose kinase</v>
      </c>
      <c r="BT179" t="str">
        <f>HYPERLINK("http://www.uniprot.org/uniprot/C6DCZ0","0.13")</f>
        <v>0.13</v>
      </c>
      <c r="BU179" t="str">
        <f>HYPERLINK("http://www.uniprot.org/uniprot/C6DCZ0#expression","C6DCZ0")</f>
        <v>C6DCZ0</v>
      </c>
      <c r="BV179">
        <v>38</v>
      </c>
      <c r="BW179">
        <v>45</v>
      </c>
      <c r="BX179">
        <v>16</v>
      </c>
      <c r="BY179" t="s">
        <v>1929</v>
      </c>
      <c r="BZ179" s="33" t="str">
        <f>HYPERLINK("http://exon.niaid.nih.gov/transcriptome/S_calcitrans/S1/links/REFSEQ-INVERTEBRATE/XP_013114824.1-REFSEQ-INVERTEBRATE.txt","uncharacterized protein LOC106092485")</f>
        <v>uncharacterized protein LOC106092485</v>
      </c>
      <c r="CA179" t="str">
        <f>HYPERLINK("http://www.ncbi.nlm.nih.gov/sutils/blink.cgi?pid=907732861","3E-093")</f>
        <v>3E-093</v>
      </c>
      <c r="CB179" t="str">
        <f>HYPERLINK("http://www.ncbi.nlm.nih.gov/protein/907732861","gi|907732861")</f>
        <v>gi|907732861</v>
      </c>
      <c r="CC179">
        <v>100</v>
      </c>
      <c r="CD179">
        <v>100</v>
      </c>
      <c r="CE179">
        <v>100</v>
      </c>
      <c r="CF179" t="s">
        <v>253</v>
      </c>
      <c r="CG179" s="33" t="str">
        <f>HYPERLINK("http://exon.niaid.nih.gov/transcriptome/S_calcitrans/S1/links/DIPTERA/XP_013114824.1-DIPTERA.txt","uncharacterized protein LOC106092485")</f>
        <v>uncharacterized protein LOC106092485</v>
      </c>
      <c r="CH179" t="str">
        <f>HYPERLINK("http://www.ncbi.nlm.nih.gov/sutils/blink.cgi?pid=907732861","1E-093")</f>
        <v>1E-093</v>
      </c>
      <c r="CI179" t="str">
        <f>HYPERLINK("http://www.ncbi.nlm.nih.gov/protein/907732861","gi|907732861")</f>
        <v>gi|907732861</v>
      </c>
      <c r="CJ179">
        <v>100</v>
      </c>
      <c r="CK179">
        <v>100</v>
      </c>
      <c r="CL179">
        <v>100</v>
      </c>
      <c r="CM179" t="s">
        <v>253</v>
      </c>
      <c r="CN179" s="33" t="s">
        <v>242</v>
      </c>
      <c r="CO179" t="s">
        <v>242</v>
      </c>
      <c r="CP179" t="s">
        <v>242</v>
      </c>
      <c r="CQ179" t="s">
        <v>242</v>
      </c>
      <c r="CR179" t="s">
        <v>242</v>
      </c>
      <c r="CS179" t="s">
        <v>242</v>
      </c>
      <c r="CT179" t="s">
        <v>242</v>
      </c>
      <c r="CU179" s="33" t="s">
        <v>242</v>
      </c>
      <c r="CV179" t="s">
        <v>242</v>
      </c>
      <c r="CW179" t="s">
        <v>242</v>
      </c>
      <c r="CX179" t="s">
        <v>242</v>
      </c>
      <c r="CY179" t="s">
        <v>242</v>
      </c>
      <c r="CZ179" t="s">
        <v>242</v>
      </c>
      <c r="DA179" t="s">
        <v>242</v>
      </c>
      <c r="DB179" t="s">
        <v>242</v>
      </c>
      <c r="DC179" t="s">
        <v>242</v>
      </c>
      <c r="DD179" t="s">
        <v>242</v>
      </c>
      <c r="DE179" s="33" t="str">
        <f>HYPERLINK("http://exon.niaid.nih.gov/transcriptome/S_calcitrans/S1/links/CDD/XP_013114824.1-CDD.txt","Rick_17kDa_Anti")</f>
        <v>Rick_17kDa_Anti</v>
      </c>
      <c r="DF179" t="str">
        <f>HYPERLINK("http://www.ncbi.nlm.nih.gov/Structure/cdd/cddsrv.cgi?uid=pfam05433&amp;version=v4.0","0.19")</f>
        <v>0.19</v>
      </c>
      <c r="DG179" t="s">
        <v>1930</v>
      </c>
      <c r="DH179" s="33" t="str">
        <f>HYPERLINK("http://exon.niaid.nih.gov/transcriptome/S_calcitrans/S1/links/KOG/XP_013114824.1-KOG.txt","Uncharacterized conserved protein")</f>
        <v>Uncharacterized conserved protein</v>
      </c>
      <c r="DI179" t="str">
        <f>HYPERLINK("http://www.ncbi.nlm.nih.gov/Structure/cdd/cddsrv.cgi?uid=KOG4090","1.3")</f>
        <v>1.3</v>
      </c>
      <c r="DJ179" t="s">
        <v>260</v>
      </c>
      <c r="DK179" t="str">
        <f>HYPERLINK("http://exon.niaid.nih.gov/transcriptome/S_calcitrans/S1/links/KOG/XP_013114824.1-KOG.txt","KOG4090")</f>
        <v>KOG4090</v>
      </c>
      <c r="DL179" s="33" t="str">
        <f>HYPERLINK("http://exon.niaid.nih.gov/transcriptome/S_calcitrans/S1/links/PFAM/XP_013114824.1-PFAM.txt","Rick_17kDa_Anti")</f>
        <v>Rick_17kDa_Anti</v>
      </c>
      <c r="DM179" t="str">
        <f>HYPERLINK("http://pfam.sanger.ac.uk/family?acc=PF05433","0.043")</f>
        <v>0.043</v>
      </c>
      <c r="DN179" s="33" t="str">
        <f>HYPERLINK("http://exon.niaid.nih.gov/transcriptome/S_calcitrans/S1/links/SMART/XP_013114824.1-SMART.txt","PRP")</f>
        <v>PRP</v>
      </c>
      <c r="DO179" t="str">
        <f>HYPERLINK("http://smart.embl-heidelberg.de/smart/do_annotation.pl?DOMAIN=PRP&amp;BLAST=DUMMY","0.41")</f>
        <v>0.41</v>
      </c>
      <c r="DP179" s="33"/>
      <c r="EB179" s="33">
        <v>5685</v>
      </c>
      <c r="EC179">
        <v>1</v>
      </c>
      <c r="ED179" s="33">
        <v>6868</v>
      </c>
      <c r="EE179">
        <v>1</v>
      </c>
      <c r="EF179" s="33">
        <v>7667</v>
      </c>
      <c r="EG179">
        <v>1</v>
      </c>
      <c r="EH179" s="33">
        <v>8300</v>
      </c>
      <c r="EI179">
        <v>1</v>
      </c>
      <c r="EJ179" s="33">
        <v>8958</v>
      </c>
      <c r="EK179">
        <v>1</v>
      </c>
      <c r="EL179" s="33">
        <v>9465</v>
      </c>
      <c r="EM179">
        <v>1</v>
      </c>
      <c r="EN179" s="33">
        <v>10032</v>
      </c>
      <c r="EO179">
        <v>1</v>
      </c>
      <c r="EP179" s="33">
        <v>10492</v>
      </c>
      <c r="EQ179">
        <v>1</v>
      </c>
      <c r="ER179" s="33">
        <v>10919</v>
      </c>
      <c r="ES179">
        <v>1</v>
      </c>
      <c r="ET179" s="33">
        <v>11293</v>
      </c>
      <c r="EU179">
        <v>1</v>
      </c>
      <c r="EV179" s="33">
        <v>11690</v>
      </c>
      <c r="EW179">
        <v>1</v>
      </c>
      <c r="EX179" s="33">
        <v>12051</v>
      </c>
      <c r="EY179">
        <v>1</v>
      </c>
      <c r="EZ179" s="33">
        <v>12507</v>
      </c>
      <c r="FA179">
        <v>1</v>
      </c>
      <c r="FB179" s="33">
        <v>13003</v>
      </c>
      <c r="FC179">
        <v>1</v>
      </c>
      <c r="FD179" s="33">
        <v>13729</v>
      </c>
      <c r="FE179">
        <v>1</v>
      </c>
      <c r="FF179" t="s">
        <v>1931</v>
      </c>
      <c r="FG179">
        <v>19431</v>
      </c>
      <c r="FH179" s="38" t="str">
        <f>HYPERLINK("http://exon.niaid.nih.gov/transcriptome/S_calcitrans/S1/links/SG_male-stripped_temp-95-h10-1gap/19431-SG_male-stripped_temp-95-h10-1gap.txt","545")</f>
        <v>545</v>
      </c>
      <c r="FI179" s="39">
        <v>100</v>
      </c>
      <c r="FJ179" s="39">
        <v>77.526627218934905</v>
      </c>
      <c r="FK179" s="39">
        <v>1</v>
      </c>
      <c r="FL179" s="39">
        <v>147</v>
      </c>
      <c r="FM179" s="39">
        <v>72.121100917431207</v>
      </c>
      <c r="FN179" s="38" t="str">
        <f>HYPERLINK("http://exon.niaid.nih.gov/transcriptome/S_calcitrans/S1/links/SG_female-stripped_temp-95-h10-1gap/19431-SG_female-stripped_temp-95-h10-1gap.txt","668")</f>
        <v>668</v>
      </c>
      <c r="FO179" s="39">
        <v>97.633136094674597</v>
      </c>
      <c r="FP179" s="39">
        <v>95.301775147929007</v>
      </c>
      <c r="FQ179" s="39">
        <v>0</v>
      </c>
      <c r="FR179" s="39">
        <v>193</v>
      </c>
      <c r="FS179" s="39">
        <v>72.332335329341305</v>
      </c>
      <c r="FT179" s="38" t="str">
        <f>HYPERLINK("http://exon.niaid.nih.gov/transcriptome/S_calcitrans/S1/links/SRR694289-stripped_temp-95-h10-1gap/19431-SRR694289-stripped_temp-95-h10-1gap.txt","3")</f>
        <v>3</v>
      </c>
      <c r="FU179" s="39">
        <v>33.925049309664701</v>
      </c>
      <c r="FV179" s="39">
        <v>0.55424063116370803</v>
      </c>
      <c r="FW179" s="39">
        <v>0</v>
      </c>
      <c r="FX179" s="39">
        <v>3</v>
      </c>
      <c r="FY179" s="39">
        <v>93.6666666666667</v>
      </c>
      <c r="FZ179" s="38">
        <v>0</v>
      </c>
      <c r="GA179" s="39" t="s">
        <v>242</v>
      </c>
      <c r="GB179" s="39" t="s">
        <v>242</v>
      </c>
      <c r="GC179" s="39" t="s">
        <v>242</v>
      </c>
      <c r="GD179" s="39" t="s">
        <v>242</v>
      </c>
      <c r="GE179" s="39" t="s">
        <v>242</v>
      </c>
      <c r="GF179">
        <f t="shared" si="176"/>
        <v>545</v>
      </c>
      <c r="GG179">
        <f t="shared" si="177"/>
        <v>668</v>
      </c>
      <c r="GH179">
        <f t="shared" si="178"/>
        <v>3</v>
      </c>
      <c r="GI179">
        <f t="shared" si="179"/>
        <v>0</v>
      </c>
      <c r="GJ179">
        <f t="shared" si="163"/>
        <v>1213</v>
      </c>
      <c r="GK179" s="34">
        <v>4.7114855958854318E-3</v>
      </c>
      <c r="GL179">
        <v>35.163373430314522</v>
      </c>
      <c r="GM179">
        <v>19.599353357020728</v>
      </c>
      <c r="GN179">
        <v>3.401307012388631E-2</v>
      </c>
      <c r="GO179">
        <v>0</v>
      </c>
      <c r="GP179">
        <f t="shared" si="180"/>
        <v>35.163373430314522</v>
      </c>
      <c r="GQ179" t="s">
        <v>1760</v>
      </c>
      <c r="GR179">
        <v>27.42361448207545</v>
      </c>
      <c r="GS179">
        <v>16.08648665638075</v>
      </c>
      <c r="GT179">
        <v>6.1313927519743155E-2</v>
      </c>
      <c r="GU179">
        <v>0</v>
      </c>
      <c r="GV179">
        <f t="shared" si="181"/>
        <v>27.42361448207545</v>
      </c>
      <c r="GW179">
        <v>535.08792977552184</v>
      </c>
      <c r="GX179">
        <v>1213</v>
      </c>
      <c r="GY179">
        <v>3</v>
      </c>
      <c r="GZ179">
        <v>1216</v>
      </c>
      <c r="HA179">
        <v>269.95162741840454</v>
      </c>
      <c r="HB179">
        <v>946.04837258159546</v>
      </c>
      <c r="HC179">
        <v>3294.4429397730055</v>
      </c>
      <c r="HD179">
        <v>940.05788583721835</v>
      </c>
      <c r="HE179">
        <v>4234.5008256102237</v>
      </c>
      <c r="HF179">
        <v>0</v>
      </c>
      <c r="HG179">
        <v>269.95162741840454</v>
      </c>
      <c r="HH179">
        <v>1</v>
      </c>
      <c r="HI179">
        <v>1</v>
      </c>
      <c r="HJ179">
        <v>2</v>
      </c>
      <c r="HK179">
        <v>0</v>
      </c>
      <c r="HL179" s="30" t="s">
        <v>262</v>
      </c>
      <c r="HM179">
        <v>1062.7428763032142</v>
      </c>
      <c r="HN179">
        <v>7.0513971374242858E-4</v>
      </c>
      <c r="HO179">
        <v>545</v>
      </c>
      <c r="HP179">
        <v>668</v>
      </c>
      <c r="HQ179">
        <v>1213</v>
      </c>
      <c r="HR179">
        <v>379.17888099372078</v>
      </c>
      <c r="HS179">
        <v>833.82111900627922</v>
      </c>
      <c r="HT179">
        <v>72.516284230898293</v>
      </c>
      <c r="HU179">
        <v>32.976669553853725</v>
      </c>
      <c r="HV179">
        <v>105.49295378475202</v>
      </c>
      <c r="HW179">
        <v>9.5235957904937376E-25</v>
      </c>
      <c r="HX179">
        <v>379.17888099372078</v>
      </c>
      <c r="HY179">
        <v>1</v>
      </c>
      <c r="HZ179">
        <v>1</v>
      </c>
      <c r="IA179">
        <v>2</v>
      </c>
      <c r="IB179" s="37">
        <v>4.0340532075471699E-23</v>
      </c>
      <c r="IC179" s="30" t="s">
        <v>262</v>
      </c>
      <c r="ID179">
        <v>1.791427078966817</v>
      </c>
      <c r="IE179">
        <v>0.55635893820657556</v>
      </c>
      <c r="IF179">
        <v>1.791427078966817</v>
      </c>
      <c r="IG179" t="str">
        <f t="shared" si="156"/>
        <v/>
      </c>
    </row>
    <row r="180" spans="1:241">
      <c r="A180" t="str">
        <f>HYPERLINK("http://exon.niaid.nih.gov/transcriptome/S_calcitrans/S1/links/pep/XP_013114825.1-pep.txt","XP_013114825.1")</f>
        <v>XP_013114825.1</v>
      </c>
      <c r="B180" s="30" t="s">
        <v>232</v>
      </c>
      <c r="C180">
        <v>216</v>
      </c>
      <c r="D180" t="s">
        <v>1932</v>
      </c>
      <c r="E180">
        <v>0</v>
      </c>
      <c r="F180" t="s">
        <v>1933</v>
      </c>
      <c r="G180" t="str">
        <f>HYPERLINK("http://exon.niaid.nih.gov/transcriptome/S_calcitrans/S1/links/cds/XM_013259371_1-cds.txt","XM_013259371_1")</f>
        <v>XM_013259371_1</v>
      </c>
      <c r="H180">
        <v>651</v>
      </c>
      <c r="I180" t="s">
        <v>1934</v>
      </c>
      <c r="J180" s="30" t="s">
        <v>236</v>
      </c>
      <c r="K180" s="30" t="s">
        <v>91</v>
      </c>
      <c r="L180" s="31" t="s">
        <v>1816</v>
      </c>
      <c r="M180" s="30">
        <v>162041</v>
      </c>
      <c r="N180" s="30">
        <v>165627</v>
      </c>
      <c r="O180" s="30" t="s">
        <v>276</v>
      </c>
      <c r="P180" s="30">
        <v>2</v>
      </c>
      <c r="Q180" s="31" t="s">
        <v>1935</v>
      </c>
      <c r="R180" s="32" t="str">
        <f>HYPERLINK("http://exon.niaid.nih.gov/transcriptome/S_calcitrans/S1/links/Sigp/XP_013114825.1-SigP.txt","BL")</f>
        <v>BL</v>
      </c>
      <c r="S180" t="s">
        <v>615</v>
      </c>
      <c r="T180">
        <v>24.734999999999999</v>
      </c>
      <c r="U180">
        <v>8.8699999999999992</v>
      </c>
      <c r="V180">
        <v>22.067</v>
      </c>
      <c r="W180">
        <v>7.16</v>
      </c>
      <c r="X180" t="s">
        <v>1936</v>
      </c>
      <c r="Y180" s="32" t="str">
        <f>HYPERLINK("http://exon.niaid.nih.gov/transcriptome/S_calcitrans/S1/links/tmhmm/XP_013114825.1-tmhmm.txt","1")</f>
        <v>1</v>
      </c>
      <c r="Z180">
        <v>7.9</v>
      </c>
      <c r="AA180">
        <v>88</v>
      </c>
      <c r="AB180">
        <v>4.2</v>
      </c>
      <c r="AC180" t="s">
        <v>242</v>
      </c>
      <c r="AD180">
        <v>190</v>
      </c>
      <c r="AE180" s="32" t="s">
        <v>242</v>
      </c>
      <c r="AF180" t="s">
        <v>242</v>
      </c>
      <c r="AG180" t="s">
        <v>242</v>
      </c>
      <c r="AH180" t="s">
        <v>242</v>
      </c>
      <c r="AI180" t="s">
        <v>242</v>
      </c>
      <c r="AJ180" t="s">
        <v>242</v>
      </c>
      <c r="AK180">
        <v>529.18111895065238</v>
      </c>
      <c r="AL180" s="33">
        <v>13730</v>
      </c>
      <c r="AM180">
        <v>1</v>
      </c>
      <c r="AN180" s="30">
        <f t="shared" si="149"/>
        <v>1</v>
      </c>
      <c r="AO180" s="30" t="s">
        <v>244</v>
      </c>
      <c r="AP180">
        <v>755</v>
      </c>
      <c r="AQ180" s="34">
        <v>2.9325404986755986E-3</v>
      </c>
      <c r="AR180" s="35">
        <v>234.1996292452697</v>
      </c>
      <c r="AS180" t="s">
        <v>1937</v>
      </c>
      <c r="AT180" s="36" t="s">
        <v>1844</v>
      </c>
      <c r="AU180" t="s">
        <v>1845</v>
      </c>
      <c r="AY180" s="33"/>
      <c r="BG180" s="31"/>
      <c r="BJ180" s="33"/>
      <c r="BK180" s="33"/>
      <c r="BL180" s="33" t="str">
        <f>HYPERLINK("http://exon.niaid.nih.gov/transcriptome/S_calcitrans/S1/links/NR-LIGHT/XP_013114825.1-NR-LIGHT.txt","pollen-specific leucine-rich repeat extensin-like protein 3")</f>
        <v>pollen-specific leucine-rich repeat extensin-like protein 3</v>
      </c>
      <c r="BM180" t="str">
        <f>HYPERLINK("http://www.ncbi.nlm.nih.gov/sutils/blink.cgi?pid=755893504","7E-010")</f>
        <v>7E-010</v>
      </c>
      <c r="BN180" t="str">
        <f>HYPERLINK("http://www.ncbi.nlm.nih.gov/protein/755893504","gi|755893504")</f>
        <v>gi|755893504</v>
      </c>
      <c r="BO180">
        <v>43</v>
      </c>
      <c r="BP180">
        <v>58</v>
      </c>
      <c r="BQ180">
        <v>26</v>
      </c>
      <c r="BR180" t="s">
        <v>251</v>
      </c>
      <c r="BS180" s="33" t="str">
        <f>HYPERLINK("http://exon.niaid.nih.gov/transcriptome/S_calcitrans/S1/links/SWISSP/XP_013114825.1-SWISSP.txt","Altered inheritance of mitochondria protein 3-1")</f>
        <v>Altered inheritance of mitochondria protein 3-1</v>
      </c>
      <c r="BT180" t="str">
        <f>HYPERLINK("http://www.uniprot.org/uniprot/Q6FWB5","0.23")</f>
        <v>0.23</v>
      </c>
      <c r="BU180" t="str">
        <f>HYPERLINK("http://www.uniprot.org/uniprot/Q6FWB5#expression","Q6FWB5")</f>
        <v>Q6FWB5</v>
      </c>
      <c r="BV180">
        <v>23</v>
      </c>
      <c r="BW180">
        <v>33</v>
      </c>
      <c r="BX180">
        <v>18</v>
      </c>
      <c r="BY180" t="s">
        <v>1938</v>
      </c>
      <c r="BZ180" s="33" t="str">
        <f>HYPERLINK("http://exon.niaid.nih.gov/transcriptome/S_calcitrans/S1/links/REFSEQ-INVERTEBRATE/XP_013114825.1-REFSEQ-INVERTEBRATE.txt","uncharacterized protein LOC106092486")</f>
        <v>uncharacterized protein LOC106092486</v>
      </c>
      <c r="CA180" t="str">
        <f>HYPERLINK("http://www.ncbi.nlm.nih.gov/sutils/blink.cgi?pid=907732864","1E-124")</f>
        <v>1E-124</v>
      </c>
      <c r="CB180" t="str">
        <f>HYPERLINK("http://www.ncbi.nlm.nih.gov/protein/907732864","gi|907732864")</f>
        <v>gi|907732864</v>
      </c>
      <c r="CC180">
        <v>100</v>
      </c>
      <c r="CD180">
        <v>100</v>
      </c>
      <c r="CE180">
        <v>100</v>
      </c>
      <c r="CF180" t="s">
        <v>253</v>
      </c>
      <c r="CG180" s="33" t="str">
        <f>HYPERLINK("http://exon.niaid.nih.gov/transcriptome/S_calcitrans/S1/links/DIPTERA/XP_013114825.1-DIPTERA.txt","uncharacterized protein LOC106092486")</f>
        <v>uncharacterized protein LOC106092486</v>
      </c>
      <c r="CH180" t="str">
        <f>HYPERLINK("http://www.ncbi.nlm.nih.gov/sutils/blink.cgi?pid=907732864","1E-124")</f>
        <v>1E-124</v>
      </c>
      <c r="CI180" t="str">
        <f>HYPERLINK("http://www.ncbi.nlm.nih.gov/protein/907732864","gi|907732864")</f>
        <v>gi|907732864</v>
      </c>
      <c r="CJ180">
        <v>100</v>
      </c>
      <c r="CK180">
        <v>100</v>
      </c>
      <c r="CL180">
        <v>100</v>
      </c>
      <c r="CM180" t="s">
        <v>253</v>
      </c>
      <c r="CN180" s="33" t="s">
        <v>242</v>
      </c>
      <c r="CO180" t="s">
        <v>242</v>
      </c>
      <c r="CP180" t="s">
        <v>242</v>
      </c>
      <c r="CQ180" t="s">
        <v>242</v>
      </c>
      <c r="CR180" t="s">
        <v>242</v>
      </c>
      <c r="CS180" t="s">
        <v>242</v>
      </c>
      <c r="CT180" t="s">
        <v>242</v>
      </c>
      <c r="CU180" s="33" t="s">
        <v>242</v>
      </c>
      <c r="CV180" t="s">
        <v>242</v>
      </c>
      <c r="CW180" t="s">
        <v>242</v>
      </c>
      <c r="CX180" t="s">
        <v>242</v>
      </c>
      <c r="CY180" t="s">
        <v>242</v>
      </c>
      <c r="CZ180" t="s">
        <v>242</v>
      </c>
      <c r="DA180" t="s">
        <v>242</v>
      </c>
      <c r="DB180" t="s">
        <v>242</v>
      </c>
      <c r="DC180" t="s">
        <v>242</v>
      </c>
      <c r="DD180" t="s">
        <v>242</v>
      </c>
      <c r="DE180" s="33" t="str">
        <f>HYPERLINK("http://exon.niaid.nih.gov/transcriptome/S_calcitrans/S1/links/CDD/XP_013114825.1-CDD.txt","PLN02399")</f>
        <v>PLN02399</v>
      </c>
      <c r="DF180" t="str">
        <f>HYPERLINK("http://www.ncbi.nlm.nih.gov/Structure/cdd/cddsrv.cgi?uid=PLN02399&amp;version=v4.0","1.6")</f>
        <v>1.6</v>
      </c>
      <c r="DG180" t="s">
        <v>1939</v>
      </c>
      <c r="DH180" s="33" t="str">
        <f>HYPERLINK("http://exon.niaid.nih.gov/transcriptome/S_calcitrans/S1/links/KOG/XP_013114825.1-KOG.txt","Tight junction proteins")</f>
        <v>Tight junction proteins</v>
      </c>
      <c r="DI180" t="str">
        <f>HYPERLINK("http://www.ncbi.nlm.nih.gov/Structure/cdd/cddsrv.cgi?uid=KOG3580","0.28")</f>
        <v>0.28</v>
      </c>
      <c r="DJ180" t="s">
        <v>1095</v>
      </c>
      <c r="DK180" t="str">
        <f>HYPERLINK("http://exon.niaid.nih.gov/transcriptome/S_calcitrans/S1/links/KOG/XP_013114825.1-KOG.txt","KOG3580")</f>
        <v>KOG3580</v>
      </c>
      <c r="DL180" s="33" t="str">
        <f>HYPERLINK("http://exon.niaid.nih.gov/transcriptome/S_calcitrans/S1/links/PFAM/XP_013114825.1-PFAM.txt","RCR")</f>
        <v>RCR</v>
      </c>
      <c r="DM180" t="str">
        <f>HYPERLINK("http://pfam.sanger.ac.uk/family?acc=PF12273","1.5")</f>
        <v>1.5</v>
      </c>
      <c r="DN180" s="33" t="str">
        <f>HYPERLINK("http://exon.niaid.nih.gov/transcriptome/S_calcitrans/S1/links/SMART/XP_013114825.1-SMART.txt","PGAM")</f>
        <v>PGAM</v>
      </c>
      <c r="DO180" t="str">
        <f>HYPERLINK("http://smart.embl-heidelberg.de/smart/do_annotation.pl?DOMAIN=PGAM&amp;BLAST=DUMMY","0.77")</f>
        <v>0.77</v>
      </c>
      <c r="DP180" s="33"/>
      <c r="EB180" s="33">
        <v>5686</v>
      </c>
      <c r="EC180">
        <v>1</v>
      </c>
      <c r="ED180" s="33">
        <v>6869</v>
      </c>
      <c r="EE180">
        <v>1</v>
      </c>
      <c r="EF180" s="33">
        <v>7668</v>
      </c>
      <c r="EG180">
        <v>1</v>
      </c>
      <c r="EH180" s="33">
        <v>8301</v>
      </c>
      <c r="EI180">
        <v>1</v>
      </c>
      <c r="EJ180" s="33">
        <v>8959</v>
      </c>
      <c r="EK180">
        <v>1</v>
      </c>
      <c r="EL180" s="33">
        <v>9466</v>
      </c>
      <c r="EM180">
        <v>1</v>
      </c>
      <c r="EN180" s="33">
        <v>10033</v>
      </c>
      <c r="EO180">
        <v>1</v>
      </c>
      <c r="EP180" s="33">
        <v>10493</v>
      </c>
      <c r="EQ180">
        <v>1</v>
      </c>
      <c r="ER180" s="33">
        <v>10920</v>
      </c>
      <c r="ES180">
        <v>1</v>
      </c>
      <c r="ET180" s="33">
        <v>11294</v>
      </c>
      <c r="EU180">
        <v>1</v>
      </c>
      <c r="EV180" s="33">
        <v>11691</v>
      </c>
      <c r="EW180">
        <v>1</v>
      </c>
      <c r="EX180" s="33">
        <v>12052</v>
      </c>
      <c r="EY180">
        <v>1</v>
      </c>
      <c r="EZ180" s="33">
        <v>12508</v>
      </c>
      <c r="FA180">
        <v>1</v>
      </c>
      <c r="FB180" s="33">
        <v>13004</v>
      </c>
      <c r="FC180">
        <v>1</v>
      </c>
      <c r="FD180" s="33">
        <v>13730</v>
      </c>
      <c r="FE180">
        <v>1</v>
      </c>
      <c r="FF180" t="s">
        <v>1940</v>
      </c>
      <c r="FG180">
        <v>19432</v>
      </c>
      <c r="FH180" s="38" t="str">
        <f>HYPERLINK("http://exon.niaid.nih.gov/transcriptome/S_calcitrans/S1/links/SG_male-stripped_temp-95-h10-1gap/19432-SG_male-stripped_temp-95-h10-1gap.txt","266")</f>
        <v>266</v>
      </c>
      <c r="FI180" s="39">
        <v>99.385560675883298</v>
      </c>
      <c r="FJ180" s="39">
        <v>30.241167434715798</v>
      </c>
      <c r="FK180" s="39">
        <v>0</v>
      </c>
      <c r="FL180" s="39">
        <v>86</v>
      </c>
      <c r="FM180" s="39">
        <v>74.015037593984999</v>
      </c>
      <c r="FN180" s="38" t="str">
        <f>HYPERLINK("http://exon.niaid.nih.gov/transcriptome/S_calcitrans/S1/links/SG_female-stripped_temp-95-h10-1gap/19432-SG_female-stripped_temp-95-h10-1gap.txt","489")</f>
        <v>489</v>
      </c>
      <c r="FO180" s="39">
        <v>100</v>
      </c>
      <c r="FP180" s="39">
        <v>55.135176651305699</v>
      </c>
      <c r="FQ180" s="39">
        <v>3</v>
      </c>
      <c r="FR180" s="39">
        <v>145</v>
      </c>
      <c r="FS180" s="39">
        <v>73.419222903885498</v>
      </c>
      <c r="FT180" s="38" t="str">
        <f>HYPERLINK("http://exon.niaid.nih.gov/transcriptome/S_calcitrans/S1/links/SRR694289-stripped_temp-95-h10-1gap/19432-SRR694289-stripped_temp-95-h10-1gap.txt","4")</f>
        <v>4</v>
      </c>
      <c r="FU180" s="39">
        <v>33.3333333333333</v>
      </c>
      <c r="FV180" s="39">
        <v>0.61751152073732696</v>
      </c>
      <c r="FW180" s="39">
        <v>0</v>
      </c>
      <c r="FX180" s="39">
        <v>3</v>
      </c>
      <c r="FY180" s="39">
        <v>100.5</v>
      </c>
      <c r="FZ180" s="38">
        <v>0</v>
      </c>
      <c r="GA180" s="39" t="s">
        <v>242</v>
      </c>
      <c r="GB180" s="39" t="s">
        <v>242</v>
      </c>
      <c r="GC180" s="39" t="s">
        <v>242</v>
      </c>
      <c r="GD180" s="39" t="s">
        <v>242</v>
      </c>
      <c r="GE180" s="39" t="s">
        <v>242</v>
      </c>
      <c r="GF180">
        <f t="shared" si="176"/>
        <v>266</v>
      </c>
      <c r="GG180">
        <f t="shared" si="177"/>
        <v>489</v>
      </c>
      <c r="GH180">
        <f t="shared" si="178"/>
        <v>4</v>
      </c>
      <c r="GI180">
        <f t="shared" si="179"/>
        <v>0</v>
      </c>
      <c r="GJ180">
        <f t="shared" si="163"/>
        <v>755</v>
      </c>
      <c r="GK180" s="34">
        <v>2.9325404986755986E-3</v>
      </c>
      <c r="GL180">
        <v>13.366036352144413</v>
      </c>
      <c r="GM180">
        <v>11.173805573950371</v>
      </c>
      <c r="GN180">
        <v>3.5319255612514817E-2</v>
      </c>
      <c r="GO180">
        <v>0</v>
      </c>
      <c r="GP180">
        <f t="shared" si="180"/>
        <v>13.366036352144413</v>
      </c>
      <c r="GQ180" t="s">
        <v>1845</v>
      </c>
      <c r="GR180">
        <v>10.424057543882128</v>
      </c>
      <c r="GS180">
        <v>9.1710818715331666</v>
      </c>
      <c r="GT180">
        <v>6.3668533031254027E-2</v>
      </c>
      <c r="GU180">
        <v>0</v>
      </c>
      <c r="GV180">
        <f t="shared" si="181"/>
        <v>10.424057543882128</v>
      </c>
      <c r="GW180">
        <v>234.1996292452697</v>
      </c>
      <c r="GX180">
        <v>755</v>
      </c>
      <c r="GY180">
        <v>4</v>
      </c>
      <c r="GZ180">
        <v>759</v>
      </c>
      <c r="HA180">
        <v>168.49776744290216</v>
      </c>
      <c r="HB180">
        <v>590.50223255709784</v>
      </c>
      <c r="HC180">
        <v>2041.480276057807</v>
      </c>
      <c r="HD180">
        <v>582.52932813628081</v>
      </c>
      <c r="HE180">
        <v>2624.0096041940878</v>
      </c>
      <c r="HF180">
        <v>0</v>
      </c>
      <c r="HG180">
        <v>168.49776744290216</v>
      </c>
      <c r="HH180">
        <v>1</v>
      </c>
      <c r="HI180">
        <v>1</v>
      </c>
      <c r="HJ180">
        <v>2</v>
      </c>
      <c r="HK180">
        <v>0</v>
      </c>
      <c r="HL180" s="30" t="s">
        <v>262</v>
      </c>
      <c r="HM180">
        <v>529.18111895065238</v>
      </c>
      <c r="HN180">
        <v>1.5097700396531012E-3</v>
      </c>
      <c r="HO180">
        <v>266</v>
      </c>
      <c r="HP180">
        <v>489</v>
      </c>
      <c r="HQ180">
        <v>755</v>
      </c>
      <c r="HR180">
        <v>236.00993829370088</v>
      </c>
      <c r="HS180">
        <v>518.99006170629912</v>
      </c>
      <c r="HT180">
        <v>3.8108725744776564</v>
      </c>
      <c r="HU180">
        <v>1.7329884857344511</v>
      </c>
      <c r="HV180">
        <v>5.543861060212107</v>
      </c>
      <c r="HW180">
        <v>1.8545621634985628E-2</v>
      </c>
      <c r="HX180">
        <v>236.00993829370088</v>
      </c>
      <c r="HY180">
        <v>1</v>
      </c>
      <c r="HZ180">
        <v>1</v>
      </c>
      <c r="IA180">
        <v>2</v>
      </c>
      <c r="IB180">
        <v>7.8967789865377294E-2</v>
      </c>
      <c r="IC180" s="30" t="s">
        <v>262</v>
      </c>
      <c r="ID180">
        <v>1.193752534770496</v>
      </c>
      <c r="IE180">
        <v>0.83285394574629634</v>
      </c>
      <c r="IF180">
        <v>1.193752534770496</v>
      </c>
      <c r="IG180" t="str">
        <f t="shared" si="156"/>
        <v/>
      </c>
    </row>
    <row r="181" spans="1:241">
      <c r="A181" t="str">
        <f>HYPERLINK("http://exon.niaid.nih.gov/transcriptome/S_calcitrans/S1/links/pep/XP_013117609.1-pep.txt","XP_013117609.1")</f>
        <v>XP_013117609.1</v>
      </c>
      <c r="B181" s="30" t="s">
        <v>232</v>
      </c>
      <c r="C181">
        <v>97</v>
      </c>
      <c r="D181" t="s">
        <v>1941</v>
      </c>
      <c r="E181">
        <v>0</v>
      </c>
      <c r="F181" t="s">
        <v>1942</v>
      </c>
      <c r="G181" t="str">
        <f>HYPERLINK("http://exon.niaid.nih.gov/transcriptome/S_calcitrans/S1/links/cds/XM_013262155_1-cds.txt","XM_013262155_1")</f>
        <v>XM_013262155_1</v>
      </c>
      <c r="H181">
        <v>294</v>
      </c>
      <c r="I181" t="s">
        <v>1943</v>
      </c>
      <c r="J181" s="30" t="s">
        <v>236</v>
      </c>
      <c r="K181" s="30" t="s">
        <v>91</v>
      </c>
      <c r="L181" s="31" t="s">
        <v>1944</v>
      </c>
      <c r="M181" s="30">
        <v>6459</v>
      </c>
      <c r="N181" s="30">
        <v>6830</v>
      </c>
      <c r="O181" s="30" t="s">
        <v>276</v>
      </c>
      <c r="P181" s="30">
        <v>2</v>
      </c>
      <c r="Q181" s="31" t="s">
        <v>1945</v>
      </c>
      <c r="R181" s="32" t="str">
        <f>HYPERLINK("http://exon.niaid.nih.gov/transcriptome/S_calcitrans/S1/links/Sigp/XP_013117609.1-SigP.txt","CYT")</f>
        <v>CYT</v>
      </c>
      <c r="S181" t="s">
        <v>242</v>
      </c>
      <c r="T181">
        <v>10.836</v>
      </c>
      <c r="U181">
        <v>10.72</v>
      </c>
      <c r="V181" t="s">
        <v>242</v>
      </c>
      <c r="W181" t="s">
        <v>242</v>
      </c>
      <c r="X181" t="s">
        <v>1461</v>
      </c>
      <c r="Y181" s="32">
        <v>0</v>
      </c>
      <c r="Z181" t="s">
        <v>242</v>
      </c>
      <c r="AA181" t="s">
        <v>242</v>
      </c>
      <c r="AB181" t="s">
        <v>242</v>
      </c>
      <c r="AC181" t="s">
        <v>242</v>
      </c>
      <c r="AD181" t="s">
        <v>242</v>
      </c>
      <c r="AE181" s="32" t="str">
        <f>HYPERLINK("http://exon.niaid.nih.gov/transcriptome/S_calcitrans/S1/links/netoglyc/XP_013117609.1-netoglyc.txt","2")</f>
        <v>2</v>
      </c>
      <c r="AF181">
        <v>17.5</v>
      </c>
      <c r="AG181">
        <v>2.1</v>
      </c>
      <c r="AH181">
        <v>2.1</v>
      </c>
      <c r="AI181" t="s">
        <v>243</v>
      </c>
      <c r="AJ181" t="s">
        <v>242</v>
      </c>
      <c r="AK181">
        <v>308.39694349441999</v>
      </c>
      <c r="AL181" s="33">
        <v>15456</v>
      </c>
      <c r="AM181">
        <v>1</v>
      </c>
      <c r="AN181" s="30">
        <f t="shared" si="149"/>
        <v>1</v>
      </c>
      <c r="AO181" s="30" t="s">
        <v>244</v>
      </c>
      <c r="AP181">
        <v>528</v>
      </c>
      <c r="AQ181" s="34">
        <v>2.0508362692724718E-3</v>
      </c>
      <c r="AR181" s="35">
        <v>166.68191842406563</v>
      </c>
      <c r="AS181" t="s">
        <v>1946</v>
      </c>
      <c r="AT181" s="36" t="s">
        <v>1844</v>
      </c>
      <c r="AU181" t="s">
        <v>1845</v>
      </c>
      <c r="AY181" s="33"/>
      <c r="BG181" s="31"/>
      <c r="BJ181" s="33"/>
      <c r="BK181" s="33"/>
      <c r="BL181" s="33" t="str">
        <f>HYPERLINK("http://exon.niaid.nih.gov/transcriptome/S_calcitrans/S1/links/NR-LIGHT/XP_013117609.1-NR-LIGHT.txt","uncharacterized protein LOC101888893")</f>
        <v>uncharacterized protein LOC101888893</v>
      </c>
      <c r="BM181" t="str">
        <f>HYPERLINK("http://www.ncbi.nlm.nih.gov/sutils/blink.cgi?pid=557771946","5E-039")</f>
        <v>5E-039</v>
      </c>
      <c r="BN181" t="str">
        <f>HYPERLINK("http://www.ncbi.nlm.nih.gov/protein/557771946","gi|557771946")</f>
        <v>gi|557771946</v>
      </c>
      <c r="BO181">
        <v>90</v>
      </c>
      <c r="BP181">
        <v>94</v>
      </c>
      <c r="BQ181">
        <v>100</v>
      </c>
      <c r="BR181" t="s">
        <v>251</v>
      </c>
      <c r="BS181" s="33" t="str">
        <f>HYPERLINK("http://exon.niaid.nih.gov/transcriptome/S_calcitrans/S1/links/SWISSP/XP_013117609.1-SWISSP.txt","Myosin heavy chain, muscle")</f>
        <v>Myosin heavy chain, muscle</v>
      </c>
      <c r="BT181" t="str">
        <f>HYPERLINK("http://www.uniprot.org/uniprot/P05661","0.14")</f>
        <v>0.14</v>
      </c>
      <c r="BU181" t="str">
        <f>HYPERLINK("http://www.uniprot.org/uniprot/P05661#expression","P05661")</f>
        <v>P05661</v>
      </c>
      <c r="BV181">
        <v>28</v>
      </c>
      <c r="BW181">
        <v>47</v>
      </c>
      <c r="BX181">
        <v>5</v>
      </c>
      <c r="BY181" t="s">
        <v>304</v>
      </c>
      <c r="BZ181" s="33" t="str">
        <f>HYPERLINK("http://exon.niaid.nih.gov/transcriptome/S_calcitrans/S1/links/REFSEQ-INVERTEBRATE/XP_013117609.1-REFSEQ-INVERTEBRATE.txt","uncharacterized protein LOC106094917")</f>
        <v>uncharacterized protein LOC106094917</v>
      </c>
      <c r="CA181" t="str">
        <f>HYPERLINK("http://www.ncbi.nlm.nih.gov/sutils/blink.cgi?pid=907748548","3E-046")</f>
        <v>3E-046</v>
      </c>
      <c r="CB181" t="str">
        <f>HYPERLINK("http://www.ncbi.nlm.nih.gov/protein/907748548","gi|907748548")</f>
        <v>gi|907748548</v>
      </c>
      <c r="CC181">
        <v>100</v>
      </c>
      <c r="CD181">
        <v>100</v>
      </c>
      <c r="CE181">
        <v>100</v>
      </c>
      <c r="CF181" t="s">
        <v>253</v>
      </c>
      <c r="CG181" s="33" t="str">
        <f>HYPERLINK("http://exon.niaid.nih.gov/transcriptome/S_calcitrans/S1/links/DIPTERA/XP_013117609.1-DIPTERA.txt","uncharacterized protein LOC106094917")</f>
        <v>uncharacterized protein LOC106094917</v>
      </c>
      <c r="CH181" t="str">
        <f>HYPERLINK("http://www.ncbi.nlm.nih.gov/sutils/blink.cgi?pid=907748548","2E-046")</f>
        <v>2E-046</v>
      </c>
      <c r="CI181" t="str">
        <f>HYPERLINK("http://www.ncbi.nlm.nih.gov/protein/907748548","gi|907748548")</f>
        <v>gi|907748548</v>
      </c>
      <c r="CJ181">
        <v>100</v>
      </c>
      <c r="CK181">
        <v>100</v>
      </c>
      <c r="CL181">
        <v>100</v>
      </c>
      <c r="CM181" t="s">
        <v>253</v>
      </c>
      <c r="CN181" s="33" t="s">
        <v>242</v>
      </c>
      <c r="CO181" t="s">
        <v>242</v>
      </c>
      <c r="CP181" t="s">
        <v>242</v>
      </c>
      <c r="CQ181" t="s">
        <v>242</v>
      </c>
      <c r="CR181" t="s">
        <v>242</v>
      </c>
      <c r="CS181" t="s">
        <v>242</v>
      </c>
      <c r="CT181" t="s">
        <v>242</v>
      </c>
      <c r="CU181" s="33" t="s">
        <v>242</v>
      </c>
      <c r="CV181" t="s">
        <v>242</v>
      </c>
      <c r="CW181" t="s">
        <v>242</v>
      </c>
      <c r="CX181" t="s">
        <v>242</v>
      </c>
      <c r="CY181" t="s">
        <v>242</v>
      </c>
      <c r="CZ181" t="s">
        <v>242</v>
      </c>
      <c r="DA181" t="s">
        <v>242</v>
      </c>
      <c r="DB181" t="s">
        <v>242</v>
      </c>
      <c r="DC181" t="s">
        <v>242</v>
      </c>
      <c r="DD181" t="s">
        <v>242</v>
      </c>
      <c r="DE181" s="33" t="str">
        <f>HYPERLINK("http://exon.niaid.nih.gov/transcriptome/S_calcitrans/S1/links/CDD/XP_013117609.1-CDD.txt","DUF2462")</f>
        <v>DUF2462</v>
      </c>
      <c r="DF181" t="str">
        <f>HYPERLINK("http://www.ncbi.nlm.nih.gov/Structure/cdd/cddsrv.cgi?uid=pfam09495&amp;version=v4.0","0.005")</f>
        <v>0.005</v>
      </c>
      <c r="DG181" t="s">
        <v>1947</v>
      </c>
      <c r="DH181" s="33" t="str">
        <f>HYPERLINK("http://exon.niaid.nih.gov/transcriptome/S_calcitrans/S1/links/KOG/XP_013117609.1-KOG.txt","Vacuolar assembly/sorting protein VPS16")</f>
        <v>Vacuolar assembly/sorting protein VPS16</v>
      </c>
      <c r="DI181" t="str">
        <f>HYPERLINK("http://www.ncbi.nlm.nih.gov/Structure/cdd/cddsrv.cgi?uid=KOG2280","1.2")</f>
        <v>1.2</v>
      </c>
      <c r="DJ181" t="s">
        <v>310</v>
      </c>
      <c r="DK181" t="str">
        <f>HYPERLINK("http://exon.niaid.nih.gov/transcriptome/S_calcitrans/S1/links/KOG/XP_013117609.1-KOG.txt","KOG2280")</f>
        <v>KOG2280</v>
      </c>
      <c r="DL181" s="33" t="str">
        <f>HYPERLINK("http://exon.niaid.nih.gov/transcriptome/S_calcitrans/S1/links/PFAM/XP_013117609.1-PFAM.txt","DUF2462")</f>
        <v>DUF2462</v>
      </c>
      <c r="DM181" t="str">
        <f>HYPERLINK("http://pfam.sanger.ac.uk/family?acc=PF09495","0.001")</f>
        <v>0.001</v>
      </c>
      <c r="DN181" s="33" t="str">
        <f>HYPERLINK("http://exon.niaid.nih.gov/transcriptome/S_calcitrans/S1/links/SMART/XP_013117609.1-SMART.txt","TBC")</f>
        <v>TBC</v>
      </c>
      <c r="DO181" t="str">
        <f>HYPERLINK("http://smart.embl-heidelberg.de/smart/do_annotation.pl?DOMAIN=TBC&amp;BLAST=DUMMY","0.76")</f>
        <v>0.76</v>
      </c>
      <c r="DP181" s="33"/>
      <c r="EB181" s="33">
        <f>HYPERLINK("http://exon.niaid.nih.gov/transcriptome/S_calcitrans/S1/links/cluster-b/Scalc-pep25-50SimCLU1.txt", 1)</f>
        <v>1</v>
      </c>
      <c r="EC181">
        <f>HYPERLINK("http://exon.niaid.nih.gov/transcriptome/S_calcitrans/S1/links/cluster-b/Scalc-pep25-50SimCLTL1.txt", 5170)</f>
        <v>5170</v>
      </c>
      <c r="ED181" s="33">
        <f>HYPERLINK("http://exon.niaid.nih.gov/transcriptome/S_calcitrans/S1/links/cluster-b/Scalc-pep30-50SimCLU2957.txt", 2957)</f>
        <v>2957</v>
      </c>
      <c r="EE181">
        <f>HYPERLINK("http://exon.niaid.nih.gov/transcriptome/S_calcitrans/S1/links/cluster-b/Scalc-pep30-50SimCLTL2957.txt", 2)</f>
        <v>2</v>
      </c>
      <c r="EF181" s="33">
        <v>8495</v>
      </c>
      <c r="EG181">
        <v>1</v>
      </c>
      <c r="EH181" s="33">
        <v>9231</v>
      </c>
      <c r="EI181">
        <v>1</v>
      </c>
      <c r="EJ181" s="33">
        <v>9972</v>
      </c>
      <c r="EK181">
        <v>1</v>
      </c>
      <c r="EL181" s="33">
        <v>10548</v>
      </c>
      <c r="EM181">
        <v>1</v>
      </c>
      <c r="EN181" s="33">
        <v>11189</v>
      </c>
      <c r="EO181">
        <v>1</v>
      </c>
      <c r="EP181" s="33">
        <v>11713</v>
      </c>
      <c r="EQ181">
        <v>1</v>
      </c>
      <c r="ER181" s="33">
        <v>12213</v>
      </c>
      <c r="ES181">
        <v>1</v>
      </c>
      <c r="ET181" s="33">
        <v>12645</v>
      </c>
      <c r="EU181">
        <v>1</v>
      </c>
      <c r="EV181" s="33">
        <v>13100</v>
      </c>
      <c r="EW181">
        <v>1</v>
      </c>
      <c r="EX181" s="33">
        <v>13522</v>
      </c>
      <c r="EY181">
        <v>1</v>
      </c>
      <c r="EZ181" s="33">
        <v>14055</v>
      </c>
      <c r="FA181">
        <v>1</v>
      </c>
      <c r="FB181" s="33">
        <v>14625</v>
      </c>
      <c r="FC181">
        <v>1</v>
      </c>
      <c r="FD181" s="33">
        <v>15456</v>
      </c>
      <c r="FE181">
        <v>1</v>
      </c>
      <c r="FF181" t="s">
        <v>1948</v>
      </c>
      <c r="FG181">
        <v>21908</v>
      </c>
      <c r="FH181" s="38" t="str">
        <f>HYPERLINK("http://exon.niaid.nih.gov/transcriptome/S_calcitrans/S1/links/SG_male-stripped_temp-95-h10-1gap/21908-SG_male-stripped_temp-95-h10-1gap.txt","249")</f>
        <v>249</v>
      </c>
      <c r="FI181" s="39">
        <v>100</v>
      </c>
      <c r="FJ181" s="39">
        <v>61.452380952380899</v>
      </c>
      <c r="FK181" s="39">
        <v>3</v>
      </c>
      <c r="FL181" s="39">
        <v>133</v>
      </c>
      <c r="FM181" s="39">
        <v>72.558232931726906</v>
      </c>
      <c r="FN181" s="38" t="str">
        <f>HYPERLINK("http://exon.niaid.nih.gov/transcriptome/S_calcitrans/S1/links/SG_female-stripped_temp-95-h10-1gap/21908-SG_female-stripped_temp-95-h10-1gap.txt","279")</f>
        <v>279</v>
      </c>
      <c r="FO181" s="39">
        <v>100</v>
      </c>
      <c r="FP181" s="39">
        <v>69.387755102040799</v>
      </c>
      <c r="FQ181" s="39">
        <v>1</v>
      </c>
      <c r="FR181" s="39">
        <v>127</v>
      </c>
      <c r="FS181" s="39">
        <v>73.121863799283105</v>
      </c>
      <c r="FT181" s="38" t="str">
        <f>HYPERLINK("http://exon.niaid.nih.gov/transcriptome/S_calcitrans/S1/links/SRR694289-stripped_temp-95-h10-1gap/21908-SRR694289-stripped_temp-95-h10-1gap.txt","4")</f>
        <v>4</v>
      </c>
      <c r="FU181" s="39">
        <v>69.387755102040799</v>
      </c>
      <c r="FV181" s="39">
        <v>1.2074829931972799</v>
      </c>
      <c r="FW181" s="39">
        <v>0</v>
      </c>
      <c r="FX181" s="39">
        <v>3</v>
      </c>
      <c r="FY181" s="39">
        <v>88.75</v>
      </c>
      <c r="FZ181" s="38" t="str">
        <f>HYPERLINK("http://exon.niaid.nih.gov/transcriptome/S_calcitrans/S1/links/SRR694925-stripped_temp-95-h10-1gap/21908-SRR694925-stripped_temp-95-h10-1gap.txt","1")</f>
        <v>1</v>
      </c>
      <c r="GA181" s="39">
        <v>34.013605442176903</v>
      </c>
      <c r="GB181" s="39">
        <v>0.34013605442176897</v>
      </c>
      <c r="GC181" s="39">
        <v>0</v>
      </c>
      <c r="GD181" s="39">
        <v>1</v>
      </c>
      <c r="GE181" s="39">
        <v>100</v>
      </c>
      <c r="GF181">
        <f t="shared" si="176"/>
        <v>249</v>
      </c>
      <c r="GG181">
        <f t="shared" si="177"/>
        <v>279</v>
      </c>
      <c r="GH181">
        <f t="shared" si="178"/>
        <v>4</v>
      </c>
      <c r="GI181">
        <f t="shared" si="179"/>
        <v>1</v>
      </c>
      <c r="GJ181">
        <f t="shared" si="163"/>
        <v>528</v>
      </c>
      <c r="GK181" s="34">
        <v>2.0508362692724718E-3</v>
      </c>
      <c r="GL181">
        <v>27.704735392643048</v>
      </c>
      <c r="GM181">
        <v>14.11660011818533</v>
      </c>
      <c r="GN181">
        <v>7.8206923141997106E-2</v>
      </c>
      <c r="GO181">
        <v>2.0155633972248115E-2</v>
      </c>
      <c r="GP181">
        <f t="shared" si="180"/>
        <v>27.704735392643048</v>
      </c>
      <c r="GQ181" t="s">
        <v>1845</v>
      </c>
      <c r="GR181">
        <v>21.606686407418405</v>
      </c>
      <c r="GS181">
        <v>11.586428148830027</v>
      </c>
      <c r="GT181">
        <v>0.14098032314063394</v>
      </c>
      <c r="GU181">
        <v>3.8160140744595707E-2</v>
      </c>
      <c r="GV181">
        <f t="shared" si="181"/>
        <v>21.606686407418405</v>
      </c>
      <c r="GW181">
        <v>166.68191842406563</v>
      </c>
      <c r="GX181">
        <v>528</v>
      </c>
      <c r="GY181">
        <v>5</v>
      </c>
      <c r="GZ181">
        <v>533</v>
      </c>
      <c r="HA181">
        <v>118.32583668915264</v>
      </c>
      <c r="HB181">
        <v>414.67416331084735</v>
      </c>
      <c r="HC181">
        <v>1418.3962250387256</v>
      </c>
      <c r="HD181">
        <v>404.73445160997937</v>
      </c>
      <c r="HE181">
        <v>1823.130676648705</v>
      </c>
      <c r="HF181">
        <v>0</v>
      </c>
      <c r="HG181">
        <v>118.32583668915264</v>
      </c>
      <c r="HH181">
        <v>1</v>
      </c>
      <c r="HI181">
        <v>1</v>
      </c>
      <c r="HJ181">
        <v>2</v>
      </c>
      <c r="HK181">
        <v>0</v>
      </c>
      <c r="HL181" s="30" t="s">
        <v>262</v>
      </c>
      <c r="HM181">
        <v>308.39694349441999</v>
      </c>
      <c r="HN181">
        <v>2.6970372163935361E-3</v>
      </c>
      <c r="HO181">
        <v>249</v>
      </c>
      <c r="HP181">
        <v>279</v>
      </c>
      <c r="HQ181">
        <v>528</v>
      </c>
      <c r="HR181">
        <v>165.05065883321069</v>
      </c>
      <c r="HS181">
        <v>362.94934116678928</v>
      </c>
      <c r="HT181">
        <v>42.698962440735954</v>
      </c>
      <c r="HU181">
        <v>19.417287987580025</v>
      </c>
      <c r="HV181">
        <v>62.116250428315979</v>
      </c>
      <c r="HW181">
        <v>3.2376857945999958E-15</v>
      </c>
      <c r="HX181">
        <v>165.05065883321069</v>
      </c>
      <c r="HY181">
        <v>1</v>
      </c>
      <c r="HZ181">
        <v>1</v>
      </c>
      <c r="IA181">
        <v>2</v>
      </c>
      <c r="IB181" s="37">
        <v>9.1891454487989902E-14</v>
      </c>
      <c r="IC181" s="30" t="s">
        <v>262</v>
      </c>
      <c r="ID181">
        <v>1.9555551391964046</v>
      </c>
      <c r="IE181">
        <v>0.50749929636383517</v>
      </c>
      <c r="IF181">
        <v>1.9555551391964046</v>
      </c>
      <c r="IG181" t="str">
        <f t="shared" si="156"/>
        <v/>
      </c>
    </row>
  </sheetData>
  <conditionalFormatting sqref="AQ2:AQ181">
    <cfRule type="colorScale" priority="2">
      <colorScale>
        <cfvo type="num" val="5"/>
        <cfvo type="num" val="50"/>
        <cfvo type="num" val="90"/>
        <color theme="3" tint="0.59999389629810485"/>
        <color rgb="FFFFEB84"/>
        <color rgb="FFFF0000"/>
      </colorScale>
    </cfRule>
  </conditionalFormatting>
  <conditionalFormatting sqref="AR2:AR181">
    <cfRule type="colorScale" priority="1">
      <colorScale>
        <cfvo type="num" val="20"/>
        <cfvo type="num" val="100"/>
        <cfvo type="num" val="1000"/>
        <color theme="3" tint="0.59999389629810485"/>
        <color rgb="FFFFEB84"/>
        <color rgb="FFFF0000"/>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Salivary Gland RNA-seq Summary</vt:lpstr>
      <vt:lpstr>100-fold, non-redundant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 Olafson</dc:creator>
  <cp:lastModifiedBy>Pia Olafson</cp:lastModifiedBy>
  <dcterms:created xsi:type="dcterms:W3CDTF">2020-03-27T14:16:50Z</dcterms:created>
  <dcterms:modified xsi:type="dcterms:W3CDTF">2020-08-31T14:04:24Z</dcterms:modified>
</cp:coreProperties>
</file>